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comments+xml" PartName="/xl/comments21.xml"/>
  <Override ContentType="application/vnd.openxmlformats-officedocument.spreadsheetml.comments+xml" PartName="/xl/comments26.xml"/>
  <Override ContentType="application/vnd.openxmlformats-officedocument.spreadsheetml.comments+xml" PartName="/xl/comments9.xml"/>
  <Override ContentType="application/vnd.openxmlformats-officedocument.spreadsheetml.comments+xml" PartName="/xl/comments30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27.xml"/>
  <Override ContentType="application/vnd.openxmlformats-officedocument.spreadsheetml.comments+xml" PartName="/xl/comments22.xml"/>
  <Override ContentType="application/vnd.openxmlformats-officedocument.spreadsheetml.comments+xml" PartName="/xl/comments31.xml"/>
  <Override ContentType="application/vnd.openxmlformats-officedocument.spreadsheetml.comments+xml" PartName="/xl/comments3.xml"/>
  <Override ContentType="application/vnd.openxmlformats-officedocument.spreadsheetml.comments+xml" PartName="/xl/comments18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10.xml"/>
  <Override ContentType="application/vnd.openxmlformats-officedocument.spreadsheetml.comments+xml" PartName="/xl/comments23.xml"/>
  <Override ContentType="application/vnd.openxmlformats-officedocument.spreadsheetml.comments+xml" PartName="/xl/comments24.xml"/>
  <Override ContentType="application/vnd.openxmlformats-officedocument.spreadsheetml.comments+xml" PartName="/xl/comments6.xml"/>
  <Override ContentType="application/vnd.openxmlformats-officedocument.spreadsheetml.comments+xml" PartName="/xl/comments28.xml"/>
  <Override ContentType="application/vnd.openxmlformats-officedocument.spreadsheetml.comments+xml" PartName="/xl/comments19.xml"/>
  <Override ContentType="application/vnd.openxmlformats-officedocument.spreadsheetml.comments+xml" PartName="/xl/comments2.xml"/>
  <Override ContentType="application/vnd.openxmlformats-officedocument.spreadsheetml.comments+xml" PartName="/xl/comments11.xml"/>
  <Override ContentType="application/vnd.openxmlformats-officedocument.spreadsheetml.comments+xml" PartName="/xl/comments20.xml"/>
  <Override ContentType="application/vnd.openxmlformats-officedocument.spreadsheetml.comments+xml" PartName="/xl/comments25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29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3"/>
    <sheet state="visible" name="AS" sheetId="2" r:id="rId4"/>
    <sheet state="visible" name="RI" sheetId="3" r:id="rId5"/>
    <sheet state="visible" name="RLX" sheetId="4" r:id="rId6"/>
    <sheet state="visible" name="GA" sheetId="5" r:id="rId7"/>
    <sheet state="visible" name="SP" sheetId="6" r:id="rId8"/>
    <sheet state="visible" name="WR" sheetId="7" r:id="rId9"/>
    <sheet state="visible" name="MA" sheetId="8" r:id="rId10"/>
    <sheet state="visible" name="TBD" sheetId="9" r:id="rId11"/>
    <sheet state="visible" name="WA" sheetId="10" r:id="rId12"/>
    <sheet state="visible" name="WM" sheetId="11" r:id="rId13"/>
    <sheet state="visible" name="GB" sheetId="12" r:id="rId14"/>
    <sheet state="visible" name="AX" sheetId="13" r:id="rId15"/>
    <sheet state="visible" name="HY" sheetId="14" r:id="rId16"/>
    <sheet state="visible" name="SU" sheetId="15" r:id="rId17"/>
    <sheet state="visible" name="VW" sheetId="16" r:id="rId18"/>
    <sheet state="visible" name="IN" sheetId="17" r:id="rId19"/>
    <sheet state="visible" name="CH" sheetId="18" r:id="rId20"/>
    <sheet state="visible" name="TC" sheetId="19" r:id="rId21"/>
    <sheet state="visible" name="FR" sheetId="20" r:id="rId22"/>
    <sheet state="visible" name="ST" sheetId="21" r:id="rId23"/>
    <sheet state="visible" name="LT" sheetId="22" r:id="rId24"/>
    <sheet state="visible" name="HSU" sheetId="23" r:id="rId25"/>
    <sheet state="visible" name="HVW" sheetId="24" r:id="rId26"/>
    <sheet state="visible" name="MZ" sheetId="25" r:id="rId27"/>
    <sheet state="visible" name="BUGMC" sheetId="26" r:id="rId28"/>
    <sheet state="visible" name="Hagerstown Total" sheetId="27" r:id="rId29"/>
    <sheet state="visible" name="FBG" sheetId="28" r:id="rId30"/>
    <sheet state="visible" name="FSU" sheetId="29" r:id="rId31"/>
    <sheet state="visible" name="HD" sheetId="30" r:id="rId32"/>
    <sheet state="visible" name="LX" sheetId="31" r:id="rId33"/>
    <sheet state="visible" name="FORMULAS" sheetId="32" r:id="rId34"/>
    <sheet state="visible" name="PRODUCTION" sheetId="33" r:id="rId35"/>
    <sheet state="visible" name="Changes Needed" sheetId="34" r:id="rId36"/>
    <sheet state="visible" name="TO DO" sheetId="35" r:id="rId37"/>
    <sheet state="visible" name="18vs19" sheetId="36" r:id="rId38"/>
    <sheet state="visible" name="PROJ VS ACTUAL" sheetId="37" r:id="rId39"/>
    <sheet state="visible" name="In house agency costs" sheetId="38" r:id="rId40"/>
    <sheet state="visible" name="Agency Fee &amp; Production" sheetId="39" r:id="rId41"/>
    <sheet state="visible" name="Budget Changes" sheetId="40" r:id="rId42"/>
  </sheets>
  <definedNames>
    <definedName name="NamedRang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4">
      <text>
        <t xml:space="preserve">1999 fd website
349 dms integration
850 AAG 
61.90 sheehy.com portal site</t>
      </text>
    </comment>
    <comment authorId="0" ref="C34">
      <text>
        <t xml:space="preserve">1999 fd website
349 dms integration
850 AAG 
61.90 sheehy.com portal site</t>
      </text>
    </comment>
    <comment authorId="0" ref="D34">
      <text>
        <t xml:space="preserve">1199 fd website
349 dms integration
850 AAG 
61.90 sheehy.com portal site</t>
      </text>
    </comment>
    <comment authorId="0" ref="E34">
      <text>
        <t xml:space="preserve">1199 fd website
349 dms integration
850 AAG 
61.90 sheehy.com portal site</t>
      </text>
    </comment>
    <comment authorId="0" ref="F34">
      <text>
        <t xml:space="preserve">1199 fd website
349 dms integration
850 AAG 
61.90 sheehy.com portal site</t>
      </text>
    </comment>
    <comment authorId="0" ref="G34">
      <text>
        <t xml:space="preserve">1199 fd website
349 dms integration
850 AAG 
61.90 sheehy.com portal site</t>
      </text>
    </comment>
    <comment authorId="0" ref="H34">
      <text>
        <t xml:space="preserve">1199 fd website
349 dms integration
850 AAG 
61.90 sheehy.com portal site</t>
      </text>
    </comment>
    <comment authorId="0" ref="I34">
      <text>
        <t xml:space="preserve">1199 fd website
349 dms integration
850 AAG 
61.90 sheehy.com portal site</t>
      </text>
    </comment>
    <comment authorId="0" ref="J34">
      <text>
        <t xml:space="preserve">1199 fd website
349 dms integration
850 AAG 
61.90 sheehy.com portal site</t>
      </text>
    </comment>
    <comment authorId="0" ref="K34">
      <text>
        <t xml:space="preserve">1199 fd website
349 dms integration
850 AAG 
61.90 sheehy.com portal site</t>
      </text>
    </comment>
    <comment authorId="0" ref="L34">
      <text>
        <t xml:space="preserve">1199 fd website
349 dms integration
850 AAG 
61.90 sheehy.com portal site</t>
      </text>
    </comment>
    <comment authorId="0" ref="M34">
      <text>
        <t xml:space="preserve">1199 fd website
349 dms integration
850 AAG 
61.90 sheehy.com portal site</t>
      </text>
    </comment>
    <comment authorId="0" ref="B42">
      <text>
        <t xml:space="preserve">switch to carchat24 at 365/mo
599 FD pricing
</t>
      </text>
    </comment>
    <comment authorId="0" ref="C42">
      <text>
        <t xml:space="preserve">switch to carchat24 at 365/mo
599 FD pricing
</t>
      </text>
    </comment>
    <comment authorId="0" ref="D42">
      <text>
        <t xml:space="preserve">switch to carchat24 at 365/mo
599 FD pricing
</t>
      </text>
    </comment>
    <comment authorId="0" ref="E42">
      <text>
        <t xml:space="preserve">switch to carchat24 at 365/mo
599 FD pricing
</t>
      </text>
    </comment>
    <comment authorId="0" ref="F42">
      <text>
        <t xml:space="preserve">switch to carchat24 at 365/mo
599 FD pricing
</t>
      </text>
    </comment>
    <comment authorId="0" ref="G42">
      <text>
        <t xml:space="preserve">switch to carchat24 at 365/mo
599 FD pricing
</t>
      </text>
    </comment>
    <comment authorId="0" ref="H42">
      <text>
        <t xml:space="preserve">switch to carchat24 at 365/mo
599 FD pricing
</t>
      </text>
    </comment>
    <comment authorId="0" ref="I42">
      <text>
        <t xml:space="preserve">switch to carchat24 at 365/mo
599 FD pricing
</t>
      </text>
    </comment>
    <comment authorId="0" ref="J42">
      <text>
        <t xml:space="preserve">switch to carchat24 at 365/mo
599 FD pricing
</t>
      </text>
    </comment>
    <comment authorId="0" ref="K42">
      <text>
        <t xml:space="preserve">switch to carchat24 at 365/mo
599 FD pricing
</t>
      </text>
    </comment>
    <comment authorId="0" ref="L42">
      <text>
        <t xml:space="preserve">switch to carchat24 at 365/mo
599 FD pricing
</t>
      </text>
    </comment>
    <comment authorId="0" ref="M42">
      <text>
        <t xml:space="preserve">switch to carchat24 at 365/mo
599 FD pricing
</t>
      </text>
    </comment>
    <comment authorId="0" ref="B44">
      <text>
        <t xml:space="preserve">259 Finance Driver</t>
      </text>
    </comment>
    <comment authorId="0" ref="C44">
      <text>
        <t xml:space="preserve">259 Finance Driver</t>
      </text>
    </comment>
    <comment authorId="0" ref="D44">
      <text>
        <t xml:space="preserve">259 Finance Driver</t>
      </text>
    </comment>
    <comment authorId="0" ref="E44">
      <text>
        <t xml:space="preserve">259 Finance Driver</t>
      </text>
    </comment>
    <comment authorId="0" ref="F44">
      <text>
        <t xml:space="preserve">259 Finance Driver</t>
      </text>
    </comment>
    <comment authorId="0" ref="G44">
      <text>
        <t xml:space="preserve">259 Finance Driver</t>
      </text>
    </comment>
    <comment authorId="0" ref="H44">
      <text>
        <t xml:space="preserve">259 Finance Driver</t>
      </text>
    </comment>
    <comment authorId="0" ref="I44">
      <text>
        <t xml:space="preserve">259 Finance Driver</t>
      </text>
    </comment>
    <comment authorId="0" ref="J44">
      <text>
        <t xml:space="preserve">259 Finance Driver</t>
      </text>
    </comment>
    <comment authorId="0" ref="K44">
      <text>
        <t xml:space="preserve">259 Finance Driver</t>
      </text>
    </comment>
    <comment authorId="0" ref="L44">
      <text>
        <t xml:space="preserve">259 Finance Driver</t>
      </text>
    </comment>
    <comment authorId="0" ref="M44">
      <text>
        <t xml:space="preserve">259 Finance Driver</t>
      </text>
    </comment>
    <comment authorId="0" ref="B45">
      <text>
        <t xml:space="preserve">45 Yelp 
97.5  Reputation.com
399 podium</t>
      </text>
    </comment>
    <comment authorId="0" ref="C45">
      <text>
        <t xml:space="preserve">45 Yelp 
97.5  Reputation.com
399 podium</t>
      </text>
    </comment>
    <comment authorId="0" ref="D45">
      <text>
        <t xml:space="preserve">45 Yelp 
97.5  Reputation.com
399 podium</t>
      </text>
    </comment>
    <comment authorId="0" ref="E45">
      <text>
        <t xml:space="preserve">45 Yelp 
97.5  Reputation.com
399 podium</t>
      </text>
    </comment>
    <comment authorId="0" ref="F45">
      <text>
        <t xml:space="preserve">45 Yelp 
97.5  Reputation.com
399 podium</t>
      </text>
    </comment>
    <comment authorId="0" ref="G45">
      <text>
        <t xml:space="preserve">45 Yelp 
97.5  Reputation.com
399 podium</t>
      </text>
    </comment>
    <comment authorId="0" ref="H45">
      <text>
        <t xml:space="preserve">45 Yelp 
97.5  Reputation.com
399 podium</t>
      </text>
    </comment>
    <comment authorId="0" ref="I45">
      <text>
        <t xml:space="preserve">45 Yelp 
97.5  Reputation.com
399 podium</t>
      </text>
    </comment>
    <comment authorId="0" ref="J45">
      <text>
        <t xml:space="preserve">45 Yelp 
97.5  Reputation.com
399 podium</t>
      </text>
    </comment>
    <comment authorId="0" ref="K45">
      <text>
        <t xml:space="preserve">45 Yelp 
97.5  Reputation.com
399 podium</t>
      </text>
    </comment>
    <comment authorId="0" ref="L45">
      <text>
        <t xml:space="preserve">45 Yelp 
97.5  Reputation.com
399 podium</t>
      </text>
    </comment>
    <comment authorId="0" ref="M45">
      <text>
        <t xml:space="preserve">45 Yelp 
97.5  Reputation.com
399 podium</t>
      </text>
    </comment>
    <comment authorId="0" ref="E46">
      <text>
        <t xml:space="preserve">cancelled 3/16</t>
      </text>
    </comment>
    <comment authorId="0" ref="B47">
      <text>
        <t xml:space="preserve">850 alli
30 alli boosted
1,400 cartender
750 autolead star
3,000 autolead star 
</t>
      </text>
    </comment>
    <comment authorId="0" ref="C47">
      <text>
        <t xml:space="preserve">850 alli
30 alli boosted
1,400 cartender
750 autolead star
3,000 autolead star 
</t>
      </text>
    </comment>
    <comment authorId="0" ref="D47">
      <text>
        <t xml:space="preserve">850 alli
30 alli boosted
1,400 cartender
750 autolead star
3,000 autolead star 
</t>
      </text>
    </comment>
    <comment authorId="0" ref="E47">
      <text>
        <t xml:space="preserve">850 alli
30 alli boosted
1,400 cartender
750 autolead star
3,000 autolead star 
</t>
      </text>
    </comment>
    <comment authorId="0" ref="F47">
      <text>
        <t xml:space="preserve">850 alli
30 alli boosted
1,400 cartender
750 autolead star
3,000 autolead star 
</t>
      </text>
    </comment>
    <comment authorId="0" ref="G47">
      <text>
        <t xml:space="preserve">850 alli
30 alli boosted
1,400 cartender
750 autolead star
3,000 autolead star 
</t>
      </text>
    </comment>
    <comment authorId="0" ref="H47">
      <text>
        <t xml:space="preserve">850 alli
30 alli boosted
1,400 cartender
750 autolead star
3,000 autolead star 
</t>
      </text>
    </comment>
    <comment authorId="0" ref="I47">
      <text>
        <t xml:space="preserve">850 alli
30 alli boosted
1,400 cartender
750 autolead star
3,000 autolead star 
</t>
      </text>
    </comment>
    <comment authorId="0" ref="J47">
      <text>
        <t xml:space="preserve">850 alli
30 alli boosted
1,400 cartender
750 autolead star
3,000 autolead star 
</t>
      </text>
    </comment>
    <comment authorId="0" ref="K47">
      <text>
        <t xml:space="preserve">850 alli
30 alli boosted
1,400 cartender
750 autolead star
3,000 autolead star 
</t>
      </text>
    </comment>
    <comment authorId="0" ref="L47">
      <text>
        <t xml:space="preserve">850 alli
30 alli boosted
1,400 cartender
750 autolead star
3,000 autolead star 
</t>
      </text>
    </comment>
    <comment authorId="0" ref="M47">
      <text>
        <t xml:space="preserve">850 alli
30 alli boosted
1,400 cartender
750 autolead star
3,000 autolead star 
</t>
      </text>
    </comment>
    <comment authorId="0" ref="B48">
      <text>
        <t xml:space="preserve">55.66 Sheehy.com
$350.33 PERQ child site
80 we buy cars</t>
      </text>
    </comment>
    <comment authorId="0" ref="C48">
      <text>
        <t xml:space="preserve">55.66 Sheehy.com
$350.33 PERQ child site
80 we buy cars</t>
      </text>
    </comment>
    <comment authorId="0" ref="D48">
      <text>
        <t xml:space="preserve">55.66 Sheehy.com
$350.33 PERQ child site
80 we buy cars</t>
      </text>
    </comment>
    <comment authorId="0" ref="E48">
      <text>
        <t xml:space="preserve">55.66 Sheehy.com
$350.33 PERQ child site
80 we buy cars</t>
      </text>
    </comment>
    <comment authorId="0" ref="F48">
      <text>
        <t xml:space="preserve">55.66 Sheehy.com
$350.33 PERQ child site
80 we buy cars</t>
      </text>
    </comment>
    <comment authorId="0" ref="G48">
      <text>
        <t xml:space="preserve">55.66 Sheehy.com
$350.33 PERQ child site
80 we buy cars</t>
      </text>
    </comment>
    <comment authorId="0" ref="H48">
      <text>
        <t xml:space="preserve">55.66 Sheehy.com
$350.33 PERQ child site
80 we buy cars</t>
      </text>
    </comment>
    <comment authorId="0" ref="I48">
      <text>
        <t xml:space="preserve">55.66 Sheehy.com
$350.33 PERQ child site
80 we buy cars</t>
      </text>
    </comment>
    <comment authorId="0" ref="J48">
      <text>
        <t xml:space="preserve">55.66 Sheehy.com
$350.33 PERQ child site
80 we buy cars</t>
      </text>
    </comment>
    <comment authorId="0" ref="K48">
      <text>
        <t xml:space="preserve">55.66 Sheehy.com
$350.33 PERQ child site
80 we buy cars</t>
      </text>
    </comment>
    <comment authorId="0" ref="L48">
      <text>
        <t xml:space="preserve">55.66 Sheehy.com
$350.33 PERQ child site
80 we buy cars</t>
      </text>
    </comment>
    <comment authorId="0" ref="M48">
      <text>
        <t xml:space="preserve">55.66 Sheehy.com
$350.33 PERQ child site
80 we buy cars</t>
      </text>
    </comment>
    <comment authorId="0" ref="B50">
      <text>
        <t xml:space="preserve">$1600 Roadster charges
$995 Roadster setup charges</t>
      </text>
    </comment>
    <comment authorId="0" ref="B55">
      <text>
        <t xml:space="preserve">2000 truecar @40mi
includes trade/reach and subscription</t>
      </text>
    </comment>
    <comment authorId="0" ref="C55">
      <text>
        <t xml:space="preserve">2000 truecar @40mi
includes trade/reach and subscription</t>
      </text>
    </comment>
    <comment authorId="0" ref="D55">
      <text>
        <t xml:space="preserve">2000 truecar @40mi
includes trade/reach and subscription</t>
      </text>
    </comment>
    <comment authorId="0" ref="E55">
      <text>
        <t xml:space="preserve">2000 truecar @40mi
includes trade/reach and subscription</t>
      </text>
    </comment>
    <comment authorId="0" ref="F55">
      <text>
        <t xml:space="preserve">2000 truecar @40mi
includes trade/reach and subscription</t>
      </text>
    </comment>
    <comment authorId="0" ref="G55">
      <text>
        <t xml:space="preserve">2000 truecar @40mi
includes trade/reach and subscription</t>
      </text>
    </comment>
    <comment authorId="0" ref="H55">
      <text>
        <t xml:space="preserve">2000 truecar @40mi
includes trade/reach and subscription</t>
      </text>
    </comment>
    <comment authorId="0" ref="I55">
      <text>
        <t xml:space="preserve">2000 truecar @40mi
includes trade/reach and subscription</t>
      </text>
    </comment>
    <comment authorId="0" ref="J55">
      <text>
        <t xml:space="preserve">2000 truecar @40mi
includes trade/reach and subscription</t>
      </text>
    </comment>
    <comment authorId="0" ref="K55">
      <text>
        <t xml:space="preserve">2000 truecar @40mi
includes trade/reach and subscription</t>
      </text>
    </comment>
    <comment authorId="0" ref="L55">
      <text>
        <t xml:space="preserve">2000 truecar @40mi
includes trade/reach and subscription</t>
      </text>
    </comment>
    <comment authorId="0" ref="M55">
      <text>
        <t xml:space="preserve">2000 truecar @40mi
includes trade/reach and subscription</t>
      </text>
    </comment>
    <comment authorId="0" ref="B56">
      <text>
        <t xml:space="preserve">399 Trade tool with Purecars
351 mgmt fee
57 Data Management fee</t>
      </text>
    </comment>
    <comment authorId="0" ref="C56">
      <text>
        <t xml:space="preserve">399 Trade tool with Purecars
351 mgmt fee
57 Data Management fee</t>
      </text>
    </comment>
    <comment authorId="0" ref="D56">
      <text>
        <t xml:space="preserve">399 Trade tool with Purecars
351 mgmt fee
57 Data Management fee</t>
      </text>
    </comment>
    <comment authorId="0" ref="E56">
      <text>
        <t xml:space="preserve">399 Trade tool with Purecars
351 mgmt fee
57 Data Management fee</t>
      </text>
    </comment>
    <comment authorId="0" ref="F56">
      <text>
        <t xml:space="preserve">399 Trade tool with Purecars
351 mgmt fee
57 Data Management fee</t>
      </text>
    </comment>
    <comment authorId="0" ref="G56">
      <text>
        <t xml:space="preserve">399 Trade tool with Purecars
351 mgmt fee
57 Data Management fee</t>
      </text>
    </comment>
    <comment authorId="0" ref="H56">
      <text>
        <t xml:space="preserve">399 Trade tool with Purecars
351 mgmt fee
57 Data Management fee</t>
      </text>
    </comment>
    <comment authorId="0" ref="I56">
      <text>
        <t xml:space="preserve">399 Trade tool with Purecars
351 mgmt fee
57 Data Management fee</t>
      </text>
    </comment>
    <comment authorId="0" ref="J56">
      <text>
        <t xml:space="preserve">399 Trade tool with Purecars
351 mgmt fee
57 Data Management fee</t>
      </text>
    </comment>
    <comment authorId="0" ref="K56">
      <text>
        <t xml:space="preserve">399 Trade tool with Purecars
351 mgmt fee
57 Data Management fee</t>
      </text>
    </comment>
    <comment authorId="0" ref="L56">
      <text>
        <t xml:space="preserve">399 Trade tool with Purecars
351 mgmt fee
57 Data Management fee</t>
      </text>
    </comment>
    <comment authorId="0" ref="M56">
      <text>
        <t xml:space="preserve">399 Trade tool with Purecars
351 mgmt fee
57 Data Management fee</t>
      </text>
    </comment>
    <comment authorId="0" ref="B59">
      <text>
        <t xml:space="preserve">1250 NEW
1250 USED
2500 TOTAL</t>
      </text>
    </comment>
    <comment authorId="0" ref="C59">
      <text>
        <t xml:space="preserve">1250 NEW
1250 USED
2500 TOTAL</t>
      </text>
    </comment>
    <comment authorId="0" ref="D59">
      <text>
        <t xml:space="preserve">1250 NEW
1250 USED
2500 TOTAL</t>
      </text>
    </comment>
    <comment authorId="0" ref="E59">
      <text>
        <t xml:space="preserve">1250 NEW
1250 USED
2500 TOTAL</t>
      </text>
    </comment>
    <comment authorId="0" ref="F59">
      <text>
        <t xml:space="preserve">1250 NEW
1250 USED
2500 TOTAL</t>
      </text>
    </comment>
    <comment authorId="0" ref="G59">
      <text>
        <t xml:space="preserve">1250 NEW
1250 USED
2500 TOTAL</t>
      </text>
    </comment>
    <comment authorId="0" ref="H59">
      <text>
        <t xml:space="preserve">1250 NEW
1250 USED
2500 TOTAL</t>
      </text>
    </comment>
    <comment authorId="0" ref="I59">
      <text>
        <t xml:space="preserve">1250 NEW
1250 USED
2500 TOTAL</t>
      </text>
    </comment>
    <comment authorId="0" ref="J59">
      <text>
        <t xml:space="preserve">1250 NEW
1250 USED
2500 TOTAL</t>
      </text>
    </comment>
    <comment authorId="0" ref="K59">
      <text>
        <t xml:space="preserve">1250 NEW
1250 USED
2500 TOTAL</t>
      </text>
    </comment>
    <comment authorId="0" ref="L59">
      <text>
        <t xml:space="preserve">1250 NEW
1250 USED
2500 TOTAL</t>
      </text>
    </comment>
    <comment authorId="0" ref="M59">
      <text>
        <t xml:space="preserve">1250 NEW
1250 USED
2500 TOTAL</t>
      </text>
    </comment>
    <comment authorId="0" ref="B63">
      <text>
        <t xml:space="preserve">8670.8 new
+1030 starting dec. 2021
(350 used)</t>
      </text>
    </comment>
    <comment authorId="0" ref="C63">
      <text>
        <t xml:space="preserve">8670.8 new
+1030 starting dec. 2021
(350 used)</t>
      </text>
    </comment>
    <comment authorId="0" ref="D63">
      <text>
        <t xml:space="preserve">8670.8 new
+1030 starting dec. 2021
(350 used)</t>
      </text>
    </comment>
    <comment authorId="0" ref="E63">
      <text>
        <t xml:space="preserve">8670.8 new
+1030 starting dec. 2021
(350 used)</t>
      </text>
    </comment>
    <comment authorId="0" ref="F63">
      <text>
        <t xml:space="preserve">8670.8 new
+1030 starting dec. 2021
(350 used)</t>
      </text>
    </comment>
    <comment authorId="0" ref="G63">
      <text>
        <t xml:space="preserve">8670.8 new
+1030 starting dec. 2021
(350 used)</t>
      </text>
    </comment>
    <comment authorId="0" ref="H63">
      <text>
        <t xml:space="preserve">8670.8 new
+1030 starting dec. 2021
(350 used)</t>
      </text>
    </comment>
    <comment authorId="0" ref="I63">
      <text>
        <t xml:space="preserve">8670.8 new
+1030 starting dec. 2021
(350 used)</t>
      </text>
    </comment>
    <comment authorId="0" ref="J63">
      <text>
        <t xml:space="preserve">8670.8 new
+1030 starting dec. 2021
(350 used)</t>
      </text>
    </comment>
    <comment authorId="0" ref="K63">
      <text>
        <t xml:space="preserve">8670.8 new
+1030 starting dec. 2021
(350 used)</t>
      </text>
    </comment>
    <comment authorId="0" ref="L63">
      <text>
        <t xml:space="preserve">8670.8 new
+1030 starting dec. 2021
(350 used)</t>
      </text>
    </comment>
    <comment authorId="0" ref="M63">
      <text>
        <t xml:space="preserve">8670.8 new
+1030 starting dec. 2021
(350 used)</t>
      </text>
    </comment>
    <comment authorId="0" ref="B64">
      <text>
        <t xml:space="preserve">$744 Work Truck Solutions
$1401 Commercial Truck Trader</t>
      </text>
    </comment>
    <comment authorId="0" ref="C64">
      <text>
        <t xml:space="preserve">$744 Work Truck Solutions
$1401 Commercial Truck Trader</t>
      </text>
    </comment>
    <comment authorId="0" ref="D64">
      <text>
        <t xml:space="preserve">$744 Work Truck Solutions
$1401 Commercial Truck Trader</t>
      </text>
    </comment>
    <comment authorId="0" ref="E64">
      <text>
        <t xml:space="preserve">$744 Work Truck Solutions
$1401 Commercial Truck Trader</t>
      </text>
    </comment>
    <comment authorId="0" ref="F64">
      <text>
        <t xml:space="preserve">$744 Work Truck Solutions
$1401 Commercial Truck Trader</t>
      </text>
    </comment>
    <comment authorId="0" ref="G64">
      <text>
        <t xml:space="preserve">$744 Work Truck Solutions
$1401 Commercial Truck Trader</t>
      </text>
    </comment>
    <comment authorId="0" ref="H64">
      <text>
        <t xml:space="preserve">$744 Work Truck Solutions
$1401 Commercial Truck Trader</t>
      </text>
    </comment>
    <comment authorId="0" ref="I64">
      <text>
        <t xml:space="preserve">$744 Work Truck Solutions
$1401 Commercial Truck Trader</t>
      </text>
    </comment>
    <comment authorId="0" ref="J64">
      <text>
        <t xml:space="preserve">$744 Work Truck Solutions
$1401 Commercial Truck Trader</t>
      </text>
    </comment>
    <comment authorId="0" ref="K64">
      <text>
        <t xml:space="preserve">$744 Work Truck Solutions
$1401 Commercial Truck Trader</t>
      </text>
    </comment>
    <comment authorId="0" ref="L64">
      <text>
        <t xml:space="preserve">$744 Work Truck Solutions
$1401 Commercial Truck Trader</t>
      </text>
    </comment>
    <comment authorId="0" ref="M64">
      <text>
        <t xml:space="preserve">$744 Work Truck Solutions
$1401 Commercial Truck Trader</t>
      </text>
    </comment>
    <comment authorId="0" ref="B72">
      <text>
        <t xml:space="preserve">TBD
</t>
      </text>
    </comment>
    <comment authorId="0" ref="C72">
      <text>
        <t xml:space="preserve">TBD
</t>
      </text>
    </comment>
    <comment authorId="0" ref="D72">
      <text>
        <t xml:space="preserve">TBD
</t>
      </text>
    </comment>
    <comment authorId="0" ref="E72">
      <text>
        <t xml:space="preserve">TBD
</t>
      </text>
    </comment>
    <comment authorId="0" ref="F72">
      <text>
        <t xml:space="preserve">TBD
</t>
      </text>
    </comment>
    <comment authorId="0" ref="G72">
      <text>
        <t xml:space="preserve">TBD
</t>
      </text>
    </comment>
    <comment authorId="0" ref="H72">
      <text>
        <t xml:space="preserve">TBD
</t>
      </text>
    </comment>
    <comment authorId="0" ref="I72">
      <text>
        <t xml:space="preserve">TBD
</t>
      </text>
    </comment>
    <comment authorId="0" ref="J72">
      <text>
        <t xml:space="preserve">TBD
</t>
      </text>
    </comment>
    <comment authorId="0" ref="K72">
      <text>
        <t xml:space="preserve">TBD
</t>
      </text>
    </comment>
    <comment authorId="0" ref="L72">
      <text>
        <t xml:space="preserve">TBD
</t>
      </text>
    </comment>
    <comment authorId="0" ref="M72">
      <text>
        <t xml:space="preserve">TBD
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B74">
      <text>
        <t xml:space="preserve">1250 NEW
1250 USED
2500 TOTAL</t>
      </text>
    </comment>
    <comment authorId="0" ref="C74">
      <text>
        <t xml:space="preserve">1250 NEW
1250 USED
2500 TOTAL</t>
      </text>
    </comment>
    <comment authorId="0" ref="D74">
      <text>
        <t xml:space="preserve">1250 NEW
1250 USED
2500 TOTAL</t>
      </text>
    </comment>
    <comment authorId="0" ref="E74">
      <text>
        <t xml:space="preserve">1250 NEW
1250 USED
2500 TOTAL</t>
      </text>
    </comment>
    <comment authorId="0" ref="F74">
      <text>
        <t xml:space="preserve">1250 NEW
1250 USED
2500 TOTAL</t>
      </text>
    </comment>
    <comment authorId="0" ref="G74">
      <text>
        <t xml:space="preserve">1250 NEW
1250 USED
2500 TOTAL</t>
      </text>
    </comment>
    <comment authorId="0" ref="H74">
      <text>
        <t xml:space="preserve">1250 NEW
1250 USED
2500 TOTAL</t>
      </text>
    </comment>
    <comment authorId="0" ref="I74">
      <text>
        <t xml:space="preserve">1250 NEW
1250 USED
2500 TOTAL</t>
      </text>
    </comment>
    <comment authorId="0" ref="J74">
      <text>
        <t xml:space="preserve">1250 NEW
1250 USED
2500 TOTAL</t>
      </text>
    </comment>
    <comment authorId="0" ref="K74">
      <text>
        <t xml:space="preserve">1250 NEW
1250 USED
2500 TOTAL</t>
      </text>
    </comment>
    <comment authorId="0" ref="L74">
      <text>
        <t xml:space="preserve">1250 NEW
1250 USED
2500 TOTAL</t>
      </text>
    </comment>
    <comment authorId="0" ref="M74">
      <text>
        <t xml:space="preserve">1250 NEW
1250 USED
2500 TOTAL</t>
      </text>
    </comment>
    <comment authorId="0" ref="B80">
      <text>
        <t xml:space="preserve">1750 ENHANCED</t>
      </text>
    </comment>
    <comment authorId="0" ref="C80">
      <text>
        <t xml:space="preserve">1750 ENHANCED</t>
      </text>
    </comment>
    <comment authorId="0" ref="D80">
      <text>
        <t xml:space="preserve">1750 ENHANCED</t>
      </text>
    </comment>
    <comment authorId="0" ref="E80">
      <text>
        <t xml:space="preserve">1750 ENHANCED</t>
      </text>
    </comment>
    <comment authorId="0" ref="F80">
      <text>
        <t xml:space="preserve">1750 ENHANCED</t>
      </text>
    </comment>
    <comment authorId="0" ref="G80">
      <text>
        <t xml:space="preserve">1750 ENHANCED</t>
      </text>
    </comment>
    <comment authorId="0" ref="H80">
      <text>
        <t xml:space="preserve">1750 ENHANCED</t>
      </text>
    </comment>
    <comment authorId="0" ref="I80">
      <text>
        <t xml:space="preserve">1750 ENHANCED</t>
      </text>
    </comment>
    <comment authorId="0" ref="J80">
      <text>
        <t xml:space="preserve">1750 ENHANCED</t>
      </text>
    </comment>
    <comment authorId="0" ref="K80">
      <text>
        <t xml:space="preserve">1750 ENHANCED</t>
      </text>
    </comment>
    <comment authorId="0" ref="L80">
      <text>
        <t xml:space="preserve">1750 ENHANCED</t>
      </text>
    </comment>
    <comment authorId="0" ref="M80">
      <text>
        <t xml:space="preserve">1750 ENHANCED</t>
      </text>
    </comment>
    <comment authorId="0" ref="B81">
      <text>
        <t xml:space="preserve">350</t>
      </text>
    </comment>
    <comment authorId="0" ref="C81">
      <text>
        <t xml:space="preserve">350</t>
      </text>
    </comment>
    <comment authorId="0" ref="D81">
      <text>
        <t xml:space="preserve">350</t>
      </text>
    </comment>
    <comment authorId="0" ref="E81">
      <text>
        <t xml:space="preserve">350</t>
      </text>
    </comment>
    <comment authorId="0" ref="F81">
      <text>
        <t xml:space="preserve">350</t>
      </text>
    </comment>
    <comment authorId="0" ref="G81">
      <text>
        <t xml:space="preserve">350</t>
      </text>
    </comment>
    <comment authorId="0" ref="H81">
      <text>
        <t xml:space="preserve">350</t>
      </text>
    </comment>
    <comment authorId="0" ref="I81">
      <text>
        <t xml:space="preserve">350</t>
      </text>
    </comment>
    <comment authorId="0" ref="J81">
      <text>
        <t xml:space="preserve">350</t>
      </text>
    </comment>
    <comment authorId="0" ref="K81">
      <text>
        <t xml:space="preserve">350</t>
      </text>
    </comment>
    <comment authorId="0" ref="L81">
      <text>
        <t xml:space="preserve">350</t>
      </text>
    </comment>
    <comment authorId="0" ref="M81">
      <text>
        <t xml:space="preserve">350</t>
      </text>
    </comment>
    <comment authorId="0" ref="K93">
      <text>
        <t xml:space="preserve">$874.5 We Buy Cars sign</t>
      </text>
    </comment>
    <comment authorId="0" ref="K94">
      <text>
        <t xml:space="preserve">$180 Polin
$200 boxes
</t>
      </text>
    </comment>
    <comment authorId="0" ref="B103">
      <text>
        <t xml:space="preserve">$500 Other Group Digital </t>
      </text>
    </comment>
    <comment authorId="0" ref="C103">
      <text>
        <t xml:space="preserve">$500 Other Group Digital </t>
      </text>
    </comment>
    <comment authorId="0" ref="D103">
      <text>
        <t xml:space="preserve">$200 Other Group Digital 
$113.63 WJA sponsorship</t>
      </text>
    </comment>
    <comment authorId="0" ref="E103">
      <text>
        <t xml:space="preserve">$500 Other Group Digital </t>
      </text>
    </comment>
    <comment authorId="0" ref="F103">
      <text>
        <t xml:space="preserve">$500 Other Group Digital </t>
      </text>
    </comment>
    <comment authorId="0" ref="G103">
      <text>
        <t xml:space="preserve">$605 Other Group Digital </t>
      </text>
    </comment>
    <comment authorId="0" ref="H103">
      <text>
        <t xml:space="preserve">$605 Other Group Digital </t>
      </text>
    </comment>
    <comment authorId="0" ref="I103">
      <text>
        <t xml:space="preserve">$500 Other Group Digital </t>
      </text>
    </comment>
    <comment authorId="0" ref="J103">
      <text>
        <t xml:space="preserve">$500 Other Group Digital </t>
      </text>
    </comment>
    <comment authorId="0" ref="K103">
      <text>
        <t xml:space="preserve">$500 Other Group Digital </t>
      </text>
    </comment>
    <comment authorId="0" ref="L103">
      <text>
        <t xml:space="preserve">$500 Other Group Digital </t>
      </text>
    </comment>
    <comment authorId="0" ref="M103">
      <text>
        <t xml:space="preserve">$500 Other Group Digital </t>
      </text>
    </comment>
    <comment authorId="0" ref="B115">
      <text>
        <t xml:space="preserve">$1,095 Easy Care
</t>
      </text>
    </comment>
    <comment authorId="0" ref="C115">
      <text>
        <t xml:space="preserve">$1,095 Easy Care
</t>
      </text>
    </comment>
    <comment authorId="0" ref="D115">
      <text>
        <t xml:space="preserve">$1,095 Easy Care
</t>
      </text>
    </comment>
    <comment authorId="0" ref="E115">
      <text>
        <t xml:space="preserve">$1,095 Easy Care
</t>
      </text>
    </comment>
    <comment authorId="0" ref="F115">
      <text>
        <t xml:space="preserve">$1,095 Easy Care
</t>
      </text>
    </comment>
    <comment authorId="0" ref="G115">
      <text>
        <t xml:space="preserve">$1,095 Easy Care
</t>
      </text>
    </comment>
    <comment authorId="0" ref="H115">
      <text>
        <t xml:space="preserve">$1,095 Easy Care
</t>
      </text>
    </comment>
    <comment authorId="0" ref="I115">
      <text>
        <t xml:space="preserve">$1,095 Easy Care
</t>
      </text>
    </comment>
    <comment authorId="0" ref="J115">
      <text>
        <t xml:space="preserve">$1,095 Easy Care
</t>
      </text>
    </comment>
    <comment authorId="0" ref="K115">
      <text>
        <t xml:space="preserve">$1,095 Easy Care
</t>
      </text>
    </comment>
    <comment authorId="0" ref="L115">
      <text>
        <t xml:space="preserve">$1,095 Easy Care
</t>
      </text>
    </comment>
    <comment authorId="0" ref="M115">
      <text>
        <t xml:space="preserve">$1,095 Easy Care
</t>
      </text>
    </comment>
    <comment authorId="0" ref="B117">
      <text>
        <t xml:space="preserve">1250 trigger mail
$2,266.10 quarterly mailer
</t>
      </text>
    </comment>
    <comment authorId="0" ref="C117">
      <text>
        <t xml:space="preserve">1250 trigger mail
</t>
      </text>
    </comment>
    <comment authorId="0" ref="D117">
      <text>
        <t xml:space="preserve">1250 trigger mail
</t>
      </text>
    </comment>
    <comment authorId="0" ref="E117">
      <text>
        <t xml:space="preserve">1250 trigger mail
$2,266.10 quarterly mailer
</t>
      </text>
    </comment>
    <comment authorId="0" ref="F117">
      <text>
        <t xml:space="preserve">1250 trigger mail
</t>
      </text>
    </comment>
    <comment authorId="0" ref="G117">
      <text>
        <t xml:space="preserve">1250 trigger mail
</t>
      </text>
    </comment>
    <comment authorId="0" ref="H117">
      <text>
        <t xml:space="preserve">1250 trigger mail
$2,266.10 quarterly mailer
</t>
      </text>
    </comment>
    <comment authorId="0" ref="I117">
      <text>
        <t xml:space="preserve">1250 trigger mail
</t>
      </text>
    </comment>
    <comment authorId="0" ref="J117">
      <text>
        <t xml:space="preserve">1250 trigger mail
</t>
      </text>
    </comment>
    <comment authorId="0" ref="K117">
      <text>
        <t xml:space="preserve">1250 trigger mail
2,274.16 Q3 recovery mailer</t>
      </text>
    </comment>
    <comment authorId="0" ref="L117">
      <text>
        <t xml:space="preserve">1250 trigger mail
</t>
      </text>
    </comment>
    <comment authorId="0" ref="M117">
      <text>
        <t xml:space="preserve">1250 trigger mail
</t>
      </text>
    </comment>
    <comment authorId="0" ref="B118">
      <text>
        <t xml:space="preserve">NOW: 450.80
WAS: 644 Fixed Ops SEM Campaign
</t>
      </text>
    </comment>
    <comment authorId="0" ref="C118">
      <text>
        <t xml:space="preserve">NOW: 450.80
WAS: 644 Fixed Ops SEM Campaign
</t>
      </text>
    </comment>
    <comment authorId="0" ref="D118">
      <text>
        <t xml:space="preserve">NOW: 450.80
WAS: 644 Fixed Ops SEM Campaign
</t>
      </text>
    </comment>
    <comment authorId="0" ref="E118">
      <text>
        <t xml:space="preserve">NOW: 450.80
WAS: 644 Fixed Ops SEM Campaign
</t>
      </text>
    </comment>
    <comment authorId="0" ref="F118">
      <text>
        <t xml:space="preserve">NOW: 450.80
WAS: 644 Fixed Ops SEM Campaign
</t>
      </text>
    </comment>
    <comment authorId="0" ref="G118">
      <text>
        <t xml:space="preserve">NOW: 450.80
WAS: 644 Fixed Ops SEM Campaign
</t>
      </text>
    </comment>
    <comment authorId="0" ref="H118">
      <text>
        <t xml:space="preserve">NOW: 450.80
WAS: 644 Fixed Ops SEM Campaign
</t>
      </text>
    </comment>
    <comment authorId="0" ref="I118">
      <text>
        <t xml:space="preserve">NOW: 450.80
WAS: 644 Fixed Ops SEM Campaign
</t>
      </text>
    </comment>
    <comment authorId="0" ref="J118">
      <text>
        <t xml:space="preserve">NOW: 450.80
WAS: 644 Fixed Ops SEM Campaign
</t>
      </text>
    </comment>
    <comment authorId="0" ref="K118">
      <text>
        <t xml:space="preserve">NOW: 450.80
WAS: 644 Fixed Ops SEM Campaign
</t>
      </text>
    </comment>
    <comment authorId="0" ref="L118">
      <text>
        <t xml:space="preserve">NOW: 450.80
WAS: 644 Fixed Ops SEM Campaign
</t>
      </text>
    </comment>
    <comment authorId="0" ref="M118">
      <text>
        <t xml:space="preserve">NOW: 450.80
WAS: 644 Fixed Ops SEM Campaign
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4">
      <text>
        <t xml:space="preserve">website $1350.24
Sheehy.com 61.90
850 AAG (SEO)
</t>
      </text>
    </comment>
    <comment authorId="0" ref="C34">
      <text>
        <t xml:space="preserve">website $1350.24
Sheehy.com 61.90
850 AAG (SEO)
</t>
      </text>
    </comment>
    <comment authorId="0" ref="D34">
      <text>
        <t xml:space="preserve">website $1350.24
Sheehy.com 61.90
850 AAG (SEO)
</t>
      </text>
    </comment>
    <comment authorId="0" ref="E34">
      <text>
        <t xml:space="preserve">website $1350.24
Sheehy.com 61.90
850 AAG (SEO)
</t>
      </text>
    </comment>
    <comment authorId="0" ref="F34">
      <text>
        <t xml:space="preserve">website $1350.24
Sheehy.com 61.90
850 AAG (SEO)
</t>
      </text>
    </comment>
    <comment authorId="0" ref="G34">
      <text>
        <t xml:space="preserve">website $1350.24
Sheehy.com 61.90
850 AAG (SEO)
</t>
      </text>
    </comment>
    <comment authorId="0" ref="H34">
      <text>
        <t xml:space="preserve">website $1350.24
Sheehy.com 61.90
850 AAG (SEO)
</t>
      </text>
    </comment>
    <comment authorId="0" ref="I34">
      <text>
        <t xml:space="preserve">website $1350.24
Sheehy.com 61.90
850 AAG (SEO)
</t>
      </text>
    </comment>
    <comment authorId="0" ref="J34">
      <text>
        <t xml:space="preserve">website $1350.24
Sheehy.com 61.90
850 AAG (SEO)
</t>
      </text>
    </comment>
    <comment authorId="0" ref="K34">
      <text>
        <t xml:space="preserve">website $1350.24
Sheehy.com 61.90
850 AAG (SEO)
</t>
      </text>
    </comment>
    <comment authorId="0" ref="L34">
      <text>
        <t xml:space="preserve">website $1350.24
Sheehy.com 61.90
850 AAG (SEO)
</t>
      </text>
    </comment>
    <comment authorId="0" ref="M34">
      <text>
        <t xml:space="preserve">website $1350.24
Sheehy.com 61.90
850 AAG (SEO)
</t>
      </text>
    </comment>
    <comment authorId="0" ref="B42">
      <text>
        <t xml:space="preserve">365 switched to car chat 24
</t>
      </text>
    </comment>
    <comment authorId="0" ref="C42">
      <text>
        <t xml:space="preserve">365 switched to car chat 24
</t>
      </text>
    </comment>
    <comment authorId="0" ref="D42">
      <text>
        <t xml:space="preserve">365 switched to car chat 24
</t>
      </text>
    </comment>
    <comment authorId="0" ref="E42">
      <text>
        <t xml:space="preserve">365 switched to car chat 24
</t>
      </text>
    </comment>
    <comment authorId="0" ref="F42">
      <text>
        <t xml:space="preserve">365 switched to car chat 24
</t>
      </text>
    </comment>
    <comment authorId="0" ref="G42">
      <text>
        <t xml:space="preserve">365 switched to car chat 24
</t>
      </text>
    </comment>
    <comment authorId="0" ref="H42">
      <text>
        <t xml:space="preserve">365 switched to car chat 24
</t>
      </text>
    </comment>
    <comment authorId="0" ref="I42">
      <text>
        <t xml:space="preserve">365 switched to car chat 24
</t>
      </text>
    </comment>
    <comment authorId="0" ref="J42">
      <text>
        <t xml:space="preserve">365 switched to car chat 24
</t>
      </text>
    </comment>
    <comment authorId="0" ref="K42">
      <text>
        <t xml:space="preserve">365 switched to car chat 24
</t>
      </text>
    </comment>
    <comment authorId="0" ref="L42">
      <text>
        <t xml:space="preserve">365 switched to car chat 24
</t>
      </text>
    </comment>
    <comment authorId="0" ref="M42">
      <text>
        <t xml:space="preserve">365 switched to car chat 24
</t>
      </text>
    </comment>
    <comment authorId="0" ref="B44">
      <text>
        <t xml:space="preserve">249 DDC offplatform finance driver
</t>
      </text>
    </comment>
    <comment authorId="0" ref="C44">
      <text>
        <t xml:space="preserve">249 DDC offplatform finance driver
</t>
      </text>
    </comment>
    <comment authorId="0" ref="D44">
      <text>
        <t xml:space="preserve">249 DDC offplatform finance driver
</t>
      </text>
    </comment>
    <comment authorId="0" ref="E44">
      <text>
        <t xml:space="preserve">249 DDC offplatform finance driver
</t>
      </text>
    </comment>
    <comment authorId="0" ref="F44">
      <text>
        <t xml:space="preserve">249 DDC offplatform finance driver
</t>
      </text>
    </comment>
    <comment authorId="0" ref="G44">
      <text>
        <t xml:space="preserve">249 DDC offplatform finance driver
</t>
      </text>
    </comment>
    <comment authorId="0" ref="H44">
      <text>
        <t xml:space="preserve">249 DDC offplatform finance driver
</t>
      </text>
    </comment>
    <comment authorId="0" ref="I44">
      <text>
        <t xml:space="preserve">249 DDC offplatform finance driver
</t>
      </text>
    </comment>
    <comment authorId="0" ref="J44">
      <text>
        <t xml:space="preserve">249 DDC offplatform finance driver
</t>
      </text>
    </comment>
    <comment authorId="0" ref="K44">
      <text>
        <t xml:space="preserve">249 DDC offplatform finance driver
</t>
      </text>
    </comment>
    <comment authorId="0" ref="L44">
      <text>
        <t xml:space="preserve">249 DDC offplatform finance driver
</t>
      </text>
    </comment>
    <comment authorId="0" ref="M44">
      <text>
        <t xml:space="preserve">249 DDC offplatform finance driver
</t>
      </text>
    </comment>
    <comment authorId="0" ref="B45">
      <text>
        <t xml:space="preserve">45 Yelp 
97.5 Reputation.com</t>
      </text>
    </comment>
    <comment authorId="0" ref="C45">
      <text>
        <t xml:space="preserve">45 Yelp 
97.5 Reputation.com</t>
      </text>
    </comment>
    <comment authorId="0" ref="D45">
      <text>
        <t xml:space="preserve">45 Yelp 
97.5 Reputation.com</t>
      </text>
    </comment>
    <comment authorId="0" ref="E45">
      <text>
        <t xml:space="preserve">45 Yelp 
97.5 Reputation.com</t>
      </text>
    </comment>
    <comment authorId="0" ref="F45">
      <text>
        <t xml:space="preserve">45 Yelp 
97.5 Reputation.com</t>
      </text>
    </comment>
    <comment authorId="0" ref="G45">
      <text>
        <t xml:space="preserve">45 Yelp 
97.5 Reputation.com</t>
      </text>
    </comment>
    <comment authorId="0" ref="H45">
      <text>
        <t xml:space="preserve">45 Yelp 
97.5 Reputation.com</t>
      </text>
    </comment>
    <comment authorId="0" ref="I45">
      <text>
        <t xml:space="preserve">45 Yelp 
97.5 Reputation.com</t>
      </text>
    </comment>
    <comment authorId="0" ref="J45">
      <text>
        <t xml:space="preserve">45 Yelp 
97.5 Reputation.com</t>
      </text>
    </comment>
    <comment authorId="0" ref="K45">
      <text>
        <t xml:space="preserve">45 Yelp 
97.5 Reputation.com</t>
      </text>
    </comment>
    <comment authorId="0" ref="L45">
      <text>
        <t xml:space="preserve">45 Yelp 
97.5 Reputation.com</t>
      </text>
    </comment>
    <comment authorId="0" ref="M45">
      <text>
        <t xml:space="preserve">45 Yelp 
97.5 Reputation.com</t>
      </text>
    </comment>
    <comment authorId="0" ref="B47">
      <text>
        <t xml:space="preserve">850 alli
+30 Alli boosted campaigns
750 autoleadstar
2250 autoleadstar spend
</t>
      </text>
    </comment>
    <comment authorId="0" ref="C47">
      <text>
        <t xml:space="preserve">850 alli
+30 Alli boosted campaigns
750 autoleadstar
2250 autoleadstar spend
</t>
      </text>
    </comment>
    <comment authorId="0" ref="D47">
      <text>
        <t xml:space="preserve">850 alli
+30 Alli boosted campaigns
750 autoleadstar
2250 autoleadstar spend
</t>
      </text>
    </comment>
    <comment authorId="0" ref="E47">
      <text>
        <t xml:space="preserve">850 alli
+30 Alli boosted campaigns
750 autoleadstar
2250 autoleadstar spend
</t>
      </text>
    </comment>
    <comment authorId="0" ref="F47">
      <text>
        <t xml:space="preserve">850 alli
+30 Alli boosted campaigns
750 autoleadstar
2250 autoleadstar spend
</t>
      </text>
    </comment>
    <comment authorId="0" ref="G47">
      <text>
        <t xml:space="preserve">850 alli
+30 Alli boosted campaigns
750 autoleadstar
2250 autoleadstar spend
</t>
      </text>
    </comment>
    <comment authorId="0" ref="H47">
      <text>
        <t xml:space="preserve">850 alli
+30 Alli boosted campaigns
750 autoleadstar
2250 autoleadstar spend
</t>
      </text>
    </comment>
    <comment authorId="0" ref="I47">
      <text>
        <t xml:space="preserve">850 alli
+30 Alli boosted campaigns
750 autoleadstar
2250 autoleadstar spend
</t>
      </text>
    </comment>
    <comment authorId="0" ref="J47">
      <text>
        <t xml:space="preserve">850 alli
+30 Alli boosted campaigns
750 autoleadstar
2250 autoleadstar spend
</t>
      </text>
    </comment>
    <comment authorId="0" ref="K47">
      <text>
        <t xml:space="preserve">850 alli
+30 Alli boosted campaigns
750 autoleadstar
2250 autoleadstar spend
</t>
      </text>
    </comment>
    <comment authorId="0" ref="L47">
      <text>
        <t xml:space="preserve">850 alli
+30 Alli boosted campaigns
750 autoleadstar
2250 autoleadstar spend
</t>
      </text>
    </comment>
    <comment authorId="0" ref="M47">
      <text>
        <t xml:space="preserve">850 alli
+30 Alli boosted campaigns
750 autoleadstar
2250 autoleadstar spend
</t>
      </text>
    </comment>
    <comment authorId="0" ref="B48">
      <text>
        <t xml:space="preserve">480.07 PERQ
55.66 Sheehy.com
80 we buy cars</t>
      </text>
    </comment>
    <comment authorId="0" ref="C48">
      <text>
        <t xml:space="preserve">480.07 PERQ
55.66 Sheehy.com
80 we buy cars</t>
      </text>
    </comment>
    <comment authorId="0" ref="D48">
      <text>
        <t xml:space="preserve">480.07 PERQ
55.66 Sheehy.com
80 we buy cars</t>
      </text>
    </comment>
    <comment authorId="0" ref="E48">
      <text>
        <t xml:space="preserve">480.07 PERQ
55.66 Sheehy.com
80 we buy cars</t>
      </text>
    </comment>
    <comment authorId="0" ref="F48">
      <text>
        <t xml:space="preserve">480.07 PERQ
55.66 Sheehy.com
80 we buy cars</t>
      </text>
    </comment>
    <comment authorId="0" ref="G48">
      <text>
        <t xml:space="preserve">480.07 PERQ
55.66 Sheehy.com
80 we buy cars</t>
      </text>
    </comment>
    <comment authorId="0" ref="H48">
      <text>
        <t xml:space="preserve">480.07 PERQ
55.66 Sheehy.com
80 we buy cars</t>
      </text>
    </comment>
    <comment authorId="0" ref="I48">
      <text>
        <t xml:space="preserve">480.07 PERQ
55.66 Sheehy.com
80 we buy cars</t>
      </text>
    </comment>
    <comment authorId="0" ref="J48">
      <text>
        <t xml:space="preserve">480.07 PERQ
55.66 Sheehy.com
80 we buy cars</t>
      </text>
    </comment>
    <comment authorId="0" ref="K48">
      <text>
        <t xml:space="preserve">480.07 PERQ
55.66 Sheehy.com
80 we buy cars</t>
      </text>
    </comment>
    <comment authorId="0" ref="L48">
      <text>
        <t xml:space="preserve">480.07 PERQ
55.66 Sheehy.com
80 we buy cars</t>
      </text>
    </comment>
    <comment authorId="0" ref="M48">
      <text>
        <t xml:space="preserve">480.07 PERQ
55.66 Sheehy.com
80 we buy cars</t>
      </text>
    </comment>
    <comment authorId="0" ref="B54">
      <text>
        <t xml:space="preserve">Nissan OEM EOM Email program
Capped at $1000
Billed to parts statement </t>
      </text>
    </comment>
    <comment authorId="0" ref="C54">
      <text>
        <t xml:space="preserve">pres day email with oem </t>
      </text>
    </comment>
    <comment authorId="0" ref="E54">
      <text>
        <t xml:space="preserve">Nissan OEM EOM Email program
Capped at $1000
Billed to parts statement </t>
      </text>
    </comment>
    <comment authorId="0" ref="G54">
      <text>
        <t xml:space="preserve">$600 private offer digital plus up billed on OEM parts statement in June</t>
      </text>
    </comment>
    <comment authorId="0" ref="H54">
      <text>
        <t xml:space="preserve">Nissan OEM EOM Email program
Capped at $1000
Billed to parts statement </t>
      </text>
    </comment>
    <comment authorId="0" ref="K54">
      <text>
        <t xml:space="preserve">Nissan OEM EOM Email program
Capped at $1000
Billed to parts statement </t>
      </text>
    </comment>
    <comment authorId="0" ref="B55">
      <text>
        <t xml:space="preserve">includes trade/reach and subscription</t>
      </text>
    </comment>
    <comment authorId="0" ref="C55">
      <text>
        <t xml:space="preserve">includes trade/reach and subscription</t>
      </text>
    </comment>
    <comment authorId="0" ref="D55">
      <text>
        <t xml:space="preserve">includes trade/reach and subscription</t>
      </text>
    </comment>
    <comment authorId="0" ref="E55">
      <text>
        <t xml:space="preserve">includes trade/reach and subscription</t>
      </text>
    </comment>
    <comment authorId="0" ref="F55">
      <text>
        <t xml:space="preserve">includes trade/reach and subscription</t>
      </text>
    </comment>
    <comment authorId="0" ref="G55">
      <text>
        <t xml:space="preserve">includes trade/reach and subscription</t>
      </text>
    </comment>
    <comment authorId="0" ref="H55">
      <text>
        <t xml:space="preserve">includes trade/reach and subscription</t>
      </text>
    </comment>
    <comment authorId="0" ref="I55">
      <text>
        <t xml:space="preserve">includes trade/reach and subscription</t>
      </text>
    </comment>
    <comment authorId="0" ref="J55">
      <text>
        <t xml:space="preserve">includes trade/reach and subscription</t>
      </text>
    </comment>
    <comment authorId="0" ref="K55">
      <text>
        <t xml:space="preserve">includes trade/reach and subscription</t>
      </text>
    </comment>
    <comment authorId="0" ref="L55">
      <text>
        <t xml:space="preserve">includes trade/reach and subscription</t>
      </text>
    </comment>
    <comment authorId="0" ref="M55">
      <text>
        <t xml:space="preserve">includes trade/reach and subscription</t>
      </text>
    </comment>
    <comment authorId="0" ref="B56">
      <text>
        <t xml:space="preserve">399 Trade tool with Purecars
351 mgmt fee
57 Data Management fee</t>
      </text>
    </comment>
    <comment authorId="0" ref="C56">
      <text>
        <t xml:space="preserve">399 Trade tool with Purecars
351 mgmt fee
57 Data Management fee</t>
      </text>
    </comment>
    <comment authorId="0" ref="D56">
      <text>
        <t xml:space="preserve">399 Trade tool with Purecars
351 mgmt fee
57 Data Management fee</t>
      </text>
    </comment>
    <comment authorId="0" ref="E56">
      <text>
        <t xml:space="preserve">399 Trade tool with Purecars
351 mgmt fee
57 Data Management fee</t>
      </text>
    </comment>
    <comment authorId="0" ref="F56">
      <text>
        <t xml:space="preserve">399 Trade tool with Purecars
351 mgmt fee
57 Data Management fee</t>
      </text>
    </comment>
    <comment authorId="0" ref="G56">
      <text>
        <t xml:space="preserve">399 Trade tool with Purecars
351 mgmt fee
57 Data Management fee</t>
      </text>
    </comment>
    <comment authorId="0" ref="H56">
      <text>
        <t xml:space="preserve">399 Trade tool with Purecars
351 mgmt fee
57 Data Management fee</t>
      </text>
    </comment>
    <comment authorId="0" ref="I56">
      <text>
        <t xml:space="preserve">399 Trade tool with Purecars
351 mgmt fee
57 Data Management fee</t>
      </text>
    </comment>
    <comment authorId="0" ref="J56">
      <text>
        <t xml:space="preserve">399 Trade tool with Purecars
351 mgmt fee
57 Data Management fee</t>
      </text>
    </comment>
    <comment authorId="0" ref="K56">
      <text>
        <t xml:space="preserve">399 Trade tool with Purecars
351 mgmt fee
57 Data Management fee</t>
      </text>
    </comment>
    <comment authorId="0" ref="L56">
      <text>
        <t xml:space="preserve">399 Trade tool with Purecars
351 mgmt fee
57 Data Management fee</t>
      </text>
    </comment>
    <comment authorId="0" ref="M56">
      <text>
        <t xml:space="preserve">399 Trade tool with Purecars
351 mgmt fee
57 Data Management fee</t>
      </text>
    </comment>
    <comment authorId="0" ref="B59">
      <text>
        <t xml:space="preserve">850 NEW
850 USED
1700 TOTAL 
</t>
      </text>
    </comment>
    <comment authorId="0" ref="C59">
      <text>
        <t xml:space="preserve">850 NEW
850 USED
1700 TOTAL 
</t>
      </text>
    </comment>
    <comment authorId="0" ref="D59">
      <text>
        <t xml:space="preserve">850 NEW
850 USED
1700 TOTAL 
</t>
      </text>
    </comment>
    <comment authorId="0" ref="E59">
      <text>
        <t xml:space="preserve">850 NEW
850 USED
1700 TOTAL 
</t>
      </text>
    </comment>
    <comment authorId="0" ref="F59">
      <text>
        <t xml:space="preserve">850 NEW
850 USED
1700 TOTAL 
</t>
      </text>
    </comment>
    <comment authorId="0" ref="G59">
      <text>
        <t xml:space="preserve">850 NEW
850 USED
1700 TOTAL 
</t>
      </text>
    </comment>
    <comment authorId="0" ref="H59">
      <text>
        <t xml:space="preserve">850 NEW
850 USED
1700 TOTAL 
</t>
      </text>
    </comment>
    <comment authorId="0" ref="I59">
      <text>
        <t xml:space="preserve">850 NEW
850 USED
1700 TOTAL 
</t>
      </text>
    </comment>
    <comment authorId="0" ref="J59">
      <text>
        <t xml:space="preserve">850 NEW
850 USED
1700 TOTAL 
</t>
      </text>
    </comment>
    <comment authorId="0" ref="K59">
      <text>
        <t xml:space="preserve">850 NEW
850 USED
1700 TOTAL 
</t>
      </text>
    </comment>
    <comment authorId="0" ref="L59">
      <text>
        <t xml:space="preserve">850 NEW
850 USED
1700 TOTAL 
</t>
      </text>
    </comment>
    <comment authorId="0" ref="M59">
      <text>
        <t xml:space="preserve">850 NEW
850 USED
1700 TOTAL 
</t>
      </text>
    </comment>
    <comment authorId="0" ref="B63">
      <text>
        <t xml:space="preserve">12500</t>
      </text>
    </comment>
    <comment authorId="0" ref="C63">
      <text>
        <t xml:space="preserve">12500</t>
      </text>
    </comment>
    <comment authorId="0" ref="D63">
      <text>
        <t xml:space="preserve">12500</t>
      </text>
    </comment>
    <comment authorId="0" ref="E63">
      <text>
        <t xml:space="preserve">12500</t>
      </text>
    </comment>
    <comment authorId="0" ref="F63">
      <text>
        <t xml:space="preserve">12500</t>
      </text>
    </comment>
    <comment authorId="0" ref="G63">
      <text>
        <t xml:space="preserve">12500</t>
      </text>
    </comment>
    <comment authorId="0" ref="H63">
      <text>
        <t xml:space="preserve">12500</t>
      </text>
    </comment>
    <comment authorId="0" ref="I63">
      <text>
        <t xml:space="preserve">12500</t>
      </text>
    </comment>
    <comment authorId="0" ref="J63">
      <text>
        <t xml:space="preserve">12500</t>
      </text>
    </comment>
    <comment authorId="0" ref="K63">
      <text>
        <t xml:space="preserve">12500</t>
      </text>
    </comment>
    <comment authorId="0" ref="L63">
      <text>
        <t xml:space="preserve">12500</t>
      </text>
    </comment>
    <comment authorId="0" ref="M63">
      <text>
        <t xml:space="preserve">12500</t>
      </text>
    </comment>
    <comment authorId="0" ref="B72">
      <text>
        <t xml:space="preserve">TBD
</t>
      </text>
    </comment>
    <comment authorId="0" ref="C72">
      <text>
        <t xml:space="preserve">TBD
</t>
      </text>
    </comment>
    <comment authorId="0" ref="D72">
      <text>
        <t xml:space="preserve">TBD
</t>
      </text>
    </comment>
    <comment authorId="0" ref="E72">
      <text>
        <t xml:space="preserve">TBD
</t>
      </text>
    </comment>
    <comment authorId="0" ref="F72">
      <text>
        <t xml:space="preserve">TBD
</t>
      </text>
    </comment>
    <comment authorId="0" ref="G72">
      <text>
        <t xml:space="preserve">TBD
</t>
      </text>
    </comment>
    <comment authorId="0" ref="H72">
      <text>
        <t xml:space="preserve">TBD
</t>
      </text>
    </comment>
    <comment authorId="0" ref="I72">
      <text>
        <t xml:space="preserve">TBD
</t>
      </text>
    </comment>
    <comment authorId="0" ref="J72">
      <text>
        <t xml:space="preserve">TBD
</t>
      </text>
    </comment>
    <comment authorId="0" ref="K72">
      <text>
        <t xml:space="preserve">TBD
</t>
      </text>
    </comment>
    <comment authorId="0" ref="L72">
      <text>
        <t xml:space="preserve">TBD
</t>
      </text>
    </comment>
    <comment authorId="0" ref="M72">
      <text>
        <t xml:space="preserve">TBD
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B74">
      <text>
        <t xml:space="preserve">850 NEW
850 USED
1700 TOTAL 
</t>
      </text>
    </comment>
    <comment authorId="0" ref="C74">
      <text>
        <t xml:space="preserve">850 NEW
850 USED
1700 TOTAL 
</t>
      </text>
    </comment>
    <comment authorId="0" ref="D74">
      <text>
        <t xml:space="preserve">850 NEW
850 USED
1700 TOTAL 
</t>
      </text>
    </comment>
    <comment authorId="0" ref="E74">
      <text>
        <t xml:space="preserve">850 NEW
850 USED
1700 TOTAL 
</t>
      </text>
    </comment>
    <comment authorId="0" ref="F74">
      <text>
        <t xml:space="preserve">850 NEW
850 USED
1700 TOTAL 
</t>
      </text>
    </comment>
    <comment authorId="0" ref="G74">
      <text>
        <t xml:space="preserve">850 NEW
850 USED
1700 TOTAL 
</t>
      </text>
    </comment>
    <comment authorId="0" ref="H74">
      <text>
        <t xml:space="preserve">850 NEW
850 USED
1700 TOTAL 
</t>
      </text>
    </comment>
    <comment authorId="0" ref="I74">
      <text>
        <t xml:space="preserve">850 NEW
850 USED
1700 TOTAL 
</t>
      </text>
    </comment>
    <comment authorId="0" ref="J74">
      <text>
        <t xml:space="preserve">850 NEW
850 USED
1700 TOTAL 
</t>
      </text>
    </comment>
    <comment authorId="0" ref="K74">
      <text>
        <t xml:space="preserve">850 NEW
850 USED
1700 TOTAL 
</t>
      </text>
    </comment>
    <comment authorId="0" ref="L74">
      <text>
        <t xml:space="preserve">850 NEW
850 USED
1700 TOTAL 
</t>
      </text>
    </comment>
    <comment authorId="0" ref="M74">
      <text>
        <t xml:space="preserve">850 NEW
850 USED
1700 TOTAL 
</t>
      </text>
    </comment>
    <comment authorId="0" ref="B80">
      <text>
        <t xml:space="preserve">1050 enhanced </t>
      </text>
    </comment>
    <comment authorId="0" ref="C80">
      <text>
        <t xml:space="preserve">1050 enhanced </t>
      </text>
    </comment>
    <comment authorId="0" ref="D80">
      <text>
        <t xml:space="preserve">1050 enhanced </t>
      </text>
    </comment>
    <comment authorId="0" ref="E80">
      <text>
        <t xml:space="preserve">1050 enhanced </t>
      </text>
    </comment>
    <comment authorId="0" ref="F80">
      <text>
        <t xml:space="preserve">1050 enhanced </t>
      </text>
    </comment>
    <comment authorId="0" ref="G80">
      <text>
        <t xml:space="preserve">1050 enhanced </t>
      </text>
    </comment>
    <comment authorId="0" ref="H80">
      <text>
        <t xml:space="preserve">1050 enhanced </t>
      </text>
    </comment>
    <comment authorId="0" ref="I80">
      <text>
        <t xml:space="preserve">1050 enhanced </t>
      </text>
    </comment>
    <comment authorId="0" ref="J80">
      <text>
        <t xml:space="preserve">1050 enhanced </t>
      </text>
    </comment>
    <comment authorId="0" ref="K80">
      <text>
        <t xml:space="preserve">1050 enhanced </t>
      </text>
    </comment>
    <comment authorId="0" ref="L80">
      <text>
        <t xml:space="preserve">1050 enhanced </t>
      </text>
    </comment>
    <comment authorId="0" ref="M80">
      <text>
        <t xml:space="preserve">1050 enhanced </t>
      </text>
    </comment>
    <comment authorId="0" ref="F93">
      <text>
        <t xml:space="preserve">$415 8 car magnets (HBP)</t>
      </text>
    </comment>
    <comment authorId="0" ref="G93">
      <text>
        <t xml:space="preserve">$260.25 vehicle wrap/magnets</t>
      </text>
    </comment>
    <comment authorId="0" ref="K93">
      <text>
        <t xml:space="preserve">$300 We're hiring stickers
2,900 We Buy Cars Signage</t>
      </text>
    </comment>
    <comment authorId="0" ref="K94">
      <text>
        <t xml:space="preserve">$180 Polin
$200 boxes
</t>
      </text>
    </comment>
    <comment authorId="0" ref="K99">
      <text>
        <t xml:space="preserve">$5,250 Fields of Fire sponsorship final payment
</t>
      </text>
    </comment>
    <comment authorId="0" ref="B103">
      <text>
        <t xml:space="preserve">$500 Other Group Digital </t>
      </text>
    </comment>
    <comment authorId="0" ref="C103">
      <text>
        <t xml:space="preserve">$500 Other Group Digital </t>
      </text>
    </comment>
    <comment authorId="0" ref="D103">
      <text>
        <t xml:space="preserve">$200 Other Group Digital 
$113.63 WJA sponsorship</t>
      </text>
    </comment>
    <comment authorId="0" ref="E103">
      <text>
        <t xml:space="preserve">$500 Other Group Digital </t>
      </text>
    </comment>
    <comment authorId="0" ref="F103">
      <text>
        <t xml:space="preserve">$500 Other Group Digital </t>
      </text>
    </comment>
    <comment authorId="0" ref="G103">
      <text>
        <t xml:space="preserve">$605 Other Group Digital </t>
      </text>
    </comment>
    <comment authorId="0" ref="H103">
      <text>
        <t xml:space="preserve">$605 Other Group Digital </t>
      </text>
    </comment>
    <comment authorId="0" ref="I103">
      <text>
        <t xml:space="preserve">$500 Other Group Digital </t>
      </text>
    </comment>
    <comment authorId="0" ref="J103">
      <text>
        <t xml:space="preserve">$500 Other Group Digital </t>
      </text>
    </comment>
    <comment authorId="0" ref="K103">
      <text>
        <t xml:space="preserve">$500 Other Group Digital </t>
      </text>
    </comment>
    <comment authorId="0" ref="L103">
      <text>
        <t xml:space="preserve">$500 Other Group Digital </t>
      </text>
    </comment>
    <comment authorId="0" ref="M103">
      <text>
        <t xml:space="preserve">$500 Other Group Digital </t>
      </text>
    </comment>
    <comment authorId="0" ref="B115">
      <text>
        <t xml:space="preserve">$1095 Easy Care
</t>
      </text>
    </comment>
    <comment authorId="0" ref="C115">
      <text>
        <t xml:space="preserve">$1095 Easy Care
</t>
      </text>
    </comment>
    <comment authorId="0" ref="D115">
      <text>
        <t xml:space="preserve">$1095 Easy Care
</t>
      </text>
    </comment>
    <comment authorId="0" ref="E115">
      <text>
        <t xml:space="preserve">$1095 Easy Care
</t>
      </text>
    </comment>
    <comment authorId="0" ref="F115">
      <text>
        <t xml:space="preserve">$1095 Easy Care
</t>
      </text>
    </comment>
    <comment authorId="0" ref="G115">
      <text>
        <t xml:space="preserve">$1095 Easy Care
</t>
      </text>
    </comment>
    <comment authorId="0" ref="H115">
      <text>
        <t xml:space="preserve">$1095 Easy Care
</t>
      </text>
    </comment>
    <comment authorId="0" ref="I115">
      <text>
        <t xml:space="preserve">$1095 Easy Care
</t>
      </text>
    </comment>
    <comment authorId="0" ref="J115">
      <text>
        <t xml:space="preserve">$1095 Easy Care
</t>
      </text>
    </comment>
    <comment authorId="0" ref="K115">
      <text>
        <t xml:space="preserve">$1095 Easy Care
</t>
      </text>
    </comment>
    <comment authorId="0" ref="L115">
      <text>
        <t xml:space="preserve">$1095 Easy Care
</t>
      </text>
    </comment>
    <comment authorId="0" ref="M115">
      <text>
        <t xml:space="preserve">$1095 Easy Care
</t>
      </text>
    </comment>
    <comment authorId="0" ref="C116">
      <text>
        <t xml:space="preserve">Car Care Program for March-April 816.50 (2nd owner/orphans, lost)</t>
      </text>
    </comment>
    <comment authorId="0" ref="D116">
      <text>
        <t xml:space="preserve">Car Care Program for March-April 816.50 (2nd owner/orphans, lost)</t>
      </text>
    </comment>
    <comment authorId="0" ref="F116">
      <text>
        <t xml:space="preserve">Nissan OEM Road Trip Ready campaign on parts statement</t>
      </text>
    </comment>
    <comment authorId="0" ref="B117">
      <text>
        <t xml:space="preserve">500 trigger mail
$1,984.62 quarterly mailer</t>
      </text>
    </comment>
    <comment authorId="0" ref="C117">
      <text>
        <t xml:space="preserve">500 trigger mail
</t>
      </text>
    </comment>
    <comment authorId="0" ref="D117">
      <text>
        <t xml:space="preserve">500 trigger mail
</t>
      </text>
    </comment>
    <comment authorId="0" ref="E117">
      <text>
        <t xml:space="preserve">500 trigger mail
$1,984.62 quarterly mailer</t>
      </text>
    </comment>
    <comment authorId="0" ref="F117">
      <text>
        <t xml:space="preserve">500 trigger mail
</t>
      </text>
    </comment>
    <comment authorId="0" ref="G117">
      <text>
        <t xml:space="preserve">500 trigger mail
</t>
      </text>
    </comment>
    <comment authorId="0" ref="H117">
      <text>
        <t xml:space="preserve">500 trigger mail
$1,984.62 quarterly mailer</t>
      </text>
    </comment>
    <comment authorId="0" ref="I117">
      <text>
        <t xml:space="preserve">500 trigger mail
</t>
      </text>
    </comment>
    <comment authorId="0" ref="J117">
      <text>
        <t xml:space="preserve">500 trigger mail
</t>
      </text>
    </comment>
    <comment authorId="0" ref="K117">
      <text>
        <t xml:space="preserve">500 trigger mail
2,005.70 Q3 recovery mailer
</t>
      </text>
    </comment>
    <comment authorId="0" ref="L117">
      <text>
        <t xml:space="preserve">500 trigger mail
</t>
      </text>
    </comment>
    <comment authorId="0" ref="M117">
      <text>
        <t xml:space="preserve">500 trigger mail
</t>
      </text>
    </comment>
    <comment authorId="0" ref="B118">
      <text>
        <t xml:space="preserve">1000 fixed ops starting feb. 1</t>
      </text>
    </comment>
    <comment authorId="0" ref="C118">
      <text>
        <t xml:space="preserve">1000 fixed ops starting feb. 1</t>
      </text>
    </comment>
    <comment authorId="0" ref="D118">
      <text>
        <t xml:space="preserve">1000 fixed ops starting feb. 1</t>
      </text>
    </comment>
    <comment authorId="0" ref="E118">
      <text>
        <t xml:space="preserve">1000 fixed ops starting feb. 1</t>
      </text>
    </comment>
    <comment authorId="0" ref="F118">
      <text>
        <t xml:space="preserve">1000 fixed ops starting feb. 1</t>
      </text>
    </comment>
    <comment authorId="0" ref="G118">
      <text>
        <t xml:space="preserve">1000 fixed ops starting feb. 1</t>
      </text>
    </comment>
    <comment authorId="0" ref="H118">
      <text>
        <t xml:space="preserve">1000 fixed ops starting feb. 1</t>
      </text>
    </comment>
    <comment authorId="0" ref="I118">
      <text>
        <t xml:space="preserve">1000 fixed ops starting feb. 1</t>
      </text>
    </comment>
    <comment authorId="0" ref="J118">
      <text>
        <t xml:space="preserve">1000 fixed ops starting feb. 1</t>
      </text>
    </comment>
    <comment authorId="0" ref="K118">
      <text>
        <t xml:space="preserve">1000 fixed ops starting feb. 1</t>
      </text>
    </comment>
    <comment authorId="0" ref="L118">
      <text>
        <t xml:space="preserve">1000 fixed ops starting feb. 1</t>
      </text>
    </comment>
    <comment authorId="0" ref="M118">
      <text>
        <t xml:space="preserve">1000 fixed ops starting feb. 1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4">
      <text>
        <t xml:space="preserve">website $1,350.24
Sheehy.com 61.9
850 AAG (SEO)
</t>
      </text>
    </comment>
    <comment authorId="0" ref="C34">
      <text>
        <t xml:space="preserve">website $1,350.24
Sheehy.com 61.9
850 AAG (SEO)
</t>
      </text>
    </comment>
    <comment authorId="0" ref="D34">
      <text>
        <t xml:space="preserve">website $1,350.24
Sheehy.com 61.9
850 AAG (SEO)
</t>
      </text>
    </comment>
    <comment authorId="0" ref="E34">
      <text>
        <t xml:space="preserve">website $1,350.24
Sheehy.com 61.9
850 AAG (SEO)
</t>
      </text>
    </comment>
    <comment authorId="0" ref="F34">
      <text>
        <t xml:space="preserve">website $1,350.24
Sheehy.com 61.9
850 AAG (SEO)
</t>
      </text>
    </comment>
    <comment authorId="0" ref="G34">
      <text>
        <t xml:space="preserve">website $1,350.24
Sheehy.com 61.9
850 AAG (SEO)
</t>
      </text>
    </comment>
    <comment authorId="0" ref="H34">
      <text>
        <t xml:space="preserve">website $1,350.24
Sheehy.com 61.9
850 AAG (SEO)
</t>
      </text>
    </comment>
    <comment authorId="0" ref="I34">
      <text>
        <t xml:space="preserve">website $1,350.24
Sheehy.com 61.9
850 AAG (SEO)
</t>
      </text>
    </comment>
    <comment authorId="0" ref="J34">
      <text>
        <t xml:space="preserve">website $1,350.24
Sheehy.com 61.9
850 AAG (SEO)
</t>
      </text>
    </comment>
    <comment authorId="0" ref="K34">
      <text>
        <t xml:space="preserve">website $1,350.24
Sheehy.com 61.9
850 AAG (SEO)
</t>
      </text>
    </comment>
    <comment authorId="0" ref="L34">
      <text>
        <t xml:space="preserve">website $1,350.24
Sheehy.com 61.9
850 AAG (SEO)
</t>
      </text>
    </comment>
    <comment authorId="0" ref="M34">
      <text>
        <t xml:space="preserve">website $1,350.24
Sheehy.com 61.9
850 AAG (SEO)
</t>
      </text>
    </comment>
    <comment authorId="0" ref="E40">
      <text>
        <t xml:space="preserve">no billing april</t>
      </text>
    </comment>
    <comment authorId="0" ref="G40">
      <text>
        <t xml:space="preserve">submitted cancellation 6/9</t>
      </text>
    </comment>
    <comment authorId="0" ref="H40">
      <text>
        <t xml:space="preserve">4000 golddigger campaign </t>
      </text>
    </comment>
    <comment authorId="0" ref="B41">
      <text>
        <t xml:space="preserve">5530 automotive mastermind</t>
      </text>
    </comment>
    <comment authorId="0" ref="C41">
      <text>
        <t xml:space="preserve">5530 automotive mastermind</t>
      </text>
    </comment>
    <comment authorId="0" ref="D41">
      <text>
        <t xml:space="preserve">5530 automotive mastermind</t>
      </text>
    </comment>
    <comment authorId="0" ref="E41">
      <text>
        <t xml:space="preserve">5530 automotive mastermind</t>
      </text>
    </comment>
    <comment authorId="0" ref="F41">
      <text>
        <t xml:space="preserve">5530 automotive mastermind</t>
      </text>
    </comment>
    <comment authorId="0" ref="G41">
      <text>
        <t xml:space="preserve">5530 automotive mastermind</t>
      </text>
    </comment>
    <comment authorId="0" ref="H41">
      <text>
        <t xml:space="preserve">5530 automotive mastermind</t>
      </text>
    </comment>
    <comment authorId="0" ref="I41">
      <text>
        <t xml:space="preserve">5530 automotive mastermind</t>
      </text>
    </comment>
    <comment authorId="0" ref="J41">
      <text>
        <t xml:space="preserve">5530 automotive mastermind</t>
      </text>
    </comment>
    <comment authorId="0" ref="K41">
      <text>
        <t xml:space="preserve">5530 automotive mastermind</t>
      </text>
    </comment>
    <comment authorId="0" ref="L41">
      <text>
        <t xml:space="preserve">5530 automotive mastermind</t>
      </text>
    </comment>
    <comment authorId="0" ref="M41">
      <text>
        <t xml:space="preserve">5530 automotive mastermind</t>
      </text>
    </comment>
    <comment authorId="0" ref="B42">
      <text>
        <t xml:space="preserve">365 switched to car chat 24
</t>
      </text>
    </comment>
    <comment authorId="0" ref="C42">
      <text>
        <t xml:space="preserve">365 switched to car chat 24
</t>
      </text>
    </comment>
    <comment authorId="0" ref="D42">
      <text>
        <t xml:space="preserve">365 switched to car chat 24
</t>
      </text>
    </comment>
    <comment authorId="0" ref="E42">
      <text>
        <t xml:space="preserve">365 switched to car chat 24
</t>
      </text>
    </comment>
    <comment authorId="0" ref="F42">
      <text>
        <t xml:space="preserve">365 switched to car chat 24
</t>
      </text>
    </comment>
    <comment authorId="0" ref="G42">
      <text>
        <t xml:space="preserve">365 switched to car chat 24
</t>
      </text>
    </comment>
    <comment authorId="0" ref="H42">
      <text>
        <t xml:space="preserve">365 switched to car chat 24
</t>
      </text>
    </comment>
    <comment authorId="0" ref="I42">
      <text>
        <t xml:space="preserve">365 switched to car chat 24
</t>
      </text>
    </comment>
    <comment authorId="0" ref="J42">
      <text>
        <t xml:space="preserve">365 switched to car chat 24
</t>
      </text>
    </comment>
    <comment authorId="0" ref="K42">
      <text>
        <t xml:space="preserve">365 switched to car chat 24
</t>
      </text>
    </comment>
    <comment authorId="0" ref="L42">
      <text>
        <t xml:space="preserve">365 switched to car chat 24
</t>
      </text>
    </comment>
    <comment authorId="0" ref="M42">
      <text>
        <t xml:space="preserve">365 switched to car chat 24
</t>
      </text>
    </comment>
    <comment authorId="0" ref="B44">
      <text>
        <t xml:space="preserve">249 DDC offplatform finance driver
</t>
      </text>
    </comment>
    <comment authorId="0" ref="C44">
      <text>
        <t xml:space="preserve">249 DDC offplatform finance driver
</t>
      </text>
    </comment>
    <comment authorId="0" ref="D44">
      <text>
        <t xml:space="preserve">249 DDC offplatform finance driver
</t>
      </text>
    </comment>
    <comment authorId="0" ref="E44">
      <text>
        <t xml:space="preserve">249 DDC offplatform finance driver
</t>
      </text>
    </comment>
    <comment authorId="0" ref="F44">
      <text>
        <t xml:space="preserve">249 DDC offplatform finance driver
</t>
      </text>
    </comment>
    <comment authorId="0" ref="G44">
      <text>
        <t xml:space="preserve">249 DDC offplatform finance driver
</t>
      </text>
    </comment>
    <comment authorId="0" ref="H44">
      <text>
        <t xml:space="preserve">249 DDC offplatform finance driver
</t>
      </text>
    </comment>
    <comment authorId="0" ref="I44">
      <text>
        <t xml:space="preserve">249 DDC offplatform finance driver
</t>
      </text>
    </comment>
    <comment authorId="0" ref="J44">
      <text>
        <t xml:space="preserve">249 DDC offplatform finance driver
</t>
      </text>
    </comment>
    <comment authorId="0" ref="K44">
      <text>
        <t xml:space="preserve">249 DDC offplatform finance driver
</t>
      </text>
    </comment>
    <comment authorId="0" ref="L44">
      <text>
        <t xml:space="preserve">249 DDC offplatform finance driver
</t>
      </text>
    </comment>
    <comment authorId="0" ref="M44">
      <text>
        <t xml:space="preserve">249 DDC offplatform finance driver
</t>
      </text>
    </comment>
    <comment authorId="0" ref="B45">
      <text>
        <t xml:space="preserve">45 Yelp 
97.5 Reputation.com
349 podium</t>
      </text>
    </comment>
    <comment authorId="0" ref="C45">
      <text>
        <t xml:space="preserve">45 Yelp 
97.5 Reputation.com
349 podium</t>
      </text>
    </comment>
    <comment authorId="0" ref="D45">
      <text>
        <t xml:space="preserve">45 Yelp 
97.5 Reputation.com
349 podium</t>
      </text>
    </comment>
    <comment authorId="0" ref="E45">
      <text>
        <t xml:space="preserve">45 Yelp 
97.5 Reputation.com
349 podium</t>
      </text>
    </comment>
    <comment authorId="0" ref="F45">
      <text>
        <t xml:space="preserve">45 Yelp 
97.5 Reputation.com
349 podium</t>
      </text>
    </comment>
    <comment authorId="0" ref="G45">
      <text>
        <t xml:space="preserve">45 Yelp 
97.5 Reputation.com
349 podium</t>
      </text>
    </comment>
    <comment authorId="0" ref="H45">
      <text>
        <t xml:space="preserve">45 Yelp 
97.5 Reputation.com
349 podium</t>
      </text>
    </comment>
    <comment authorId="0" ref="I45">
      <text>
        <t xml:space="preserve">45 Yelp 
97.5 Reputation.com
349 podium</t>
      </text>
    </comment>
    <comment authorId="0" ref="J45">
      <text>
        <t xml:space="preserve">45 Yelp 
97.5 Reputation.com
349 podium</t>
      </text>
    </comment>
    <comment authorId="0" ref="K45">
      <text>
        <t xml:space="preserve">45 Yelp 
97.5 Reputation.com
349 podium</t>
      </text>
    </comment>
    <comment authorId="0" ref="L45">
      <text>
        <t xml:space="preserve">45 Yelp 
97.5 Reputation.com
349 podium</t>
      </text>
    </comment>
    <comment authorId="0" ref="M45">
      <text>
        <t xml:space="preserve">45 Yelp 
97.5 Reputation.com
349 podium</t>
      </text>
    </comment>
    <comment authorId="0" ref="E46">
      <text>
        <t xml:space="preserve">cancelled 3/16</t>
      </text>
    </comment>
    <comment authorId="0" ref="B47">
      <text>
        <t xml:space="preserve">850 Alli
+30 Alli boosted campaigns
750 autoleadstar
2250 autoleadstar
</t>
      </text>
    </comment>
    <comment authorId="0" ref="C47">
      <text>
        <t xml:space="preserve">850 Alli
+30 Alli boosted campaigns
750 autoleadstar
2250 autoleadstar
</t>
      </text>
    </comment>
    <comment authorId="0" ref="D47">
      <text>
        <t xml:space="preserve">850 Alli
+30 Alli boosted campaigns
750 autoleadstar
2250 autoleadstar
</t>
      </text>
    </comment>
    <comment authorId="0" ref="E47">
      <text>
        <t xml:space="preserve">850 Alli
+30 Alli boosted campaigns
750 autoleadstar
2250 autoleadstar
</t>
      </text>
    </comment>
    <comment authorId="0" ref="F47">
      <text>
        <t xml:space="preserve">850 Alli
+30 Alli boosted campaigns
750 autoleadstar
2250 autoleadstar
</t>
      </text>
    </comment>
    <comment authorId="0" ref="G47">
      <text>
        <t xml:space="preserve">850 Alli
+30 Alli boosted campaigns
750 autoleadstar
2250 autoleadstar
</t>
      </text>
    </comment>
    <comment authorId="0" ref="H47">
      <text>
        <t xml:space="preserve">850 Alli
+30 Alli boosted campaigns
750 autoleadstar
2250 autoleadstar
</t>
      </text>
    </comment>
    <comment authorId="0" ref="I47">
      <text>
        <t xml:space="preserve">850 Alli
+30 Alli boosted campaigns
750 autoleadstar
2250 autoleadstar
</t>
      </text>
    </comment>
    <comment authorId="0" ref="J47">
      <text>
        <t xml:space="preserve">850 Alli
+30 Alli boosted campaigns
750 autoleadstar
2250 autoleadstar
</t>
      </text>
    </comment>
    <comment authorId="0" ref="K47">
      <text>
        <t xml:space="preserve">850 Alli
+30 Alli boosted campaigns
750 autoleadstar
2250 autoleadstar
</t>
      </text>
    </comment>
    <comment authorId="0" ref="L47">
      <text>
        <t xml:space="preserve">850 Alli
+30 Alli boosted campaigns
750 autoleadstar
2250 autoleadstar
</t>
      </text>
    </comment>
    <comment authorId="0" ref="M47">
      <text>
        <t xml:space="preserve">850 Alli
+30 Alli boosted campaigns
750 autoleadstar
2250 autoleadstar
</t>
      </text>
    </comment>
    <comment authorId="0" ref="B48">
      <text>
        <t xml:space="preserve">480.07 PERQ
55.66 Sheehy.com
80 we buy cars</t>
      </text>
    </comment>
    <comment authorId="0" ref="C48">
      <text>
        <t xml:space="preserve">480.07 PERQ
55.66 Sheehy.com
80 we buy cars</t>
      </text>
    </comment>
    <comment authorId="0" ref="D48">
      <text>
        <t xml:space="preserve">480.07 PERQ
55.66 Sheehy.com
80 we buy cars</t>
      </text>
    </comment>
    <comment authorId="0" ref="E48">
      <text>
        <t xml:space="preserve">480.07 PERQ
55.66 Sheehy.com
80 we buy cars</t>
      </text>
    </comment>
    <comment authorId="0" ref="F48">
      <text>
        <t xml:space="preserve">480.07 PERQ
55.66 Sheehy.com
80 we buy cars</t>
      </text>
    </comment>
    <comment authorId="0" ref="G48">
      <text>
        <t xml:space="preserve">480.07 PERQ
55.66 Sheehy.com
80 we buy cars</t>
      </text>
    </comment>
    <comment authorId="0" ref="H48">
      <text>
        <t xml:space="preserve">480.07 PERQ
55.66 Sheehy.com
80 we buy cars</t>
      </text>
    </comment>
    <comment authorId="0" ref="I48">
      <text>
        <t xml:space="preserve">480.07 PERQ
55.66 Sheehy.com
80 we buy cars</t>
      </text>
    </comment>
    <comment authorId="0" ref="J48">
      <text>
        <t xml:space="preserve">480.07 PERQ
55.66 Sheehy.com
80 we buy cars</t>
      </text>
    </comment>
    <comment authorId="0" ref="K48">
      <text>
        <t xml:space="preserve">480.07 PERQ
55.66 Sheehy.com
80 we buy cars</t>
      </text>
    </comment>
    <comment authorId="0" ref="L48">
      <text>
        <t xml:space="preserve">480.07 PERQ
55.66 Sheehy.com
80 we buy cars</t>
      </text>
    </comment>
    <comment authorId="0" ref="M48">
      <text>
        <t xml:space="preserve">480.07 PERQ
55.66 Sheehy.com
80 we buy cars</t>
      </text>
    </comment>
    <comment authorId="0" ref="B54">
      <text>
        <t xml:space="preserve">Nissan OEM EOM Email program
Capped at $1000
Billed to parts statement </t>
      </text>
    </comment>
    <comment authorId="0" ref="C54">
      <text>
        <t xml:space="preserve">pres day email campaign with OEM</t>
      </text>
    </comment>
    <comment authorId="0" ref="E54">
      <text>
        <t xml:space="preserve">Nissan OEM EOM Email program
Capped at $1000
Billed to parts statement </t>
      </text>
    </comment>
    <comment authorId="0" ref="G54">
      <text>
        <t xml:space="preserve">$600 private offer digital plus up billed on OEM parts statement in June</t>
      </text>
    </comment>
    <comment authorId="0" ref="H54">
      <text>
        <t xml:space="preserve">Nissan OEM EOM Email program
Capped at $1000
Billed to parts statement </t>
      </text>
    </comment>
    <comment authorId="0" ref="K54">
      <text>
        <t xml:space="preserve">Nissan OEM EOM Email program
Capped at $1000
Billed to parts statement </t>
      </text>
    </comment>
    <comment authorId="0" ref="B55">
      <text>
        <t xml:space="preserve">includes trade/reach and subscription</t>
      </text>
    </comment>
    <comment authorId="0" ref="C55">
      <text>
        <t xml:space="preserve">includes trade/reach and subscription</t>
      </text>
    </comment>
    <comment authorId="0" ref="D55">
      <text>
        <t xml:space="preserve">includes trade/reach and subscription</t>
      </text>
    </comment>
    <comment authorId="0" ref="E55">
      <text>
        <t xml:space="preserve">includes trade/reach and subscription</t>
      </text>
    </comment>
    <comment authorId="0" ref="F55">
      <text>
        <t xml:space="preserve">includes trade/reach and subscription</t>
      </text>
    </comment>
    <comment authorId="0" ref="G55">
      <text>
        <t xml:space="preserve">includes trade/reach and subscription</t>
      </text>
    </comment>
    <comment authorId="0" ref="H55">
      <text>
        <t xml:space="preserve">includes trade/reach and subscription</t>
      </text>
    </comment>
    <comment authorId="0" ref="I55">
      <text>
        <t xml:space="preserve">includes trade/reach and subscription</t>
      </text>
    </comment>
    <comment authorId="0" ref="J55">
      <text>
        <t xml:space="preserve">includes trade/reach and subscription</t>
      </text>
    </comment>
    <comment authorId="0" ref="K55">
      <text>
        <t xml:space="preserve">includes trade/reach and subscription</t>
      </text>
    </comment>
    <comment authorId="0" ref="L55">
      <text>
        <t xml:space="preserve">includes trade/reach and subscription</t>
      </text>
    </comment>
    <comment authorId="0" ref="M55">
      <text>
        <t xml:space="preserve">includes trade/reach and subscription</t>
      </text>
    </comment>
    <comment authorId="0" ref="B56">
      <text>
        <t xml:space="preserve">399 Trade tool with Purecars
351 mgmt fee
57 Data Management fee</t>
      </text>
    </comment>
    <comment authorId="0" ref="C56">
      <text>
        <t xml:space="preserve">399 Trade tool with Purecars
351 mgmt fee
57 Data Management fee</t>
      </text>
    </comment>
    <comment authorId="0" ref="D56">
      <text>
        <t xml:space="preserve">399 Trade tool with Purecars
351 mgmt fee
57 Data Management fee</t>
      </text>
    </comment>
    <comment authorId="0" ref="E56">
      <text>
        <t xml:space="preserve">399 Trade tool with Purecars
351 mgmt fee
57 Data Management fee</t>
      </text>
    </comment>
    <comment authorId="0" ref="F56">
      <text>
        <t xml:space="preserve">399 Trade tool with Purecars
351 mgmt fee
57 Data Management fee</t>
      </text>
    </comment>
    <comment authorId="0" ref="G56">
      <text>
        <t xml:space="preserve">399 Trade tool with Purecars
351 mgmt fee
57 Data Management fee</t>
      </text>
    </comment>
    <comment authorId="0" ref="H56">
      <text>
        <t xml:space="preserve">399 Trade tool with Purecars
351 mgmt fee
57 Data Management fee</t>
      </text>
    </comment>
    <comment authorId="0" ref="I56">
      <text>
        <t xml:space="preserve">399 Trade tool with Purecars
351 mgmt fee
57 Data Management fee</t>
      </text>
    </comment>
    <comment authorId="0" ref="J56">
      <text>
        <t xml:space="preserve">399 Trade tool with Purecars
351 mgmt fee
57 Data Management fee</t>
      </text>
    </comment>
    <comment authorId="0" ref="K56">
      <text>
        <t xml:space="preserve">399 Trade tool with Purecars
351 mgmt fee
57 Data Management fee</t>
      </text>
    </comment>
    <comment authorId="0" ref="L56">
      <text>
        <t xml:space="preserve">399 Trade tool with Purecars
351 mgmt fee
57 Data Management fee</t>
      </text>
    </comment>
    <comment authorId="0" ref="M56">
      <text>
        <t xml:space="preserve">399 Trade tool with Purecars
351 mgmt fee
57 Data Management fee</t>
      </text>
    </comment>
    <comment authorId="0" ref="B59">
      <text>
        <t xml:space="preserve">850 NEW
850 USED
1700 TOTAL 
</t>
      </text>
    </comment>
    <comment authorId="0" ref="C59">
      <text>
        <t xml:space="preserve">850 NEW
850 USED
1700 TOTAL 
</t>
      </text>
    </comment>
    <comment authorId="0" ref="D59">
      <text>
        <t xml:space="preserve">850 NEW
850 USED
1700 TOTAL 
</t>
      </text>
    </comment>
    <comment authorId="0" ref="E59">
      <text>
        <t xml:space="preserve">850 NEW
850 USED
1700 TOTAL 
</t>
      </text>
    </comment>
    <comment authorId="0" ref="F59">
      <text>
        <t xml:space="preserve">850 NEW
850 USED
1700 TOTAL 
</t>
      </text>
    </comment>
    <comment authorId="0" ref="G59">
      <text>
        <t xml:space="preserve">850 NEW
850 USED
1700 TOTAL 
</t>
      </text>
    </comment>
    <comment authorId="0" ref="H59">
      <text>
        <t xml:space="preserve">850 NEW
850 USED
1700 TOTAL 
</t>
      </text>
    </comment>
    <comment authorId="0" ref="I59">
      <text>
        <t xml:space="preserve">850 NEW
850 USED
1700 TOTAL 
</t>
      </text>
    </comment>
    <comment authorId="0" ref="J59">
      <text>
        <t xml:space="preserve">850 NEW
850 USED
1700 TOTAL 
</t>
      </text>
    </comment>
    <comment authorId="0" ref="K59">
      <text>
        <t xml:space="preserve">850 NEW
850 USED
1700 TOTAL 
</t>
      </text>
    </comment>
    <comment authorId="0" ref="L59">
      <text>
        <t xml:space="preserve">850 NEW
850 USED
1700 TOTAL 
</t>
      </text>
    </comment>
    <comment authorId="0" ref="M59">
      <text>
        <t xml:space="preserve">850 NEW
850 USED
1700 TOTAL 
</t>
      </text>
    </comment>
    <comment authorId="0" ref="B63">
      <text>
        <t xml:space="preserve">10750 new</t>
      </text>
    </comment>
    <comment authorId="0" ref="C63">
      <text>
        <t xml:space="preserve">10750 new</t>
      </text>
    </comment>
    <comment authorId="0" ref="D63">
      <text>
        <t xml:space="preserve">10750 new</t>
      </text>
    </comment>
    <comment authorId="0" ref="E63">
      <text>
        <t xml:space="preserve">10750 new</t>
      </text>
    </comment>
    <comment authorId="0" ref="F63">
      <text>
        <t xml:space="preserve">10750 new</t>
      </text>
    </comment>
    <comment authorId="0" ref="G63">
      <text>
        <t xml:space="preserve">10750 new</t>
      </text>
    </comment>
    <comment authorId="0" ref="H63">
      <text>
        <t xml:space="preserve">10750 new</t>
      </text>
    </comment>
    <comment authorId="0" ref="I63">
      <text>
        <t xml:space="preserve">10750 new</t>
      </text>
    </comment>
    <comment authorId="0" ref="J63">
      <text>
        <t xml:space="preserve">10750 new</t>
      </text>
    </comment>
    <comment authorId="0" ref="K63">
      <text>
        <t xml:space="preserve">10750 new</t>
      </text>
    </comment>
    <comment authorId="0" ref="L63">
      <text>
        <t xml:space="preserve">10750 new</t>
      </text>
    </comment>
    <comment authorId="0" ref="M63">
      <text>
        <t xml:space="preserve">10750 new</t>
      </text>
    </comment>
    <comment authorId="0" ref="B72">
      <text>
        <t xml:space="preserve">TBD
</t>
      </text>
    </comment>
    <comment authorId="0" ref="C72">
      <text>
        <t xml:space="preserve">TBD
</t>
      </text>
    </comment>
    <comment authorId="0" ref="D72">
      <text>
        <t xml:space="preserve">TBD
</t>
      </text>
    </comment>
    <comment authorId="0" ref="E72">
      <text>
        <t xml:space="preserve">TBD
</t>
      </text>
    </comment>
    <comment authorId="0" ref="F72">
      <text>
        <t xml:space="preserve">TBD
</t>
      </text>
    </comment>
    <comment authorId="0" ref="G72">
      <text>
        <t xml:space="preserve">TBD
</t>
      </text>
    </comment>
    <comment authorId="0" ref="H72">
      <text>
        <t xml:space="preserve">TBD
</t>
      </text>
    </comment>
    <comment authorId="0" ref="I72">
      <text>
        <t xml:space="preserve">TBD
</t>
      </text>
    </comment>
    <comment authorId="0" ref="J72">
      <text>
        <t xml:space="preserve">TBD
</t>
      </text>
    </comment>
    <comment authorId="0" ref="K72">
      <text>
        <t xml:space="preserve">TBD
</t>
      </text>
    </comment>
    <comment authorId="0" ref="L72">
      <text>
        <t xml:space="preserve">TBD
</t>
      </text>
    </comment>
    <comment authorId="0" ref="M72">
      <text>
        <t xml:space="preserve">TBD
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B74">
      <text>
        <t xml:space="preserve">850 NEW
850 USED
1700 TOTAL 
</t>
      </text>
    </comment>
    <comment authorId="0" ref="C74">
      <text>
        <t xml:space="preserve">850 NEW
850 USED
1700 TOTAL 
</t>
      </text>
    </comment>
    <comment authorId="0" ref="D74">
      <text>
        <t xml:space="preserve">850 NEW
850 USED
1700 TOTAL 
</t>
      </text>
    </comment>
    <comment authorId="0" ref="E74">
      <text>
        <t xml:space="preserve">850 NEW
850 USED
1700 TOTAL 
</t>
      </text>
    </comment>
    <comment authorId="0" ref="F74">
      <text>
        <t xml:space="preserve">850 NEW
850 USED
1700 TOTAL 
</t>
      </text>
    </comment>
    <comment authorId="0" ref="G74">
      <text>
        <t xml:space="preserve">850 NEW
850 USED
1700 TOTAL 
</t>
      </text>
    </comment>
    <comment authorId="0" ref="H74">
      <text>
        <t xml:space="preserve">850 NEW
850 USED
1700 TOTAL 
</t>
      </text>
    </comment>
    <comment authorId="0" ref="I74">
      <text>
        <t xml:space="preserve">850 NEW
850 USED
1700 TOTAL 
</t>
      </text>
    </comment>
    <comment authorId="0" ref="J74">
      <text>
        <t xml:space="preserve">850 NEW
850 USED
1700 TOTAL 
</t>
      </text>
    </comment>
    <comment authorId="0" ref="K74">
      <text>
        <t xml:space="preserve">850 NEW
850 USED
1700 TOTAL 
</t>
      </text>
    </comment>
    <comment authorId="0" ref="L74">
      <text>
        <t xml:space="preserve">850 NEW
850 USED
1700 TOTAL 
</t>
      </text>
    </comment>
    <comment authorId="0" ref="M74">
      <text>
        <t xml:space="preserve">850 NEW
850 USED
1700 TOTAL 
</t>
      </text>
    </comment>
    <comment authorId="0" ref="B80">
      <text>
        <t xml:space="preserve">1050 ENHANCED</t>
      </text>
    </comment>
    <comment authorId="0" ref="C80">
      <text>
        <t xml:space="preserve">1050 ENHANCED</t>
      </text>
    </comment>
    <comment authorId="0" ref="D80">
      <text>
        <t xml:space="preserve">1050 ENHANCED</t>
      </text>
    </comment>
    <comment authorId="0" ref="E80">
      <text>
        <t xml:space="preserve">1050 ENHANCED</t>
      </text>
    </comment>
    <comment authorId="0" ref="F80">
      <text>
        <t xml:space="preserve">1050 ENHANCED</t>
      </text>
    </comment>
    <comment authorId="0" ref="G80">
      <text>
        <t xml:space="preserve">1050 ENHANCED</t>
      </text>
    </comment>
    <comment authorId="0" ref="H80">
      <text>
        <t xml:space="preserve">1050 ENHANCED</t>
      </text>
    </comment>
    <comment authorId="0" ref="I80">
      <text>
        <t xml:space="preserve">1050 ENHANCED</t>
      </text>
    </comment>
    <comment authorId="0" ref="J80">
      <text>
        <t xml:space="preserve">1050 ENHANCED</t>
      </text>
    </comment>
    <comment authorId="0" ref="K80">
      <text>
        <t xml:space="preserve">1050 ENHANCED</t>
      </text>
    </comment>
    <comment authorId="0" ref="L80">
      <text>
        <t xml:space="preserve">1050 ENHANCED</t>
      </text>
    </comment>
    <comment authorId="0" ref="M80">
      <text>
        <t xml:space="preserve">1050 ENHANCED</t>
      </text>
    </comment>
    <comment authorId="0" ref="B93">
      <text>
        <t xml:space="preserve">$6,250 pole banners</t>
      </text>
    </comment>
    <comment authorId="0" ref="H93">
      <text>
        <t xml:space="preserve">$204.93 H-stake signs</t>
      </text>
    </comment>
    <comment authorId="0" ref="K93">
      <text>
        <t xml:space="preserve">$300 We're hiring stickers</t>
      </text>
    </comment>
    <comment authorId="0" ref="K94">
      <text>
        <t xml:space="preserve">$180 Polin
$200 boxes
</t>
      </text>
    </comment>
    <comment authorId="0" ref="B103">
      <text>
        <t xml:space="preserve">$500 Other Group Digital </t>
      </text>
    </comment>
    <comment authorId="0" ref="C103">
      <text>
        <t xml:space="preserve">$500 Other Group Digital </t>
      </text>
    </comment>
    <comment authorId="0" ref="D103">
      <text>
        <t xml:space="preserve">$200 Other Group Digital 
$113.63 WJA sponsorship</t>
      </text>
    </comment>
    <comment authorId="0" ref="E103">
      <text>
        <t xml:space="preserve">$500 Other Group Digital </t>
      </text>
    </comment>
    <comment authorId="0" ref="F103">
      <text>
        <t xml:space="preserve">$500 Other Group Digital </t>
      </text>
    </comment>
    <comment authorId="0" ref="G103">
      <text>
        <t xml:space="preserve">$605 Other Group Digital </t>
      </text>
    </comment>
    <comment authorId="0" ref="H103">
      <text>
        <t xml:space="preserve">$605 Other Group Digital </t>
      </text>
    </comment>
    <comment authorId="0" ref="I103">
      <text>
        <t xml:space="preserve">$500 Other Group Digital </t>
      </text>
    </comment>
    <comment authorId="0" ref="J103">
      <text>
        <t xml:space="preserve">$500 Other Group Digital </t>
      </text>
    </comment>
    <comment authorId="0" ref="K103">
      <text>
        <t xml:space="preserve">$500 Other Group Digital </t>
      </text>
    </comment>
    <comment authorId="0" ref="L103">
      <text>
        <t xml:space="preserve">$500 Other Group Digital </t>
      </text>
    </comment>
    <comment authorId="0" ref="M103">
      <text>
        <t xml:space="preserve">$500 Other Group Digital </t>
      </text>
    </comment>
    <comment authorId="0" ref="B115">
      <text>
        <t xml:space="preserve">$1,095 Easy Care
</t>
      </text>
    </comment>
    <comment authorId="0" ref="C115">
      <text>
        <t xml:space="preserve">$1,095 Easy Care
</t>
      </text>
    </comment>
    <comment authorId="0" ref="D115">
      <text>
        <t xml:space="preserve">$1,095 Easy Care
</t>
      </text>
    </comment>
    <comment authorId="0" ref="E115">
      <text>
        <t xml:space="preserve">$1,095 Easy Care
</t>
      </text>
    </comment>
    <comment authorId="0" ref="F115">
      <text>
        <t xml:space="preserve">$1,095 Easy Care
</t>
      </text>
    </comment>
    <comment authorId="0" ref="G115">
      <text>
        <t xml:space="preserve">$1,095 Easy Care
</t>
      </text>
    </comment>
    <comment authorId="0" ref="H115">
      <text>
        <t xml:space="preserve">$1,095 Easy Care
</t>
      </text>
    </comment>
    <comment authorId="0" ref="I115">
      <text>
        <t xml:space="preserve">$1,095 Easy Care
</t>
      </text>
    </comment>
    <comment authorId="0" ref="J115">
      <text>
        <t xml:space="preserve">$1,095 Easy Care
</t>
      </text>
    </comment>
    <comment authorId="0" ref="K115">
      <text>
        <t xml:space="preserve">$1,095 Easy Care
</t>
      </text>
    </comment>
    <comment authorId="0" ref="L115">
      <text>
        <t xml:space="preserve">$1,095 Easy Care
</t>
      </text>
    </comment>
    <comment authorId="0" ref="M115">
      <text>
        <t xml:space="preserve">$1,095 Easy Care
</t>
      </text>
    </comment>
    <comment authorId="0" ref="F116">
      <text>
        <t xml:space="preserve">Nissan OEM Road Trip Ready Campaign </t>
      </text>
    </comment>
    <comment authorId="0" ref="B117">
      <text>
        <t xml:space="preserve">$2,775.74 quarterly mailer
1250 trigger mail</t>
      </text>
    </comment>
    <comment authorId="0" ref="E117">
      <text>
        <t xml:space="preserve">$2,775.74 quarterly mailer
1250 trigger mail</t>
      </text>
    </comment>
    <comment authorId="0" ref="H117">
      <text>
        <t xml:space="preserve">$2,775.74 quarterly mailer
1250 trigger mail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9">
      <text>
        <t xml:space="preserve">($5750 total invoice for 16 DC stores split over 2 mos ea. ) </t>
      </text>
    </comment>
    <comment authorId="0" ref="C19">
      <text>
        <t xml:space="preserve">($5750 total invoice for 16 DC stores split over 2 mos ea. ) </t>
      </text>
    </comment>
    <comment authorId="0" ref="B34">
      <text>
        <t xml:space="preserve">1599 DealerInspire website
61.9 sheehy.com portal site
850 AAG (SEO)</t>
      </text>
    </comment>
    <comment authorId="0" ref="C34">
      <text>
        <t xml:space="preserve">1599 DealerInspire website
61.9 sheehy.com portal site
850 AAG (SEO)</t>
      </text>
    </comment>
    <comment authorId="0" ref="D34">
      <text>
        <t xml:space="preserve">1599 DealerInspire website
61.9 sheehy.com portal site
850 AAG (SEO)</t>
      </text>
    </comment>
    <comment authorId="0" ref="E34">
      <text>
        <t xml:space="preserve">1599 DealerInspire website
61.9 sheehy.com portal site
850 AAG (SEO)</t>
      </text>
    </comment>
    <comment authorId="0" ref="F34">
      <text>
        <t xml:space="preserve">1599 DealerInspire website
61.9 sheehy.com portal site
850 AAG (SEO)</t>
      </text>
    </comment>
    <comment authorId="0" ref="G34">
      <text>
        <t xml:space="preserve">1599 DealerInspire website
61.9 sheehy.com portal site
850 AAG (SEO)</t>
      </text>
    </comment>
    <comment authorId="0" ref="H34">
      <text>
        <t xml:space="preserve">1599 DealerInspire website
61.9 sheehy.com portal site
850 AAG (SEO)</t>
      </text>
    </comment>
    <comment authorId="0" ref="I34">
      <text>
        <t xml:space="preserve">1599 DealerInspire website
61.9 sheehy.com portal site
850 AAG (SEO)</t>
      </text>
    </comment>
    <comment authorId="0" ref="J34">
      <text>
        <t xml:space="preserve">1599 DealerInspire website
61.9 sheehy.com portal site
850 AAG (SEO)</t>
      </text>
    </comment>
    <comment authorId="0" ref="K34">
      <text>
        <t xml:space="preserve">1599 DealerInspire website
61.9 sheehy.com portal site
850 AAG (SEO)</t>
      </text>
    </comment>
    <comment authorId="0" ref="L34">
      <text>
        <t xml:space="preserve">1599 DealerInspire website
61.9 sheehy.com portal site
850 AAG (SEO)</t>
      </text>
    </comment>
    <comment authorId="0" ref="M34">
      <text>
        <t xml:space="preserve">1599 DealerInspire website
61.9 sheehy.com portal site
850 AAG (SEO)</t>
      </text>
    </comment>
    <comment authorId="0" ref="B36">
      <text>
        <t xml:space="preserve">$395 Texting
$75 Mobile DL Scanner</t>
      </text>
    </comment>
    <comment authorId="0" ref="C36">
      <text>
        <t xml:space="preserve">$395 Texting
$75 Mobile DL Scanner</t>
      </text>
    </comment>
    <comment authorId="0" ref="D36">
      <text>
        <t xml:space="preserve">$395 Texting
$75 Mobile DL Scanner</t>
      </text>
    </comment>
    <comment authorId="0" ref="E36">
      <text>
        <t xml:space="preserve">$395 Texting
$75 Mobile DL Scanner</t>
      </text>
    </comment>
    <comment authorId="0" ref="F36">
      <text>
        <t xml:space="preserve">$395 Texting
$75 Mobile DL Scanner</t>
      </text>
    </comment>
    <comment authorId="0" ref="G36">
      <text>
        <t xml:space="preserve">$395 Texting
$75 Mobile DL Scanner</t>
      </text>
    </comment>
    <comment authorId="0" ref="H36">
      <text>
        <t xml:space="preserve">$395 Texting
$75 Mobile DL Scanner</t>
      </text>
    </comment>
    <comment authorId="0" ref="I36">
      <text>
        <t xml:space="preserve">$395 Texting
$75 Mobile DL Scanner</t>
      </text>
    </comment>
    <comment authorId="0" ref="J36">
      <text>
        <t xml:space="preserve">$395 Texting
$75 Mobile DL Scanner</t>
      </text>
    </comment>
    <comment authorId="0" ref="K36">
      <text>
        <t xml:space="preserve">$395 Texting
$75 Mobile DL Scanner</t>
      </text>
    </comment>
    <comment authorId="0" ref="L36">
      <text>
        <t xml:space="preserve">$395 Texting
$75 Mobile DL Scanner</t>
      </text>
    </comment>
    <comment authorId="0" ref="M36">
      <text>
        <t xml:space="preserve">$395 Texting
$75 Mobile DL Scanner</t>
      </text>
    </comment>
    <comment authorId="0" ref="B42">
      <text>
        <t xml:space="preserve">365 switched to car chat 24
</t>
      </text>
    </comment>
    <comment authorId="0" ref="C42">
      <text>
        <t xml:space="preserve">365 switched to car chat 24
</t>
      </text>
    </comment>
    <comment authorId="0" ref="D42">
      <text>
        <t xml:space="preserve">365 switched to car chat 24
</t>
      </text>
    </comment>
    <comment authorId="0" ref="E42">
      <text>
        <t xml:space="preserve">365 switched to car chat 24
</t>
      </text>
    </comment>
    <comment authorId="0" ref="F42">
      <text>
        <t xml:space="preserve">365 switched to car chat 24
</t>
      </text>
    </comment>
    <comment authorId="0" ref="G42">
      <text>
        <t xml:space="preserve">365 switched to car chat 24
</t>
      </text>
    </comment>
    <comment authorId="0" ref="H42">
      <text>
        <t xml:space="preserve">365 switched to car chat 24
</t>
      </text>
    </comment>
    <comment authorId="0" ref="I42">
      <text>
        <t xml:space="preserve">365 switched to car chat 24
</t>
      </text>
    </comment>
    <comment authorId="0" ref="J42">
      <text>
        <t xml:space="preserve">365 switched to car chat 24
</t>
      </text>
    </comment>
    <comment authorId="0" ref="K42">
      <text>
        <t xml:space="preserve">365 switched to car chat 24
</t>
      </text>
    </comment>
    <comment authorId="0" ref="L42">
      <text>
        <t xml:space="preserve">365 switched to car chat 24
</t>
      </text>
    </comment>
    <comment authorId="0" ref="M42">
      <text>
        <t xml:space="preserve">365 switched to car chat 24
</t>
      </text>
    </comment>
    <comment authorId="0" ref="B44">
      <text>
        <t xml:space="preserve">249 Finance Driver</t>
      </text>
    </comment>
    <comment authorId="0" ref="C44">
      <text>
        <t xml:space="preserve">249 Finance Driver</t>
      </text>
    </comment>
    <comment authorId="0" ref="D44">
      <text>
        <t xml:space="preserve">249 Finance Driver</t>
      </text>
    </comment>
    <comment authorId="0" ref="E44">
      <text>
        <t xml:space="preserve">249 Finance Driver</t>
      </text>
    </comment>
    <comment authorId="0" ref="F44">
      <text>
        <t xml:space="preserve">249 Finance Driver</t>
      </text>
    </comment>
    <comment authorId="0" ref="G44">
      <text>
        <t xml:space="preserve">249 Finance Driver</t>
      </text>
    </comment>
    <comment authorId="0" ref="H44">
      <text>
        <t xml:space="preserve">249 Finance Driver</t>
      </text>
    </comment>
    <comment authorId="0" ref="I44">
      <text>
        <t xml:space="preserve">249 Finance Driver</t>
      </text>
    </comment>
    <comment authorId="0" ref="J44">
      <text>
        <t xml:space="preserve">249 Finance Driver</t>
      </text>
    </comment>
    <comment authorId="0" ref="K44">
      <text>
        <t xml:space="preserve">249 Finance Driver</t>
      </text>
    </comment>
    <comment authorId="0" ref="L44">
      <text>
        <t xml:space="preserve">249 Finance Driver</t>
      </text>
    </comment>
    <comment authorId="0" ref="M44">
      <text>
        <t xml:space="preserve">249 Finance Driver</t>
      </text>
    </comment>
    <comment authorId="0" ref="B45">
      <text>
        <t xml:space="preserve">45 Yelp 
97.5 Reputation.com</t>
      </text>
    </comment>
    <comment authorId="0" ref="C45">
      <text>
        <t xml:space="preserve">45 Yelp 
97.5 Reputation.com</t>
      </text>
    </comment>
    <comment authorId="0" ref="D45">
      <text>
        <t xml:space="preserve">45 Yelp 
97.5 Reputation.com</t>
      </text>
    </comment>
    <comment authorId="0" ref="E45">
      <text>
        <t xml:space="preserve">45 Yelp 
97.5 Reputation.com</t>
      </text>
    </comment>
    <comment authorId="0" ref="F45">
      <text>
        <t xml:space="preserve">45 Yelp 
97.5 Reputation.com</t>
      </text>
    </comment>
    <comment authorId="0" ref="G45">
      <text>
        <t xml:space="preserve">45 Yelp 
97.5 Reputation.com</t>
      </text>
    </comment>
    <comment authorId="0" ref="H45">
      <text>
        <t xml:space="preserve">45 Yelp 
97.5 Reputation.com</t>
      </text>
    </comment>
    <comment authorId="0" ref="I45">
      <text>
        <t xml:space="preserve">45 Yelp 
97.5 Reputation.com</t>
      </text>
    </comment>
    <comment authorId="0" ref="J45">
      <text>
        <t xml:space="preserve">45 Yelp 
97.5 Reputation.com</t>
      </text>
    </comment>
    <comment authorId="0" ref="K45">
      <text>
        <t xml:space="preserve">45 Yelp 
97.5 Reputation.com</t>
      </text>
    </comment>
    <comment authorId="0" ref="L45">
      <text>
        <t xml:space="preserve">45 Yelp 
97.5 Reputation.com</t>
      </text>
    </comment>
    <comment authorId="0" ref="M45">
      <text>
        <t xml:space="preserve">45 Yelp 
97.5 Reputation.com</t>
      </text>
    </comment>
    <comment authorId="0" ref="B47">
      <text>
        <t xml:space="preserve">850 Alli 
+50 Alli boosted campaign
750 acquire/connect mgmt
1500 Autoleadstar spend </t>
      </text>
    </comment>
    <comment authorId="0" ref="C47">
      <text>
        <t xml:space="preserve">850 Alli 
+50 Alli boosted campaign
750 acquire/connect mgmt
1500 Autoleadstar spend </t>
      </text>
    </comment>
    <comment authorId="0" ref="D47">
      <text>
        <t xml:space="preserve">850 Alli 
+50 Alli boosted campaign
750 acquire/connect mgmt
1500 Autoleadstar spend </t>
      </text>
    </comment>
    <comment authorId="0" ref="E47">
      <text>
        <t xml:space="preserve">850 Alli 
+50 Alli boosted campaign
750 acquire/connect mgmt
1500 Autoleadstar spend </t>
      </text>
    </comment>
    <comment authorId="0" ref="F47">
      <text>
        <t xml:space="preserve">850 Alli 
+50 Alli boosted campaign
750 acquire/connect mgmt
1500 Autoleadstar spend </t>
      </text>
    </comment>
    <comment authorId="0" ref="G47">
      <text>
        <t xml:space="preserve">850 Alli 
+50 Alli boosted campaign
750 acquire/connect mgmt
1500 Autoleadstar spend </t>
      </text>
    </comment>
    <comment authorId="0" ref="H47">
      <text>
        <t xml:space="preserve">850 Alli 
+50 Alli boosted campaign
750 acquire/connect mgmt
1500 Autoleadstar spend </t>
      </text>
    </comment>
    <comment authorId="0" ref="I47">
      <text>
        <t xml:space="preserve">850 Alli 
+50 Alli boosted campaign
750 acquire/connect mgmt
1500 Autoleadstar spend </t>
      </text>
    </comment>
    <comment authorId="0" ref="J47">
      <text>
        <t xml:space="preserve">850 Alli 
+50 Alli boosted campaign
750 acquire/connect mgmt
1500 Autoleadstar spend </t>
      </text>
    </comment>
    <comment authorId="0" ref="K47">
      <text>
        <t xml:space="preserve">850 Alli 
+50 Alli boosted campaign
750 acquire/connect mgmt
1500 Autoleadstar spend </t>
      </text>
    </comment>
    <comment authorId="0" ref="L47">
      <text>
        <t xml:space="preserve">850 Alli 
+50 Alli boosted campaign
750 acquire/connect mgmt
1500 Autoleadstar spend </t>
      </text>
    </comment>
    <comment authorId="0" ref="M47">
      <text>
        <t xml:space="preserve">850 Alli 
+50 Alli boosted campaign
750 acquire/connect mgmt
1500 Autoleadstar spend </t>
      </text>
    </comment>
    <comment authorId="0" ref="B48">
      <text>
        <t xml:space="preserve">55.66 Sheehy.com
$350.33 PERQ child site
80 we buy cars</t>
      </text>
    </comment>
    <comment authorId="0" ref="C48">
      <text>
        <t xml:space="preserve">55.66 Sheehy.com
$350.33 PERQ child site
80 we buy cars</t>
      </text>
    </comment>
    <comment authorId="0" ref="D48">
      <text>
        <t xml:space="preserve">55.66 Sheehy.com
$350.33 PERQ child site
80 we buy cars</t>
      </text>
    </comment>
    <comment authorId="0" ref="E48">
      <text>
        <t xml:space="preserve">55.66 Sheehy.com
$350.33 PERQ child site
80 we buy cars</t>
      </text>
    </comment>
    <comment authorId="0" ref="F48">
      <text>
        <t xml:space="preserve">55.66 Sheehy.com
$350.33 PERQ child site
80 we buy cars</t>
      </text>
    </comment>
    <comment authorId="0" ref="G48">
      <text>
        <t xml:space="preserve">55.66 Sheehy.com
$350.33 PERQ child site
80 we buy cars</t>
      </text>
    </comment>
    <comment authorId="0" ref="H48">
      <text>
        <t xml:space="preserve">55.66 Sheehy.com
$350.33 PERQ child site
80 we buy cars</t>
      </text>
    </comment>
    <comment authorId="0" ref="I48">
      <text>
        <t xml:space="preserve">55.66 Sheehy.com
$350.33 PERQ child site
80 we buy cars</t>
      </text>
    </comment>
    <comment authorId="0" ref="J48">
      <text>
        <t xml:space="preserve">55.66 Sheehy.com
$350.33 PERQ child site
80 we buy cars</t>
      </text>
    </comment>
    <comment authorId="0" ref="K48">
      <text>
        <t xml:space="preserve">55.66 Sheehy.com
$350.33 PERQ child site
80 we buy cars</t>
      </text>
    </comment>
    <comment authorId="0" ref="L48">
      <text>
        <t xml:space="preserve">55.66 Sheehy.com
$350.33 PERQ child site
80 we buy cars</t>
      </text>
    </comment>
    <comment authorId="0" ref="M48">
      <text>
        <t xml:space="preserve">55.66 Sheehy.com
$350.33 PERQ child site
80 we buy cars</t>
      </text>
    </comment>
    <comment authorId="0" ref="B55">
      <text>
        <t xml:space="preserve">includes trade/reach and subscription </t>
      </text>
    </comment>
    <comment authorId="0" ref="C55">
      <text>
        <t xml:space="preserve">includes trade/reach and subscription </t>
      </text>
    </comment>
    <comment authorId="0" ref="D55">
      <text>
        <t xml:space="preserve">includes trade/reach and subscription </t>
      </text>
    </comment>
    <comment authorId="0" ref="E55">
      <text>
        <t xml:space="preserve">includes trade/reach and subscription </t>
      </text>
    </comment>
    <comment authorId="0" ref="F55">
      <text>
        <t xml:space="preserve">includes trade/reach and subscription </t>
      </text>
    </comment>
    <comment authorId="0" ref="G55">
      <text>
        <t xml:space="preserve">includes trade/reach and subscription </t>
      </text>
    </comment>
    <comment authorId="0" ref="H55">
      <text>
        <t xml:space="preserve">includes trade/reach and subscription </t>
      </text>
    </comment>
    <comment authorId="0" ref="I55">
      <text>
        <t xml:space="preserve">includes trade/reach and subscription </t>
      </text>
    </comment>
    <comment authorId="0" ref="J55">
      <text>
        <t xml:space="preserve">includes trade/reach and subscription </t>
      </text>
    </comment>
    <comment authorId="0" ref="K55">
      <text>
        <t xml:space="preserve">includes trade/reach and subscription </t>
      </text>
    </comment>
    <comment authorId="0" ref="L55">
      <text>
        <t xml:space="preserve">includes trade/reach and subscription </t>
      </text>
    </comment>
    <comment authorId="0" ref="M55">
      <text>
        <t xml:space="preserve">includes trade/reach and subscription </t>
      </text>
    </comment>
    <comment authorId="0" ref="B56">
      <text>
        <t xml:space="preserve">399 Trade tool with Purecars
351 mgmt fee
57 Data Management fee</t>
      </text>
    </comment>
    <comment authorId="0" ref="C56">
      <text>
        <t xml:space="preserve">399 Trade tool with Purecars
351 mgmt fee
57 Data Management fee</t>
      </text>
    </comment>
    <comment authorId="0" ref="D56">
      <text>
        <t xml:space="preserve">399 Trade tool with Purecars
351 mgmt fee
57 Data Management fee</t>
      </text>
    </comment>
    <comment authorId="0" ref="E56">
      <text>
        <t xml:space="preserve">399 Trade tool with Purecars
351 mgmt fee
57 Data Management fee</t>
      </text>
    </comment>
    <comment authorId="0" ref="F56">
      <text>
        <t xml:space="preserve">399 Trade tool with Purecars
351 mgmt fee
57 Data Management fee</t>
      </text>
    </comment>
    <comment authorId="0" ref="G56">
      <text>
        <t xml:space="preserve">399 Trade tool with Purecars
351 mgmt fee
57 Data Management fee</t>
      </text>
    </comment>
    <comment authorId="0" ref="H56">
      <text>
        <t xml:space="preserve">399 Trade tool with Purecars
351 mgmt fee
57 Data Management fee</t>
      </text>
    </comment>
    <comment authorId="0" ref="I56">
      <text>
        <t xml:space="preserve">399 Trade tool with Purecars
351 mgmt fee
57 Data Management fee</t>
      </text>
    </comment>
    <comment authorId="0" ref="J56">
      <text>
        <t xml:space="preserve">399 Trade tool with Purecars
351 mgmt fee
57 Data Management fee</t>
      </text>
    </comment>
    <comment authorId="0" ref="K56">
      <text>
        <t xml:space="preserve">399 Trade tool with Purecars
351 mgmt fee
57 Data Management fee</t>
      </text>
    </comment>
    <comment authorId="0" ref="L56">
      <text>
        <t xml:space="preserve">399 Trade tool with Purecars
351 mgmt fee
57 Data Management fee</t>
      </text>
    </comment>
    <comment authorId="0" ref="M56">
      <text>
        <t xml:space="preserve">399 Trade tool with Purecars
351 mgmt fee
57 Data Management fee</t>
      </text>
    </comment>
    <comment authorId="0" ref="B59">
      <text>
        <t xml:space="preserve">850 NEW
850 USED
1700 TOTAL
</t>
      </text>
    </comment>
    <comment authorId="0" ref="C59">
      <text>
        <t xml:space="preserve">850 NEW
850 USED
1700 TOTAL
</t>
      </text>
    </comment>
    <comment authorId="0" ref="D59">
      <text>
        <t xml:space="preserve">850 NEW
850 USED
1700 TOTAL
</t>
      </text>
    </comment>
    <comment authorId="0" ref="E59">
      <text>
        <t xml:space="preserve">850 NEW
850 USED
1700 TOTAL
</t>
      </text>
    </comment>
    <comment authorId="0" ref="F59">
      <text>
        <t xml:space="preserve">850 NEW
850 USED
1700 TOTAL
</t>
      </text>
    </comment>
    <comment authorId="0" ref="G59">
      <text>
        <t xml:space="preserve">850 NEW
850 USED
1700 TOTAL
</t>
      </text>
    </comment>
    <comment authorId="0" ref="H59">
      <text>
        <t xml:space="preserve">850 NEW
850 USED
1700 TOTAL
</t>
      </text>
    </comment>
    <comment authorId="0" ref="I59">
      <text>
        <t xml:space="preserve">850 NEW
850 USED
1700 TOTAL
</t>
      </text>
    </comment>
    <comment authorId="0" ref="J59">
      <text>
        <t xml:space="preserve">850 NEW
850 USED
1700 TOTAL
</t>
      </text>
    </comment>
    <comment authorId="0" ref="K59">
      <text>
        <t xml:space="preserve">850 NEW
850 USED
1700 TOTAL
</t>
      </text>
    </comment>
    <comment authorId="0" ref="L59">
      <text>
        <t xml:space="preserve">850 NEW
850 USED
1700 TOTAL
</t>
      </text>
    </comment>
    <comment authorId="0" ref="M59">
      <text>
        <t xml:space="preserve">850 NEW
850 USED
1700 TOTAL
</t>
      </text>
    </comment>
    <comment authorId="0" ref="B63">
      <text>
        <t xml:space="preserve">8900 new
(400 used)
(700 fixed ops)</t>
      </text>
    </comment>
    <comment authorId="0" ref="C63">
      <text>
        <t xml:space="preserve">8900 new
(400 used)
(700 fixed ops)</t>
      </text>
    </comment>
    <comment authorId="0" ref="D63">
      <text>
        <t xml:space="preserve">8900 new
(400 used)
(700 fixed ops)</t>
      </text>
    </comment>
    <comment authorId="0" ref="E63">
      <text>
        <t xml:space="preserve">8900 new
(400 used)
(700 fixed ops)</t>
      </text>
    </comment>
    <comment authorId="0" ref="F63">
      <text>
        <t xml:space="preserve">8900 new
(400 used)
(700 fixed ops)</t>
      </text>
    </comment>
    <comment authorId="0" ref="G63">
      <text>
        <t xml:space="preserve">8900 new
(400 used)
(700 fixed ops)</t>
      </text>
    </comment>
    <comment authorId="0" ref="H63">
      <text>
        <t xml:space="preserve">8900 new
(400 used)
(700 fixed ops)</t>
      </text>
    </comment>
    <comment authorId="0" ref="I63">
      <text>
        <t xml:space="preserve">8900 new
(400 used)
(700 fixed ops)</t>
      </text>
    </comment>
    <comment authorId="0" ref="J63">
      <text>
        <t xml:space="preserve">8900 new
(400 used)
(700 fixed ops)</t>
      </text>
    </comment>
    <comment authorId="0" ref="K63">
      <text>
        <t xml:space="preserve">8900 new
(400 used)
(700 fixed ops)</t>
      </text>
    </comment>
    <comment authorId="0" ref="L63">
      <text>
        <t xml:space="preserve">8900 new
(400 used)
(700 fixed ops)</t>
      </text>
    </comment>
    <comment authorId="0" ref="M63">
      <text>
        <t xml:space="preserve">8900 new
(400 used)
(700 fixed ops)</t>
      </text>
    </comment>
    <comment authorId="0" ref="B72">
      <text>
        <t xml:space="preserve">TBD
</t>
      </text>
    </comment>
    <comment authorId="0" ref="C72">
      <text>
        <t xml:space="preserve">TBD
</t>
      </text>
    </comment>
    <comment authorId="0" ref="D72">
      <text>
        <t xml:space="preserve">TBD
</t>
      </text>
    </comment>
    <comment authorId="0" ref="E72">
      <text>
        <t xml:space="preserve">TBD
</t>
      </text>
    </comment>
    <comment authorId="0" ref="F72">
      <text>
        <t xml:space="preserve">TBD
</t>
      </text>
    </comment>
    <comment authorId="0" ref="G72">
      <text>
        <t xml:space="preserve">TBD
</t>
      </text>
    </comment>
    <comment authorId="0" ref="H72">
      <text>
        <t xml:space="preserve">TBD
</t>
      </text>
    </comment>
    <comment authorId="0" ref="I72">
      <text>
        <t xml:space="preserve">TBD
</t>
      </text>
    </comment>
    <comment authorId="0" ref="J72">
      <text>
        <t xml:space="preserve">TBD
</t>
      </text>
    </comment>
    <comment authorId="0" ref="K72">
      <text>
        <t xml:space="preserve">TBD
</t>
      </text>
    </comment>
    <comment authorId="0" ref="L72">
      <text>
        <t xml:space="preserve">TBD
</t>
      </text>
    </comment>
    <comment authorId="0" ref="M72">
      <text>
        <t xml:space="preserve">TBD
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B74">
      <text>
        <t xml:space="preserve">850 NEW
850 USED
1700 TOTAL
</t>
      </text>
    </comment>
    <comment authorId="0" ref="C74">
      <text>
        <t xml:space="preserve">850 NEW
850 USED
1700 TOTAL
</t>
      </text>
    </comment>
    <comment authorId="0" ref="D74">
      <text>
        <t xml:space="preserve">850 NEW
850 USED
1700 TOTAL
</t>
      </text>
    </comment>
    <comment authorId="0" ref="E74">
      <text>
        <t xml:space="preserve">850 NEW
850 USED
1700 TOTAL
</t>
      </text>
    </comment>
    <comment authorId="0" ref="F74">
      <text>
        <t xml:space="preserve">850 NEW
850 USED
1700 TOTAL
</t>
      </text>
    </comment>
    <comment authorId="0" ref="G74">
      <text>
        <t xml:space="preserve">850 NEW
850 USED
1700 TOTAL
</t>
      </text>
    </comment>
    <comment authorId="0" ref="H74">
      <text>
        <t xml:space="preserve">850 NEW
850 USED
1700 TOTAL
</t>
      </text>
    </comment>
    <comment authorId="0" ref="I74">
      <text>
        <t xml:space="preserve">850 NEW
850 USED
1700 TOTAL
</t>
      </text>
    </comment>
    <comment authorId="0" ref="J74">
      <text>
        <t xml:space="preserve">850 NEW
850 USED
1700 TOTAL
</t>
      </text>
    </comment>
    <comment authorId="0" ref="K74">
      <text>
        <t xml:space="preserve">850 NEW
850 USED
1700 TOTAL
</t>
      </text>
    </comment>
    <comment authorId="0" ref="L74">
      <text>
        <t xml:space="preserve">850 NEW
850 USED
1700 TOTAL
</t>
      </text>
    </comment>
    <comment authorId="0" ref="M74">
      <text>
        <t xml:space="preserve">850 NEW
850 USED
1700 TOTAL
</t>
      </text>
    </comment>
    <comment authorId="0" ref="B76">
      <text>
        <t xml:space="preserve">799 autoipacket used
49 vauto integration</t>
      </text>
    </comment>
    <comment authorId="0" ref="C76">
      <text>
        <t xml:space="preserve">799 autoipacket used
49 vauto integration</t>
      </text>
    </comment>
    <comment authorId="0" ref="D76">
      <text>
        <t xml:space="preserve">799 autoipacket used
49 vauto integration</t>
      </text>
    </comment>
    <comment authorId="0" ref="E76">
      <text>
        <t xml:space="preserve">799 autoipacket used
49 vauto integration</t>
      </text>
    </comment>
    <comment authorId="0" ref="F76">
      <text>
        <t xml:space="preserve">799 autoipacket used
49 vauto integration</t>
      </text>
    </comment>
    <comment authorId="0" ref="G76">
      <text>
        <t xml:space="preserve">799 autoipacket used
49 vauto integration</t>
      </text>
    </comment>
    <comment authorId="0" ref="H76">
      <text>
        <t xml:space="preserve">799 autoipacket used
49 vauto integration</t>
      </text>
    </comment>
    <comment authorId="0" ref="I76">
      <text>
        <t xml:space="preserve">799 autoipacket used
49 vauto integration</t>
      </text>
    </comment>
    <comment authorId="0" ref="J76">
      <text>
        <t xml:space="preserve">799 autoipacket used
49 vauto integration</t>
      </text>
    </comment>
    <comment authorId="0" ref="K76">
      <text>
        <t xml:space="preserve">799 autoipacket used
49 vauto integration</t>
      </text>
    </comment>
    <comment authorId="0" ref="L76">
      <text>
        <t xml:space="preserve">799 autoipacket used
49 vauto integration</t>
      </text>
    </comment>
    <comment authorId="0" ref="M76">
      <text>
        <t xml:space="preserve">799 autoipacket used
49 vauto integration</t>
      </text>
    </comment>
    <comment authorId="0" ref="B79">
      <text>
        <t xml:space="preserve">4105 kbb buying center (enrolled 11/15/21)</t>
      </text>
    </comment>
    <comment authorId="0" ref="C79">
      <text>
        <t xml:space="preserve">4105 kbb buying center (enrolled 11/15/21)</t>
      </text>
    </comment>
    <comment authorId="0" ref="D79">
      <text>
        <t xml:space="preserve">4105 kbb buying center (enrolled 11/15/21)</t>
      </text>
    </comment>
    <comment authorId="0" ref="E79">
      <text>
        <t xml:space="preserve">4105 kbb buying center (enrolled 11/15/21)</t>
      </text>
    </comment>
    <comment authorId="0" ref="F79">
      <text>
        <t xml:space="preserve">4105 kbb buying center (enrolled 11/15/21)</t>
      </text>
    </comment>
    <comment authorId="0" ref="G79">
      <text>
        <t xml:space="preserve">4105 kbb buying center (enrolled 11/15/21)</t>
      </text>
    </comment>
    <comment authorId="0" ref="H79">
      <text>
        <t xml:space="preserve">4105 kbb buying center (enrolled 11/15/21)</t>
      </text>
    </comment>
    <comment authorId="0" ref="I79">
      <text>
        <t xml:space="preserve">4105 kbb buying center (enrolled 11/15/21)</t>
      </text>
    </comment>
    <comment authorId="0" ref="J79">
      <text>
        <t xml:space="preserve">4105 kbb buying center (enrolled 11/15/21)</t>
      </text>
    </comment>
    <comment authorId="0" ref="K79">
      <text>
        <t xml:space="preserve">4105 kbb buying center (enrolled 11/15/21)</t>
      </text>
    </comment>
    <comment authorId="0" ref="L79">
      <text>
        <t xml:space="preserve">4105 kbb buying center (enrolled 11/15/21)</t>
      </text>
    </comment>
    <comment authorId="0" ref="M79">
      <text>
        <t xml:space="preserve">4105 kbb buying center (enrolled 11/15/21)</t>
      </text>
    </comment>
    <comment authorId="0" ref="B80">
      <text>
        <t xml:space="preserve">$2,150 Enhanced</t>
      </text>
    </comment>
    <comment authorId="0" ref="C80">
      <text>
        <t xml:space="preserve">$2,150 Enhanced</t>
      </text>
    </comment>
    <comment authorId="0" ref="D80">
      <text>
        <t xml:space="preserve">$2,150 Enhanced</t>
      </text>
    </comment>
    <comment authorId="0" ref="E80">
      <text>
        <t xml:space="preserve">$2,150 Enhanced</t>
      </text>
    </comment>
    <comment authorId="0" ref="F80">
      <text>
        <t xml:space="preserve">$2,150 Enhanced</t>
      </text>
    </comment>
    <comment authorId="0" ref="G80">
      <text>
        <t xml:space="preserve">$2,150 Enhanced</t>
      </text>
    </comment>
    <comment authorId="0" ref="H80">
      <text>
        <t xml:space="preserve">$2,150 Enhanced</t>
      </text>
    </comment>
    <comment authorId="0" ref="I80">
      <text>
        <t xml:space="preserve">$2,150 Enhanced</t>
      </text>
    </comment>
    <comment authorId="0" ref="J80">
      <text>
        <t xml:space="preserve">$2,150 Enhanced</t>
      </text>
    </comment>
    <comment authorId="0" ref="K80">
      <text>
        <t xml:space="preserve">$2,150 Enhanced</t>
      </text>
    </comment>
    <comment authorId="0" ref="L80">
      <text>
        <t xml:space="preserve">$2,150 Enhanced</t>
      </text>
    </comment>
    <comment authorId="0" ref="M80">
      <text>
        <t xml:space="preserve">$2,150 Enhanced</t>
      </text>
    </comment>
    <comment authorId="0" ref="B81">
      <text>
        <t xml:space="preserve">400 used</t>
      </text>
    </comment>
    <comment authorId="0" ref="C81">
      <text>
        <t xml:space="preserve">400 used</t>
      </text>
    </comment>
    <comment authorId="0" ref="D81">
      <text>
        <t xml:space="preserve">400 used</t>
      </text>
    </comment>
    <comment authorId="0" ref="E81">
      <text>
        <t xml:space="preserve">400 used</t>
      </text>
    </comment>
    <comment authorId="0" ref="F81">
      <text>
        <t xml:space="preserve">400 used</t>
      </text>
    </comment>
    <comment authorId="0" ref="G81">
      <text>
        <t xml:space="preserve">400 used</t>
      </text>
    </comment>
    <comment authorId="0" ref="H81">
      <text>
        <t xml:space="preserve">400 used</t>
      </text>
    </comment>
    <comment authorId="0" ref="I81">
      <text>
        <t xml:space="preserve">400 used</t>
      </text>
    </comment>
    <comment authorId="0" ref="J81">
      <text>
        <t xml:space="preserve">400 used</t>
      </text>
    </comment>
    <comment authorId="0" ref="K81">
      <text>
        <t xml:space="preserve">400 used</t>
      </text>
    </comment>
    <comment authorId="0" ref="L81">
      <text>
        <t xml:space="preserve">400 used</t>
      </text>
    </comment>
    <comment authorId="0" ref="M81">
      <text>
        <t xml:space="preserve">400 used</t>
      </text>
    </comment>
    <comment authorId="0" ref="F93">
      <text>
        <t xml:space="preserve">$190.80 Sheehy Value wide standee
</t>
      </text>
    </comment>
    <comment authorId="0" ref="G93">
      <text>
        <t xml:space="preserve">$1080 Used Car Replacement Pole Banners
$1376 select/value window clings</t>
      </text>
    </comment>
    <comment authorId="0" ref="H93">
      <text>
        <t xml:space="preserve">$1458.55 window pannels</t>
      </text>
    </comment>
    <comment authorId="0" ref="I93">
      <text>
        <t xml:space="preserve">$1,195.68 Pole Banners</t>
      </text>
    </comment>
    <comment authorId="0" ref="K94">
      <text>
        <t xml:space="preserve">$180 Polin
$200 boxes
</t>
      </text>
    </comment>
    <comment authorId="0" ref="B103">
      <text>
        <t xml:space="preserve">$500 Other Group Digital </t>
      </text>
    </comment>
    <comment authorId="0" ref="C103">
      <text>
        <t xml:space="preserve">$500 Other Group Digital </t>
      </text>
    </comment>
    <comment authorId="0" ref="D103">
      <text>
        <t xml:space="preserve">$200 Other Group Digital 
$113.63 WJA sponsorship</t>
      </text>
    </comment>
    <comment authorId="0" ref="E103">
      <text>
        <t xml:space="preserve">$500 Other Group Digital </t>
      </text>
    </comment>
    <comment authorId="0" ref="F103">
      <text>
        <t xml:space="preserve">$500 Other Group Digital </t>
      </text>
    </comment>
    <comment authorId="0" ref="G103">
      <text>
        <t xml:space="preserve">$605 Other Group Digital </t>
      </text>
    </comment>
    <comment authorId="0" ref="H103">
      <text>
        <t xml:space="preserve">$605 Other Group Digital </t>
      </text>
    </comment>
    <comment authorId="0" ref="I103">
      <text>
        <t xml:space="preserve">$500 Other Group Digital </t>
      </text>
    </comment>
    <comment authorId="0" ref="J103">
      <text>
        <t xml:space="preserve">$500 Other Group Digital </t>
      </text>
    </comment>
    <comment authorId="0" ref="K103">
      <text>
        <t xml:space="preserve">$500 Other Group Digital </t>
      </text>
    </comment>
    <comment authorId="0" ref="L103">
      <text>
        <t xml:space="preserve">$500 Other Group Digital </t>
      </text>
    </comment>
    <comment authorId="0" ref="M103">
      <text>
        <t xml:space="preserve">$500 Other Group Digital </t>
      </text>
    </comment>
    <comment authorId="0" ref="B115">
      <text>
        <t xml:space="preserve">$1,695 Easy Care
</t>
      </text>
    </comment>
    <comment authorId="0" ref="C115">
      <text>
        <t xml:space="preserve">$1,695 Easy Care
</t>
      </text>
    </comment>
    <comment authorId="0" ref="D115">
      <text>
        <t xml:space="preserve">$1,695 Easy Care
</t>
      </text>
    </comment>
    <comment authorId="0" ref="E115">
      <text>
        <t xml:space="preserve">$1,695 Easy Care
</t>
      </text>
    </comment>
    <comment authorId="0" ref="F115">
      <text>
        <t xml:space="preserve">$1,695 Easy Care
</t>
      </text>
    </comment>
    <comment authorId="0" ref="G115">
      <text>
        <t xml:space="preserve">$1,695 Easy Care
</t>
      </text>
    </comment>
    <comment authorId="0" ref="H115">
      <text>
        <t xml:space="preserve">$1,695 Easy Care
</t>
      </text>
    </comment>
    <comment authorId="0" ref="I115">
      <text>
        <t xml:space="preserve">$1,695 Easy Care
</t>
      </text>
    </comment>
    <comment authorId="0" ref="J115">
      <text>
        <t xml:space="preserve">$1,695 Easy Care
</t>
      </text>
    </comment>
    <comment authorId="0" ref="K115">
      <text>
        <t xml:space="preserve">$1,695 Easy Care
</t>
      </text>
    </comment>
    <comment authorId="0" ref="L115">
      <text>
        <t xml:space="preserve">$1,695 Easy Care
</t>
      </text>
    </comment>
    <comment authorId="0" ref="M115">
      <text>
        <t xml:space="preserve">$1,695 Easy Care
</t>
      </text>
    </comment>
    <comment authorId="0" ref="B117">
      <text>
        <t xml:space="preserve">2100 trigger mail
$3,837.76 quarterly mailer</t>
      </text>
    </comment>
    <comment authorId="0" ref="C117">
      <text>
        <t xml:space="preserve">2100 trigger mail</t>
      </text>
    </comment>
    <comment authorId="0" ref="D117">
      <text>
        <t xml:space="preserve">2100 trigger mail</t>
      </text>
    </comment>
    <comment authorId="0" ref="E117">
      <text>
        <t xml:space="preserve">2100 trigger mail
$3,837.76 quarterly mailer</t>
      </text>
    </comment>
    <comment authorId="0" ref="F117">
      <text>
        <t xml:space="preserve">2100 trigger mail</t>
      </text>
    </comment>
    <comment authorId="0" ref="G117">
      <text>
        <t xml:space="preserve">2100 trigger mail</t>
      </text>
    </comment>
    <comment authorId="0" ref="H117">
      <text>
        <t xml:space="preserve">2100 trigger mail
$3,837.76 quarterly mailer</t>
      </text>
    </comment>
    <comment authorId="0" ref="I117">
      <text>
        <t xml:space="preserve">2100 trigger mail</t>
      </text>
    </comment>
    <comment authorId="0" ref="J117">
      <text>
        <t xml:space="preserve">2100 trigger mail</t>
      </text>
    </comment>
    <comment authorId="0" ref="K117">
      <text>
        <t xml:space="preserve">2100 trigger mail
3922.85 Q3 recovery mailer</t>
      </text>
    </comment>
    <comment authorId="0" ref="L117">
      <text>
        <t xml:space="preserve">2100 trigger mail</t>
      </text>
    </comment>
    <comment authorId="0" ref="M117">
      <text>
        <t xml:space="preserve">2100 trigger mail</t>
      </text>
    </comment>
    <comment authorId="0" ref="B118">
      <text>
        <t xml:space="preserve">700 fixed ops
+300 starting feb
+500 starting in dec 2021
Total 1500 fixed ops spend</t>
      </text>
    </comment>
    <comment authorId="0" ref="C118">
      <text>
        <t xml:space="preserve">700 fixed ops
+300 starting feb
+500 starting in dec 2021
Total 1500 fixed ops spend</t>
      </text>
    </comment>
    <comment authorId="0" ref="D118">
      <text>
        <t xml:space="preserve">700 fixed ops
+300 starting feb
+500 starting in dec 2021
Total 1500 fixed ops spend</t>
      </text>
    </comment>
    <comment authorId="0" ref="E118">
      <text>
        <t xml:space="preserve">700 fixed ops
+300 starting feb
+500 starting in dec 2021
Total 1500 fixed ops spend</t>
      </text>
    </comment>
    <comment authorId="0" ref="F118">
      <text>
        <t xml:space="preserve">700 fixed ops
+300 starting feb
+500 starting in dec 2021
Total 1500 fixed ops spend</t>
      </text>
    </comment>
    <comment authorId="0" ref="G118">
      <text>
        <t xml:space="preserve">700 fixed ops
+300 starting feb
+500 starting in dec 2021
Total 1500 fixed ops spend</t>
      </text>
    </comment>
    <comment authorId="0" ref="H118">
      <text>
        <t xml:space="preserve">700 fixed ops
+300 starting feb
+500 starting in dec 2021
Total 1500 fixed ops spend</t>
      </text>
    </comment>
    <comment authorId="0" ref="I118">
      <text>
        <t xml:space="preserve">700 fixed ops
+300 starting feb
+500 starting in dec 2021
Total 1500 fixed ops spend</t>
      </text>
    </comment>
    <comment authorId="0" ref="J118">
      <text>
        <t xml:space="preserve">700 fixed ops
+300 starting feb
+500 starting in dec 2021
Total 1500 fixed ops spend</t>
      </text>
    </comment>
    <comment authorId="0" ref="K118">
      <text>
        <t xml:space="preserve">700 fixed ops
+300 starting feb
+500 starting in dec 2021
Total 1500 fixed ops spend</t>
      </text>
    </comment>
    <comment authorId="0" ref="L118">
      <text>
        <t xml:space="preserve">700 fixed ops
+300 starting feb
+500 starting in dec 2021
Total 1500 fixed ops spend</t>
      </text>
    </comment>
    <comment authorId="0" ref="M118">
      <text>
        <t xml:space="preserve">700 fixed ops
+300 starting feb
+500 starting in dec 2021
Total 1500 fixed ops spend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9">
      <text>
        <t xml:space="preserve">($5750 total invoice for 16 DC stores split over 2 mos ea. ) </t>
      </text>
    </comment>
    <comment authorId="0" ref="C19">
      <text>
        <t xml:space="preserve">($5750 total invoice for 16 DC stores split over 2 mos ea. ) </t>
      </text>
    </comment>
    <comment authorId="0" ref="B34">
      <text>
        <t xml:space="preserve">1050 Dealerfire 
850  AAG (SEO)
61.9 sheehy.com portal site
$295 AutoHook
$200 Hyundai Website Program call tracking</t>
      </text>
    </comment>
    <comment authorId="0" ref="C34">
      <text>
        <t xml:space="preserve">1050 Dealerfire 
850  AAG (SEO)
61.9 sheehy.com portal site
$295 AutoHook
$200 Hyundai Website Program call tracking</t>
      </text>
    </comment>
    <comment authorId="0" ref="D34">
      <text>
        <t xml:space="preserve">1050 Dealerfire 
850  AAG (SEO)
61.9 sheehy.com portal site
$295 AutoHook
$200 Hyundai Website Program call tracking</t>
      </text>
    </comment>
    <comment authorId="0" ref="E34">
      <text>
        <t xml:space="preserve">1050 Dealerfire 
850  AAG (SEO)
61.9 sheehy.com portal site
$295 AutoHook
$200 Hyundai Website Program call tracking</t>
      </text>
    </comment>
    <comment authorId="0" ref="F34">
      <text>
        <t xml:space="preserve">1050 Dealerfire 
850  AAG (SEO)
61.9 sheehy.com portal site
$295 AutoHook
$200 Hyundai Website Program call tracking</t>
      </text>
    </comment>
    <comment authorId="0" ref="G34">
      <text>
        <t xml:space="preserve">1050 Dealerfire 
850  AAG (SEO)
61.9 sheehy.com portal site
$295 AutoHook
$200 Hyundai Website Program call tracking</t>
      </text>
    </comment>
    <comment authorId="0" ref="H34">
      <text>
        <t xml:space="preserve">1050 Dealerfire 
850  AAG (SEO)
61.9 sheehy.com portal site
$295 AutoHook
$200 Hyundai Website Program call tracking</t>
      </text>
    </comment>
    <comment authorId="0" ref="I34">
      <text>
        <t xml:space="preserve">1050 Dealerfire 
850  AAG (SEO)
61.9 sheehy.com portal site
$295 AutoHook
$200 Hyundai Website Program call tracking</t>
      </text>
    </comment>
    <comment authorId="0" ref="J34">
      <text>
        <t xml:space="preserve">1050 Dealerfire 
850  AAG (SEO)
61.9 sheehy.com portal site
$295 AutoHook
$200 Hyundai Website Program call tracking</t>
      </text>
    </comment>
    <comment authorId="0" ref="K34">
      <text>
        <t xml:space="preserve">1050 Dealerfire 
850  AAG (SEO)
61.9 sheehy.com portal site
$295 AutoHook
$200 Hyundai Website Program call tracking</t>
      </text>
    </comment>
    <comment authorId="0" ref="L34">
      <text>
        <t xml:space="preserve">1050 Dealerfire 
850  AAG (SEO)
61.9 sheehy.com portal site
$295 AutoHook
$200 Hyundai Website Program call tracking</t>
      </text>
    </comment>
    <comment authorId="0" ref="M34">
      <text>
        <t xml:space="preserve">1050 Dealerfire 
850  AAG (SEO)
61.9 sheehy.com portal site
$295 AutoHook
$200 Hyundai Website Program call tracking</t>
      </text>
    </comment>
    <comment authorId="0" ref="B36">
      <text>
        <t xml:space="preserve">395 texting
75 DL scanner</t>
      </text>
    </comment>
    <comment authorId="0" ref="C36">
      <text>
        <t xml:space="preserve">395 texting
75 DL scanner</t>
      </text>
    </comment>
    <comment authorId="0" ref="D36">
      <text>
        <t xml:space="preserve">395 texting
75 DL scanner</t>
      </text>
    </comment>
    <comment authorId="0" ref="E36">
      <text>
        <t xml:space="preserve">395 texting
75 DL scanner</t>
      </text>
    </comment>
    <comment authorId="0" ref="F36">
      <text>
        <t xml:space="preserve">395 texting
75 DL scanner</t>
      </text>
    </comment>
    <comment authorId="0" ref="G36">
      <text>
        <t xml:space="preserve">395 texting
75 DL scanner</t>
      </text>
    </comment>
    <comment authorId="0" ref="H36">
      <text>
        <t xml:space="preserve">395 texting
75 DL scanner</t>
      </text>
    </comment>
    <comment authorId="0" ref="I36">
      <text>
        <t xml:space="preserve">395 texting
75 DL scanner</t>
      </text>
    </comment>
    <comment authorId="0" ref="J36">
      <text>
        <t xml:space="preserve">395 texting
75 DL scanner</t>
      </text>
    </comment>
    <comment authorId="0" ref="K36">
      <text>
        <t xml:space="preserve">395 texting
75 DL scanner</t>
      </text>
    </comment>
    <comment authorId="0" ref="L36">
      <text>
        <t xml:space="preserve">395 texting
75 DL scanner</t>
      </text>
    </comment>
    <comment authorId="0" ref="M36">
      <text>
        <t xml:space="preserve">395 texting
75 DL scanner</t>
      </text>
    </comment>
    <comment authorId="0" ref="B41">
      <text>
        <t xml:space="preserve">$2,765 automotive mastermind</t>
      </text>
    </comment>
    <comment authorId="0" ref="C41">
      <text>
        <t xml:space="preserve">$2,765 automotive mastermind</t>
      </text>
    </comment>
    <comment authorId="0" ref="D41">
      <text>
        <t xml:space="preserve">$2,765 automotive mastermind</t>
      </text>
    </comment>
    <comment authorId="0" ref="E41">
      <text>
        <t xml:space="preserve">$2,765 automotive mastermind</t>
      </text>
    </comment>
    <comment authorId="0" ref="F41">
      <text>
        <t xml:space="preserve">$2,765 automotive mastermind</t>
      </text>
    </comment>
    <comment authorId="0" ref="G41">
      <text>
        <t xml:space="preserve">$2,765 automotive mastermind</t>
      </text>
    </comment>
    <comment authorId="0" ref="H41">
      <text>
        <t xml:space="preserve">$2,765 automotive mastermind</t>
      </text>
    </comment>
    <comment authorId="0" ref="I41">
      <text>
        <t xml:space="preserve">$2,765 automotive mastermind</t>
      </text>
    </comment>
    <comment authorId="0" ref="J41">
      <text>
        <t xml:space="preserve">$2,765 automotive mastermind</t>
      </text>
    </comment>
    <comment authorId="0" ref="K41">
      <text>
        <t xml:space="preserve">$2,765 automotive mastermind</t>
      </text>
    </comment>
    <comment authorId="0" ref="L41">
      <text>
        <t xml:space="preserve">$2,765 automotive mastermind</t>
      </text>
    </comment>
    <comment authorId="0" ref="M41">
      <text>
        <t xml:space="preserve">$2,765 automotive mastermind</t>
      </text>
    </comment>
    <comment authorId="0" ref="B42">
      <text>
        <t xml:space="preserve">365 switched to car chat 24
</t>
      </text>
    </comment>
    <comment authorId="0" ref="C42">
      <text>
        <t xml:space="preserve">365 switched to car chat 24
</t>
      </text>
    </comment>
    <comment authorId="0" ref="D42">
      <text>
        <t xml:space="preserve">365 switched to car chat 24
</t>
      </text>
    </comment>
    <comment authorId="0" ref="E42">
      <text>
        <t xml:space="preserve">365 switched to car chat 24
</t>
      </text>
    </comment>
    <comment authorId="0" ref="F42">
      <text>
        <t xml:space="preserve">365 switched to car chat 24
</t>
      </text>
    </comment>
    <comment authorId="0" ref="G42">
      <text>
        <t xml:space="preserve">365 switched to car chat 24
</t>
      </text>
    </comment>
    <comment authorId="0" ref="H42">
      <text>
        <t xml:space="preserve">365 switched to car chat 24
</t>
      </text>
    </comment>
    <comment authorId="0" ref="I42">
      <text>
        <t xml:space="preserve">365 switched to car chat 24
</t>
      </text>
    </comment>
    <comment authorId="0" ref="J42">
      <text>
        <t xml:space="preserve">365 switched to car chat 24
</t>
      </text>
    </comment>
    <comment authorId="0" ref="K42">
      <text>
        <t xml:space="preserve">365 switched to car chat 24
</t>
      </text>
    </comment>
    <comment authorId="0" ref="L42">
      <text>
        <t xml:space="preserve">365 switched to car chat 24
</t>
      </text>
    </comment>
    <comment authorId="0" ref="M42">
      <text>
        <t xml:space="preserve">365 switched to car chat 24
</t>
      </text>
    </comment>
    <comment authorId="0" ref="B44">
      <text>
        <t xml:space="preserve">499 finance driver 
Roadster launching ??</t>
      </text>
    </comment>
    <comment authorId="0" ref="C44">
      <text>
        <t xml:space="preserve">499 finance driver 
Roadster launching ??</t>
      </text>
    </comment>
    <comment authorId="0" ref="D44">
      <text>
        <t xml:space="preserve">499 finance driver 
Roadster launching ??</t>
      </text>
    </comment>
    <comment authorId="0" ref="E44">
      <text>
        <t xml:space="preserve">499 finance driver 
Roadster launching ??</t>
      </text>
    </comment>
    <comment authorId="0" ref="F44">
      <text>
        <t xml:space="preserve">499 finance driver 
Roadster launching ??</t>
      </text>
    </comment>
    <comment authorId="0" ref="G44">
      <text>
        <t xml:space="preserve">499 finance driver 
Roadster launching ??</t>
      </text>
    </comment>
    <comment authorId="0" ref="H44">
      <text>
        <t xml:space="preserve">499 finance driver 
Roadster launching ??</t>
      </text>
    </comment>
    <comment authorId="0" ref="I44">
      <text>
        <t xml:space="preserve">499 finance driver 
Roadster launching ??</t>
      </text>
    </comment>
    <comment authorId="0" ref="J44">
      <text>
        <t xml:space="preserve">499 finance driver 
Roadster launching ??</t>
      </text>
    </comment>
    <comment authorId="0" ref="K44">
      <text>
        <t xml:space="preserve">499 finance driver 
Roadster launching ??</t>
      </text>
    </comment>
    <comment authorId="0" ref="L44">
      <text>
        <t xml:space="preserve">499 finance driver 
Roadster launching ??</t>
      </text>
    </comment>
    <comment authorId="0" ref="M44">
      <text>
        <t xml:space="preserve">499 finance driver 
Roadster launching ??</t>
      </text>
    </comment>
    <comment authorId="0" ref="B45">
      <text>
        <t xml:space="preserve">45 Yelp 
97.5 Reputation.com
448 podium</t>
      </text>
    </comment>
    <comment authorId="0" ref="C45">
      <text>
        <t xml:space="preserve">45 Yelp 
97.5 Reputation.com
448 podium</t>
      </text>
    </comment>
    <comment authorId="0" ref="D45">
      <text>
        <t xml:space="preserve">45 Yelp 
97.5 Reputation.com
448 podium</t>
      </text>
    </comment>
    <comment authorId="0" ref="E45">
      <text>
        <t xml:space="preserve">45 Yelp 
97.5 Reputation.com
448 podium</t>
      </text>
    </comment>
    <comment authorId="0" ref="F45">
      <text>
        <t xml:space="preserve">45 Yelp 
97.5 Reputation.com
448 podium</t>
      </text>
    </comment>
    <comment authorId="0" ref="G45">
      <text>
        <t xml:space="preserve">45 Yelp 
97.5 Reputation.com
448 podium</t>
      </text>
    </comment>
    <comment authorId="0" ref="H45">
      <text>
        <t xml:space="preserve">45 Yelp 
97.5 Reputation.com
448 podium</t>
      </text>
    </comment>
    <comment authorId="0" ref="I45">
      <text>
        <t xml:space="preserve">45 Yelp 
97.5 Reputation.com
448 podium</t>
      </text>
    </comment>
    <comment authorId="0" ref="J45">
      <text>
        <t xml:space="preserve">45 Yelp 
97.5 Reputation.com
448 podium</t>
      </text>
    </comment>
    <comment authorId="0" ref="K45">
      <text>
        <t xml:space="preserve">45 Yelp 
97.5 Reputation.com
448 podium</t>
      </text>
    </comment>
    <comment authorId="0" ref="L45">
      <text>
        <t xml:space="preserve">45 Yelp 
97.5 Reputation.com
448 podium</t>
      </text>
    </comment>
    <comment authorId="0" ref="M45">
      <text>
        <t xml:space="preserve">45 Yelp 
97.5 Reputation.com
448 podium</t>
      </text>
    </comment>
    <comment authorId="0" ref="B47">
      <text>
        <t xml:space="preserve">850 alli
750 autoleadstar mmt
2500 budget
+500 again starting feb
</t>
      </text>
    </comment>
    <comment authorId="0" ref="C47">
      <text>
        <t xml:space="preserve">850 alli
750 autoleadstar mmt
2500 budget
+500 again starting feb
</t>
      </text>
    </comment>
    <comment authorId="0" ref="D47">
      <text>
        <t xml:space="preserve">850 alli
750 autoleadstar mmt
2500 budget
+500 again starting feb
</t>
      </text>
    </comment>
    <comment authorId="0" ref="E47">
      <text>
        <t xml:space="preserve">850 alli
750 autoleadstar mmt
2500 budget
+500 again starting feb
</t>
      </text>
    </comment>
    <comment authorId="0" ref="F47">
      <text>
        <t xml:space="preserve">850 alli
750 autoleadstar mmt
2500 budget
+500 again starting feb
</t>
      </text>
    </comment>
    <comment authorId="0" ref="G47">
      <text>
        <t xml:space="preserve">850 alli
750 autoleadstar mmt
2500 budget
+500 again starting feb
</t>
      </text>
    </comment>
    <comment authorId="0" ref="H47">
      <text>
        <t xml:space="preserve">850 alli
750 autoleadstar mmt
2500 budget
+500 again starting feb
</t>
      </text>
    </comment>
    <comment authorId="0" ref="I47">
      <text>
        <t xml:space="preserve">850 alli
750 autoleadstar mmt
2500 budget
+500 again starting feb
</t>
      </text>
    </comment>
    <comment authorId="0" ref="J47">
      <text>
        <t xml:space="preserve">850 alli
750 autoleadstar mmt
2500 budget
+500 again starting feb
</t>
      </text>
    </comment>
    <comment authorId="0" ref="K47">
      <text>
        <t xml:space="preserve">850 alli
750 autoleadstar mmt
2500 budget
+500 again starting feb
</t>
      </text>
    </comment>
    <comment authorId="0" ref="L47">
      <text>
        <t xml:space="preserve">850 alli
750 autoleadstar mmt
2500 budget
+500 again starting feb
</t>
      </text>
    </comment>
    <comment authorId="0" ref="M47">
      <text>
        <t xml:space="preserve">850 alli
750 autoleadstar mmt
2500 budget
+500 again starting feb
</t>
      </text>
    </comment>
    <comment authorId="0" ref="B48">
      <text>
        <t xml:space="preserve">55.66 Sheehy.com
$350.33 PERQ child site
80 we buy cars</t>
      </text>
    </comment>
    <comment authorId="0" ref="C48">
      <text>
        <t xml:space="preserve">55.66 Sheehy.com
$350.33 PERQ child site
80 we buy cars</t>
      </text>
    </comment>
    <comment authorId="0" ref="D48">
      <text>
        <t xml:space="preserve">55.66 Sheehy.com
$350.33 PERQ child site
80 we buy cars</t>
      </text>
    </comment>
    <comment authorId="0" ref="E48">
      <text>
        <t xml:space="preserve">55.66 Sheehy.com
$350.33 PERQ child site
80 we buy cars</t>
      </text>
    </comment>
    <comment authorId="0" ref="F48">
      <text>
        <t xml:space="preserve">55.66 Sheehy.com
$350.33 PERQ child site
80 we buy cars</t>
      </text>
    </comment>
    <comment authorId="0" ref="G48">
      <text>
        <t xml:space="preserve">55.66 Sheehy.com
$350.33 PERQ child site
80 we buy cars</t>
      </text>
    </comment>
    <comment authorId="0" ref="H48">
      <text>
        <t xml:space="preserve">55.66 Sheehy.com
$350.33 PERQ child site
80 we buy cars</t>
      </text>
    </comment>
    <comment authorId="0" ref="I48">
      <text>
        <t xml:space="preserve">55.66 Sheehy.com
$350.33 PERQ child site
80 we buy cars</t>
      </text>
    </comment>
    <comment authorId="0" ref="J48">
      <text>
        <t xml:space="preserve">55.66 Sheehy.com
$350.33 PERQ child site
80 we buy cars</t>
      </text>
    </comment>
    <comment authorId="0" ref="K48">
      <text>
        <t xml:space="preserve">55.66 Sheehy.com
$350.33 PERQ child site
80 we buy cars</t>
      </text>
    </comment>
    <comment authorId="0" ref="L48">
      <text>
        <t xml:space="preserve">55.66 Sheehy.com
$350.33 PERQ child site
80 we buy cars</t>
      </text>
    </comment>
    <comment authorId="0" ref="M48">
      <text>
        <t xml:space="preserve">55.66 Sheehy.com
$350.33 PERQ child site
80 we buy cars</t>
      </text>
    </comment>
    <comment authorId="0" ref="B54">
      <text>
        <t xml:space="preserve">increased to 2500 becauser that's closer to what OEM leads are being billed at store</t>
      </text>
    </comment>
    <comment authorId="0" ref="C54">
      <text>
        <t xml:space="preserve">increased to 2500 becauser that's closer to what OEM leads are being billed at store</t>
      </text>
    </comment>
    <comment authorId="0" ref="D54">
      <text>
        <t xml:space="preserve">increased to 2500 becauser that's closer to what OEM leads are being billed at store</t>
      </text>
    </comment>
    <comment authorId="0" ref="E54">
      <text>
        <t xml:space="preserve">increased to 2500 becauser that's closer to what OEM leads are being billed at store</t>
      </text>
    </comment>
    <comment authorId="0" ref="F54">
      <text>
        <t xml:space="preserve">increased to 2500 becauser that's closer to what OEM leads are being billed at store</t>
      </text>
    </comment>
    <comment authorId="0" ref="G54">
      <text>
        <t xml:space="preserve">increased to 2500 becauser that's closer to what OEM leads are being billed at store</t>
      </text>
    </comment>
    <comment authorId="0" ref="H54">
      <text>
        <t xml:space="preserve">increased to 2500 becauser that's closer to what OEM leads are being billed at store</t>
      </text>
    </comment>
    <comment authorId="0" ref="I54">
      <text>
        <t xml:space="preserve">increased to 2500 becauser that's closer to what OEM leads are being billed at store</t>
      </text>
    </comment>
    <comment authorId="0" ref="J54">
      <text>
        <t xml:space="preserve">increased to 2500 becauser that's closer to what OEM leads are being billed at store</t>
      </text>
    </comment>
    <comment authorId="0" ref="K54">
      <text>
        <t xml:space="preserve">increased to 2500 becauser that's closer to what OEM leads are being billed at store</t>
      </text>
    </comment>
    <comment authorId="0" ref="L54">
      <text>
        <t xml:space="preserve">increased to 2500 becauser that's closer to what OEM leads are being billed at store</t>
      </text>
    </comment>
    <comment authorId="0" ref="M54">
      <text>
        <t xml:space="preserve">increased to 2500 becauser that's closer to what OEM leads are being billed at store</t>
      </text>
    </comment>
    <comment authorId="0" ref="B55">
      <text>
        <t xml:space="preserve">3300 @ 35 mi includes trade/reach and subscription 
</t>
      </text>
    </comment>
    <comment authorId="0" ref="C55">
      <text>
        <t xml:space="preserve">3300 @ 35 mi includes trade/reach and subscription 
</t>
      </text>
    </comment>
    <comment authorId="0" ref="D55">
      <text>
        <t xml:space="preserve">3300 @ 35 mi includes trade/reach and subscription 
</t>
      </text>
    </comment>
    <comment authorId="0" ref="E55">
      <text>
        <t xml:space="preserve">3300 @ 35 mi includes trade/reach and subscription 
</t>
      </text>
    </comment>
    <comment authorId="0" ref="F55">
      <text>
        <t xml:space="preserve">3300 @ 35 mi includes trade/reach and subscription 
</t>
      </text>
    </comment>
    <comment authorId="0" ref="G55">
      <text>
        <t xml:space="preserve">3300 @ 35 mi includes trade/reach and subscription 
</t>
      </text>
    </comment>
    <comment authorId="0" ref="H55">
      <text>
        <t xml:space="preserve">3300 @ 35 mi includes trade/reach and subscription 
</t>
      </text>
    </comment>
    <comment authorId="0" ref="I55">
      <text>
        <t xml:space="preserve">3300 @ 35 mi includes trade/reach and subscription 
</t>
      </text>
    </comment>
    <comment authorId="0" ref="J55">
      <text>
        <t xml:space="preserve">3300 @ 35 mi includes trade/reach and subscription 
</t>
      </text>
    </comment>
    <comment authorId="0" ref="K55">
      <text>
        <t xml:space="preserve">3300 @ 35 mi includes trade/reach and subscription 
</t>
      </text>
    </comment>
    <comment authorId="0" ref="L55">
      <text>
        <t xml:space="preserve">3300 @ 35 mi includes trade/reach and subscription 
</t>
      </text>
    </comment>
    <comment authorId="0" ref="M55">
      <text>
        <t xml:space="preserve">3300 @ 35 mi includes trade/reach and subscription 
</t>
      </text>
    </comment>
    <comment authorId="0" ref="B56">
      <text>
        <t xml:space="preserve">399 Trade tool with Purecars
351 mgmt fee
57 Data Management fee</t>
      </text>
    </comment>
    <comment authorId="0" ref="C56">
      <text>
        <t xml:space="preserve">399 Trade tool with Purecars
351 mgmt fee
57 Data Management fee</t>
      </text>
    </comment>
    <comment authorId="0" ref="D56">
      <text>
        <t xml:space="preserve">399 Trade tool with Purecars
351 mgmt fee
57 Data Management fee</t>
      </text>
    </comment>
    <comment authorId="0" ref="E56">
      <text>
        <t xml:space="preserve">399 Trade tool with Purecars
351 mgmt fee
57 Data Management fee</t>
      </text>
    </comment>
    <comment authorId="0" ref="F56">
      <text>
        <t xml:space="preserve">399 Trade tool with Purecars
351 mgmt fee
57 Data Management fee</t>
      </text>
    </comment>
    <comment authorId="0" ref="G56">
      <text>
        <t xml:space="preserve">399 Trade tool with Purecars
351 mgmt fee
57 Data Management fee</t>
      </text>
    </comment>
    <comment authorId="0" ref="H56">
      <text>
        <t xml:space="preserve">399 Trade tool with Purecars
351 mgmt fee
57 Data Management fee</t>
      </text>
    </comment>
    <comment authorId="0" ref="I56">
      <text>
        <t xml:space="preserve">399 Trade tool with Purecars
351 mgmt fee
57 Data Management fee</t>
      </text>
    </comment>
    <comment authorId="0" ref="J56">
      <text>
        <t xml:space="preserve">399 Trade tool with Purecars
351 mgmt fee
57 Data Management fee</t>
      </text>
    </comment>
    <comment authorId="0" ref="K56">
      <text>
        <t xml:space="preserve">399 Trade tool with Purecars
351 mgmt fee
57 Data Management fee</t>
      </text>
    </comment>
    <comment authorId="0" ref="L56">
      <text>
        <t xml:space="preserve">399 Trade tool with Purecars
351 mgmt fee
57 Data Management fee</t>
      </text>
    </comment>
    <comment authorId="0" ref="M56">
      <text>
        <t xml:space="preserve">399 Trade tool with Purecars
351 mgmt fee
57 Data Management fee</t>
      </text>
    </comment>
    <comment authorId="0" ref="B59">
      <text>
        <t xml:space="preserve">850 NEW
850 USED
1700 TOTAL
</t>
      </text>
    </comment>
    <comment authorId="0" ref="C59">
      <text>
        <t xml:space="preserve">850 NEW
850 USED
1700 TOTAL
</t>
      </text>
    </comment>
    <comment authorId="0" ref="D59">
      <text>
        <t xml:space="preserve">850 NEW
850 USED
1700 TOTAL
</t>
      </text>
    </comment>
    <comment authorId="0" ref="E59">
      <text>
        <t xml:space="preserve">850 NEW
850 USED
1700 TOTAL
</t>
      </text>
    </comment>
    <comment authorId="0" ref="F59">
      <text>
        <t xml:space="preserve">850 NEW
850 USED
1700 TOTAL
</t>
      </text>
    </comment>
    <comment authorId="0" ref="G59">
      <text>
        <t xml:space="preserve">850 NEW
850 USED
1700 TOTAL
</t>
      </text>
    </comment>
    <comment authorId="0" ref="H59">
      <text>
        <t xml:space="preserve">850 NEW
850 USED
1700 TOTAL
</t>
      </text>
    </comment>
    <comment authorId="0" ref="I59">
      <text>
        <t xml:space="preserve">850 NEW
850 USED
1700 TOTAL
</t>
      </text>
    </comment>
    <comment authorId="0" ref="J59">
      <text>
        <t xml:space="preserve">850 NEW
850 USED
1700 TOTAL
</t>
      </text>
    </comment>
    <comment authorId="0" ref="K59">
      <text>
        <t xml:space="preserve">850 NEW
850 USED
1700 TOTAL
</t>
      </text>
    </comment>
    <comment authorId="0" ref="L59">
      <text>
        <t xml:space="preserve">850 NEW
850 USED
1700 TOTAL
</t>
      </text>
    </comment>
    <comment authorId="0" ref="M59">
      <text>
        <t xml:space="preserve">850 NEW
850 USED
1700 TOTAL
</t>
      </text>
    </comment>
    <comment authorId="0" ref="B63">
      <text>
        <t xml:space="preserve">13000 new total
-4000 to allocate to GSM 
</t>
      </text>
    </comment>
    <comment authorId="0" ref="C63">
      <text>
        <t xml:space="preserve">13000 new total
-4000 to allocate to GSM 
</t>
      </text>
    </comment>
    <comment authorId="0" ref="D63">
      <text>
        <t xml:space="preserve">13000 new total
-4000 to allocate to GSM 
</t>
      </text>
    </comment>
    <comment authorId="0" ref="E63">
      <text>
        <t xml:space="preserve">13000 new total
-4000 to allocate to GSM 
</t>
      </text>
    </comment>
    <comment authorId="0" ref="F63">
      <text>
        <t xml:space="preserve">13000 new total
-4000 to allocate to GSM 
</t>
      </text>
    </comment>
    <comment authorId="0" ref="G63">
      <text>
        <t xml:space="preserve">13000 new total
-4000 to allocate to GSM 
</t>
      </text>
    </comment>
    <comment authorId="0" ref="H63">
      <text>
        <t xml:space="preserve">13000 new total
-4000 to allocate to GSM 
</t>
      </text>
    </comment>
    <comment authorId="0" ref="I63">
      <text>
        <t xml:space="preserve">13000 new total
-4000 to allocate to GSM 
</t>
      </text>
    </comment>
    <comment authorId="0" ref="J63">
      <text>
        <t xml:space="preserve">13000 new total
-4000 to allocate to GSM 
</t>
      </text>
    </comment>
    <comment authorId="0" ref="K63">
      <text>
        <t xml:space="preserve">13000 new total
-4000 to allocate to GSM 
</t>
      </text>
    </comment>
    <comment authorId="0" ref="L63">
      <text>
        <t xml:space="preserve">13000 new total
-4000 to allocate to GSM 
</t>
      </text>
    </comment>
    <comment authorId="0" ref="M63">
      <text>
        <t xml:space="preserve">13000 new total
-4000 to allocate to GSM 
</t>
      </text>
    </comment>
    <comment authorId="0" ref="B74">
      <text>
        <t xml:space="preserve">850 NEW
850 USED
1700 TOTAL
</t>
      </text>
    </comment>
    <comment authorId="0" ref="C74">
      <text>
        <t xml:space="preserve">850 NEW
850 USED
1700 TOTAL
</t>
      </text>
    </comment>
    <comment authorId="0" ref="D74">
      <text>
        <t xml:space="preserve">850 NEW
850 USED
1700 TOTAL
</t>
      </text>
    </comment>
    <comment authorId="0" ref="E74">
      <text>
        <t xml:space="preserve">850 NEW
850 USED
1700 TOTAL
</t>
      </text>
    </comment>
    <comment authorId="0" ref="F74">
      <text>
        <t xml:space="preserve">850 NEW
850 USED
1700 TOTAL
</t>
      </text>
    </comment>
    <comment authorId="0" ref="G74">
      <text>
        <t xml:space="preserve">850 NEW
850 USED
1700 TOTAL
</t>
      </text>
    </comment>
    <comment authorId="0" ref="H74">
      <text>
        <t xml:space="preserve">850 NEW
850 USED
1700 TOTAL
</t>
      </text>
    </comment>
    <comment authorId="0" ref="I74">
      <text>
        <t xml:space="preserve">850 NEW
850 USED
1700 TOTAL
</t>
      </text>
    </comment>
    <comment authorId="0" ref="J74">
      <text>
        <t xml:space="preserve">850 NEW
850 USED
1700 TOTAL
</t>
      </text>
    </comment>
    <comment authorId="0" ref="K74">
      <text>
        <t xml:space="preserve">850 NEW
850 USED
1700 TOTAL
</t>
      </text>
    </comment>
    <comment authorId="0" ref="L74">
      <text>
        <t xml:space="preserve">850 NEW
850 USED
1700 TOTAL
</t>
      </text>
    </comment>
    <comment authorId="0" ref="M74">
      <text>
        <t xml:space="preserve">850 NEW
850 USED
1700 TOTAL
</t>
      </text>
    </comment>
    <comment authorId="0" ref="B80">
      <text>
        <t xml:space="preserve">$2150 Enhanced
 </t>
      </text>
    </comment>
    <comment authorId="0" ref="C80">
      <text>
        <t xml:space="preserve">$2150 Enhanced
 </t>
      </text>
    </comment>
    <comment authorId="0" ref="D80">
      <text>
        <t xml:space="preserve">$2150 Enhanced
 </t>
      </text>
    </comment>
    <comment authorId="0" ref="E80">
      <text>
        <t xml:space="preserve">$2150 Enhanced
 </t>
      </text>
    </comment>
    <comment authorId="0" ref="F80">
      <text>
        <t xml:space="preserve">$2150 Enhanced
 </t>
      </text>
    </comment>
    <comment authorId="0" ref="G80">
      <text>
        <t xml:space="preserve">$2150 Enhanced
 </t>
      </text>
    </comment>
    <comment authorId="0" ref="H80">
      <text>
        <t xml:space="preserve">$2150 Enhanced
 </t>
      </text>
    </comment>
    <comment authorId="0" ref="I80">
      <text>
        <t xml:space="preserve">$2150 Enhanced
 </t>
      </text>
    </comment>
    <comment authorId="0" ref="J80">
      <text>
        <t xml:space="preserve">$2150 Enhanced
 </t>
      </text>
    </comment>
    <comment authorId="0" ref="K80">
      <text>
        <t xml:space="preserve">$2150 Enhanced
 </t>
      </text>
    </comment>
    <comment authorId="0" ref="L80">
      <text>
        <t xml:space="preserve">$2150 Enhanced
 </t>
      </text>
    </comment>
    <comment authorId="0" ref="M80">
      <text>
        <t xml:space="preserve">$2150 Enhanced
 </t>
      </text>
    </comment>
    <comment authorId="0" ref="B93">
      <text>
        <t xml:space="preserve">$138 Tires Banner (price includes estimated shipping)</t>
      </text>
    </comment>
    <comment authorId="0" ref="H93">
      <text>
        <t xml:space="preserve">$452.27 we buy cars signage</t>
      </text>
    </comment>
    <comment authorId="0" ref="I93">
      <text>
        <t xml:space="preserve">$1,031.59 tire center banner</t>
      </text>
    </comment>
    <comment authorId="0" ref="J93">
      <text>
        <t xml:space="preserve">$700 KBB sign</t>
      </text>
    </comment>
    <comment authorId="0" ref="K94">
      <text>
        <t xml:space="preserve">$180 Polin
$200 boxes
</t>
      </text>
    </comment>
    <comment authorId="0" ref="B103">
      <text>
        <t xml:space="preserve">$500 Other Group Digital </t>
      </text>
    </comment>
    <comment authorId="0" ref="C103">
      <text>
        <t xml:space="preserve">$500 Other Group Digital </t>
      </text>
    </comment>
    <comment authorId="0" ref="D103">
      <text>
        <t xml:space="preserve">$200 Other Group Digital 
$113.63 WJA sponsorship</t>
      </text>
    </comment>
    <comment authorId="0" ref="E103">
      <text>
        <t xml:space="preserve">$500 Other Group Digital </t>
      </text>
    </comment>
    <comment authorId="0" ref="F103">
      <text>
        <t xml:space="preserve">$500 Other Group Digital </t>
      </text>
    </comment>
    <comment authorId="0" ref="G103">
      <text>
        <t xml:space="preserve">$605 Other Group Digital </t>
      </text>
    </comment>
    <comment authorId="0" ref="H103">
      <text>
        <t xml:space="preserve">$605 Other Group Digital </t>
      </text>
    </comment>
    <comment authorId="0" ref="I103">
      <text>
        <t xml:space="preserve">$500 Other Group Digital </t>
      </text>
    </comment>
    <comment authorId="0" ref="J103">
      <text>
        <t xml:space="preserve">$500 Other Group Digital </t>
      </text>
    </comment>
    <comment authorId="0" ref="K103">
      <text>
        <t xml:space="preserve">$500 Other Group Digital </t>
      </text>
    </comment>
    <comment authorId="0" ref="L103">
      <text>
        <t xml:space="preserve">$500 Other Group Digital </t>
      </text>
    </comment>
    <comment authorId="0" ref="M103">
      <text>
        <t xml:space="preserve">$500 Other Group Digital </t>
      </text>
    </comment>
    <comment authorId="0" ref="B115">
      <text>
        <t xml:space="preserve">$1,095 Easy Care
</t>
      </text>
    </comment>
    <comment authorId="0" ref="C115">
      <text>
        <t xml:space="preserve">$1,095 Easy Care
</t>
      </text>
    </comment>
    <comment authorId="0" ref="D115">
      <text>
        <t xml:space="preserve">$1,095 Easy Care
</t>
      </text>
    </comment>
    <comment authorId="0" ref="E115">
      <text>
        <t xml:space="preserve">$1,095 Easy Care
</t>
      </text>
    </comment>
    <comment authorId="0" ref="F115">
      <text>
        <t xml:space="preserve">$1,095 Easy Care
</t>
      </text>
    </comment>
    <comment authorId="0" ref="G115">
      <text>
        <t xml:space="preserve">$1,095 Easy Care
</t>
      </text>
    </comment>
    <comment authorId="0" ref="H115">
      <text>
        <t xml:space="preserve">$1,095 Easy Care
</t>
      </text>
    </comment>
    <comment authorId="0" ref="I115">
      <text>
        <t xml:space="preserve">$1,095 Easy Care
</t>
      </text>
    </comment>
    <comment authorId="0" ref="J115">
      <text>
        <t xml:space="preserve">$1,095 Easy Care
</t>
      </text>
    </comment>
    <comment authorId="0" ref="K115">
      <text>
        <t xml:space="preserve">$1,095 Easy Care
</t>
      </text>
    </comment>
    <comment authorId="0" ref="L115">
      <text>
        <t xml:space="preserve">$1,095 Easy Care
</t>
      </text>
    </comment>
    <comment authorId="0" ref="M115">
      <text>
        <t xml:space="preserve">$1,095 Easy Care
</t>
      </text>
    </comment>
    <comment authorId="0" ref="B117">
      <text>
        <t xml:space="preserve">650 trigger mail 
$2,094.48 quarterly mailer</t>
      </text>
    </comment>
    <comment authorId="0" ref="C117">
      <text>
        <t xml:space="preserve">650 trigger mail </t>
      </text>
    </comment>
    <comment authorId="0" ref="D117">
      <text>
        <t xml:space="preserve">650 trigger mail </t>
      </text>
    </comment>
    <comment authorId="0" ref="E117">
      <text>
        <t xml:space="preserve">650 trigger mail 
$2,094.48 quarterly mailer</t>
      </text>
    </comment>
    <comment authorId="0" ref="F117">
      <text>
        <t xml:space="preserve">650 trigger mail </t>
      </text>
    </comment>
    <comment authorId="0" ref="G117">
      <text>
        <t xml:space="preserve">650 trigger mail </t>
      </text>
    </comment>
    <comment authorId="0" ref="H117">
      <text>
        <t xml:space="preserve">650 trigger mail 
$2,094.48 quarterly mailer</t>
      </text>
    </comment>
    <comment authorId="0" ref="I117">
      <text>
        <t xml:space="preserve">650 trigger mail </t>
      </text>
    </comment>
    <comment authorId="0" ref="J117">
      <text>
        <t xml:space="preserve">650 trigger mail </t>
      </text>
    </comment>
    <comment authorId="0" ref="K117">
      <text>
        <t xml:space="preserve">650 trigger mail 
1823.04 Q3 recovery mailer</t>
      </text>
    </comment>
    <comment authorId="0" ref="L117">
      <text>
        <t xml:space="preserve">650 trigger mail </t>
      </text>
    </comment>
    <comment authorId="0" ref="M117">
      <text>
        <t xml:space="preserve">650 trigger mail </t>
      </text>
    </comment>
    <comment authorId="0" ref="B118">
      <text>
        <t xml:space="preserve">4000 for GSMarketing multichannel campaign</t>
      </text>
    </comment>
    <comment authorId="0" ref="C118">
      <text>
        <t xml:space="preserve">4000 for GSMarketing multichannel campaign</t>
      </text>
    </comment>
    <comment authorId="0" ref="D118">
      <text>
        <t xml:space="preserve">4000 for GSMarketing multichannel campaign</t>
      </text>
    </comment>
    <comment authorId="0" ref="E118">
      <text>
        <t xml:space="preserve">4000 for GSMarketing multichannel campaign</t>
      </text>
    </comment>
    <comment authorId="0" ref="F118">
      <text>
        <t xml:space="preserve">4000 for GSMarketing multichannel campaign</t>
      </text>
    </comment>
    <comment authorId="0" ref="G118">
      <text>
        <t xml:space="preserve">4000 for GSMarketing multichannel campaign</t>
      </text>
    </comment>
    <comment authorId="0" ref="H118">
      <text>
        <t xml:space="preserve">4000 for GSMarketing multichannel campaign</t>
      </text>
    </comment>
    <comment authorId="0" ref="I118">
      <text>
        <t xml:space="preserve">4000 for GSMarketing multichannel campaign</t>
      </text>
    </comment>
    <comment authorId="0" ref="J118">
      <text>
        <t xml:space="preserve">4000 for GSMarketing multichannel campaign</t>
      </text>
    </comment>
    <comment authorId="0" ref="K118">
      <text>
        <t xml:space="preserve">4000 for GSMarketing multichannel campaign</t>
      </text>
    </comment>
    <comment authorId="0" ref="L118">
      <text>
        <t xml:space="preserve">4000 for GSMarketing multichannel campaign</t>
      </text>
    </comment>
    <comment authorId="0" ref="M118">
      <text>
        <t xml:space="preserve">4000 for GSMarketing multichannel campaign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9">
      <text>
        <t xml:space="preserve">($5750 total invoice for 16 DC stores split over 2 mos ea. ) </t>
      </text>
    </comment>
    <comment authorId="0" ref="C19">
      <text>
        <t xml:space="preserve">($5750 total invoice for 16 DC stores split over 2 mos ea. ) </t>
      </text>
    </comment>
    <comment authorId="0" ref="B34">
      <text>
        <t xml:space="preserve">1900 website
61.9 sheehy.com portal site
850 AAG (SEO)
+199 for DDC optimization</t>
      </text>
    </comment>
    <comment authorId="0" ref="C34">
      <text>
        <t xml:space="preserve">1900 website
61.9 sheehy.com portal site
850 AAG (SEO)
+199 for DDC optimization</t>
      </text>
    </comment>
    <comment authorId="0" ref="D34">
      <text>
        <t xml:space="preserve">1900 website
61.9 sheehy.com portal site
850 AAG (SEO)
+199 for DDC optimization</t>
      </text>
    </comment>
    <comment authorId="0" ref="E34">
      <text>
        <t xml:space="preserve">1900 website
61.9 sheehy.com portal site
850 AAG (SEO)
+199 for DDC optimization</t>
      </text>
    </comment>
    <comment authorId="0" ref="F34">
      <text>
        <t xml:space="preserve">1900 website
61.9 sheehy.com portal site
850 AAG (SEO)
+199 for DDC optimization</t>
      </text>
    </comment>
    <comment authorId="0" ref="G34">
      <text>
        <t xml:space="preserve">1900 website
61.9 sheehy.com portal site
850 AAG (SEO)
+199 for DDC optimization</t>
      </text>
    </comment>
    <comment authorId="0" ref="H34">
      <text>
        <t xml:space="preserve">1900 website
61.9 sheehy.com portal site
850 AAG (SEO)
+199 for DDC optimization</t>
      </text>
    </comment>
    <comment authorId="0" ref="I34">
      <text>
        <t xml:space="preserve">1900 website
61.9 sheehy.com portal site
850 AAG (SEO)
+199 for DDC optimization</t>
      </text>
    </comment>
    <comment authorId="0" ref="J34">
      <text>
        <t xml:space="preserve">1900 website
61.9 sheehy.com portal site
850 AAG (SEO)
+199 for DDC optimization</t>
      </text>
    </comment>
    <comment authorId="0" ref="K34">
      <text>
        <t xml:space="preserve">1900 website
61.9 sheehy.com portal site
850 AAG (SEO)
+199 for DDC optimization</t>
      </text>
    </comment>
    <comment authorId="0" ref="L34">
      <text>
        <t xml:space="preserve">1900 website
61.9 sheehy.com portal site
850 AAG (SEO)
+199 for DDC optimization</t>
      </text>
    </comment>
    <comment authorId="0" ref="M34">
      <text>
        <t xml:space="preserve">1900 website
61.9 sheehy.com portal site
850 AAG (SEO)
+199 for DDC optimization</t>
      </text>
    </comment>
    <comment authorId="0" ref="B42">
      <text>
        <t xml:space="preserve">365 switched to car chat 24
</t>
      </text>
    </comment>
    <comment authorId="0" ref="C42">
      <text>
        <t xml:space="preserve">365 switched to car chat 24
</t>
      </text>
    </comment>
    <comment authorId="0" ref="D42">
      <text>
        <t xml:space="preserve">365 switched to car chat 24
</t>
      </text>
    </comment>
    <comment authorId="0" ref="E42">
      <text>
        <t xml:space="preserve">365 switched to car chat 24
</t>
      </text>
    </comment>
    <comment authorId="0" ref="F42">
      <text>
        <t xml:space="preserve">365 switched to car chat 24
</t>
      </text>
    </comment>
    <comment authorId="0" ref="G42">
      <text>
        <t xml:space="preserve">365 switched to car chat 24
</t>
      </text>
    </comment>
    <comment authorId="0" ref="H42">
      <text>
        <t xml:space="preserve">365 switched to car chat 24
</t>
      </text>
    </comment>
    <comment authorId="0" ref="I42">
      <text>
        <t xml:space="preserve">365 switched to car chat 24
</t>
      </text>
    </comment>
    <comment authorId="0" ref="J42">
      <text>
        <t xml:space="preserve">365 switched to car chat 24
</t>
      </text>
    </comment>
    <comment authorId="0" ref="K42">
      <text>
        <t xml:space="preserve">365 switched to car chat 24
</t>
      </text>
    </comment>
    <comment authorId="0" ref="L42">
      <text>
        <t xml:space="preserve">365 switched to car chat 24
</t>
      </text>
    </comment>
    <comment authorId="0" ref="M42">
      <text>
        <t xml:space="preserve">365 switched to car chat 24
</t>
      </text>
    </comment>
    <comment authorId="0" ref="B43">
      <text>
        <t xml:space="preserve">rate is $1949 </t>
      </text>
    </comment>
    <comment authorId="0" ref="C43">
      <text>
        <t xml:space="preserve">rate is $1949 </t>
      </text>
    </comment>
    <comment authorId="0" ref="D43">
      <text>
        <t xml:space="preserve">rate is $1949 </t>
      </text>
    </comment>
    <comment authorId="0" ref="E43">
      <text>
        <t xml:space="preserve">rate is $1949 </t>
      </text>
    </comment>
    <comment authorId="0" ref="F43">
      <text>
        <t xml:space="preserve">rate is $1949 </t>
      </text>
    </comment>
    <comment authorId="0" ref="G43">
      <text>
        <t xml:space="preserve">rate is $1949 </t>
      </text>
    </comment>
    <comment authorId="0" ref="H43">
      <text>
        <t xml:space="preserve">rate is $1949 </t>
      </text>
    </comment>
    <comment authorId="0" ref="I43">
      <text>
        <t xml:space="preserve">rate is $1949 </t>
      </text>
    </comment>
    <comment authorId="0" ref="J43">
      <text>
        <t xml:space="preserve">rate is $1949 </t>
      </text>
    </comment>
    <comment authorId="0" ref="K43">
      <text>
        <t xml:space="preserve">rate is $1949 </t>
      </text>
    </comment>
    <comment authorId="0" ref="L43">
      <text>
        <t xml:space="preserve">rate is $1949 </t>
      </text>
    </comment>
    <comment authorId="0" ref="M43">
      <text>
        <t xml:space="preserve">rate is $1949 </t>
      </text>
    </comment>
    <comment authorId="0" ref="B44">
      <text>
        <t xml:space="preserve">$189 DDC Finance Driver</t>
      </text>
    </comment>
    <comment authorId="0" ref="C44">
      <text>
        <t xml:space="preserve">$189 DDC Finance Driver</t>
      </text>
    </comment>
    <comment authorId="0" ref="D44">
      <text>
        <t xml:space="preserve">$189 DDC Finance Driver</t>
      </text>
    </comment>
    <comment authorId="0" ref="E44">
      <text>
        <t xml:space="preserve">$189 DDC Finance Driver</t>
      </text>
    </comment>
    <comment authorId="0" ref="F44">
      <text>
        <t xml:space="preserve">$189 DDC Finance Driver</t>
      </text>
    </comment>
    <comment authorId="0" ref="G44">
      <text>
        <t xml:space="preserve">$189 DDC Finance Driver</t>
      </text>
    </comment>
    <comment authorId="0" ref="H44">
      <text>
        <t xml:space="preserve">$189 DDC Finance Driver</t>
      </text>
    </comment>
    <comment authorId="0" ref="I44">
      <text>
        <t xml:space="preserve">$189 DDC Finance Driver</t>
      </text>
    </comment>
    <comment authorId="0" ref="J44">
      <text>
        <t xml:space="preserve">$189 DDC Finance Driver</t>
      </text>
    </comment>
    <comment authorId="0" ref="K44">
      <text>
        <t xml:space="preserve">$189 DDC Finance Driver</t>
      </text>
    </comment>
    <comment authorId="0" ref="L44">
      <text>
        <t xml:space="preserve">$189 DDC Finance Driver</t>
      </text>
    </comment>
    <comment authorId="0" ref="M44">
      <text>
        <t xml:space="preserve">$189 DDC Finance Driver</t>
      </text>
    </comment>
    <comment authorId="0" ref="B45">
      <text>
        <t xml:space="preserve">45 Yelp 
97.5 Reputation.comm</t>
      </text>
    </comment>
    <comment authorId="0" ref="C45">
      <text>
        <t xml:space="preserve">45 Yelp 
97.5 Reputation.comm</t>
      </text>
    </comment>
    <comment authorId="0" ref="D45">
      <text>
        <t xml:space="preserve">45 Yelp 
97.5 Reputation.comm</t>
      </text>
    </comment>
    <comment authorId="0" ref="E45">
      <text>
        <t xml:space="preserve">45 Yelp 
97.5 Reputation.comm</t>
      </text>
    </comment>
    <comment authorId="0" ref="F45">
      <text>
        <t xml:space="preserve">45 Yelp 
97.5 Reputation.comm</t>
      </text>
    </comment>
    <comment authorId="0" ref="G45">
      <text>
        <t xml:space="preserve">45 Yelp 
97.5 Reputation.comm</t>
      </text>
    </comment>
    <comment authorId="0" ref="H45">
      <text>
        <t xml:space="preserve">45 Yelp 
97.5 Reputation.comm</t>
      </text>
    </comment>
    <comment authorId="0" ref="I45">
      <text>
        <t xml:space="preserve">45 Yelp 
97.5 Reputation.comm</t>
      </text>
    </comment>
    <comment authorId="0" ref="J45">
      <text>
        <t xml:space="preserve">45 Yelp 
97.5 Reputation.comm</t>
      </text>
    </comment>
    <comment authorId="0" ref="K45">
      <text>
        <t xml:space="preserve">45 Yelp 
97.5 Reputation.comm</t>
      </text>
    </comment>
    <comment authorId="0" ref="L45">
      <text>
        <t xml:space="preserve">45 Yelp 
97.5 Reputation.comm</t>
      </text>
    </comment>
    <comment authorId="0" ref="M45">
      <text>
        <t xml:space="preserve">45 Yelp 
97.5 Reputation.comm</t>
      </text>
    </comment>
    <comment authorId="0" ref="E46">
      <text>
        <t xml:space="preserve">cancelled 3/16</t>
      </text>
    </comment>
    <comment authorId="0" ref="B47">
      <text>
        <t xml:space="preserve">850 Alli
+50 Alli boosted campaigns
3,350 ALS
750 ASL MGMT
</t>
      </text>
    </comment>
    <comment authorId="0" ref="C47">
      <text>
        <t xml:space="preserve">850 Alli
+50 Alli boosted campaigns
3,350 ALS
750 ASL MGMT
</t>
      </text>
    </comment>
    <comment authorId="0" ref="D47">
      <text>
        <t xml:space="preserve">850 Alli
+50 Alli boosted campaigns
3,350 ALS
750 ASL MGMT
</t>
      </text>
    </comment>
    <comment authorId="0" ref="E47">
      <text>
        <t xml:space="preserve">850 Alli
+50 Alli boosted campaigns
3,350 ALS
750 ASL MGMT
</t>
      </text>
    </comment>
    <comment authorId="0" ref="F47">
      <text>
        <t xml:space="preserve">850 Alli
+50 Alli boosted campaigns
3,350 ALS
750 ASL MGMT
</t>
      </text>
    </comment>
    <comment authorId="0" ref="G47">
      <text>
        <t xml:space="preserve">850 Alli
+50 Alli boosted campaigns
3,350 ALS
750 ASL MGMT
</t>
      </text>
    </comment>
    <comment authorId="0" ref="H47">
      <text>
        <t xml:space="preserve">850 Alli
+50 Alli boosted campaigns
3,350 ALS
750 ASL MGMT
</t>
      </text>
    </comment>
    <comment authorId="0" ref="I47">
      <text>
        <t xml:space="preserve">850 Alli
+50 Alli boosted campaigns
3,350 ALS
750 ASL MGMT
</t>
      </text>
    </comment>
    <comment authorId="0" ref="J47">
      <text>
        <t xml:space="preserve">850 Alli
+50 Alli boosted campaigns
3,350 ALS
750 ASL MGMT
</t>
      </text>
    </comment>
    <comment authorId="0" ref="K47">
      <text>
        <t xml:space="preserve">850 Alli
+50 Alli boosted campaigns
3,350 ALS
750 ASL MGMT
</t>
      </text>
    </comment>
    <comment authorId="0" ref="L47">
      <text>
        <t xml:space="preserve">850 Alli
+50 Alli boosted campaigns
3,350 ALS
750 ASL MGMT
</t>
      </text>
    </comment>
    <comment authorId="0" ref="M47">
      <text>
        <t xml:space="preserve">850 Alli
+50 Alli boosted campaigns
3,350 ALS
750 ASL MGMT
</t>
      </text>
    </comment>
    <comment authorId="0" ref="B48">
      <text>
        <t xml:space="preserve">55.66 Sheehy.com
$350.33 PERQ child site
80 we buy cars</t>
      </text>
    </comment>
    <comment authorId="0" ref="C48">
      <text>
        <t xml:space="preserve">55.66 Sheehy.com
$350.33 PERQ child site
80 we buy cars</t>
      </text>
    </comment>
    <comment authorId="0" ref="D48">
      <text>
        <t xml:space="preserve">55.66 Sheehy.com
$350.33 PERQ child site
80 we buy cars</t>
      </text>
    </comment>
    <comment authorId="0" ref="E48">
      <text>
        <t xml:space="preserve">55.66 Sheehy.com
$350.33 PERQ child site
80 we buy cars</t>
      </text>
    </comment>
    <comment authorId="0" ref="F48">
      <text>
        <t xml:space="preserve">55.66 Sheehy.com
$350.33 PERQ child site
80 we buy cars</t>
      </text>
    </comment>
    <comment authorId="0" ref="G48">
      <text>
        <t xml:space="preserve">55.66 Sheehy.com
$350.33 PERQ child site
80 we buy cars</t>
      </text>
    </comment>
    <comment authorId="0" ref="H48">
      <text>
        <t xml:space="preserve">55.66 Sheehy.com
$350.33 PERQ child site
80 we buy cars</t>
      </text>
    </comment>
    <comment authorId="0" ref="I48">
      <text>
        <t xml:space="preserve">55.66 Sheehy.com
$350.33 PERQ child site
80 we buy cars</t>
      </text>
    </comment>
    <comment authorId="0" ref="J48">
      <text>
        <t xml:space="preserve">55.66 Sheehy.com
$350.33 PERQ child site
80 we buy cars</t>
      </text>
    </comment>
    <comment authorId="0" ref="K48">
      <text>
        <t xml:space="preserve">55.66 Sheehy.com
$350.33 PERQ child site
80 we buy cars</t>
      </text>
    </comment>
    <comment authorId="0" ref="L48">
      <text>
        <t xml:space="preserve">55.66 Sheehy.com
$350.33 PERQ child site
80 we buy cars</t>
      </text>
    </comment>
    <comment authorId="0" ref="M48">
      <text>
        <t xml:space="preserve">55.66 Sheehy.com
$350.33 PERQ child site
80 we buy cars</t>
      </text>
    </comment>
    <comment authorId="0" ref="B55">
      <text>
        <t xml:space="preserve">includes trade/reach and subscription</t>
      </text>
    </comment>
    <comment authorId="0" ref="C55">
      <text>
        <t xml:space="preserve">includes trade/reach and subscription</t>
      </text>
    </comment>
    <comment authorId="0" ref="D55">
      <text>
        <t xml:space="preserve">includes trade/reach and subscription</t>
      </text>
    </comment>
    <comment authorId="0" ref="E55">
      <text>
        <t xml:space="preserve">includes trade/reach and subscription</t>
      </text>
    </comment>
    <comment authorId="0" ref="F55">
      <text>
        <t xml:space="preserve">includes trade/reach and subscription</t>
      </text>
    </comment>
    <comment authorId="0" ref="G55">
      <text>
        <t xml:space="preserve">includes trade/reach and subscription</t>
      </text>
    </comment>
    <comment authorId="0" ref="H55">
      <text>
        <t xml:space="preserve">includes trade/reach and subscription</t>
      </text>
    </comment>
    <comment authorId="0" ref="I55">
      <text>
        <t xml:space="preserve">includes trade/reach and subscription</t>
      </text>
    </comment>
    <comment authorId="0" ref="J55">
      <text>
        <t xml:space="preserve">includes trade/reach and subscription</t>
      </text>
    </comment>
    <comment authorId="0" ref="K55">
      <text>
        <t xml:space="preserve">includes trade/reach and subscription</t>
      </text>
    </comment>
    <comment authorId="0" ref="L55">
      <text>
        <t xml:space="preserve">includes trade/reach and subscription</t>
      </text>
    </comment>
    <comment authorId="0" ref="M55">
      <text>
        <t xml:space="preserve">includes trade/reach and subscription</t>
      </text>
    </comment>
    <comment authorId="0" ref="B56">
      <text>
        <t xml:space="preserve">399 Trade tool with Purecars
351 mgmt fee
57 Data Management fee</t>
      </text>
    </comment>
    <comment authorId="0" ref="C56">
      <text>
        <t xml:space="preserve">399 Trade tool with Purecars
351 mgmt fee
57 Data Management fee</t>
      </text>
    </comment>
    <comment authorId="0" ref="D56">
      <text>
        <t xml:space="preserve">399 Trade tool with Purecars
351 mgmt fee
57 Data Management fee</t>
      </text>
    </comment>
    <comment authorId="0" ref="E56">
      <text>
        <t xml:space="preserve">399 Trade tool with Purecars
351 mgmt fee
57 Data Management fee</t>
      </text>
    </comment>
    <comment authorId="0" ref="F56">
      <text>
        <t xml:space="preserve">399 Trade tool with Purecars
351 mgmt fee
57 Data Management fee</t>
      </text>
    </comment>
    <comment authorId="0" ref="G56">
      <text>
        <t xml:space="preserve">399 Trade tool with Purecars
351 mgmt fee
57 Data Management fee</t>
      </text>
    </comment>
    <comment authorId="0" ref="H56">
      <text>
        <t xml:space="preserve">399 Trade tool with Purecars
351 mgmt fee
57 Data Management fee</t>
      </text>
    </comment>
    <comment authorId="0" ref="I56">
      <text>
        <t xml:space="preserve">399 Trade tool with Purecars
351 mgmt fee
57 Data Management fee</t>
      </text>
    </comment>
    <comment authorId="0" ref="J56">
      <text>
        <t xml:space="preserve">399 Trade tool with Purecars
351 mgmt fee
57 Data Management fee</t>
      </text>
    </comment>
    <comment authorId="0" ref="K56">
      <text>
        <t xml:space="preserve">399 Trade tool with Purecars
351 mgmt fee
57 Data Management fee</t>
      </text>
    </comment>
    <comment authorId="0" ref="L56">
      <text>
        <t xml:space="preserve">399 Trade tool with Purecars
351 mgmt fee
57 Data Management fee</t>
      </text>
    </comment>
    <comment authorId="0" ref="M56">
      <text>
        <t xml:space="preserve">399 Trade tool with Purecars
351 mgmt fee
57 Data Management fee</t>
      </text>
    </comment>
    <comment authorId="0" ref="B59">
      <text>
        <t xml:space="preserve">1100 NEW
1100 USED
2200 TOTAL</t>
      </text>
    </comment>
    <comment authorId="0" ref="C59">
      <text>
        <t xml:space="preserve">1100 NEW
1100 USED
2200 TOTAL</t>
      </text>
    </comment>
    <comment authorId="0" ref="D59">
      <text>
        <t xml:space="preserve">1100 NEW
1100 USED
2200 TOTAL</t>
      </text>
    </comment>
    <comment authorId="0" ref="E59">
      <text>
        <t xml:space="preserve">1100 NEW
1100 USED
2200 TOTAL</t>
      </text>
    </comment>
    <comment authorId="0" ref="F59">
      <text>
        <t xml:space="preserve">1100 NEW
1100 USED
2200 TOTAL</t>
      </text>
    </comment>
    <comment authorId="0" ref="G59">
      <text>
        <t xml:space="preserve">1100 NEW
1100 USED
2200 TOTAL</t>
      </text>
    </comment>
    <comment authorId="0" ref="H59">
      <text>
        <t xml:space="preserve">1100 NEW
1100 USED
2200 TOTAL</t>
      </text>
    </comment>
    <comment authorId="0" ref="I59">
      <text>
        <t xml:space="preserve">1100 NEW
1100 USED
2200 TOTAL</t>
      </text>
    </comment>
    <comment authorId="0" ref="J59">
      <text>
        <t xml:space="preserve">1100 NEW
1100 USED
2200 TOTAL</t>
      </text>
    </comment>
    <comment authorId="0" ref="K59">
      <text>
        <t xml:space="preserve">1100 NEW
1100 USED
2200 TOTAL</t>
      </text>
    </comment>
    <comment authorId="0" ref="L59">
      <text>
        <t xml:space="preserve">1100 NEW
1100 USED
2200 TOTAL</t>
      </text>
    </comment>
    <comment authorId="0" ref="M59">
      <text>
        <t xml:space="preserve">1100 NEW
1100 USED
2200 TOTAL</t>
      </text>
    </comment>
    <comment authorId="0" ref="B63">
      <text>
        <t xml:space="preserve">20930</t>
      </text>
    </comment>
    <comment authorId="0" ref="C63">
      <text>
        <t xml:space="preserve">20930</t>
      </text>
    </comment>
    <comment authorId="0" ref="D63">
      <text>
        <t xml:space="preserve">20930</t>
      </text>
    </comment>
    <comment authorId="0" ref="E63">
      <text>
        <t xml:space="preserve">20930</t>
      </text>
    </comment>
    <comment authorId="0" ref="F63">
      <text>
        <t xml:space="preserve">20930</t>
      </text>
    </comment>
    <comment authorId="0" ref="G63">
      <text>
        <t xml:space="preserve">20930</t>
      </text>
    </comment>
    <comment authorId="0" ref="H63">
      <text>
        <t xml:space="preserve">20930</t>
      </text>
    </comment>
    <comment authorId="0" ref="I63">
      <text>
        <t xml:space="preserve">20930</t>
      </text>
    </comment>
    <comment authorId="0" ref="J63">
      <text>
        <t xml:space="preserve">20930</t>
      </text>
    </comment>
    <comment authorId="0" ref="K63">
      <text>
        <t xml:space="preserve">20930</t>
      </text>
    </comment>
    <comment authorId="0" ref="L63">
      <text>
        <t xml:space="preserve">20930</t>
      </text>
    </comment>
    <comment authorId="0" ref="M63">
      <text>
        <t xml:space="preserve">20930</t>
      </text>
    </comment>
    <comment authorId="0" ref="B72">
      <text>
        <t xml:space="preserve">TBD
</t>
      </text>
    </comment>
    <comment authorId="0" ref="C72">
      <text>
        <t xml:space="preserve">TBD
</t>
      </text>
    </comment>
    <comment authorId="0" ref="D72">
      <text>
        <t xml:space="preserve">TBD
</t>
      </text>
    </comment>
    <comment authorId="0" ref="E72">
      <text>
        <t xml:space="preserve">TBD
</t>
      </text>
    </comment>
    <comment authorId="0" ref="F72">
      <text>
        <t xml:space="preserve">TBD
</t>
      </text>
    </comment>
    <comment authorId="0" ref="G72">
      <text>
        <t xml:space="preserve">TBD
</t>
      </text>
    </comment>
    <comment authorId="0" ref="H72">
      <text>
        <t xml:space="preserve">TBD
</t>
      </text>
    </comment>
    <comment authorId="0" ref="I72">
      <text>
        <t xml:space="preserve">TBD
</t>
      </text>
    </comment>
    <comment authorId="0" ref="J72">
      <text>
        <t xml:space="preserve">TBD
</t>
      </text>
    </comment>
    <comment authorId="0" ref="K72">
      <text>
        <t xml:space="preserve">TBD
</t>
      </text>
    </comment>
    <comment authorId="0" ref="L72">
      <text>
        <t xml:space="preserve">TBD
</t>
      </text>
    </comment>
    <comment authorId="0" ref="M72">
      <text>
        <t xml:space="preserve">TBD
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B74">
      <text>
        <t xml:space="preserve">1100 NEW
1100 USED
2200 TOTAL</t>
      </text>
    </comment>
    <comment authorId="0" ref="C74">
      <text>
        <t xml:space="preserve">1100 NEW
1100 USED
2200 TOTAL</t>
      </text>
    </comment>
    <comment authorId="0" ref="D74">
      <text>
        <t xml:space="preserve">1100 NEW
1100 USED
2200 TOTAL</t>
      </text>
    </comment>
    <comment authorId="0" ref="E74">
      <text>
        <t xml:space="preserve">1100 NEW
1100 USED
2200 TOTAL</t>
      </text>
    </comment>
    <comment authorId="0" ref="F74">
      <text>
        <t xml:space="preserve">1100 NEW
1100 USED
2200 TOTAL</t>
      </text>
    </comment>
    <comment authorId="0" ref="G74">
      <text>
        <t xml:space="preserve">1100 NEW
1100 USED
2200 TOTAL</t>
      </text>
    </comment>
    <comment authorId="0" ref="H74">
      <text>
        <t xml:space="preserve">1100 NEW
1100 USED
2200 TOTAL</t>
      </text>
    </comment>
    <comment authorId="0" ref="I74">
      <text>
        <t xml:space="preserve">1100 NEW
1100 USED
2200 TOTAL</t>
      </text>
    </comment>
    <comment authorId="0" ref="J74">
      <text>
        <t xml:space="preserve">1100 NEW
1100 USED
2200 TOTAL</t>
      </text>
    </comment>
    <comment authorId="0" ref="K74">
      <text>
        <t xml:space="preserve">1100 NEW
1100 USED
2200 TOTAL</t>
      </text>
    </comment>
    <comment authorId="0" ref="L74">
      <text>
        <t xml:space="preserve">1100 NEW
1100 USED
2200 TOTAL</t>
      </text>
    </comment>
    <comment authorId="0" ref="M74">
      <text>
        <t xml:space="preserve">1100 NEW
1100 USED
2200 TOTAL</t>
      </text>
    </comment>
    <comment authorId="0" ref="B80">
      <text>
        <t xml:space="preserve">$2450 Enhanced</t>
      </text>
    </comment>
    <comment authorId="0" ref="C80">
      <text>
        <t xml:space="preserve">$2450 Enhanced</t>
      </text>
    </comment>
    <comment authorId="0" ref="D80">
      <text>
        <t xml:space="preserve">$2450 Enhanced</t>
      </text>
    </comment>
    <comment authorId="0" ref="E80">
      <text>
        <t xml:space="preserve">$2450 Enhanced</t>
      </text>
    </comment>
    <comment authorId="0" ref="F80">
      <text>
        <t xml:space="preserve">$2450 Enhanced</t>
      </text>
    </comment>
    <comment authorId="0" ref="G80">
      <text>
        <t xml:space="preserve">$2450 Enhanced</t>
      </text>
    </comment>
    <comment authorId="0" ref="H80">
      <text>
        <t xml:space="preserve">$2450 Enhanced</t>
      </text>
    </comment>
    <comment authorId="0" ref="I80">
      <text>
        <t xml:space="preserve">$2450 Enhanced</t>
      </text>
    </comment>
    <comment authorId="0" ref="J80">
      <text>
        <t xml:space="preserve">$2450 Enhanced</t>
      </text>
    </comment>
    <comment authorId="0" ref="K80">
      <text>
        <t xml:space="preserve">$2450 Enhanced</t>
      </text>
    </comment>
    <comment authorId="0" ref="L80">
      <text>
        <t xml:space="preserve">$2450 Enhanced</t>
      </text>
    </comment>
    <comment authorId="0" ref="M80">
      <text>
        <t xml:space="preserve">$2450 Enhanced</t>
      </text>
    </comment>
    <comment authorId="0" ref="B93">
      <text>
        <t xml:space="preserve">380 car wash cards</t>
      </text>
    </comment>
    <comment authorId="0" ref="E93">
      <text>
        <t xml:space="preserve">$371 car wash cards</t>
      </text>
    </comment>
    <comment authorId="0" ref="K93">
      <text>
        <t xml:space="preserve">$591.40 We Buy Cars service lane banner</t>
      </text>
    </comment>
    <comment authorId="0" ref="K94">
      <text>
        <t xml:space="preserve">$180 Polin
$200 boxes
</t>
      </text>
    </comment>
    <comment authorId="0" ref="B103">
      <text>
        <t xml:space="preserve">$500 Other Group Digital </t>
      </text>
    </comment>
    <comment authorId="0" ref="C103">
      <text>
        <t xml:space="preserve">$500 Other Group Digital </t>
      </text>
    </comment>
    <comment authorId="0" ref="D103">
      <text>
        <t xml:space="preserve">$200 Other Group Digital 
$113.63 WJA sponsorship</t>
      </text>
    </comment>
    <comment authorId="0" ref="E103">
      <text>
        <t xml:space="preserve">$500 Other Group Digital </t>
      </text>
    </comment>
    <comment authorId="0" ref="F103">
      <text>
        <t xml:space="preserve">$500 Other Group Digital </t>
      </text>
    </comment>
    <comment authorId="0" ref="G103">
      <text>
        <t xml:space="preserve">$605 Other Group Digital </t>
      </text>
    </comment>
    <comment authorId="0" ref="H103">
      <text>
        <t xml:space="preserve">$605 Other Group Digital </t>
      </text>
    </comment>
    <comment authorId="0" ref="I103">
      <text>
        <t xml:space="preserve">$500 Other Group Digital </t>
      </text>
    </comment>
    <comment authorId="0" ref="J103">
      <text>
        <t xml:space="preserve">$500 Other Group Digital </t>
      </text>
    </comment>
    <comment authorId="0" ref="K103">
      <text>
        <t xml:space="preserve">$500 Other Group Digital </t>
      </text>
    </comment>
    <comment authorId="0" ref="L103">
      <text>
        <t xml:space="preserve">$500 Other Group Digital </t>
      </text>
    </comment>
    <comment authorId="0" ref="M103">
      <text>
        <t xml:space="preserve">$500 Other Group Digital </t>
      </text>
    </comment>
    <comment authorId="0" ref="B108">
      <text>
        <t xml:space="preserve">based on 2017 reimbursements</t>
      </text>
    </comment>
    <comment authorId="0" ref="C108">
      <text>
        <t xml:space="preserve">based on 2017 reimbursements</t>
      </text>
    </comment>
    <comment authorId="0" ref="D108">
      <text>
        <t xml:space="preserve">based on 2017 reimbursements</t>
      </text>
    </comment>
    <comment authorId="0" ref="E108">
      <text>
        <t xml:space="preserve">based on 2017 reimbursements</t>
      </text>
    </comment>
    <comment authorId="0" ref="F108">
      <text>
        <t xml:space="preserve">based on 2017 reimbursements</t>
      </text>
    </comment>
    <comment authorId="0" ref="G108">
      <text>
        <t xml:space="preserve">based on 2017 reimbursements</t>
      </text>
    </comment>
    <comment authorId="0" ref="H108">
      <text>
        <t xml:space="preserve">based on 2017 reimbursements</t>
      </text>
    </comment>
    <comment authorId="0" ref="I108">
      <text>
        <t xml:space="preserve">based on 2017 reimbursements</t>
      </text>
    </comment>
    <comment authorId="0" ref="J108">
      <text>
        <t xml:space="preserve">based on 2017 reimbursements</t>
      </text>
    </comment>
    <comment authorId="0" ref="K108">
      <text>
        <t xml:space="preserve">based on 2017 reimbursements </t>
      </text>
    </comment>
    <comment authorId="0" ref="L108">
      <text>
        <t xml:space="preserve">based on 2017 reimbursements </t>
      </text>
    </comment>
    <comment authorId="0" ref="M108">
      <text>
        <t xml:space="preserve">based on 2017 reimbursements </t>
      </text>
    </comment>
    <comment authorId="0" ref="B115">
      <text>
        <t xml:space="preserve">$395 Easy Care
</t>
      </text>
    </comment>
    <comment authorId="0" ref="C115">
      <text>
        <t xml:space="preserve">$395 Easy Care
</t>
      </text>
    </comment>
    <comment authorId="0" ref="D115">
      <text>
        <t xml:space="preserve">$395 Easy Care
</t>
      </text>
    </comment>
    <comment authorId="0" ref="E115">
      <text>
        <t xml:space="preserve">$395 Easy Care
</t>
      </text>
    </comment>
    <comment authorId="0" ref="F115">
      <text>
        <t xml:space="preserve">$395 Easy Care
</t>
      </text>
    </comment>
    <comment authorId="0" ref="G115">
      <text>
        <t xml:space="preserve">$395 Easy Care
</t>
      </text>
    </comment>
    <comment authorId="0" ref="H115">
      <text>
        <t xml:space="preserve">$395 Easy Care
</t>
      </text>
    </comment>
    <comment authorId="0" ref="I115">
      <text>
        <t xml:space="preserve">$395 Easy Care
</t>
      </text>
    </comment>
    <comment authorId="0" ref="J115">
      <text>
        <t xml:space="preserve">$395 Easy Care
</t>
      </text>
    </comment>
    <comment authorId="0" ref="K115">
      <text>
        <t xml:space="preserve">$395 Easy Care
</t>
      </text>
    </comment>
    <comment authorId="0" ref="L115">
      <text>
        <t xml:space="preserve">$395 Easy Care
</t>
      </text>
    </comment>
    <comment authorId="0" ref="M115">
      <text>
        <t xml:space="preserve">$395 Easy Care
</t>
      </text>
    </comment>
    <comment authorId="0" ref="B116">
      <text>
        <t xml:space="preserve">$299 parts store</t>
      </text>
    </comment>
    <comment authorId="0" ref="C116">
      <text>
        <t xml:space="preserve">$299 parts store</t>
      </text>
    </comment>
    <comment authorId="0" ref="D116">
      <text>
        <t xml:space="preserve">$299 parts store</t>
      </text>
    </comment>
    <comment authorId="0" ref="E116">
      <text>
        <t xml:space="preserve">$299 parts store</t>
      </text>
    </comment>
    <comment authorId="0" ref="F116">
      <text>
        <t xml:space="preserve">$299 parts store</t>
      </text>
    </comment>
    <comment authorId="0" ref="G116">
      <text>
        <t xml:space="preserve">$299 parts store</t>
      </text>
    </comment>
    <comment authorId="0" ref="H116">
      <text>
        <t xml:space="preserve">$299 parts store</t>
      </text>
    </comment>
    <comment authorId="0" ref="I116">
      <text>
        <t xml:space="preserve">$299 parts store</t>
      </text>
    </comment>
    <comment authorId="0" ref="J116">
      <text>
        <t xml:space="preserve">$299 parts store</t>
      </text>
    </comment>
    <comment authorId="0" ref="K116">
      <text>
        <t xml:space="preserve">$299 parts store</t>
      </text>
    </comment>
    <comment authorId="0" ref="L116">
      <text>
        <t xml:space="preserve">$299 parts store</t>
      </text>
    </comment>
    <comment authorId="0" ref="M116">
      <text>
        <t xml:space="preserve">$299 parts store</t>
      </text>
    </comment>
    <comment authorId="0" ref="B118">
      <text>
        <t xml:space="preserve">0
</t>
      </text>
    </comment>
    <comment authorId="0" ref="C118">
      <text>
        <t xml:space="preserve">0
</t>
      </text>
    </comment>
    <comment authorId="0" ref="D118">
      <text>
        <t xml:space="preserve">0
</t>
      </text>
    </comment>
    <comment authorId="0" ref="E118">
      <text>
        <t xml:space="preserve">0
</t>
      </text>
    </comment>
    <comment authorId="0" ref="F118">
      <text>
        <t xml:space="preserve">0
</t>
      </text>
    </comment>
    <comment authorId="0" ref="G118">
      <text>
        <t xml:space="preserve">0
</t>
      </text>
    </comment>
    <comment authorId="0" ref="H118">
      <text>
        <t xml:space="preserve">0
</t>
      </text>
    </comment>
    <comment authorId="0" ref="I118">
      <text>
        <t xml:space="preserve">0
</t>
      </text>
    </comment>
    <comment authorId="0" ref="J118">
      <text>
        <t xml:space="preserve">0
</t>
      </text>
    </comment>
    <comment authorId="0" ref="K118">
      <text>
        <t xml:space="preserve">0
</t>
      </text>
    </comment>
    <comment authorId="0" ref="L118">
      <text>
        <t xml:space="preserve">0
</t>
      </text>
    </comment>
    <comment authorId="0" ref="M118">
      <text>
        <t xml:space="preserve">0
</t>
      </text>
    </comment>
  </commentLi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9">
      <text>
        <t xml:space="preserve">($5750 total invoice for 16 DC stores split over 2 mos ea. ) </t>
      </text>
    </comment>
    <comment authorId="0" ref="C19">
      <text>
        <t xml:space="preserve">($5750 total invoice for 16 DC stores split over 2 mos ea. ) </t>
      </text>
    </comment>
    <comment authorId="0" ref="B34">
      <text>
        <t xml:space="preserve">DealerFire website (billed on parts statement)-$1,999
61.9 sheehy.com portal site
850 AAG (SEO)
</t>
      </text>
    </comment>
    <comment authorId="0" ref="C34">
      <text>
        <t xml:space="preserve">DealerFire website (billed on parts statement)-$1,999
61.9 sheehy.com portal site
850 AAG (SEO)
</t>
      </text>
    </comment>
    <comment authorId="0" ref="D34">
      <text>
        <t xml:space="preserve">DealerFire website (billed on parts statement)-$1,999
61.9 sheehy.com portal site
850 AAG (SEO)
</t>
      </text>
    </comment>
    <comment authorId="0" ref="E34">
      <text>
        <t xml:space="preserve">DealerFire website (billed on parts statement)-$1,999
61.9 sheehy.com portal site
850 AAG (SEO)
</t>
      </text>
    </comment>
    <comment authorId="0" ref="F34">
      <text>
        <t xml:space="preserve">DealerFire website (billed on parts statement)-$1,999
61.9 sheehy.com portal site
850 AAG (SEO)
</t>
      </text>
    </comment>
    <comment authorId="0" ref="G34">
      <text>
        <t xml:space="preserve">DealerFire website (billed on parts statement)-$1,999
61.9 sheehy.com portal site
850 AAG (SEO)
</t>
      </text>
    </comment>
    <comment authorId="0" ref="H34">
      <text>
        <t xml:space="preserve">DealerFire website (billed on parts statement)-$1,999
61.9 sheehy.com portal site
850 AAG (SEO)
</t>
      </text>
    </comment>
    <comment authorId="0" ref="I34">
      <text>
        <t xml:space="preserve">DealerFire website (billed on parts statement)-$1,999
61.9 sheehy.com portal site
850 AAG (SEO)
</t>
      </text>
    </comment>
    <comment authorId="0" ref="J34">
      <text>
        <t xml:space="preserve">DealerFire website (billed on parts statement)-$1,999
61.9 sheehy.com portal site
850 AAG (SEO)
</t>
      </text>
    </comment>
    <comment authorId="0" ref="K34">
      <text>
        <t xml:space="preserve">DealerFire website (billed on parts statement)-$1,999
61.9 sheehy.com portal site
850 AAG (SEO)
</t>
      </text>
    </comment>
    <comment authorId="0" ref="L34">
      <text>
        <t xml:space="preserve">DealerFire website (billed on parts statement)-$1,999
61.9 sheehy.com portal site
850 AAG (SEO)
</t>
      </text>
    </comment>
    <comment authorId="0" ref="M34">
      <text>
        <t xml:space="preserve">DealerFire website (billed on parts statement)-$1,999
61.9 sheehy.com portal site
850 AAG (SEO)
</t>
      </text>
    </comment>
    <comment authorId="0" ref="B41">
      <text>
        <t xml:space="preserve">1276 AutoLoop
494 reynolds integration fee</t>
      </text>
    </comment>
    <comment authorId="0" ref="C41">
      <text>
        <t xml:space="preserve">1276 AutoLoop
494 reynolds integration fee</t>
      </text>
    </comment>
    <comment authorId="0" ref="D41">
      <text>
        <t xml:space="preserve">1276 AutoLoop
494 reynolds integration fee</t>
      </text>
    </comment>
    <comment authorId="0" ref="E41">
      <text>
        <t xml:space="preserve">1276 AutoLoop
494 reynolds integration fee</t>
      </text>
    </comment>
    <comment authorId="0" ref="F41">
      <text>
        <t xml:space="preserve">1276 AutoLoop
494 reynolds integration fee</t>
      </text>
    </comment>
    <comment authorId="0" ref="G41">
      <text>
        <t xml:space="preserve">1276 AutoLoop
494 reynolds integration fee</t>
      </text>
    </comment>
    <comment authorId="0" ref="H41">
      <text>
        <t xml:space="preserve">1276 AutoLoop
494 reynolds integration fee</t>
      </text>
    </comment>
    <comment authorId="0" ref="I41">
      <text>
        <t xml:space="preserve">1276 AutoLoop
494 reynolds integration fee</t>
      </text>
    </comment>
    <comment authorId="0" ref="J41">
      <text>
        <t xml:space="preserve">1276 AutoLoop
494 reynolds integration fee</t>
      </text>
    </comment>
    <comment authorId="0" ref="K41">
      <text>
        <t xml:space="preserve">1276 AutoLoop
494 reynolds integration fee</t>
      </text>
    </comment>
    <comment authorId="0" ref="L41">
      <text>
        <t xml:space="preserve">1276 AutoLoop
494 reynolds integration fee</t>
      </text>
    </comment>
    <comment authorId="0" ref="M41">
      <text>
        <t xml:space="preserve">1276 AutoLoop
494 reynolds integration fee</t>
      </text>
    </comment>
    <comment authorId="0" ref="B42">
      <text>
        <t xml:space="preserve">365 carchat24
500 txt4sales</t>
      </text>
    </comment>
    <comment authorId="0" ref="C42">
      <text>
        <t xml:space="preserve">365 carchat24
500 txt4sales</t>
      </text>
    </comment>
    <comment authorId="0" ref="D42">
      <text>
        <t xml:space="preserve">365 carchat24
500 txt4sales</t>
      </text>
    </comment>
    <comment authorId="0" ref="E42">
      <text>
        <t xml:space="preserve">365 carchat24
500 txt4sales</t>
      </text>
    </comment>
    <comment authorId="0" ref="F42">
      <text>
        <t xml:space="preserve">365 carchat24
500 txt4sales</t>
      </text>
    </comment>
    <comment authorId="0" ref="G42">
      <text>
        <t xml:space="preserve">365 carchat24
500 txt4sales</t>
      </text>
    </comment>
    <comment authorId="0" ref="H42">
      <text>
        <t xml:space="preserve">365 carchat24
500 txt4sales</t>
      </text>
    </comment>
    <comment authorId="0" ref="I42">
      <text>
        <t xml:space="preserve">365 carchat24
500 txt4sales</t>
      </text>
    </comment>
    <comment authorId="0" ref="J42">
      <text>
        <t xml:space="preserve">365 carchat24
500 txt4sales</t>
      </text>
    </comment>
    <comment authorId="0" ref="K42">
      <text>
        <t xml:space="preserve">365 carchat24
500 txt4sales</t>
      </text>
    </comment>
    <comment authorId="0" ref="L42">
      <text>
        <t xml:space="preserve">365 carchat24
500 txt4sales</t>
      </text>
    </comment>
    <comment authorId="0" ref="M42">
      <text>
        <t xml:space="preserve">365 carchat24
500 txt4sales</t>
      </text>
    </comment>
    <comment authorId="0" ref="B44">
      <text>
        <t xml:space="preserve">269 off platform finance driver </t>
      </text>
    </comment>
    <comment authorId="0" ref="C44">
      <text>
        <t xml:space="preserve">269 off platform finance driver </t>
      </text>
    </comment>
    <comment authorId="0" ref="D44">
      <text>
        <t xml:space="preserve">269 off platform finance driver </t>
      </text>
    </comment>
    <comment authorId="0" ref="E44">
      <text>
        <t xml:space="preserve">269 off platform finance driver </t>
      </text>
    </comment>
    <comment authorId="0" ref="F44">
      <text>
        <t xml:space="preserve">269 off platform finance driver </t>
      </text>
    </comment>
    <comment authorId="0" ref="G44">
      <text>
        <t xml:space="preserve">269 off platform finance driver </t>
      </text>
    </comment>
    <comment authorId="0" ref="H44">
      <text>
        <t xml:space="preserve">269 off platform finance driver </t>
      </text>
    </comment>
    <comment authorId="0" ref="I44">
      <text>
        <t xml:space="preserve">269 off platform finance driver </t>
      </text>
    </comment>
    <comment authorId="0" ref="J44">
      <text>
        <t xml:space="preserve">269 off platform finance driver </t>
      </text>
    </comment>
    <comment authorId="0" ref="K44">
      <text>
        <t xml:space="preserve">269 off platform finance driver </t>
      </text>
    </comment>
    <comment authorId="0" ref="L44">
      <text>
        <t xml:space="preserve">269 off platform finance driver </t>
      </text>
    </comment>
    <comment authorId="0" ref="M44">
      <text>
        <t xml:space="preserve">269 off platform finance driver </t>
      </text>
    </comment>
    <comment authorId="0" ref="B45">
      <text>
        <t xml:space="preserve">45 Yelp 
97.5 Reputation.comm</t>
      </text>
    </comment>
    <comment authorId="0" ref="C45">
      <text>
        <t xml:space="preserve">45 Yelp 
97.5 Reputation.comm</t>
      </text>
    </comment>
    <comment authorId="0" ref="D45">
      <text>
        <t xml:space="preserve">45 Yelp 
97.5 Reputation.comm</t>
      </text>
    </comment>
    <comment authorId="0" ref="E45">
      <text>
        <t xml:space="preserve">45 Yelp 
97.5 Reputation.comm</t>
      </text>
    </comment>
    <comment authorId="0" ref="F45">
      <text>
        <t xml:space="preserve">45 Yelp 
97.5 Reputation.comm</t>
      </text>
    </comment>
    <comment authorId="0" ref="G45">
      <text>
        <t xml:space="preserve">45 Yelp 
97.5 Reputation.comm</t>
      </text>
    </comment>
    <comment authorId="0" ref="H45">
      <text>
        <t xml:space="preserve">45 Yelp 
97.5 Reputation.comm</t>
      </text>
    </comment>
    <comment authorId="0" ref="I45">
      <text>
        <t xml:space="preserve">45 Yelp 
97.5 Reputation.comm</t>
      </text>
    </comment>
    <comment authorId="0" ref="J45">
      <text>
        <t xml:space="preserve">45 Yelp 
97.5 Reputation.comm</t>
      </text>
    </comment>
    <comment authorId="0" ref="K45">
      <text>
        <t xml:space="preserve">45 Yelp 
97.5 Reputation.comm</t>
      </text>
    </comment>
    <comment authorId="0" ref="L45">
      <text>
        <t xml:space="preserve">45 Yelp 
97.5 Reputation.comm</t>
      </text>
    </comment>
    <comment authorId="0" ref="M45">
      <text>
        <t xml:space="preserve">45 Yelp 
97.5 Reputation.comm</t>
      </text>
    </comment>
    <comment authorId="0" ref="E46">
      <text>
        <t xml:space="preserve">cancelled 3/16</t>
      </text>
    </comment>
    <comment authorId="0" ref="B47">
      <text>
        <t xml:space="preserve">850 Alli Mgmt
+30 Alli boosted campaigns
+750 mgmt autoleadstar
+1250 autoleadstar 
(=$2000 total autoleadstar)
</t>
      </text>
    </comment>
    <comment authorId="0" ref="C47">
      <text>
        <t xml:space="preserve">850 Alli Mgmt
+30 Alli boosted campaigns
+750 mgmt autoleadstar
+1250 autoleadstar 
(=$2000 total autoleadstar)
</t>
      </text>
    </comment>
    <comment authorId="0" ref="D47">
      <text>
        <t xml:space="preserve">850 Alli Mgmt
+30 Alli boosted campaigns
+750 mgmt autoleadstar
+1250 autoleadstar 
(=$2000 total autoleadstar)
</t>
      </text>
    </comment>
    <comment authorId="0" ref="E47">
      <text>
        <t xml:space="preserve">850 Alli Mgmt
+30 Alli boosted campaigns
+750 mgmt autoleadstar
+1250 autoleadstar 
(=$2000 total autoleadstar)
</t>
      </text>
    </comment>
    <comment authorId="0" ref="F47">
      <text>
        <t xml:space="preserve">850 Alli Mgmt
+30 Alli boosted campaigns
+750 mgmt autoleadstar
+1250 autoleadstar 
(=$2000 total autoleadstar)
</t>
      </text>
    </comment>
    <comment authorId="0" ref="G47">
      <text>
        <t xml:space="preserve">850 Alli Mgmt
+30 Alli boosted campaigns
+750 mgmt autoleadstar
+1250 autoleadstar 
(=$2000 total autoleadstar)
</t>
      </text>
    </comment>
    <comment authorId="0" ref="H47">
      <text>
        <t xml:space="preserve">850 Alli Mgmt
+30 Alli boosted campaigns
+750 mgmt autoleadstar
+1250 autoleadstar 
(=$2000 total autoleadstar)
</t>
      </text>
    </comment>
    <comment authorId="0" ref="I47">
      <text>
        <t xml:space="preserve">850 Alli Mgmt
+30 Alli boosted campaigns
+750 mgmt autoleadstar
+1250 autoleadstar 
(=$2000 total autoleadstar)
</t>
      </text>
    </comment>
    <comment authorId="0" ref="J47">
      <text>
        <t xml:space="preserve">850 Alli Mgmt
+30 Alli boosted campaigns
+750 mgmt autoleadstar
+1250 autoleadstar 
(=$2000 total autoleadstar)
</t>
      </text>
    </comment>
    <comment authorId="0" ref="K47">
      <text>
        <t xml:space="preserve">850 Alli Mgmt
+30 Alli boosted campaigns
+750 mgmt autoleadstar
+1250 autoleadstar 
(=$2000 total autoleadstar)
</t>
      </text>
    </comment>
    <comment authorId="0" ref="L47">
      <text>
        <t xml:space="preserve">850 Alli Mgmt
+30 Alli boosted campaigns
+750 mgmt autoleadstar
+1250 autoleadstar 
(=$2000 total autoleadstar)
</t>
      </text>
    </comment>
    <comment authorId="0" ref="M47">
      <text>
        <t xml:space="preserve">850 Alli Mgmt
+30 Alli boosted campaigns
+750 mgmt autoleadstar
+1250 autoleadstar 
(=$2000 total autoleadstar)
</t>
      </text>
    </comment>
    <comment authorId="0" ref="B48">
      <text>
        <t xml:space="preserve">55.66 Sheehy.com
$350.33 PERQ child site
80 we buy cars</t>
      </text>
    </comment>
    <comment authorId="0" ref="C48">
      <text>
        <t xml:space="preserve">55.66 Sheehy.com
$350.33 PERQ child site
80 we buy cars</t>
      </text>
    </comment>
    <comment authorId="0" ref="D48">
      <text>
        <t xml:space="preserve">55.66 Sheehy.com
$350.33 PERQ child site
80 we buy cars</t>
      </text>
    </comment>
    <comment authorId="0" ref="E48">
      <text>
        <t xml:space="preserve">55.66 Sheehy.com
$350.33 PERQ child site
80 we buy cars</t>
      </text>
    </comment>
    <comment authorId="0" ref="F48">
      <text>
        <t xml:space="preserve">55.66 Sheehy.com
$350.33 PERQ child site
80 we buy cars</t>
      </text>
    </comment>
    <comment authorId="0" ref="G48">
      <text>
        <t xml:space="preserve">55.66 Sheehy.com
$350.33 PERQ child site
80 we buy cars</t>
      </text>
    </comment>
    <comment authorId="0" ref="H48">
      <text>
        <t xml:space="preserve">55.66 Sheehy.com
$350.33 PERQ child site
80 we buy cars</t>
      </text>
    </comment>
    <comment authorId="0" ref="I48">
      <text>
        <t xml:space="preserve">55.66 Sheehy.com
$350.33 PERQ child site
80 we buy cars</t>
      </text>
    </comment>
    <comment authorId="0" ref="J48">
      <text>
        <t xml:space="preserve">55.66 Sheehy.com
$350.33 PERQ child site
80 we buy cars</t>
      </text>
    </comment>
    <comment authorId="0" ref="K48">
      <text>
        <t xml:space="preserve">55.66 Sheehy.com
$350.33 PERQ child site
80 we buy cars</t>
      </text>
    </comment>
    <comment authorId="0" ref="L48">
      <text>
        <t xml:space="preserve">55.66 Sheehy.com
$350.33 PERQ child site
80 we buy cars</t>
      </text>
    </comment>
    <comment authorId="0" ref="M48">
      <text>
        <t xml:space="preserve">55.66 Sheehy.com
$350.33 PERQ child site
80 we buy cars</t>
      </text>
    </comment>
    <comment authorId="0" ref="B55">
      <text>
        <t xml:space="preserve">includes trade/reach and subscription</t>
      </text>
    </comment>
    <comment authorId="0" ref="C55">
      <text>
        <t xml:space="preserve">includes trade/reach and subscription</t>
      </text>
    </comment>
    <comment authorId="0" ref="D55">
      <text>
        <t xml:space="preserve">includes trade/reach and subscription</t>
      </text>
    </comment>
    <comment authorId="0" ref="E55">
      <text>
        <t xml:space="preserve">includes trade/reach and subscription</t>
      </text>
    </comment>
    <comment authorId="0" ref="F55">
      <text>
        <t xml:space="preserve">includes trade/reach and subscription</t>
      </text>
    </comment>
    <comment authorId="0" ref="G55">
      <text>
        <t xml:space="preserve">includes trade/reach and subscription</t>
      </text>
    </comment>
    <comment authorId="0" ref="H55">
      <text>
        <t xml:space="preserve">includes trade/reach and subscription</t>
      </text>
    </comment>
    <comment authorId="0" ref="I55">
      <text>
        <t xml:space="preserve">includes trade/reach and subscription</t>
      </text>
    </comment>
    <comment authorId="0" ref="J55">
      <text>
        <t xml:space="preserve">includes trade/reach and subscription</t>
      </text>
    </comment>
    <comment authorId="0" ref="K55">
      <text>
        <t xml:space="preserve">includes trade/reach and subscription</t>
      </text>
    </comment>
    <comment authorId="0" ref="L55">
      <text>
        <t xml:space="preserve">includes trade/reach and subscription</t>
      </text>
    </comment>
    <comment authorId="0" ref="M55">
      <text>
        <t xml:space="preserve">includes trade/reach and subscription</t>
      </text>
    </comment>
    <comment authorId="0" ref="B56">
      <text>
        <t xml:space="preserve">399 Trade tool with Purecars
351 mgmt fee
57 Data Management fee</t>
      </text>
    </comment>
    <comment authorId="0" ref="C56">
      <text>
        <t xml:space="preserve">399 Trade tool with Purecars
351 mgmt fee
57 Data Management fee</t>
      </text>
    </comment>
    <comment authorId="0" ref="D56">
      <text>
        <t xml:space="preserve">399 Trade tool with Purecars
351 mgmt fee
57 Data Management fee</t>
      </text>
    </comment>
    <comment authorId="0" ref="E56">
      <text>
        <t xml:space="preserve">399 Trade tool with Purecars
351 mgmt fee
57 Data Management fee</t>
      </text>
    </comment>
    <comment authorId="0" ref="F56">
      <text>
        <t xml:space="preserve">399 Trade tool with Purecars
351 mgmt fee
57 Data Management fee</t>
      </text>
    </comment>
    <comment authorId="0" ref="G56">
      <text>
        <t xml:space="preserve">399 Trade tool with Purecars
351 mgmt fee
57 Data Management fee</t>
      </text>
    </comment>
    <comment authorId="0" ref="H56">
      <text>
        <t xml:space="preserve">399 Trade tool with Purecars
351 mgmt fee
57 Data Management fee</t>
      </text>
    </comment>
    <comment authorId="0" ref="I56">
      <text>
        <t xml:space="preserve">399 Trade tool with Purecars
351 mgmt fee
57 Data Management fee</t>
      </text>
    </comment>
    <comment authorId="0" ref="J56">
      <text>
        <t xml:space="preserve">399 Trade tool with Purecars
351 mgmt fee
57 Data Management fee</t>
      </text>
    </comment>
    <comment authorId="0" ref="K56">
      <text>
        <t xml:space="preserve">399 Trade tool with Purecars
351 mgmt fee
57 Data Management fee</t>
      </text>
    </comment>
    <comment authorId="0" ref="L56">
      <text>
        <t xml:space="preserve">399 Trade tool with Purecars
351 mgmt fee
57 Data Management fee</t>
      </text>
    </comment>
    <comment authorId="0" ref="M56">
      <text>
        <t xml:space="preserve">399 Trade tool with Purecars
351 mgmt fee
57 Data Management fee</t>
      </text>
    </comment>
    <comment authorId="0" ref="B59">
      <text>
        <t xml:space="preserve">850 NEW
850 USED
1700 TOTAL</t>
      </text>
    </comment>
    <comment authorId="0" ref="C59">
      <text>
        <t xml:space="preserve">850 NEW
850 USED
1700 TOTAL</t>
      </text>
    </comment>
    <comment authorId="0" ref="D59">
      <text>
        <t xml:space="preserve">850 NEW
850 USED
1700 TOTAL</t>
      </text>
    </comment>
    <comment authorId="0" ref="E59">
      <text>
        <t xml:space="preserve">850 NEW
850 USED
1700 TOTAL</t>
      </text>
    </comment>
    <comment authorId="0" ref="F59">
      <text>
        <t xml:space="preserve">850 NEW
850 USED
1700 TOTAL</t>
      </text>
    </comment>
    <comment authorId="0" ref="G59">
      <text>
        <t xml:space="preserve">850 NEW
850 USED
1700 TOTAL</t>
      </text>
    </comment>
    <comment authorId="0" ref="H59">
      <text>
        <t xml:space="preserve">850 NEW
850 USED
1700 TOTAL</t>
      </text>
    </comment>
    <comment authorId="0" ref="I59">
      <text>
        <t xml:space="preserve">850 NEW
850 USED
1700 TOTAL</t>
      </text>
    </comment>
    <comment authorId="0" ref="J59">
      <text>
        <t xml:space="preserve">850 NEW
850 USED
1700 TOTAL</t>
      </text>
    </comment>
    <comment authorId="0" ref="K59">
      <text>
        <t xml:space="preserve">850 NEW
850 USED
1700 TOTAL</t>
      </text>
    </comment>
    <comment authorId="0" ref="L59">
      <text>
        <t xml:space="preserve">850 NEW
850 USED
1700 TOTAL</t>
      </text>
    </comment>
    <comment authorId="0" ref="M59">
      <text>
        <t xml:space="preserve">850 NEW
850 USED
1700 TOTAL</t>
      </text>
    </comment>
    <comment authorId="0" ref="B63">
      <text>
        <t xml:space="preserve">14,889.50 new
450 used</t>
      </text>
    </comment>
    <comment authorId="0" ref="C63">
      <text>
        <t xml:space="preserve">14,889.50 new
450 used</t>
      </text>
    </comment>
    <comment authorId="0" ref="D63">
      <text>
        <t xml:space="preserve">14,889.50 new
450 used</t>
      </text>
    </comment>
    <comment authorId="0" ref="E63">
      <text>
        <t xml:space="preserve">14,889.50 new
450 used</t>
      </text>
    </comment>
    <comment authorId="0" ref="F63">
      <text>
        <t xml:space="preserve">14,889.50 new
450 used</t>
      </text>
    </comment>
    <comment authorId="0" ref="G63">
      <text>
        <t xml:space="preserve">14,889.50 new
450 used</t>
      </text>
    </comment>
    <comment authorId="0" ref="H63">
      <text>
        <t xml:space="preserve">14,889.50 new
450 used</t>
      </text>
    </comment>
    <comment authorId="0" ref="I63">
      <text>
        <t xml:space="preserve">14,889.50 new
450 used</t>
      </text>
    </comment>
    <comment authorId="0" ref="J63">
      <text>
        <t xml:space="preserve">14,889.50 new
450 used</t>
      </text>
    </comment>
    <comment authorId="0" ref="K63">
      <text>
        <t xml:space="preserve">14,889.50 new
450 used</t>
      </text>
    </comment>
    <comment authorId="0" ref="L63">
      <text>
        <t xml:space="preserve">14,889.50 new
450 used</t>
      </text>
    </comment>
    <comment authorId="0" ref="M63">
      <text>
        <t xml:space="preserve">14,889.50 new
450 used</t>
      </text>
    </comment>
    <comment authorId="0" ref="B72">
      <text>
        <t xml:space="preserve">TBD
</t>
      </text>
    </comment>
    <comment authorId="0" ref="C72">
      <text>
        <t xml:space="preserve">TBD
</t>
      </text>
    </comment>
    <comment authorId="0" ref="D72">
      <text>
        <t xml:space="preserve">TBD
</t>
      </text>
    </comment>
    <comment authorId="0" ref="E72">
      <text>
        <t xml:space="preserve">TBD
</t>
      </text>
    </comment>
    <comment authorId="0" ref="F72">
      <text>
        <t xml:space="preserve">TBD
</t>
      </text>
    </comment>
    <comment authorId="0" ref="G72">
      <text>
        <t xml:space="preserve">TBD
</t>
      </text>
    </comment>
    <comment authorId="0" ref="H72">
      <text>
        <t xml:space="preserve">TBD
</t>
      </text>
    </comment>
    <comment authorId="0" ref="I72">
      <text>
        <t xml:space="preserve">TBD
</t>
      </text>
    </comment>
    <comment authorId="0" ref="J72">
      <text>
        <t xml:space="preserve">TBD
</t>
      </text>
    </comment>
    <comment authorId="0" ref="K72">
      <text>
        <t xml:space="preserve">TBD
</t>
      </text>
    </comment>
    <comment authorId="0" ref="L72">
      <text>
        <t xml:space="preserve">TBD
</t>
      </text>
    </comment>
    <comment authorId="0" ref="M72">
      <text>
        <t xml:space="preserve">TBD
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B74">
      <text>
        <t xml:space="preserve">850 NEW
850 USED
1700 TOTAL</t>
      </text>
    </comment>
    <comment authorId="0" ref="C74">
      <text>
        <t xml:space="preserve">850 NEW
850 USED
1700 TOTAL</t>
      </text>
    </comment>
    <comment authorId="0" ref="D74">
      <text>
        <t xml:space="preserve">850 NEW
850 USED
1700 TOTAL</t>
      </text>
    </comment>
    <comment authorId="0" ref="E74">
      <text>
        <t xml:space="preserve">850 NEW
850 USED
1700 TOTAL</t>
      </text>
    </comment>
    <comment authorId="0" ref="F74">
      <text>
        <t xml:space="preserve">850 NEW
850 USED
1700 TOTAL</t>
      </text>
    </comment>
    <comment authorId="0" ref="G74">
      <text>
        <t xml:space="preserve">850 NEW
850 USED
1700 TOTAL</t>
      </text>
    </comment>
    <comment authorId="0" ref="H74">
      <text>
        <t xml:space="preserve">850 NEW
850 USED
1700 TOTAL</t>
      </text>
    </comment>
    <comment authorId="0" ref="I74">
      <text>
        <t xml:space="preserve">850 NEW
850 USED
1700 TOTAL</t>
      </text>
    </comment>
    <comment authorId="0" ref="J74">
      <text>
        <t xml:space="preserve">850 NEW
850 USED
1700 TOTAL</t>
      </text>
    </comment>
    <comment authorId="0" ref="K74">
      <text>
        <t xml:space="preserve">850 NEW
850 USED
1700 TOTAL</t>
      </text>
    </comment>
    <comment authorId="0" ref="L74">
      <text>
        <t xml:space="preserve">850 NEW
850 USED
1700 TOTAL</t>
      </text>
    </comment>
    <comment authorId="0" ref="M74">
      <text>
        <t xml:space="preserve">850 NEW
850 USED
1700 TOTAL</t>
      </text>
    </comment>
    <comment authorId="0" ref="B79">
      <text>
        <t xml:space="preserve">$4105 KBB ICO regular monthly charge
</t>
      </text>
    </comment>
    <comment authorId="0" ref="C79">
      <text>
        <t xml:space="preserve">$4105 KBB ICO regular monthly charge
</t>
      </text>
    </comment>
    <comment authorId="0" ref="D79">
      <text>
        <t xml:space="preserve">$4105 KBB ICO regular monthly charge
</t>
      </text>
    </comment>
    <comment authorId="0" ref="E79">
      <text>
        <t xml:space="preserve">$4105 KBB ICO regular monthly charge
</t>
      </text>
    </comment>
    <comment authorId="0" ref="F79">
      <text>
        <t xml:space="preserve">$4105 KBB ICO regular monthly charge
</t>
      </text>
    </comment>
    <comment authorId="0" ref="G79">
      <text>
        <t xml:space="preserve">$4105 KBB ICO regular monthly charge
</t>
      </text>
    </comment>
    <comment authorId="0" ref="H79">
      <text>
        <t xml:space="preserve">$4105 KBB ICO regular monthly charge
</t>
      </text>
    </comment>
    <comment authorId="0" ref="I79">
      <text>
        <t xml:space="preserve">$4105 KBB ICO regular monthly charge
</t>
      </text>
    </comment>
    <comment authorId="0" ref="J79">
      <text>
        <t xml:space="preserve">$4105 KBB ICO regular monthly charge
</t>
      </text>
    </comment>
    <comment authorId="0" ref="K79">
      <text>
        <t xml:space="preserve">$4105 KBB ICO regular monthly charge
</t>
      </text>
    </comment>
    <comment authorId="0" ref="L79">
      <text>
        <t xml:space="preserve">$4105 KBB ICO regular monthly charge
</t>
      </text>
    </comment>
    <comment authorId="0" ref="M79">
      <text>
        <t xml:space="preserve">$4105 KBB ICO regular monthly charge
</t>
      </text>
    </comment>
    <comment authorId="0" ref="B80">
      <text>
        <t xml:space="preserve">$2450 Enhanced</t>
      </text>
    </comment>
    <comment authorId="0" ref="C80">
      <text>
        <t xml:space="preserve">$2450 Enhanced</t>
      </text>
    </comment>
    <comment authorId="0" ref="D80">
      <text>
        <t xml:space="preserve">$2450 Enhanced</t>
      </text>
    </comment>
    <comment authorId="0" ref="E80">
      <text>
        <t xml:space="preserve">$2450 Enhanced</t>
      </text>
    </comment>
    <comment authorId="0" ref="F80">
      <text>
        <t xml:space="preserve">$2450 Enhanced</t>
      </text>
    </comment>
    <comment authorId="0" ref="G80">
      <text>
        <t xml:space="preserve">$2450 Enhanced</t>
      </text>
    </comment>
    <comment authorId="0" ref="H80">
      <text>
        <t xml:space="preserve">$2450 Enhanced</t>
      </text>
    </comment>
    <comment authorId="0" ref="I80">
      <text>
        <t xml:space="preserve">$2450 Enhanced</t>
      </text>
    </comment>
    <comment authorId="0" ref="J80">
      <text>
        <t xml:space="preserve">$2450 Enhanced</t>
      </text>
    </comment>
    <comment authorId="0" ref="K80">
      <text>
        <t xml:space="preserve">$2450 Enhanced</t>
      </text>
    </comment>
    <comment authorId="0" ref="L80">
      <text>
        <t xml:space="preserve">$2450 Enhanced</t>
      </text>
    </comment>
    <comment authorId="0" ref="M80">
      <text>
        <t xml:space="preserve">$2450 Enhanced</t>
      </text>
    </comment>
    <comment authorId="0" ref="B81">
      <text>
        <t xml:space="preserve">450 used
</t>
      </text>
    </comment>
    <comment authorId="0" ref="C81">
      <text>
        <t xml:space="preserve">450 used
</t>
      </text>
    </comment>
    <comment authorId="0" ref="D81">
      <text>
        <t xml:space="preserve">450 used
</t>
      </text>
    </comment>
    <comment authorId="0" ref="E81">
      <text>
        <t xml:space="preserve">450 used
</t>
      </text>
    </comment>
    <comment authorId="0" ref="F81">
      <text>
        <t xml:space="preserve">450 used
</t>
      </text>
    </comment>
    <comment authorId="0" ref="G81">
      <text>
        <t xml:space="preserve">450 used
</t>
      </text>
    </comment>
    <comment authorId="0" ref="H81">
      <text>
        <t xml:space="preserve">450 used
</t>
      </text>
    </comment>
    <comment authorId="0" ref="I81">
      <text>
        <t xml:space="preserve">450 used
</t>
      </text>
    </comment>
    <comment authorId="0" ref="J81">
      <text>
        <t xml:space="preserve">450 used
</t>
      </text>
    </comment>
    <comment authorId="0" ref="K81">
      <text>
        <t xml:space="preserve">450 used
</t>
      </text>
    </comment>
    <comment authorId="0" ref="L81">
      <text>
        <t xml:space="preserve">450 used
</t>
      </text>
    </comment>
    <comment authorId="0" ref="M81">
      <text>
        <t xml:space="preserve">450 used
</t>
      </text>
    </comment>
    <comment authorId="0" ref="B93">
      <text>
        <t xml:space="preserve">380 car wash cards</t>
      </text>
    </comment>
    <comment authorId="0" ref="C93">
      <text>
        <t xml:space="preserve">$995 SBC banner</t>
      </text>
    </comment>
    <comment authorId="0" ref="J93">
      <text>
        <t xml:space="preserve">$510 we buy cars hanging banner</t>
      </text>
    </comment>
    <comment authorId="0" ref="K94">
      <text>
        <t xml:space="preserve">$180 Polin
$200 boxes
</t>
      </text>
    </comment>
    <comment authorId="0" ref="B99">
      <text>
        <t xml:space="preserve">JD Power Licensing 450
</t>
      </text>
    </comment>
    <comment authorId="0" ref="C99">
      <text>
        <t xml:space="preserve">JD Power Licensing 450
</t>
      </text>
    </comment>
    <comment authorId="0" ref="D99">
      <text>
        <t xml:space="preserve">JD Power Licensing 450
</t>
      </text>
    </comment>
    <comment authorId="0" ref="E99">
      <text>
        <t xml:space="preserve">billing waived April through June
JD Power Licensing 450
</t>
      </text>
    </comment>
    <comment authorId="0" ref="F99">
      <text>
        <t xml:space="preserve">billing waived April through June
JD Power Licensing 450
</t>
      </text>
    </comment>
    <comment authorId="0" ref="G99">
      <text>
        <t xml:space="preserve">billing waived April through June
JD Power Licensing 450
</t>
      </text>
    </comment>
    <comment authorId="0" ref="H99">
      <text>
        <t xml:space="preserve">JD Power Licensing 450
</t>
      </text>
    </comment>
    <comment authorId="0" ref="I99">
      <text>
        <t xml:space="preserve">JD Power Licensing 450
AUG is last invoice</t>
      </text>
    </comment>
    <comment authorId="0" ref="J99">
      <text>
        <t xml:space="preserve">JD Power Licensing 450
</t>
      </text>
    </comment>
    <comment authorId="0" ref="K99">
      <text>
        <t xml:space="preserve">JD Power Licensing 450
</t>
      </text>
    </comment>
    <comment authorId="0" ref="L99">
      <text>
        <t xml:space="preserve">JD Power Licensing 450
</t>
      </text>
    </comment>
    <comment authorId="0" ref="M99">
      <text>
        <t xml:space="preserve">JD Power Licensing 450
</t>
      </text>
    </comment>
    <comment authorId="0" ref="B102">
      <text>
        <t xml:space="preserve">Automotive Broadcasting Network</t>
      </text>
    </comment>
    <comment authorId="0" ref="C102">
      <text>
        <t xml:space="preserve">Automotive Broadcasting Network</t>
      </text>
    </comment>
    <comment authorId="0" ref="D102">
      <text>
        <t xml:space="preserve">Automotive Broadcasting Network</t>
      </text>
    </comment>
    <comment authorId="0" ref="E102">
      <text>
        <t xml:space="preserve">Automotive Broadcasting Network</t>
      </text>
    </comment>
    <comment authorId="0" ref="F102">
      <text>
        <t xml:space="preserve">Automotive Broadcasting Network</t>
      </text>
    </comment>
    <comment authorId="0" ref="G102">
      <text>
        <t xml:space="preserve">Automotive Broadcasting Network</t>
      </text>
    </comment>
    <comment authorId="0" ref="H102">
      <text>
        <t xml:space="preserve">Automotive Broadcasting Network</t>
      </text>
    </comment>
    <comment authorId="0" ref="I102">
      <text>
        <t xml:space="preserve">Automotive Broadcasting Network</t>
      </text>
    </comment>
    <comment authorId="0" ref="J102">
      <text>
        <t xml:space="preserve">Automotive Broadcasting Network</t>
      </text>
    </comment>
    <comment authorId="0" ref="K102">
      <text>
        <t xml:space="preserve">Automotive Broadcasting Network</t>
      </text>
    </comment>
    <comment authorId="0" ref="L102">
      <text>
        <t xml:space="preserve">Automotive Broadcasting Network</t>
      </text>
    </comment>
    <comment authorId="0" ref="M102">
      <text>
        <t xml:space="preserve">Automotive Broadcasting Network</t>
      </text>
    </comment>
    <comment authorId="0" ref="B103">
      <text>
        <t xml:space="preserve">$500 Other Group Digital </t>
      </text>
    </comment>
    <comment authorId="0" ref="C103">
      <text>
        <t xml:space="preserve">$500 Other Group Digital </t>
      </text>
    </comment>
    <comment authorId="0" ref="D103">
      <text>
        <t xml:space="preserve">$200 Other Group Digital 
$113.63 WJA sponsorship</t>
      </text>
    </comment>
    <comment authorId="0" ref="E103">
      <text>
        <t xml:space="preserve">$500 Other Group Digital </t>
      </text>
    </comment>
    <comment authorId="0" ref="F103">
      <text>
        <t xml:space="preserve">$500 Other Group Digital </t>
      </text>
    </comment>
    <comment authorId="0" ref="G103">
      <text>
        <t xml:space="preserve">$605 Other Group Digital </t>
      </text>
    </comment>
    <comment authorId="0" ref="H103">
      <text>
        <t xml:space="preserve">$605 Other Group Digital </t>
      </text>
    </comment>
    <comment authorId="0" ref="I103">
      <text>
        <t xml:space="preserve">$500 Other Group Digital </t>
      </text>
    </comment>
    <comment authorId="0" ref="J103">
      <text>
        <t xml:space="preserve">$500 Other Group Digital </t>
      </text>
    </comment>
    <comment authorId="0" ref="K103">
      <text>
        <t xml:space="preserve">$500 Other Group Digital </t>
      </text>
    </comment>
    <comment authorId="0" ref="L103">
      <text>
        <t xml:space="preserve">$500 Other Group Digital </t>
      </text>
    </comment>
    <comment authorId="0" ref="M103">
      <text>
        <t xml:space="preserve">$500 Other Group Digital </t>
      </text>
    </comment>
    <comment authorId="0" ref="B115">
      <text>
        <t xml:space="preserve">$1,295 Easy Care
</t>
      </text>
    </comment>
    <comment authorId="0" ref="C115">
      <text>
        <t xml:space="preserve">$1,295 Easy Care
</t>
      </text>
    </comment>
    <comment authorId="0" ref="D115">
      <text>
        <t xml:space="preserve">$1,295 Easy Care
</t>
      </text>
    </comment>
    <comment authorId="0" ref="E115">
      <text>
        <t xml:space="preserve">$1,295 Easy Care
</t>
      </text>
    </comment>
    <comment authorId="0" ref="F115">
      <text>
        <t xml:space="preserve">$1,295 Easy Care
</t>
      </text>
    </comment>
    <comment authorId="0" ref="G115">
      <text>
        <t xml:space="preserve">$1,295 Easy Care
</t>
      </text>
    </comment>
    <comment authorId="0" ref="H115">
      <text>
        <t xml:space="preserve">$1,295 Easy Care
</t>
      </text>
    </comment>
    <comment authorId="0" ref="I115">
      <text>
        <t xml:space="preserve">$1,295 Easy Care
</t>
      </text>
    </comment>
    <comment authorId="0" ref="J115">
      <text>
        <t xml:space="preserve">$1,295 Easy Care
</t>
      </text>
    </comment>
    <comment authorId="0" ref="K115">
      <text>
        <t xml:space="preserve">$1,295 Easy Care
</t>
      </text>
    </comment>
    <comment authorId="0" ref="L115">
      <text>
        <t xml:space="preserve">$1,295 Easy Care
</t>
      </text>
    </comment>
    <comment authorId="0" ref="M115">
      <text>
        <t xml:space="preserve">$1,295 Easy Care
</t>
      </text>
    </comment>
    <comment authorId="0" ref="D116">
      <text>
        <t xml:space="preserve">$1000 for SMC PreRoll ($500 dealer spend; $500 SER)</t>
      </text>
    </comment>
    <comment authorId="0" ref="B117">
      <text>
        <t xml:space="preserve">850 trigger mail
$1,981.44 quarterly recovery mailer</t>
      </text>
    </comment>
    <comment authorId="0" ref="C117">
      <text>
        <t xml:space="preserve">850 trigger mail
</t>
      </text>
    </comment>
    <comment authorId="0" ref="D117">
      <text>
        <t xml:space="preserve">850 trigger mail
</t>
      </text>
    </comment>
    <comment authorId="0" ref="E117">
      <text>
        <t xml:space="preserve">850 trigger mail
2,288.16 quarterly recovery mailer</t>
      </text>
    </comment>
    <comment authorId="0" ref="F117">
      <text>
        <t xml:space="preserve">850 trigger mail
</t>
      </text>
    </comment>
    <comment authorId="0" ref="G117">
      <text>
        <t xml:space="preserve">850 trigger mail
</t>
      </text>
    </comment>
    <comment authorId="0" ref="H117">
      <text>
        <t xml:space="preserve">850 trigger mail
$1,981.44 quarterly recovery mailer</t>
      </text>
    </comment>
    <comment authorId="0" ref="I117">
      <text>
        <t xml:space="preserve">850 trigger mail
</t>
      </text>
    </comment>
    <comment authorId="0" ref="J117">
      <text>
        <t xml:space="preserve">850 trigger mail
</t>
      </text>
    </comment>
    <comment authorId="0" ref="K117">
      <text>
        <t xml:space="preserve">850 trigger mail
2129.76 Q3 recovery mailer</t>
      </text>
    </comment>
    <comment authorId="0" ref="L117">
      <text>
        <t xml:space="preserve">850 trigger mail
</t>
      </text>
    </comment>
    <comment authorId="0" ref="M117">
      <text>
        <t xml:space="preserve">850 trigger mail
</t>
      </text>
    </comment>
    <comment authorId="0" ref="B118">
      <text>
        <t xml:space="preserve">699 SE Region Fixed Ops SEO 
</t>
      </text>
    </comment>
    <comment authorId="0" ref="C118">
      <text>
        <t xml:space="preserve">699 SE Region Fixed Ops SEO 
</t>
      </text>
    </comment>
    <comment authorId="0" ref="D118">
      <text>
        <t xml:space="preserve">699 SE Region Fixed Ops SEO 
</t>
      </text>
    </comment>
    <comment authorId="0" ref="E118">
      <text>
        <t xml:space="preserve">699 SE Region Fixed Ops SEO 
</t>
      </text>
    </comment>
    <comment authorId="0" ref="F118">
      <text>
        <t xml:space="preserve">699 SE Region Fixed Ops SEO 
</t>
      </text>
    </comment>
    <comment authorId="0" ref="G118">
      <text>
        <t xml:space="preserve">699 SE Region Fixed Ops SEO 
</t>
      </text>
    </comment>
    <comment authorId="0" ref="H118">
      <text>
        <t xml:space="preserve">699 SE Region Fixed Ops SEO 
</t>
      </text>
    </comment>
    <comment authorId="0" ref="I118">
      <text>
        <t xml:space="preserve">699 SE Region Fixed Ops SEO 
</t>
      </text>
    </comment>
    <comment authorId="0" ref="J118">
      <text>
        <t xml:space="preserve">699 SE Region Fixed Ops SEO 
</t>
      </text>
    </comment>
    <comment authorId="0" ref="K118">
      <text>
        <t xml:space="preserve">699 SE Region Fixed Ops SEO 
</t>
      </text>
    </comment>
    <comment authorId="0" ref="L118">
      <text>
        <t xml:space="preserve">699 SE Region Fixed Ops SEO 
</t>
      </text>
    </comment>
    <comment authorId="0" ref="M118">
      <text>
        <t xml:space="preserve">699 SE Region Fixed Ops SEO 
</t>
      </text>
    </comment>
  </commentLi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4">
      <text>
        <t xml:space="preserve">1999 website
+$70 credit card transaction fee
61.9 sheehy.com portal site
850 AAG (SEO)</t>
      </text>
    </comment>
    <comment authorId="0" ref="C34">
      <text>
        <t xml:space="preserve">1999 website
+$70 credit card transaction fee
61.9 sheehy.com portal site
850 AAG (SEO)</t>
      </text>
    </comment>
    <comment authorId="0" ref="D34">
      <text>
        <t xml:space="preserve">1999 website
+$70 credit card transaction fee
61.9 sheehy.com portal site
850 AAG (SEO)</t>
      </text>
    </comment>
    <comment authorId="0" ref="E34">
      <text>
        <t xml:space="preserve">1999 website
+$70 credit card transaction fee
61.9 sheehy.com portal site
850 AAG (SEO)</t>
      </text>
    </comment>
    <comment authorId="0" ref="F34">
      <text>
        <t xml:space="preserve">1999 website
+$70 credit card transaction fee
61.9 sheehy.com portal site
850 AAG (SEO)</t>
      </text>
    </comment>
    <comment authorId="0" ref="G34">
      <text>
        <t xml:space="preserve">1999 website
+$70 credit card transaction fee
61.9 sheehy.com portal site
850 AAG (SEO)</t>
      </text>
    </comment>
    <comment authorId="0" ref="H34">
      <text>
        <t xml:space="preserve">1999 website
+$70 credit card transaction fee
61.9 sheehy.com portal site
850 AAG (SEO)</t>
      </text>
    </comment>
    <comment authorId="0" ref="I34">
      <text>
        <t xml:space="preserve">1999 website
+$70 credit card transaction fee
61.9 sheehy.com portal site
850 AAG (SEO)</t>
      </text>
    </comment>
    <comment authorId="0" ref="J34">
      <text>
        <t xml:space="preserve">1999 website
+$70 credit card transaction fee
61.9 sheehy.com portal site
850 AAG (SEO)</t>
      </text>
    </comment>
    <comment authorId="0" ref="K34">
      <text>
        <t xml:space="preserve">1999 website
+$70 credit card transaction fee
61.9 sheehy.com portal site
850 AAG (SEO)</t>
      </text>
    </comment>
    <comment authorId="0" ref="L34">
      <text>
        <t xml:space="preserve">1999 website
+$70 credit card transaction fee
61.9 sheehy.com portal site
850 AAG (SEO)</t>
      </text>
    </comment>
    <comment authorId="0" ref="M34">
      <text>
        <t xml:space="preserve">1999 website
+$70 credit card transaction fee
61.9 sheehy.com portal site
850 AAG (SEO)</t>
      </text>
    </comment>
    <comment authorId="0" ref="B42">
      <text>
        <t xml:space="preserve">365 switch to car chat
</t>
      </text>
    </comment>
    <comment authorId="0" ref="C42">
      <text>
        <t xml:space="preserve">365 switch to car chat
</t>
      </text>
    </comment>
    <comment authorId="0" ref="D42">
      <text>
        <t xml:space="preserve">365 switch to car chat
</t>
      </text>
    </comment>
    <comment authorId="0" ref="E42">
      <text>
        <t xml:space="preserve">365 switch to car chat
</t>
      </text>
    </comment>
    <comment authorId="0" ref="F42">
      <text>
        <t xml:space="preserve">365 switch to car chat
</t>
      </text>
    </comment>
    <comment authorId="0" ref="G42">
      <text>
        <t xml:space="preserve">365 switch to car chat
</t>
      </text>
    </comment>
    <comment authorId="0" ref="H42">
      <text>
        <t xml:space="preserve">365 switch to car chat
</t>
      </text>
    </comment>
    <comment authorId="0" ref="I42">
      <text>
        <t xml:space="preserve">365 switch to car chat
</t>
      </text>
    </comment>
    <comment authorId="0" ref="J42">
      <text>
        <t xml:space="preserve">365 switch to car chat
</t>
      </text>
    </comment>
    <comment authorId="0" ref="K42">
      <text>
        <t xml:space="preserve">365 switch to car chat
</t>
      </text>
    </comment>
    <comment authorId="0" ref="L42">
      <text>
        <t xml:space="preserve">365 switch to car chat
</t>
      </text>
    </comment>
    <comment authorId="0" ref="M42">
      <text>
        <t xml:space="preserve">365 switch to car chat
</t>
      </text>
    </comment>
    <comment authorId="0" ref="B44">
      <text>
        <t xml:space="preserve">199 Finance Driver Off-Platform billed through Dealertrack</t>
      </text>
    </comment>
    <comment authorId="0" ref="C44">
      <text>
        <t xml:space="preserve">199 Finance Driver Off-Platform billed through Dealertrack</t>
      </text>
    </comment>
    <comment authorId="0" ref="D44">
      <text>
        <t xml:space="preserve">199 Finance Driver Off-Platform billed through Dealertrack</t>
      </text>
    </comment>
    <comment authorId="0" ref="E44">
      <text>
        <t xml:space="preserve">199 Finance Driver Off-Platform billed through Dealertrack</t>
      </text>
    </comment>
    <comment authorId="0" ref="F44">
      <text>
        <t xml:space="preserve">199 Finance Driver Off-Platform billed through Dealertrack</t>
      </text>
    </comment>
    <comment authorId="0" ref="G44">
      <text>
        <t xml:space="preserve">199 Finance Driver Off-Platform billed through Dealertrack</t>
      </text>
    </comment>
    <comment authorId="0" ref="H44">
      <text>
        <t xml:space="preserve">199 Finance Driver Off-Platform billed through Dealertrack</t>
      </text>
    </comment>
    <comment authorId="0" ref="I44">
      <text>
        <t xml:space="preserve">199 Finance Driver Off-Platform billed through Dealertrack</t>
      </text>
    </comment>
    <comment authorId="0" ref="J44">
      <text>
        <t xml:space="preserve">199 Finance Driver Off-Platform billed through Dealertrack</t>
      </text>
    </comment>
    <comment authorId="0" ref="K44">
      <text>
        <t xml:space="preserve">199 Finance Driver Off-Platform billed through Dealertrack</t>
      </text>
    </comment>
    <comment authorId="0" ref="L44">
      <text>
        <t xml:space="preserve">199 Finance Driver Off-Platform billed through Dealertrack</t>
      </text>
    </comment>
    <comment authorId="0" ref="M44">
      <text>
        <t xml:space="preserve">199 Finance Driver Off-Platform billed through Dealertrack</t>
      </text>
    </comment>
    <comment authorId="0" ref="B45">
      <text>
        <t xml:space="preserve">45 Yelp
448 Podium
97.5 Reputation.com</t>
      </text>
    </comment>
    <comment authorId="0" ref="C45">
      <text>
        <t xml:space="preserve">45 Yelp
448 Podium
97.5 Reputation.com</t>
      </text>
    </comment>
    <comment authorId="0" ref="D45">
      <text>
        <t xml:space="preserve">45 Yelp
448 Podium
97.5 Reputation.com</t>
      </text>
    </comment>
    <comment authorId="0" ref="E45">
      <text>
        <t xml:space="preserve">45 Yelp
448 Podium
97.5 Reputation.com</t>
      </text>
    </comment>
    <comment authorId="0" ref="F45">
      <text>
        <t xml:space="preserve">45 Yelp
448 Podium
97.5 Reputation.com</t>
      </text>
    </comment>
    <comment authorId="0" ref="G45">
      <text>
        <t xml:space="preserve">45 Yelp
448 Podium
97.5 Reputation.com</t>
      </text>
    </comment>
    <comment authorId="0" ref="H45">
      <text>
        <t xml:space="preserve">45 Yelp
448 Podium
97.5 Reputation.com</t>
      </text>
    </comment>
    <comment authorId="0" ref="I45">
      <text>
        <t xml:space="preserve">45 Yelp
448 Podium
97.5 Reputation.com</t>
      </text>
    </comment>
    <comment authorId="0" ref="J45">
      <text>
        <t xml:space="preserve">45 Yelp
448 Podium
97.5 Reputation.com</t>
      </text>
    </comment>
    <comment authorId="0" ref="K45">
      <text>
        <t xml:space="preserve">45 Yelp
448 Podium
97.5 Reputation.com</t>
      </text>
    </comment>
    <comment authorId="0" ref="L45">
      <text>
        <t xml:space="preserve">45 Yelp
448 Podium
97.5 Reputation.com</t>
      </text>
    </comment>
    <comment authorId="0" ref="M45">
      <text>
        <t xml:space="preserve">45 Yelp
448 Podium
97.5 Reputation.com</t>
      </text>
    </comment>
    <comment authorId="0" ref="E46">
      <text>
        <t xml:space="preserve">cancelled 3/16</t>
      </text>
    </comment>
    <comment authorId="0" ref="B47">
      <text>
        <t xml:space="preserve">850 Alli Mgmt
200 Alli Paid Campaigns
+750 ALS management fee
+1,000 ALS ad spend</t>
      </text>
    </comment>
    <comment authorId="0" ref="C47">
      <text>
        <t xml:space="preserve">850 Alli Mgmt
200 Alli Paid Campaigns
+750 ALS management fee
+1,000 ALS ad spend</t>
      </text>
    </comment>
    <comment authorId="0" ref="D47">
      <text>
        <t xml:space="preserve">850 Alli Mgmt
200 Alli Paid Campaigns
+750 ALS management fee
+1,000 ALS ad spend</t>
      </text>
    </comment>
    <comment authorId="0" ref="E47">
      <text>
        <t xml:space="preserve">850 Alli Mgmt
200 Alli Paid Campaigns
+750 ALS management fee
+1,000 ALS ad spend</t>
      </text>
    </comment>
    <comment authorId="0" ref="F47">
      <text>
        <t xml:space="preserve">850 Alli Mgmt
200 Alli Paid Campaigns
+750 ALS management fee
+1,000 ALS ad spend</t>
      </text>
    </comment>
    <comment authorId="0" ref="G47">
      <text>
        <t xml:space="preserve">850 Alli Mgmt
200 Alli Paid Campaigns
+750 ALS management fee
+1,000 ALS ad spend</t>
      </text>
    </comment>
    <comment authorId="0" ref="H47">
      <text>
        <t xml:space="preserve">850 Alli Mgmt
200 Alli Paid Campaigns
+750 ALS management fee
+1,000 ALS ad spend</t>
      </text>
    </comment>
    <comment authorId="0" ref="I47">
      <text>
        <t xml:space="preserve">850 Alli Mgmt
200 Alli Paid Campaigns
+750 ALS management fee
+1,000 ALS ad spend</t>
      </text>
    </comment>
    <comment authorId="0" ref="J47">
      <text>
        <t xml:space="preserve">850 Alli Mgmt
200 Alli Paid Campaigns
+750 ALS management fee
+1,000 ALS ad spend</t>
      </text>
    </comment>
    <comment authorId="0" ref="K47">
      <text>
        <t xml:space="preserve">850 Alli Mgmt
200 Alli Paid Campaigns
+750 ALS management fee
+1,000 ALS ad spend</t>
      </text>
    </comment>
    <comment authorId="0" ref="L47">
      <text>
        <t xml:space="preserve">850 Alli Mgmt
200 Alli Paid Campaigns
+750 ALS management fee
+1,000 ALS ad spend</t>
      </text>
    </comment>
    <comment authorId="0" ref="M47">
      <text>
        <t xml:space="preserve">850 Alli Mgmt
200 Alli Paid Campaigns
+750 ALS management fee
+1,000 ALS ad spend</t>
      </text>
    </comment>
    <comment authorId="0" ref="B48">
      <text>
        <t xml:space="preserve">55.66 Sheehy.com
$350.33 PERQ child site
80 we buy cars</t>
      </text>
    </comment>
    <comment authorId="0" ref="C48">
      <text>
        <t xml:space="preserve">55.66 Sheehy.com
$350.33 PERQ child site
80 we buy cars</t>
      </text>
    </comment>
    <comment authorId="0" ref="D48">
      <text>
        <t xml:space="preserve">55.66 Sheehy.com
$350.33 PERQ child site
80 we buy cars</t>
      </text>
    </comment>
    <comment authorId="0" ref="E48">
      <text>
        <t xml:space="preserve">55.66 Sheehy.com
$350.33 PERQ child site
80 we buy cars</t>
      </text>
    </comment>
    <comment authorId="0" ref="F48">
      <text>
        <t xml:space="preserve">55.66 Sheehy.com
$350.33 PERQ child site
80 we buy cars</t>
      </text>
    </comment>
    <comment authorId="0" ref="G48">
      <text>
        <t xml:space="preserve">55.66 Sheehy.com
$350.33 PERQ child site
80 we buy cars</t>
      </text>
    </comment>
    <comment authorId="0" ref="H48">
      <text>
        <t xml:space="preserve">55.66 Sheehy.com
$350.33 PERQ child site
80 we buy cars</t>
      </text>
    </comment>
    <comment authorId="0" ref="I48">
      <text>
        <t xml:space="preserve">55.66 Sheehy.com
$350.33 PERQ child site
80 we buy cars</t>
      </text>
    </comment>
    <comment authorId="0" ref="J48">
      <text>
        <t xml:space="preserve">55.66 Sheehy.com
$350.33 PERQ child site
80 we buy cars</t>
      </text>
    </comment>
    <comment authorId="0" ref="K48">
      <text>
        <t xml:space="preserve">55.66 Sheehy.com
$350.33 PERQ child site
80 we buy cars</t>
      </text>
    </comment>
    <comment authorId="0" ref="L48">
      <text>
        <t xml:space="preserve">55.66 Sheehy.com
$350.33 PERQ child site
80 we buy cars</t>
      </text>
    </comment>
    <comment authorId="0" ref="M48">
      <text>
        <t xml:space="preserve">55.66 Sheehy.com
$350.33 PERQ child site
80 we buy cars</t>
      </text>
    </comment>
    <comment authorId="0" ref="B50">
      <text>
        <t xml:space="preserve">$2000 Roadster setup fee</t>
      </text>
    </comment>
    <comment authorId="0" ref="C50">
      <text>
        <t xml:space="preserve">$2000 Roadster setup fee</t>
      </text>
    </comment>
    <comment authorId="0" ref="D50">
      <text>
        <t xml:space="preserve">$2000 Roadster setup fee</t>
      </text>
    </comment>
    <comment authorId="0" ref="E50">
      <text>
        <t xml:space="preserve">$2000 Roadster setup fee</t>
      </text>
    </comment>
    <comment authorId="0" ref="F50">
      <text>
        <t xml:space="preserve">$2000 Roadster setup fee</t>
      </text>
    </comment>
    <comment authorId="0" ref="G50">
      <text>
        <t xml:space="preserve">$2000 Roadster setup fee</t>
      </text>
    </comment>
    <comment authorId="0" ref="H50">
      <text>
        <t xml:space="preserve">$2000 Roadster setup fee</t>
      </text>
    </comment>
    <comment authorId="0" ref="I50">
      <text>
        <t xml:space="preserve">$2000 Roadster setup fee</t>
      </text>
    </comment>
    <comment authorId="0" ref="J50">
      <text>
        <t xml:space="preserve">$2000 Roadster setup fee</t>
      </text>
    </comment>
    <comment authorId="0" ref="K50">
      <text>
        <t xml:space="preserve">$2000 Roadster setup fee</t>
      </text>
    </comment>
    <comment authorId="0" ref="L50">
      <text>
        <t xml:space="preserve">$2000 Roadster setup fee</t>
      </text>
    </comment>
    <comment authorId="0" ref="M50">
      <text>
        <t xml:space="preserve">$2000 Roadster setup fee</t>
      </text>
    </comment>
    <comment authorId="0" ref="B55">
      <text>
        <t xml:space="preserve">2250 truecar @ 45 mi.
199 truecar Reach product</t>
      </text>
    </comment>
    <comment authorId="0" ref="C55">
      <text>
        <t xml:space="preserve">2250 truecar @ 45 mi.
199 truecar Reach product</t>
      </text>
    </comment>
    <comment authorId="0" ref="D55">
      <text>
        <t xml:space="preserve">2250 truecar @ 45 mi.
199 truecar Reach product</t>
      </text>
    </comment>
    <comment authorId="0" ref="E55">
      <text>
        <t xml:space="preserve">2250 truecar @ 45 mi.
199 truecar Reach product</t>
      </text>
    </comment>
    <comment authorId="0" ref="F55">
      <text>
        <t xml:space="preserve">2250 truecar @ 45 mi.
199 truecar Reach product</t>
      </text>
    </comment>
    <comment authorId="0" ref="G55">
      <text>
        <t xml:space="preserve">2250 truecar @ 45 mi.
199 truecar Reach product</t>
      </text>
    </comment>
    <comment authorId="0" ref="H55">
      <text>
        <t xml:space="preserve">includes trade/reach and subscription</t>
      </text>
    </comment>
    <comment authorId="0" ref="I55">
      <text>
        <t xml:space="preserve">includes trade/reach and subscription</t>
      </text>
    </comment>
    <comment authorId="0" ref="J55">
      <text>
        <t xml:space="preserve">includes trade/reach and subscription</t>
      </text>
    </comment>
    <comment authorId="0" ref="K55">
      <text>
        <t xml:space="preserve">includes trade/reach and subscription</t>
      </text>
    </comment>
    <comment authorId="0" ref="L55">
      <text>
        <t xml:space="preserve">includes trade/reach and subscription</t>
      </text>
    </comment>
    <comment authorId="0" ref="M55">
      <text>
        <t xml:space="preserve">includes trade/reach and subscription</t>
      </text>
    </comment>
    <comment authorId="0" ref="B56">
      <text>
        <t xml:space="preserve">399 Trade tool with Purecars
351 mgmt fee
57 Data Management fee</t>
      </text>
    </comment>
    <comment authorId="0" ref="C56">
      <text>
        <t xml:space="preserve">399 Trade tool with Purecars
351 mgmt fee
57 Data Management fee</t>
      </text>
    </comment>
    <comment authorId="0" ref="D56">
      <text>
        <t xml:space="preserve">399 Trade tool with Purecars
351 mgmt fee
57 Data Management fee</t>
      </text>
    </comment>
    <comment authorId="0" ref="E56">
      <text>
        <t xml:space="preserve">399 Trade tool with Purecars
351 mgmt fee
57 Data Management fee</t>
      </text>
    </comment>
    <comment authorId="0" ref="F56">
      <text>
        <t xml:space="preserve">399 Trade tool with Purecars
351 mgmt fee
57 Data Management fee</t>
      </text>
    </comment>
    <comment authorId="0" ref="G56">
      <text>
        <t xml:space="preserve">399 Trade tool with Purecars
351 mgmt fee
57 Data Management fee</t>
      </text>
    </comment>
    <comment authorId="0" ref="H56">
      <text>
        <t xml:space="preserve">399 Trade tool with Purecars
351 mgmt fee
57 Data Management fee</t>
      </text>
    </comment>
    <comment authorId="0" ref="I56">
      <text>
        <t xml:space="preserve">399 Trade tool with Purecars
351 mgmt fee
57 Data Management fee</t>
      </text>
    </comment>
    <comment authorId="0" ref="J56">
      <text>
        <t xml:space="preserve">399 Trade tool with Purecars
351 mgmt fee
57 Data Management fee</t>
      </text>
    </comment>
    <comment authorId="0" ref="K56">
      <text>
        <t xml:space="preserve">399 Trade tool with Purecars
351 mgmt fee
57 Data Management fee</t>
      </text>
    </comment>
    <comment authorId="0" ref="L56">
      <text>
        <t xml:space="preserve">399 Trade tool with Purecars
351 mgmt fee
57 Data Management fee</t>
      </text>
    </comment>
    <comment authorId="0" ref="M56">
      <text>
        <t xml:space="preserve">399 Trade tool with Purecars
351 mgmt fee
57 Data Management fee</t>
      </text>
    </comment>
    <comment authorId="0" ref="B59">
      <text>
        <t xml:space="preserve">1100 NEW
1100 USED
2200 TOTAL</t>
      </text>
    </comment>
    <comment authorId="0" ref="C59">
      <text>
        <t xml:space="preserve">1100 NEW
1100 USED
2200 TOTAL</t>
      </text>
    </comment>
    <comment authorId="0" ref="D59">
      <text>
        <t xml:space="preserve">1100 NEW
1100 USED
2200 TOTAL</t>
      </text>
    </comment>
    <comment authorId="0" ref="E59">
      <text>
        <t xml:space="preserve">1100 NEW
1100 USED
2200 TOTAL</t>
      </text>
    </comment>
    <comment authorId="0" ref="F59">
      <text>
        <t xml:space="preserve">1100 NEW
1100 USED
2200 TOTAL</t>
      </text>
    </comment>
    <comment authorId="0" ref="G59">
      <text>
        <t xml:space="preserve">1100 NEW
1100 USED
2200 TOTAL</t>
      </text>
    </comment>
    <comment authorId="0" ref="H59">
      <text>
        <t xml:space="preserve">1100 NEW
1100 USED
2200 TOTAL</t>
      </text>
    </comment>
    <comment authorId="0" ref="I59">
      <text>
        <t xml:space="preserve">1100 NEW
1100 USED
2200 TOTAL</t>
      </text>
    </comment>
    <comment authorId="0" ref="J59">
      <text>
        <t xml:space="preserve">1100 NEW
1100 USED
2200 TOTAL</t>
      </text>
    </comment>
    <comment authorId="0" ref="K59">
      <text>
        <t xml:space="preserve">1100 NEW
1100 USED
2200 TOTAL</t>
      </text>
    </comment>
    <comment authorId="0" ref="L59">
      <text>
        <t xml:space="preserve">1100 NEW
1100 USED
2200 TOTAL</t>
      </text>
    </comment>
    <comment authorId="0" ref="M59">
      <text>
        <t xml:space="preserve">1100 NEW
1100 USED
2200 TOTAL</t>
      </text>
    </comment>
    <comment authorId="0" ref="B63">
      <text>
        <t xml:space="preserve">2873 new
</t>
      </text>
    </comment>
    <comment authorId="0" ref="C63">
      <text>
        <t xml:space="preserve">2873 new
</t>
      </text>
    </comment>
    <comment authorId="0" ref="D63">
      <text>
        <t xml:space="preserve">2873 new
</t>
      </text>
    </comment>
    <comment authorId="0" ref="E63">
      <text>
        <t xml:space="preserve">2873 new
</t>
      </text>
    </comment>
    <comment authorId="0" ref="F63">
      <text>
        <t xml:space="preserve">2873 new
</t>
      </text>
    </comment>
    <comment authorId="0" ref="G63">
      <text>
        <t xml:space="preserve">2873 new
</t>
      </text>
    </comment>
    <comment authorId="0" ref="H63">
      <text>
        <t xml:space="preserve">2873 new
</t>
      </text>
    </comment>
    <comment authorId="0" ref="I63">
      <text>
        <t xml:space="preserve">2873 new
</t>
      </text>
    </comment>
    <comment authorId="0" ref="J63">
      <text>
        <t xml:space="preserve">2873 new
</t>
      </text>
    </comment>
    <comment authorId="0" ref="K63">
      <text>
        <t xml:space="preserve">2873 new
</t>
      </text>
    </comment>
    <comment authorId="0" ref="L63">
      <text>
        <t xml:space="preserve">2873 new
</t>
      </text>
    </comment>
    <comment authorId="0" ref="M63">
      <text>
        <t xml:space="preserve">2873 new
</t>
      </text>
    </comment>
    <comment authorId="0" ref="B72">
      <text>
        <t xml:space="preserve">TBD
</t>
      </text>
    </comment>
    <comment authorId="0" ref="C72">
      <text>
        <t xml:space="preserve">TBD
</t>
      </text>
    </comment>
    <comment authorId="0" ref="D72">
      <text>
        <t xml:space="preserve">TBD
</t>
      </text>
    </comment>
    <comment authorId="0" ref="E72">
      <text>
        <t xml:space="preserve">TBD
</t>
      </text>
    </comment>
    <comment authorId="0" ref="F72">
      <text>
        <t xml:space="preserve">TBD
</t>
      </text>
    </comment>
    <comment authorId="0" ref="G72">
      <text>
        <t xml:space="preserve">TBD
</t>
      </text>
    </comment>
    <comment authorId="0" ref="H72">
      <text>
        <t xml:space="preserve">TBD
</t>
      </text>
    </comment>
    <comment authorId="0" ref="I72">
      <text>
        <t xml:space="preserve">TBD
</t>
      </text>
    </comment>
    <comment authorId="0" ref="J72">
      <text>
        <t xml:space="preserve">TBD
</t>
      </text>
    </comment>
    <comment authorId="0" ref="K72">
      <text>
        <t xml:space="preserve">TBD
</t>
      </text>
    </comment>
    <comment authorId="0" ref="L72">
      <text>
        <t xml:space="preserve">TBD
</t>
      </text>
    </comment>
    <comment authorId="0" ref="M72">
      <text>
        <t xml:space="preserve">TBD
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B74">
      <text>
        <t xml:space="preserve">1100 NEW
1100 USED
2200 TOTAL</t>
      </text>
    </comment>
    <comment authorId="0" ref="C74">
      <text>
        <t xml:space="preserve">1100 NEW
1100 USED
2200 TOTAL</t>
      </text>
    </comment>
    <comment authorId="0" ref="D74">
      <text>
        <t xml:space="preserve">1100 NEW
1100 USED
2200 TOTAL</t>
      </text>
    </comment>
    <comment authorId="0" ref="E74">
      <text>
        <t xml:space="preserve">1100 NEW
1100 USED
2200 TOTAL</t>
      </text>
    </comment>
    <comment authorId="0" ref="F74">
      <text>
        <t xml:space="preserve">1100 NEW
1100 USED
2200 TOTAL</t>
      </text>
    </comment>
    <comment authorId="0" ref="G74">
      <text>
        <t xml:space="preserve">1100 NEW
1100 USED
2200 TOTAL</t>
      </text>
    </comment>
    <comment authorId="0" ref="H74">
      <text>
        <t xml:space="preserve">1100 NEW
1100 USED
2200 TOTAL</t>
      </text>
    </comment>
    <comment authorId="0" ref="I74">
      <text>
        <t xml:space="preserve">1100 NEW
1100 USED
2200 TOTAL</t>
      </text>
    </comment>
    <comment authorId="0" ref="J74">
      <text>
        <t xml:space="preserve">1100 NEW
1100 USED
2200 TOTAL</t>
      </text>
    </comment>
    <comment authorId="0" ref="K74">
      <text>
        <t xml:space="preserve">1100 NEW
1100 USED
2200 TOTAL</t>
      </text>
    </comment>
    <comment authorId="0" ref="L74">
      <text>
        <t xml:space="preserve">1100 NEW
1100 USED
2200 TOTAL</t>
      </text>
    </comment>
    <comment authorId="0" ref="M74">
      <text>
        <t xml:space="preserve">1100 NEW
1100 USED
2200 TOTAL</t>
      </text>
    </comment>
    <comment authorId="0" ref="B80">
      <text>
        <t xml:space="preserve">$1750 Enhanced</t>
      </text>
    </comment>
    <comment authorId="0" ref="C80">
      <text>
        <t xml:space="preserve">$1750 Enhanced</t>
      </text>
    </comment>
    <comment authorId="0" ref="D80">
      <text>
        <t xml:space="preserve">$1750 Enhanced</t>
      </text>
    </comment>
    <comment authorId="0" ref="E80">
      <text>
        <t xml:space="preserve">$1750 Enhanced</t>
      </text>
    </comment>
    <comment authorId="0" ref="F80">
      <text>
        <t xml:space="preserve">$1750 Enhanced</t>
      </text>
    </comment>
    <comment authorId="0" ref="G80">
      <text>
        <t xml:space="preserve">$1750 Enhanced</t>
      </text>
    </comment>
    <comment authorId="0" ref="H80">
      <text>
        <t xml:space="preserve">$1750 Enhanced</t>
      </text>
    </comment>
    <comment authorId="0" ref="I80">
      <text>
        <t xml:space="preserve">$1750 Enhanced</t>
      </text>
    </comment>
    <comment authorId="0" ref="J80">
      <text>
        <t xml:space="preserve">$1750 Enhanced</t>
      </text>
    </comment>
    <comment authorId="0" ref="K80">
      <text>
        <t xml:space="preserve">$1750 Enhanced</t>
      </text>
    </comment>
    <comment authorId="0" ref="L80">
      <text>
        <t xml:space="preserve">$1750 Enhanced</t>
      </text>
    </comment>
    <comment authorId="0" ref="M80">
      <text>
        <t xml:space="preserve">$1750 Enhanced</t>
      </text>
    </comment>
    <comment authorId="0" ref="B81">
      <text>
        <t xml:space="preserve">100 used</t>
      </text>
    </comment>
    <comment authorId="0" ref="C81">
      <text>
        <t xml:space="preserve">100 used</t>
      </text>
    </comment>
    <comment authorId="0" ref="D81">
      <text>
        <t xml:space="preserve">100 used</t>
      </text>
    </comment>
    <comment authorId="0" ref="E81">
      <text>
        <t xml:space="preserve">100 used</t>
      </text>
    </comment>
    <comment authorId="0" ref="F81">
      <text>
        <t xml:space="preserve">100 used</t>
      </text>
    </comment>
    <comment authorId="0" ref="G81">
      <text>
        <t xml:space="preserve">100 used</t>
      </text>
    </comment>
    <comment authorId="0" ref="H81">
      <text>
        <t xml:space="preserve">100 used</t>
      </text>
    </comment>
    <comment authorId="0" ref="I81">
      <text>
        <t xml:space="preserve">100 used</t>
      </text>
    </comment>
    <comment authorId="0" ref="J81">
      <text>
        <t xml:space="preserve">100 used</t>
      </text>
    </comment>
    <comment authorId="0" ref="K81">
      <text>
        <t xml:space="preserve">100 used</t>
      </text>
    </comment>
    <comment authorId="0" ref="L81">
      <text>
        <t xml:space="preserve">100 used</t>
      </text>
    </comment>
    <comment authorId="0" ref="M81">
      <text>
        <t xml:space="preserve">100 used</t>
      </text>
    </comment>
    <comment authorId="0" ref="K94">
      <text>
        <t xml:space="preserve">$180 Polin
$200 boxes
</t>
      </text>
    </comment>
    <comment authorId="0" ref="B103">
      <text>
        <t xml:space="preserve">$500 Other Group Digital </t>
      </text>
    </comment>
    <comment authorId="0" ref="C103">
      <text>
        <t xml:space="preserve">$500 Other Group Digital </t>
      </text>
    </comment>
    <comment authorId="0" ref="D103">
      <text>
        <t xml:space="preserve">$200 Other Group Digital 
$113.63 WJA sponsorship</t>
      </text>
    </comment>
    <comment authorId="0" ref="E103">
      <text>
        <t xml:space="preserve">$500 Other Group Digital </t>
      </text>
    </comment>
    <comment authorId="0" ref="F103">
      <text>
        <t xml:space="preserve">$500 Other Group Digital </t>
      </text>
    </comment>
    <comment authorId="0" ref="G103">
      <text>
        <t xml:space="preserve">$605 Other Group Digital </t>
      </text>
    </comment>
    <comment authorId="0" ref="H103">
      <text>
        <t xml:space="preserve">$605 Other Group Digital </t>
      </text>
    </comment>
    <comment authorId="0" ref="I103">
      <text>
        <t xml:space="preserve">$500 Other Group Digital </t>
      </text>
    </comment>
    <comment authorId="0" ref="J103">
      <text>
        <t xml:space="preserve">$500 Other Group Digital </t>
      </text>
    </comment>
    <comment authorId="0" ref="K103">
      <text>
        <t xml:space="preserve">$500 Other Group Digital </t>
      </text>
    </comment>
    <comment authorId="0" ref="L103">
      <text>
        <t xml:space="preserve">$500 Other Group Digital </t>
      </text>
    </comment>
    <comment authorId="0" ref="M103">
      <text>
        <t xml:space="preserve">$500 Other Group Digital </t>
      </text>
    </comment>
    <comment authorId="0" ref="B115">
      <text>
        <t xml:space="preserve">$795 Easy Care
</t>
      </text>
    </comment>
    <comment authorId="0" ref="C115">
      <text>
        <t xml:space="preserve">$795 Easy Care
</t>
      </text>
    </comment>
    <comment authorId="0" ref="D115">
      <text>
        <t xml:space="preserve">$795 Easy Care
</t>
      </text>
    </comment>
    <comment authorId="0" ref="E115">
      <text>
        <t xml:space="preserve">$795 Easy Care
</t>
      </text>
    </comment>
    <comment authorId="0" ref="F115">
      <text>
        <t xml:space="preserve">$795 Easy Care
</t>
      </text>
    </comment>
    <comment authorId="0" ref="G115">
      <text>
        <t xml:space="preserve">$795 Easy Care
</t>
      </text>
    </comment>
    <comment authorId="0" ref="H115">
      <text>
        <t xml:space="preserve">$795 Easy Care
</t>
      </text>
    </comment>
    <comment authorId="0" ref="I115">
      <text>
        <t xml:space="preserve">$795 Easy Care
</t>
      </text>
    </comment>
    <comment authorId="0" ref="J115">
      <text>
        <t xml:space="preserve">$795 Easy Care
</t>
      </text>
    </comment>
    <comment authorId="0" ref="K115">
      <text>
        <t xml:space="preserve">$795 Easy Care
</t>
      </text>
    </comment>
    <comment authorId="0" ref="L115">
      <text>
        <t xml:space="preserve">$795 Easy Care
</t>
      </text>
    </comment>
    <comment authorId="0" ref="M115">
      <text>
        <t xml:space="preserve">$795 Easy Care
</t>
      </text>
    </comment>
  </commentList>
</comments>
</file>

<file path=xl/comments1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4">
      <text>
        <t xml:space="preserve">1899 website
+70 credit card transaction fee
61.9 sheehy.com portal site
850 AAG (SEO)
</t>
      </text>
    </comment>
    <comment authorId="0" ref="C34">
      <text>
        <t xml:space="preserve">1899 website
+70 credit card transaction fee
61.9 sheehy.com portal site
850 AAG (SEO)
</t>
      </text>
    </comment>
    <comment authorId="0" ref="D34">
      <text>
        <t xml:space="preserve">1899 website
+70 credit card transaction fee
61.9 sheehy.com portal site
850 AAG (SEO)
</t>
      </text>
    </comment>
    <comment authorId="0" ref="E34">
      <text>
        <t xml:space="preserve">1899 website
+70 credit card transaction fee
61.9 sheehy.com portal site
850 AAG (SEO)
</t>
      </text>
    </comment>
    <comment authorId="0" ref="F34">
      <text>
        <t xml:space="preserve">1899 website
+70 credit card transaction fee
61.9 sheehy.com portal site
850 AAG (SEO)
</t>
      </text>
    </comment>
    <comment authorId="0" ref="G34">
      <text>
        <t xml:space="preserve">1899 website
+70 credit card transaction fee
61.9 sheehy.com portal site
850 AAG (SEO)
</t>
      </text>
    </comment>
    <comment authorId="0" ref="H34">
      <text>
        <t xml:space="preserve">1899 website
+70 credit card transaction fee
61.9 sheehy.com portal site
850 AAG (SEO)
</t>
      </text>
    </comment>
    <comment authorId="0" ref="I34">
      <text>
        <t xml:space="preserve">1899 website
+70 credit card transaction fee
61.9 sheehy.com portal site
850 AAG (SEO)
</t>
      </text>
    </comment>
    <comment authorId="0" ref="J34">
      <text>
        <t xml:space="preserve">1899 website
+70 credit card transaction fee
61.9 sheehy.com portal site
850 AAG (SEO)
</t>
      </text>
    </comment>
    <comment authorId="0" ref="K34">
      <text>
        <t xml:space="preserve">1899 website
+70 credit card transaction fee
61.9 sheehy.com portal site
850 AAG (SEO)
</t>
      </text>
    </comment>
    <comment authorId="0" ref="L34">
      <text>
        <t xml:space="preserve">1899 website
+70 credit card transaction fee
61.9 sheehy.com portal site
850 AAG (SEO)
</t>
      </text>
    </comment>
    <comment authorId="0" ref="M34">
      <text>
        <t xml:space="preserve">1899 website
+70 credit card transaction fee
61.9 sheehy.com portal site
850 AAG (SEO)
</t>
      </text>
    </comment>
    <comment authorId="0" ref="B36">
      <text>
        <t xml:space="preserve">$395 Texting
$75 DL Scanner</t>
      </text>
    </comment>
    <comment authorId="0" ref="C36">
      <text>
        <t xml:space="preserve">$395 Texting
$75 DL Scanner</t>
      </text>
    </comment>
    <comment authorId="0" ref="D36">
      <text>
        <t xml:space="preserve">$395 Texting
$75 DL Scanner</t>
      </text>
    </comment>
    <comment authorId="0" ref="E36">
      <text>
        <t xml:space="preserve">$395 Texting
$75 DL Scanner</t>
      </text>
    </comment>
    <comment authorId="0" ref="F36">
      <text>
        <t xml:space="preserve">$395 Texting
$75 DL Scanner</t>
      </text>
    </comment>
    <comment authorId="0" ref="G36">
      <text>
        <t xml:space="preserve">$395 Texting
$75 DL Scanner</t>
      </text>
    </comment>
    <comment authorId="0" ref="H36">
      <text>
        <t xml:space="preserve">$395 Texting
$75 DL Scanner</t>
      </text>
    </comment>
    <comment authorId="0" ref="I36">
      <text>
        <t xml:space="preserve">$395 Texting
$75 DL Scanner</t>
      </text>
    </comment>
    <comment authorId="0" ref="J36">
      <text>
        <t xml:space="preserve">$395 Texting
$75 DL Scanner</t>
      </text>
    </comment>
    <comment authorId="0" ref="K36">
      <text>
        <t xml:space="preserve">$395 Texting
$75 DL Scanner</t>
      </text>
    </comment>
    <comment authorId="0" ref="L36">
      <text>
        <t xml:space="preserve">$395 Texting
$75 DL Scanner</t>
      </text>
    </comment>
    <comment authorId="0" ref="M36">
      <text>
        <t xml:space="preserve">$395 Texting
$75 DL Scanner</t>
      </text>
    </comment>
    <comment authorId="0" ref="B42">
      <text>
        <t xml:space="preserve">295 carchat24 fb marketplace integration</t>
      </text>
    </comment>
    <comment authorId="0" ref="C42">
      <text>
        <t xml:space="preserve">295 carchat24 fb marketplace integration</t>
      </text>
    </comment>
    <comment authorId="0" ref="D42">
      <text>
        <t xml:space="preserve">295 carchat24 fb marketplace integration</t>
      </text>
    </comment>
    <comment authorId="0" ref="E42">
      <text>
        <t xml:space="preserve">295 carchat24 fb marketplace integration</t>
      </text>
    </comment>
    <comment authorId="0" ref="F42">
      <text>
        <t xml:space="preserve">295 carchat24 fb marketplace integration</t>
      </text>
    </comment>
    <comment authorId="0" ref="G42">
      <text>
        <t xml:space="preserve">295 carchat24 fb marketplace integration</t>
      </text>
    </comment>
    <comment authorId="0" ref="H42">
      <text>
        <t xml:space="preserve">295 carchat24 fb marketplace integration</t>
      </text>
    </comment>
    <comment authorId="0" ref="I42">
      <text>
        <t xml:space="preserve">295 carchat24 fb marketplace integration</t>
      </text>
    </comment>
    <comment authorId="0" ref="J42">
      <text>
        <t xml:space="preserve">295 carchat24 fb marketplace integration</t>
      </text>
    </comment>
    <comment authorId="0" ref="K42">
      <text>
        <t xml:space="preserve">295 carchat24 fb marketplace integration</t>
      </text>
    </comment>
    <comment authorId="0" ref="L42">
      <text>
        <t xml:space="preserve">295 carchat24 fb marketplace integration</t>
      </text>
    </comment>
    <comment authorId="0" ref="M42">
      <text>
        <t xml:space="preserve">295 carchat24 fb marketplace integration</t>
      </text>
    </comment>
    <comment authorId="0" ref="B44">
      <text>
        <t xml:space="preserve">399 Finance Driver Off-Platform</t>
      </text>
    </comment>
    <comment authorId="0" ref="C44">
      <text>
        <t xml:space="preserve">399 Finance Driver Off-Platform</t>
      </text>
    </comment>
    <comment authorId="0" ref="D44">
      <text>
        <t xml:space="preserve">399 Finance Driver Off-Platform</t>
      </text>
    </comment>
    <comment authorId="0" ref="E44">
      <text>
        <t xml:space="preserve">399 Finance Driver Off-Platform</t>
      </text>
    </comment>
    <comment authorId="0" ref="F44">
      <text>
        <t xml:space="preserve">399 Finance Driver Off-Platform</t>
      </text>
    </comment>
    <comment authorId="0" ref="G44">
      <text>
        <t xml:space="preserve">399 Finance Driver Off-Platform</t>
      </text>
    </comment>
    <comment authorId="0" ref="H44">
      <text>
        <t xml:space="preserve">399 Finance Driver Off-Platform</t>
      </text>
    </comment>
    <comment authorId="0" ref="I44">
      <text>
        <t xml:space="preserve">399 Finance Driver Off-Platform</t>
      </text>
    </comment>
    <comment authorId="0" ref="J44">
      <text>
        <t xml:space="preserve">399 Finance Driver Off-Platform</t>
      </text>
    </comment>
    <comment authorId="0" ref="K44">
      <text>
        <t xml:space="preserve">399 Finance Driver Off-Platform</t>
      </text>
    </comment>
    <comment authorId="0" ref="L44">
      <text>
        <t xml:space="preserve">399 Finance Driver Off-Platform</t>
      </text>
    </comment>
    <comment authorId="0" ref="M44">
      <text>
        <t xml:space="preserve">399 Finance Driver Off-Platform</t>
      </text>
    </comment>
    <comment authorId="0" ref="B45">
      <text>
        <t xml:space="preserve">45 Yelp
97.5 Reputation.com</t>
      </text>
    </comment>
    <comment authorId="0" ref="C45">
      <text>
        <t xml:space="preserve">45 Yelp
97.5 Reputation.com</t>
      </text>
    </comment>
    <comment authorId="0" ref="D45">
      <text>
        <t xml:space="preserve">45 Yelp
97.5 Reputation.com</t>
      </text>
    </comment>
    <comment authorId="0" ref="E45">
      <text>
        <t xml:space="preserve">45 Yelp
97.5 Reputation.com</t>
      </text>
    </comment>
    <comment authorId="0" ref="F45">
      <text>
        <t xml:space="preserve">45 Yelp
97.5 Reputation.com</t>
      </text>
    </comment>
    <comment authorId="0" ref="G45">
      <text>
        <t xml:space="preserve">45 Yelp
97.5 Reputation.com</t>
      </text>
    </comment>
    <comment authorId="0" ref="H45">
      <text>
        <t xml:space="preserve">45 Yelp
97.5 Reputation.com</t>
      </text>
    </comment>
    <comment authorId="0" ref="I45">
      <text>
        <t xml:space="preserve">45 Yelp
97.5 Reputation.com</t>
      </text>
    </comment>
    <comment authorId="0" ref="J45">
      <text>
        <t xml:space="preserve">45 Yelp
97.5 Reputation.com</t>
      </text>
    </comment>
    <comment authorId="0" ref="K45">
      <text>
        <t xml:space="preserve">45 Yelp
97.5 Reputation.com</t>
      </text>
    </comment>
    <comment authorId="0" ref="L45">
      <text>
        <t xml:space="preserve">45 Yelp
97.5 Reputation.com</t>
      </text>
    </comment>
    <comment authorId="0" ref="M45">
      <text>
        <t xml:space="preserve">45 Yelp
97.5 Reputation.com</t>
      </text>
    </comment>
    <comment authorId="0" ref="E46">
      <text>
        <t xml:space="preserve">cancelled 3/16</t>
      </text>
    </comment>
    <comment authorId="0" ref="B47">
      <text>
        <t xml:space="preserve">850 Alli
30 Paid (Alli)
750 als mgmt 
2500 als spend
</t>
      </text>
    </comment>
    <comment authorId="0" ref="C47">
      <text>
        <t xml:space="preserve">850 Alli
30 Paid (Alli)
750 als mgmt 
2500 als spend
</t>
      </text>
    </comment>
    <comment authorId="0" ref="D47">
      <text>
        <t xml:space="preserve">850 Alli
30 Paid (Alli)
750 als mgmt 
2500 als spend
</t>
      </text>
    </comment>
    <comment authorId="0" ref="E47">
      <text>
        <t xml:space="preserve">850 Alli
30 Paid (Alli)
750 als mgmt 
2500 als spend
</t>
      </text>
    </comment>
    <comment authorId="0" ref="F47">
      <text>
        <t xml:space="preserve">850 Alli
30 Paid (Alli)
750 als mgmt 
2500 als spend
</t>
      </text>
    </comment>
    <comment authorId="0" ref="G47">
      <text>
        <t xml:space="preserve">850 Alli
30 Paid (Alli)
750 als mgmt 
2500 als spend
</t>
      </text>
    </comment>
    <comment authorId="0" ref="H47">
      <text>
        <t xml:space="preserve">850 Alli
30 Paid (Alli)
750 als mgmt 
2500 als spend
</t>
      </text>
    </comment>
    <comment authorId="0" ref="I47">
      <text>
        <t xml:space="preserve">850 Alli
30 Paid (Alli)
750 als mgmt 
2500 als spend
</t>
      </text>
    </comment>
    <comment authorId="0" ref="J47">
      <text>
        <t xml:space="preserve">850 Alli
30 Paid (Alli)
750 als mgmt 
2500 als spend
</t>
      </text>
    </comment>
    <comment authorId="0" ref="K47">
      <text>
        <t xml:space="preserve">850 Alli
30 Paid (Alli)
750 als mgmt 
2500 als spend
</t>
      </text>
    </comment>
    <comment authorId="0" ref="L47">
      <text>
        <t xml:space="preserve">850 Alli
30 Paid (Alli)
750 als mgmt 
2500 als spend
</t>
      </text>
    </comment>
    <comment authorId="0" ref="M47">
      <text>
        <t xml:space="preserve">850 Alli
30 Paid (Alli)
750 als mgmt 
2500 als spend
</t>
      </text>
    </comment>
    <comment authorId="0" ref="B48">
      <text>
        <t xml:space="preserve">55.66 Sheehy.com
$350.33 PERQ child site
80 we buy cars</t>
      </text>
    </comment>
    <comment authorId="0" ref="C48">
      <text>
        <t xml:space="preserve">55.66 Sheehy.com
$350.33 PERQ child site
80 we buy cars</t>
      </text>
    </comment>
    <comment authorId="0" ref="D48">
      <text>
        <t xml:space="preserve">55.66 Sheehy.com
$350.33 PERQ child site
80 we buy cars</t>
      </text>
    </comment>
    <comment authorId="0" ref="E48">
      <text>
        <t xml:space="preserve">55.66 Sheehy.com
$350.33 PERQ child site
80 we buy cars</t>
      </text>
    </comment>
    <comment authorId="0" ref="F48">
      <text>
        <t xml:space="preserve">55.66 Sheehy.com
$350.33 PERQ child site
80 we buy cars</t>
      </text>
    </comment>
    <comment authorId="0" ref="G48">
      <text>
        <t xml:space="preserve">55.66 Sheehy.com
$350.33 PERQ child site
80 we buy cars</t>
      </text>
    </comment>
    <comment authorId="0" ref="H48">
      <text>
        <t xml:space="preserve">55.66 Sheehy.com
$350.33 PERQ child site
80 we buy cars</t>
      </text>
    </comment>
    <comment authorId="0" ref="I48">
      <text>
        <t xml:space="preserve">55.66 Sheehy.com
$350.33 PERQ child site
80 we buy cars</t>
      </text>
    </comment>
    <comment authorId="0" ref="J48">
      <text>
        <t xml:space="preserve">55.66 Sheehy.com
$350.33 PERQ child site
80 we buy cars</t>
      </text>
    </comment>
    <comment authorId="0" ref="K48">
      <text>
        <t xml:space="preserve">55.66 Sheehy.com
$350.33 PERQ child site
80 we buy cars</t>
      </text>
    </comment>
    <comment authorId="0" ref="L48">
      <text>
        <t xml:space="preserve">55.66 Sheehy.com
$350.33 PERQ child site
80 we buy cars</t>
      </text>
    </comment>
    <comment authorId="0" ref="M48">
      <text>
        <t xml:space="preserve">55.66 Sheehy.com
$350.33 PERQ child site
80 we buy cars</t>
      </text>
    </comment>
    <comment authorId="0" ref="C54">
      <text>
        <t xml:space="preserve">INFINITI Epsilon OEM Holiday Email Marketing Program
4th of July = $1489.50 on June parts statement</t>
      </text>
    </comment>
    <comment authorId="0" ref="G54">
      <text>
        <t xml:space="preserve">INFINITI Epsilon OEM Holiday Email Marketing Program
4th of July = $1489.50 on June parts statement</t>
      </text>
    </comment>
    <comment authorId="0" ref="J54">
      <text>
        <t xml:space="preserve">2937.40 QX60 OEM eblast campaign</t>
      </text>
    </comment>
    <comment authorId="0" ref="B55">
      <text>
        <t xml:space="preserve">includes trade/reach and subscription</t>
      </text>
    </comment>
    <comment authorId="0" ref="C55">
      <text>
        <t xml:space="preserve">includes trade/reach and subscription</t>
      </text>
    </comment>
    <comment authorId="0" ref="D55">
      <text>
        <t xml:space="preserve">includes trade/reach and subscription</t>
      </text>
    </comment>
    <comment authorId="0" ref="E55">
      <text>
        <t xml:space="preserve">includes trade/reach and subscription</t>
      </text>
    </comment>
    <comment authorId="0" ref="F55">
      <text>
        <t xml:space="preserve">includes trade/reach and subscription</t>
      </text>
    </comment>
    <comment authorId="0" ref="G55">
      <text>
        <t xml:space="preserve">includes trade/reach and subscription</t>
      </text>
    </comment>
    <comment authorId="0" ref="H55">
      <text>
        <t xml:space="preserve">includes trade/reach and subscription</t>
      </text>
    </comment>
    <comment authorId="0" ref="I55">
      <text>
        <t xml:space="preserve">includes trade/reach and subscription</t>
      </text>
    </comment>
    <comment authorId="0" ref="J55">
      <text>
        <t xml:space="preserve">includes trade/reach and subscription</t>
      </text>
    </comment>
    <comment authorId="0" ref="K55">
      <text>
        <t xml:space="preserve">includes trade/reach and subscription</t>
      </text>
    </comment>
    <comment authorId="0" ref="L55">
      <text>
        <t xml:space="preserve">includes trade/reach and subscription</t>
      </text>
    </comment>
    <comment authorId="0" ref="M55">
      <text>
        <t xml:space="preserve">includes trade/reach and subscription</t>
      </text>
    </comment>
    <comment authorId="0" ref="B56">
      <text>
        <t xml:space="preserve">399 Trade tool with Purecars
351 mgmt fee
57 Data Management fee</t>
      </text>
    </comment>
    <comment authorId="0" ref="C56">
      <text>
        <t xml:space="preserve">399 Trade tool with Purecars
351 mgmt fee
57 Data Management fee</t>
      </text>
    </comment>
    <comment authorId="0" ref="D56">
      <text>
        <t xml:space="preserve">399 Trade tool with Purecars
351 mgmt fee
57 Data Management fee</t>
      </text>
    </comment>
    <comment authorId="0" ref="E56">
      <text>
        <t xml:space="preserve">399 Trade tool with Purecars
351 mgmt fee
57 Data Management fee</t>
      </text>
    </comment>
    <comment authorId="0" ref="F56">
      <text>
        <t xml:space="preserve">399 Trade tool with Purecars
351 mgmt fee
57 Data Management fee</t>
      </text>
    </comment>
    <comment authorId="0" ref="G56">
      <text>
        <t xml:space="preserve">399 Trade tool with Purecars
351 mgmt fee
57 Data Management fee</t>
      </text>
    </comment>
    <comment authorId="0" ref="H56">
      <text>
        <t xml:space="preserve">399 Trade tool with Purecars
351 mgmt fee
57 Data Management fee</t>
      </text>
    </comment>
    <comment authorId="0" ref="I56">
      <text>
        <t xml:space="preserve">399 Trade tool with Purecars
351 mgmt fee
57 Data Management fee</t>
      </text>
    </comment>
    <comment authorId="0" ref="J56">
      <text>
        <t xml:space="preserve">399 Trade tool with Purecars
351 mgmt fee
57 Data Management fee</t>
      </text>
    </comment>
    <comment authorId="0" ref="K56">
      <text>
        <t xml:space="preserve">399 Trade tool with Purecars
351 mgmt fee
57 Data Management fee</t>
      </text>
    </comment>
    <comment authorId="0" ref="L56">
      <text>
        <t xml:space="preserve">399 Trade tool with Purecars
351 mgmt fee
57 Data Management fee</t>
      </text>
    </comment>
    <comment authorId="0" ref="M56">
      <text>
        <t xml:space="preserve">399 Trade tool with Purecars
351 mgmt fee
57 Data Management fee</t>
      </text>
    </comment>
    <comment authorId="0" ref="B59">
      <text>
        <t xml:space="preserve">850 NEW
850 USED
1700 TOTAL 
</t>
      </text>
    </comment>
    <comment authorId="0" ref="C59">
      <text>
        <t xml:space="preserve">850 NEW
850 USED
1700 TOTAL 
</t>
      </text>
    </comment>
    <comment authorId="0" ref="D59">
      <text>
        <t xml:space="preserve">850 NEW
850 USED
1700 TOTAL 
</t>
      </text>
    </comment>
    <comment authorId="0" ref="E59">
      <text>
        <t xml:space="preserve">850 NEW
850 USED
1700 TOTAL 
</t>
      </text>
    </comment>
    <comment authorId="0" ref="F59">
      <text>
        <t xml:space="preserve">850 NEW
850 USED
1700 TOTAL 
</t>
      </text>
    </comment>
    <comment authorId="0" ref="G59">
      <text>
        <t xml:space="preserve">850 NEW
850 USED
1700 TOTAL 
</t>
      </text>
    </comment>
    <comment authorId="0" ref="H59">
      <text>
        <t xml:space="preserve">850 NEW
850 USED
1700 TOTAL 
</t>
      </text>
    </comment>
    <comment authorId="0" ref="I59">
      <text>
        <t xml:space="preserve">850 NEW
850 USED
1700 TOTAL 
</t>
      </text>
    </comment>
    <comment authorId="0" ref="J59">
      <text>
        <t xml:space="preserve">850 NEW
850 USED
1700 TOTAL 
</t>
      </text>
    </comment>
    <comment authorId="0" ref="K59">
      <text>
        <t xml:space="preserve">850 NEW
850 USED
1700 TOTAL 
</t>
      </text>
    </comment>
    <comment authorId="0" ref="L59">
      <text>
        <t xml:space="preserve">850 NEW
850 USED
1700 TOTAL 
</t>
      </text>
    </comment>
    <comment authorId="0" ref="M59">
      <text>
        <t xml:space="preserve">850 NEW
850 USED
1700 TOTAL 
</t>
      </text>
    </comment>
    <comment authorId="0" ref="B63">
      <text>
        <t xml:space="preserve">1800 total</t>
      </text>
    </comment>
    <comment authorId="0" ref="C63">
      <text>
        <t xml:space="preserve">1800 total</t>
      </text>
    </comment>
    <comment authorId="0" ref="D63">
      <text>
        <t xml:space="preserve">1800 total</t>
      </text>
    </comment>
    <comment authorId="0" ref="E63">
      <text>
        <t xml:space="preserve">1800 total</t>
      </text>
    </comment>
    <comment authorId="0" ref="F63">
      <text>
        <t xml:space="preserve">1800 total</t>
      </text>
    </comment>
    <comment authorId="0" ref="G63">
      <text>
        <t xml:space="preserve">1800 total</t>
      </text>
    </comment>
    <comment authorId="0" ref="H63">
      <text>
        <t xml:space="preserve">1800 total</t>
      </text>
    </comment>
    <comment authorId="0" ref="I63">
      <text>
        <t xml:space="preserve">1800 total</t>
      </text>
    </comment>
    <comment authorId="0" ref="J63">
      <text>
        <t xml:space="preserve">1800 total</t>
      </text>
    </comment>
    <comment authorId="0" ref="K63">
      <text>
        <t xml:space="preserve">1800 total</t>
      </text>
    </comment>
    <comment authorId="0" ref="L63">
      <text>
        <t xml:space="preserve">1800 total</t>
      </text>
    </comment>
    <comment authorId="0" ref="M63">
      <text>
        <t xml:space="preserve">1800 total</t>
      </text>
    </comment>
    <comment authorId="0" ref="B72">
      <text>
        <t xml:space="preserve">TBD
</t>
      </text>
    </comment>
    <comment authorId="0" ref="C72">
      <text>
        <t xml:space="preserve">TBD
</t>
      </text>
    </comment>
    <comment authorId="0" ref="D72">
      <text>
        <t xml:space="preserve">TBD
</t>
      </text>
    </comment>
    <comment authorId="0" ref="E72">
      <text>
        <t xml:space="preserve">TBD
</t>
      </text>
    </comment>
    <comment authorId="0" ref="F72">
      <text>
        <t xml:space="preserve">TBD
</t>
      </text>
    </comment>
    <comment authorId="0" ref="G72">
      <text>
        <t xml:space="preserve">TBD
</t>
      </text>
    </comment>
    <comment authorId="0" ref="H72">
      <text>
        <t xml:space="preserve">TBD
</t>
      </text>
    </comment>
    <comment authorId="0" ref="I72">
      <text>
        <t xml:space="preserve">TBD
</t>
      </text>
    </comment>
    <comment authorId="0" ref="J72">
      <text>
        <t xml:space="preserve">TBD
</t>
      </text>
    </comment>
    <comment authorId="0" ref="K72">
      <text>
        <t xml:space="preserve">TBD
</t>
      </text>
    </comment>
    <comment authorId="0" ref="L72">
      <text>
        <t xml:space="preserve">TBD
</t>
      </text>
    </comment>
    <comment authorId="0" ref="M72">
      <text>
        <t xml:space="preserve">TBD
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B74">
      <text>
        <t xml:space="preserve">850 NEW
850 USED
1700 TOTAL 
</t>
      </text>
    </comment>
    <comment authorId="0" ref="C74">
      <text>
        <t xml:space="preserve">850 NEW
850 USED
1700 TOTAL 
</t>
      </text>
    </comment>
    <comment authorId="0" ref="D74">
      <text>
        <t xml:space="preserve">850 NEW
850 USED
1700 TOTAL 
</t>
      </text>
    </comment>
    <comment authorId="0" ref="E74">
      <text>
        <t xml:space="preserve">850 NEW
850 USED
1700 TOTAL 
</t>
      </text>
    </comment>
    <comment authorId="0" ref="F74">
      <text>
        <t xml:space="preserve">850 NEW
850 USED
1700 TOTAL 
</t>
      </text>
    </comment>
    <comment authorId="0" ref="G74">
      <text>
        <t xml:space="preserve">850 NEW
850 USED
1700 TOTAL 
</t>
      </text>
    </comment>
    <comment authorId="0" ref="H74">
      <text>
        <t xml:space="preserve">850 NEW
850 USED
1700 TOTAL 
</t>
      </text>
    </comment>
    <comment authorId="0" ref="I74">
      <text>
        <t xml:space="preserve">850 NEW
850 USED
1700 TOTAL 
</t>
      </text>
    </comment>
    <comment authorId="0" ref="J74">
      <text>
        <t xml:space="preserve">850 NEW
850 USED
1700 TOTAL 
</t>
      </text>
    </comment>
    <comment authorId="0" ref="K74">
      <text>
        <t xml:space="preserve">850 NEW
850 USED
1700 TOTAL 
</t>
      </text>
    </comment>
    <comment authorId="0" ref="L74">
      <text>
        <t xml:space="preserve">850 NEW
850 USED
1700 TOTAL 
</t>
      </text>
    </comment>
    <comment authorId="0" ref="M74">
      <text>
        <t xml:space="preserve">850 NEW
850 USED
1700 TOTAL 
</t>
      </text>
    </comment>
    <comment authorId="0" ref="B76">
      <text>
        <t xml:space="preserve">turned back on 799/mo for preowned</t>
      </text>
    </comment>
    <comment authorId="0" ref="C76">
      <text>
        <t xml:space="preserve">turned back on 799/mo for preowned</t>
      </text>
    </comment>
    <comment authorId="0" ref="D76">
      <text>
        <t xml:space="preserve">turned back on 799/mo for preowned</t>
      </text>
    </comment>
    <comment authorId="0" ref="E76">
      <text>
        <t xml:space="preserve">turned back on 799/mo for preowned</t>
      </text>
    </comment>
    <comment authorId="0" ref="F76">
      <text>
        <t xml:space="preserve">turned back on 799/mo for preowned</t>
      </text>
    </comment>
    <comment authorId="0" ref="G76">
      <text>
        <t xml:space="preserve">turned back on 799/mo for preowned</t>
      </text>
    </comment>
    <comment authorId="0" ref="H76">
      <text>
        <t xml:space="preserve">turned back on 799/mo for preowned</t>
      </text>
    </comment>
    <comment authorId="0" ref="I76">
      <text>
        <t xml:space="preserve">turned back on 799/mo for preowned</t>
      </text>
    </comment>
    <comment authorId="0" ref="J76">
      <text>
        <t xml:space="preserve">turned back on 799/mo for preowned</t>
      </text>
    </comment>
    <comment authorId="0" ref="K76">
      <text>
        <t xml:space="preserve">turned back on 799/mo for preowned</t>
      </text>
    </comment>
    <comment authorId="0" ref="L76">
      <text>
        <t xml:space="preserve">turned back on 799/mo for preowned</t>
      </text>
    </comment>
    <comment authorId="0" ref="M76">
      <text>
        <t xml:space="preserve">turned back on 799/mo for preowned</t>
      </text>
    </comment>
    <comment authorId="0" ref="B79">
      <text>
        <t xml:space="preserve">4105 transitioned to buying center starting oct. 1</t>
      </text>
    </comment>
    <comment authorId="0" ref="C79">
      <text>
        <t xml:space="preserve">4105 transitioned to buying center starting oct. 1</t>
      </text>
    </comment>
    <comment authorId="0" ref="D79">
      <text>
        <t xml:space="preserve">4105 transitioned to buying center starting oct. 1</t>
      </text>
    </comment>
    <comment authorId="0" ref="E79">
      <text>
        <t xml:space="preserve">4105 transitioned to buying center starting oct. 1</t>
      </text>
    </comment>
    <comment authorId="0" ref="F79">
      <text>
        <t xml:space="preserve">4105 transitioned to buying center starting oct. 1</t>
      </text>
    </comment>
    <comment authorId="0" ref="G79">
      <text>
        <t xml:space="preserve">4105 transitioned to buying center starting oct. 1</t>
      </text>
    </comment>
    <comment authorId="0" ref="H79">
      <text>
        <t xml:space="preserve">4105 transitioned to buying center starting oct. 1</t>
      </text>
    </comment>
    <comment authorId="0" ref="I79">
      <text>
        <t xml:space="preserve">4105 transitioned to buying center starting oct. 1</t>
      </text>
    </comment>
    <comment authorId="0" ref="J79">
      <text>
        <t xml:space="preserve">4105 transitioned to buying center starting oct. 1</t>
      </text>
    </comment>
    <comment authorId="0" ref="K79">
      <text>
        <t xml:space="preserve">4105 transitioned to buying center starting oct. 1</t>
      </text>
    </comment>
    <comment authorId="0" ref="L79">
      <text>
        <t xml:space="preserve">4105 transitioned to buying center starting oct. 1</t>
      </text>
    </comment>
    <comment authorId="0" ref="M79">
      <text>
        <t xml:space="preserve">4105 transitioned to buying center starting oct. 1</t>
      </text>
    </comment>
    <comment authorId="0" ref="B80">
      <text>
        <t xml:space="preserve">$1650 Enhanced</t>
      </text>
    </comment>
    <comment authorId="0" ref="C80">
      <text>
        <t xml:space="preserve">$1650 Enhanced</t>
      </text>
    </comment>
    <comment authorId="0" ref="D80">
      <text>
        <t xml:space="preserve">$1650 Featured</t>
      </text>
    </comment>
    <comment authorId="0" ref="E80">
      <text>
        <t xml:space="preserve">$1650 Featured</t>
      </text>
    </comment>
    <comment authorId="0" ref="F80">
      <text>
        <t xml:space="preserve">$1650 Featured</t>
      </text>
    </comment>
    <comment authorId="0" ref="G80">
      <text>
        <t xml:space="preserve">$1650 Featured</t>
      </text>
    </comment>
    <comment authorId="0" ref="H80">
      <text>
        <t xml:space="preserve">$1650 Featured</t>
      </text>
    </comment>
    <comment authorId="0" ref="I80">
      <text>
        <t xml:space="preserve">$1650 Featured</t>
      </text>
    </comment>
    <comment authorId="0" ref="J80">
      <text>
        <t xml:space="preserve">$1650 Featured</t>
      </text>
    </comment>
    <comment authorId="0" ref="K80">
      <text>
        <t xml:space="preserve">$1650 Featured</t>
      </text>
    </comment>
    <comment authorId="0" ref="L80">
      <text>
        <t xml:space="preserve">$1650 Featured</t>
      </text>
    </comment>
    <comment authorId="0" ref="M80">
      <text>
        <t xml:space="preserve">$1650 Featured</t>
      </text>
    </comment>
    <comment authorId="0" ref="B81">
      <text>
        <t xml:space="preserve">150 used</t>
      </text>
    </comment>
    <comment authorId="0" ref="C81">
      <text>
        <t xml:space="preserve">150 used</t>
      </text>
    </comment>
    <comment authorId="0" ref="D81">
      <text>
        <t xml:space="preserve">150 used</t>
      </text>
    </comment>
    <comment authorId="0" ref="E81">
      <text>
        <t xml:space="preserve">150 used</t>
      </text>
    </comment>
    <comment authorId="0" ref="F81">
      <text>
        <t xml:space="preserve">150 used</t>
      </text>
    </comment>
    <comment authorId="0" ref="G81">
      <text>
        <t xml:space="preserve">150 used</t>
      </text>
    </comment>
    <comment authorId="0" ref="H81">
      <text>
        <t xml:space="preserve">150 used</t>
      </text>
    </comment>
    <comment authorId="0" ref="I81">
      <text>
        <t xml:space="preserve">150 used</t>
      </text>
    </comment>
    <comment authorId="0" ref="J81">
      <text>
        <t xml:space="preserve">150 used</t>
      </text>
    </comment>
    <comment authorId="0" ref="K81">
      <text>
        <t xml:space="preserve">150 used</t>
      </text>
    </comment>
    <comment authorId="0" ref="L81">
      <text>
        <t xml:space="preserve">150 used</t>
      </text>
    </comment>
    <comment authorId="0" ref="M81">
      <text>
        <t xml:space="preserve">150 used</t>
      </text>
    </comment>
    <comment authorId="0" ref="J93">
      <text>
        <t xml:space="preserve">$5,000 print items for store windows</t>
      </text>
    </comment>
    <comment authorId="0" ref="K94">
      <text>
        <t xml:space="preserve">$180 Polin
$200 boxes
</t>
      </text>
    </comment>
    <comment authorId="0" ref="B103">
      <text>
        <t xml:space="preserve">$500 Other Group Digital </t>
      </text>
    </comment>
    <comment authorId="0" ref="C103">
      <text>
        <t xml:space="preserve">$500 Other Group Digital </t>
      </text>
    </comment>
    <comment authorId="0" ref="D103">
      <text>
        <t xml:space="preserve">$200 Other Group Digital 
$113.63 WJA sponsorship</t>
      </text>
    </comment>
    <comment authorId="0" ref="E103">
      <text>
        <t xml:space="preserve">$500 Other Group Digital </t>
      </text>
    </comment>
    <comment authorId="0" ref="F103">
      <text>
        <t xml:space="preserve">$500 Other Group Digital </t>
      </text>
    </comment>
    <comment authorId="0" ref="G103">
      <text>
        <t xml:space="preserve">$605 Other Group Digital </t>
      </text>
    </comment>
    <comment authorId="0" ref="H103">
      <text>
        <t xml:space="preserve">$605 Other Group Digital </t>
      </text>
    </comment>
    <comment authorId="0" ref="I103">
      <text>
        <t xml:space="preserve">$500 Other Group Digital </t>
      </text>
    </comment>
    <comment authorId="0" ref="J103">
      <text>
        <t xml:space="preserve">$500 Other Group Digital </t>
      </text>
    </comment>
    <comment authorId="0" ref="K103">
      <text>
        <t xml:space="preserve">$500 Other Group Digital </t>
      </text>
    </comment>
    <comment authorId="0" ref="L103">
      <text>
        <t xml:space="preserve">$500 Other Group Digital </t>
      </text>
    </comment>
    <comment authorId="0" ref="M103">
      <text>
        <t xml:space="preserve">$500 Other Group Digital </t>
      </text>
    </comment>
    <comment authorId="0" ref="D117">
      <text>
        <t xml:space="preserve">2202.01 actual</t>
      </text>
    </comment>
    <comment authorId="0" ref="E117">
      <text>
        <t xml:space="preserve">2202.01 actual</t>
      </text>
    </comment>
    <comment authorId="0" ref="B118">
      <text>
        <t xml:space="preserve">suspended april &amp; may</t>
      </text>
    </comment>
    <comment authorId="0" ref="C118">
      <text>
        <t xml:space="preserve">suspended april &amp; may</t>
      </text>
    </comment>
    <comment authorId="0" ref="D118">
      <text>
        <t xml:space="preserve">suspended april &amp; may</t>
      </text>
    </comment>
    <comment authorId="0" ref="E118">
      <text>
        <t xml:space="preserve">suspended april &amp; may</t>
      </text>
    </comment>
    <comment authorId="0" ref="F118">
      <text>
        <t xml:space="preserve">suspended april &amp; may</t>
      </text>
    </comment>
    <comment authorId="0" ref="G118">
      <text>
        <t xml:space="preserve">suspended april &amp; may</t>
      </text>
    </comment>
    <comment authorId="0" ref="H118">
      <text>
        <t xml:space="preserve">suspended april &amp; may</t>
      </text>
    </comment>
    <comment authorId="0" ref="I118">
      <text>
        <t xml:space="preserve">suspended april &amp; may</t>
      </text>
    </comment>
    <comment authorId="0" ref="J118">
      <text>
        <t xml:space="preserve">suspended april &amp; may</t>
      </text>
    </comment>
    <comment authorId="0" ref="K118">
      <text>
        <t xml:space="preserve">suspended april &amp; may</t>
      </text>
    </comment>
    <comment authorId="0" ref="L118">
      <text>
        <t xml:space="preserve">suspended april &amp; may</t>
      </text>
    </comment>
    <comment authorId="0" ref="M118">
      <text>
        <t xml:space="preserve">suspended april &amp; may</t>
      </text>
    </comment>
  </commentList>
</comments>
</file>

<file path=xl/comments1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4">
      <text>
        <t xml:space="preserve">1899 website
+$70 credit card transaction fee
61.9 sheehy.com portal site 
850 AAG (SEO)</t>
      </text>
    </comment>
    <comment authorId="0" ref="C34">
      <text>
        <t xml:space="preserve">1899 website
+$70 credit card transaction fee
61.9 sheehy.com portal site 
850 AAG (SEO)</t>
      </text>
    </comment>
    <comment authorId="0" ref="D34">
      <text>
        <t xml:space="preserve">1899 website
+$70 credit card transaction fee
61.9 sheehy.com portal site 
850 AAG (SEO)</t>
      </text>
    </comment>
    <comment authorId="0" ref="E34">
      <text>
        <t xml:space="preserve">1899 website
+$70 credit card transaction fee
61.9 sheehy.com portal site 
850 AAG (SEO)</t>
      </text>
    </comment>
    <comment authorId="0" ref="F34">
      <text>
        <t xml:space="preserve">1899 website
+$70 credit card transaction fee
61.9 sheehy.com portal site 
850 AAG (SEO)</t>
      </text>
    </comment>
    <comment authorId="0" ref="G34">
      <text>
        <t xml:space="preserve">1899 website
+$70 credit card transaction fee
61.9 sheehy.com portal site 
850 AAG (SEO)</t>
      </text>
    </comment>
    <comment authorId="0" ref="H34">
      <text>
        <t xml:space="preserve">1899 website
+$70 credit card transaction fee
61.9 sheehy.com portal site 
850 AAG (SEO)</t>
      </text>
    </comment>
    <comment authorId="0" ref="I34">
      <text>
        <t xml:space="preserve">1899 website
+$70 credit card transaction fee
61.9 sheehy.com portal site 
850 AAG (SEO)</t>
      </text>
    </comment>
    <comment authorId="0" ref="J34">
      <text>
        <t xml:space="preserve">1899 website
+$70 credit card transaction fee
61.9 sheehy.com portal site 
850 AAG (SEO)</t>
      </text>
    </comment>
    <comment authorId="0" ref="K34">
      <text>
        <t xml:space="preserve">1899 website
+$70 credit card transaction fee
61.9 sheehy.com portal site 
850 AAG (SEO)</t>
      </text>
    </comment>
    <comment authorId="0" ref="L34">
      <text>
        <t xml:space="preserve">1899 website
+$70 credit card transaction fee
61.9 sheehy.com portal site 
850 AAG (SEO)</t>
      </text>
    </comment>
    <comment authorId="0" ref="M34">
      <text>
        <t xml:space="preserve">1899 website
+$70 credit card transaction fee
61.9 sheehy.com portal site 
850 AAG (SEO)</t>
      </text>
    </comment>
    <comment authorId="0" ref="B36">
      <text>
        <t xml:space="preserve">$395 Texting
$75 DL Scanner</t>
      </text>
    </comment>
    <comment authorId="0" ref="C36">
      <text>
        <t xml:space="preserve">$395 Texting
$75 DL Scanner</t>
      </text>
    </comment>
    <comment authorId="0" ref="D36">
      <text>
        <t xml:space="preserve">$395 Texting
$75 DL Scanner</t>
      </text>
    </comment>
    <comment authorId="0" ref="E36">
      <text>
        <t xml:space="preserve">$395 Texting
$75 DL Scanner</t>
      </text>
    </comment>
    <comment authorId="0" ref="F36">
      <text>
        <t xml:space="preserve">$395 Texting
$75 DL Scanner</t>
      </text>
    </comment>
    <comment authorId="0" ref="G36">
      <text>
        <t xml:space="preserve">$395 Texting
$75 DL Scanner</t>
      </text>
    </comment>
    <comment authorId="0" ref="H36">
      <text>
        <t xml:space="preserve">$395 Texting
$75 DL Scanner</t>
      </text>
    </comment>
    <comment authorId="0" ref="I36">
      <text>
        <t xml:space="preserve">$395 Texting
$75 DL Scanner</t>
      </text>
    </comment>
    <comment authorId="0" ref="J36">
      <text>
        <t xml:space="preserve">$395 Texting
$75 DL Scanner</t>
      </text>
    </comment>
    <comment authorId="0" ref="K36">
      <text>
        <t xml:space="preserve">$395 Texting
$75 DL Scanner</t>
      </text>
    </comment>
    <comment authorId="0" ref="L36">
      <text>
        <t xml:space="preserve">$395 Texting
$75 DL Scanner</t>
      </text>
    </comment>
    <comment authorId="0" ref="M36">
      <text>
        <t xml:space="preserve">$395 Texting
$75 DL Scanner</t>
      </text>
    </comment>
    <comment authorId="0" ref="B42">
      <text>
        <t xml:space="preserve">295 carchat24 fb marketplace integration</t>
      </text>
    </comment>
    <comment authorId="0" ref="C42">
      <text>
        <t xml:space="preserve">295 carchat24 fb marketplace integration</t>
      </text>
    </comment>
    <comment authorId="0" ref="D42">
      <text>
        <t xml:space="preserve">295 carchat24 fb marketplace integration</t>
      </text>
    </comment>
    <comment authorId="0" ref="E42">
      <text>
        <t xml:space="preserve">295 carchat24 fb marketplace integration</t>
      </text>
    </comment>
    <comment authorId="0" ref="F42">
      <text>
        <t xml:space="preserve">295 carchat24 fb marketplace integration</t>
      </text>
    </comment>
    <comment authorId="0" ref="G42">
      <text>
        <t xml:space="preserve">295 carchat24 fb marketplace integration</t>
      </text>
    </comment>
    <comment authorId="0" ref="H42">
      <text>
        <t xml:space="preserve">295 carchat24 fb marketplace integration</t>
      </text>
    </comment>
    <comment authorId="0" ref="I42">
      <text>
        <t xml:space="preserve">295 carchat24 fb marketplace integration</t>
      </text>
    </comment>
    <comment authorId="0" ref="J42">
      <text>
        <t xml:space="preserve">295 carchat24 fb marketplace integration</t>
      </text>
    </comment>
    <comment authorId="0" ref="K42">
      <text>
        <t xml:space="preserve">295 carchat24 fb marketplace integration</t>
      </text>
    </comment>
    <comment authorId="0" ref="L42">
      <text>
        <t xml:space="preserve">295 carchat24 fb marketplace integration</t>
      </text>
    </comment>
    <comment authorId="0" ref="M42">
      <text>
        <t xml:space="preserve">295 carchat24 fb marketplace integration</t>
      </text>
    </comment>
    <comment authorId="0" ref="B44">
      <text>
        <t xml:space="preserve">399 Finance Driver Off-Platform</t>
      </text>
    </comment>
    <comment authorId="0" ref="C44">
      <text>
        <t xml:space="preserve">399 Finance Driver Off-Platform</t>
      </text>
    </comment>
    <comment authorId="0" ref="D44">
      <text>
        <t xml:space="preserve">399 Finance Driver Off-Platform</t>
      </text>
    </comment>
    <comment authorId="0" ref="E44">
      <text>
        <t xml:space="preserve">399 Finance Driver Off-Platform</t>
      </text>
    </comment>
    <comment authorId="0" ref="F44">
      <text>
        <t xml:space="preserve">399 Finance Driver Off-Platform</t>
      </text>
    </comment>
    <comment authorId="0" ref="G44">
      <text>
        <t xml:space="preserve">399 Finance Driver Off-Platform</t>
      </text>
    </comment>
    <comment authorId="0" ref="H44">
      <text>
        <t xml:space="preserve">399 Finance Driver Off-Platform</t>
      </text>
    </comment>
    <comment authorId="0" ref="I44">
      <text>
        <t xml:space="preserve">399 Finance Driver Off-Platform</t>
      </text>
    </comment>
    <comment authorId="0" ref="J44">
      <text>
        <t xml:space="preserve">399 Finance Driver Off-Platform</t>
      </text>
    </comment>
    <comment authorId="0" ref="K44">
      <text>
        <t xml:space="preserve">399 Finance Driver Off-Platform</t>
      </text>
    </comment>
    <comment authorId="0" ref="L44">
      <text>
        <t xml:space="preserve">399 Finance Driver Off-Platform</t>
      </text>
    </comment>
    <comment authorId="0" ref="M44">
      <text>
        <t xml:space="preserve">399 Finance Driver Off-Platform</t>
      </text>
    </comment>
    <comment authorId="0" ref="B45">
      <text>
        <t xml:space="preserve">45 Yelp
97.5 Reputation.com</t>
      </text>
    </comment>
    <comment authorId="0" ref="C45">
      <text>
        <t xml:space="preserve">45 Yelp
97.5 Reputation.com</t>
      </text>
    </comment>
    <comment authorId="0" ref="D45">
      <text>
        <t xml:space="preserve">45 Yelp
97.5 Reputation.com</t>
      </text>
    </comment>
    <comment authorId="0" ref="E45">
      <text>
        <t xml:space="preserve">45 Yelp
97.5 Reputation.com</t>
      </text>
    </comment>
    <comment authorId="0" ref="F45">
      <text>
        <t xml:space="preserve">45 Yelp
97.5 Reputation.com</t>
      </text>
    </comment>
    <comment authorId="0" ref="G45">
      <text>
        <t xml:space="preserve">45 Yelp
97.5 Reputation.com</t>
      </text>
    </comment>
    <comment authorId="0" ref="H45">
      <text>
        <t xml:space="preserve">45 Yelp
97.5 Reputation.com</t>
      </text>
    </comment>
    <comment authorId="0" ref="I45">
      <text>
        <t xml:space="preserve">45 Yelp
97.5 Reputation.com</t>
      </text>
    </comment>
    <comment authorId="0" ref="J45">
      <text>
        <t xml:space="preserve">45 Yelp
97.5 Reputation.com</t>
      </text>
    </comment>
    <comment authorId="0" ref="K45">
      <text>
        <t xml:space="preserve">45 Yelp
97.5 Reputation.com</t>
      </text>
    </comment>
    <comment authorId="0" ref="L45">
      <text>
        <t xml:space="preserve">45 Yelp
97.5 Reputation.com</t>
      </text>
    </comment>
    <comment authorId="0" ref="M45">
      <text>
        <t xml:space="preserve">45 Yelp
97.5 Reputation.com</t>
      </text>
    </comment>
    <comment authorId="0" ref="E46">
      <text>
        <t xml:space="preserve">cancelled 3/16</t>
      </text>
    </comment>
    <comment authorId="0" ref="B47">
      <text>
        <t xml:space="preserve">850 Alli
30 Paid (Alli)
750 autoleadstar admin
2250 autoleadstar total fb spend as of aug
</t>
      </text>
    </comment>
    <comment authorId="0" ref="C47">
      <text>
        <t xml:space="preserve">850 Alli
30 Paid (Alli)
750 autoleadstar admin
2250 autoleadstar total fb spend as of aug
</t>
      </text>
    </comment>
    <comment authorId="0" ref="D47">
      <text>
        <t xml:space="preserve">850 Alli
30 Paid (Alli)
750 autoleadstar admin
2250 autoleadstar total fb spend as of aug
</t>
      </text>
    </comment>
    <comment authorId="0" ref="E47">
      <text>
        <t xml:space="preserve">850 Alli
30 Paid (Alli)
750 autoleadstar admin
2250 autoleadstar total fb spend as of aug
</t>
      </text>
    </comment>
    <comment authorId="0" ref="F47">
      <text>
        <t xml:space="preserve">850 Alli
30 Paid (Alli)
750 autoleadstar admin
2250 autoleadstar total fb spend as of aug
</t>
      </text>
    </comment>
    <comment authorId="0" ref="G47">
      <text>
        <t xml:space="preserve">850 Alli
30 Paid (Alli)
750 autoleadstar admin
2250 autoleadstar total fb spend as of aug
</t>
      </text>
    </comment>
    <comment authorId="0" ref="H47">
      <text>
        <t xml:space="preserve">850 Alli
30 Paid (Alli)
750 autoleadstar admin
2250 autoleadstar total fb spend as of aug
</t>
      </text>
    </comment>
    <comment authorId="0" ref="I47">
      <text>
        <t xml:space="preserve">850 Alli
30 Paid (Alli)
750 autoleadstar admin
2250 autoleadstar total fb spend as of aug
</t>
      </text>
    </comment>
    <comment authorId="0" ref="J47">
      <text>
        <t xml:space="preserve">850 Alli
30 Paid (Alli)
750 autoleadstar admin
2250 autoleadstar total fb spend as of aug
</t>
      </text>
    </comment>
    <comment authorId="0" ref="K47">
      <text>
        <t xml:space="preserve">850 Alli
30 Paid (Alli)
750 autoleadstar admin
2250 autoleadstar total fb spend as of aug
</t>
      </text>
    </comment>
    <comment authorId="0" ref="L47">
      <text>
        <t xml:space="preserve">850 Alli
30 Paid (Alli)
750 autoleadstar admin
2250 autoleadstar total fb spend as of aug
</t>
      </text>
    </comment>
    <comment authorId="0" ref="M47">
      <text>
        <t xml:space="preserve">850 Alli
30 Paid (Alli)
750 autoleadstar admin
2250 autoleadstar total fb spend as of aug
</t>
      </text>
    </comment>
    <comment authorId="0" ref="B48">
      <text>
        <t xml:space="preserve">55.66 Sheehy.com
$350.33 PERQ child site
80 we buy cars</t>
      </text>
    </comment>
    <comment authorId="0" ref="C48">
      <text>
        <t xml:space="preserve">55.66 Sheehy.com
$350.33 PERQ child site
80 we buy cars</t>
      </text>
    </comment>
    <comment authorId="0" ref="D48">
      <text>
        <t xml:space="preserve">55.66 Sheehy.com
$350.33 PERQ child site
80 we buy cars</t>
      </text>
    </comment>
    <comment authorId="0" ref="E48">
      <text>
        <t xml:space="preserve">55.66 Sheehy.com
$350.33 PERQ child site
80 we buy cars</t>
      </text>
    </comment>
    <comment authorId="0" ref="F48">
      <text>
        <t xml:space="preserve">55.66 Sheehy.com
$350.33 PERQ child site
80 we buy cars</t>
      </text>
    </comment>
    <comment authorId="0" ref="G48">
      <text>
        <t xml:space="preserve">55.66 Sheehy.com
$350.33 PERQ child site
80 we buy cars</t>
      </text>
    </comment>
    <comment authorId="0" ref="H48">
      <text>
        <t xml:space="preserve">55.66 Sheehy.com
$350.33 PERQ child site
80 we buy cars</t>
      </text>
    </comment>
    <comment authorId="0" ref="I48">
      <text>
        <t xml:space="preserve">55.66 Sheehy.com
$350.33 PERQ child site
80 we buy cars</t>
      </text>
    </comment>
    <comment authorId="0" ref="J48">
      <text>
        <t xml:space="preserve">55.66 Sheehy.com
$350.33 PERQ child site
80 we buy cars</t>
      </text>
    </comment>
    <comment authorId="0" ref="K48">
      <text>
        <t xml:space="preserve">55.66 Sheehy.com
$350.33 PERQ child site
80 we buy cars</t>
      </text>
    </comment>
    <comment authorId="0" ref="L48">
      <text>
        <t xml:space="preserve">55.66 Sheehy.com
$350.33 PERQ child site
80 we buy cars</t>
      </text>
    </comment>
    <comment authorId="0" ref="M48">
      <text>
        <t xml:space="preserve">55.66 Sheehy.com
$350.33 PERQ child site
80 we buy cars</t>
      </text>
    </comment>
    <comment authorId="0" ref="C54">
      <text>
        <t xml:space="preserve">INFINITI OEM Holiday Email Marketing program
$773.10 for June deployment (4th of July) to be billed on parts statement</t>
      </text>
    </comment>
    <comment authorId="0" ref="G54">
      <text>
        <t xml:space="preserve">INFINITI OEM Holiday Email Marketing program
$773.10 for June deployment (4th of July) to be billed on parts statement</t>
      </text>
    </comment>
    <comment authorId="0" ref="I54">
      <text>
        <t xml:space="preserve">INFINITI OEM Holiday Email Marketing program
$773.10 for June deployment (4th of July) to be billed on parts statement</t>
      </text>
    </comment>
    <comment authorId="0" ref="J54">
      <text>
        <t xml:space="preserve">875 for QX60 email campaign
</t>
      </text>
    </comment>
    <comment authorId="0" ref="K54">
      <text>
        <t xml:space="preserve">INFINITI OEM Holiday Email Marketing program
$773.10 for June deployment (4th of July) to be billed on parts statement</t>
      </text>
    </comment>
    <comment authorId="0" ref="B55">
      <text>
        <t xml:space="preserve">includes trade/reach and subscription</t>
      </text>
    </comment>
    <comment authorId="0" ref="C55">
      <text>
        <t xml:space="preserve">includes trade/reach and subscription</t>
      </text>
    </comment>
    <comment authorId="0" ref="D55">
      <text>
        <t xml:space="preserve">includes trade/reach and subscription</t>
      </text>
    </comment>
    <comment authorId="0" ref="E55">
      <text>
        <t xml:space="preserve">includes trade/reach and subscription</t>
      </text>
    </comment>
    <comment authorId="0" ref="F55">
      <text>
        <t xml:space="preserve">includes trade/reach and subscription</t>
      </text>
    </comment>
    <comment authorId="0" ref="G55">
      <text>
        <t xml:space="preserve">includes trade/reach and subscription</t>
      </text>
    </comment>
    <comment authorId="0" ref="H55">
      <text>
        <t xml:space="preserve">includes trade/reach and subscription</t>
      </text>
    </comment>
    <comment authorId="0" ref="I55">
      <text>
        <t xml:space="preserve">includes trade/reach and subscription</t>
      </text>
    </comment>
    <comment authorId="0" ref="J55">
      <text>
        <t xml:space="preserve">includes trade/reach and subscription</t>
      </text>
    </comment>
    <comment authorId="0" ref="K55">
      <text>
        <t xml:space="preserve">includes trade/reach and subscription</t>
      </text>
    </comment>
    <comment authorId="0" ref="L55">
      <text>
        <t xml:space="preserve">includes trade/reach and subscription</t>
      </text>
    </comment>
    <comment authorId="0" ref="M55">
      <text>
        <t xml:space="preserve">includes trade/reach and subscription</t>
      </text>
    </comment>
    <comment authorId="0" ref="B56">
      <text>
        <t xml:space="preserve">399 Trade tool with Purecars
351 mgmt fee
57 Data Management fee</t>
      </text>
    </comment>
    <comment authorId="0" ref="C56">
      <text>
        <t xml:space="preserve">399 Trade tool with Purecars
351 mgmt fee
57 Data Management fee</t>
      </text>
    </comment>
    <comment authorId="0" ref="D56">
      <text>
        <t xml:space="preserve">399 Trade tool with Purecars
351 mgmt fee
57 Data Management fee</t>
      </text>
    </comment>
    <comment authorId="0" ref="E56">
      <text>
        <t xml:space="preserve">399 Trade tool with Purecars
351 mgmt fee
57 Data Management fee</t>
      </text>
    </comment>
    <comment authorId="0" ref="F56">
      <text>
        <t xml:space="preserve">399 Trade tool with Purecars
351 mgmt fee
57 Data Management fee</t>
      </text>
    </comment>
    <comment authorId="0" ref="G56">
      <text>
        <t xml:space="preserve">399 Trade tool with Purecars
351 mgmt fee
57 Data Management fee</t>
      </text>
    </comment>
    <comment authorId="0" ref="H56">
      <text>
        <t xml:space="preserve">399 Trade tool with Purecars
351 mgmt fee
57 Data Management fee</t>
      </text>
    </comment>
    <comment authorId="0" ref="I56">
      <text>
        <t xml:space="preserve">399 Trade tool with Purecars
351 mgmt fee
57 Data Management fee</t>
      </text>
    </comment>
    <comment authorId="0" ref="J56">
      <text>
        <t xml:space="preserve">399 Trade tool with Purecars
351 mgmt fee
57 Data Management fee</t>
      </text>
    </comment>
    <comment authorId="0" ref="K56">
      <text>
        <t xml:space="preserve">399 Trade tool with Purecars
351 mgmt fee
57 Data Management fee</t>
      </text>
    </comment>
    <comment authorId="0" ref="L56">
      <text>
        <t xml:space="preserve">399 Trade tool with Purecars
351 mgmt fee
57 Data Management fee</t>
      </text>
    </comment>
    <comment authorId="0" ref="M56">
      <text>
        <t xml:space="preserve">399 Trade tool with Purecars
351 mgmt fee
57 Data Management fee</t>
      </text>
    </comment>
    <comment authorId="0" ref="B59">
      <text>
        <t xml:space="preserve">850 NEW
850 USED
1700 TOTAL 
</t>
      </text>
    </comment>
    <comment authorId="0" ref="C59">
      <text>
        <t xml:space="preserve">850 NEW
850 USED
1700 TOTAL 
</t>
      </text>
    </comment>
    <comment authorId="0" ref="D59">
      <text>
        <t xml:space="preserve">850 NEW
850 USED
1700 TOTAL 
</t>
      </text>
    </comment>
    <comment authorId="0" ref="E59">
      <text>
        <t xml:space="preserve">850 NEW
850 USED
1700 TOTAL 
</t>
      </text>
    </comment>
    <comment authorId="0" ref="F59">
      <text>
        <t xml:space="preserve">850 NEW
850 USED
1700 TOTAL 
</t>
      </text>
    </comment>
    <comment authorId="0" ref="G59">
      <text>
        <t xml:space="preserve">850 NEW
850 USED
1700 TOTAL 
</t>
      </text>
    </comment>
    <comment authorId="0" ref="H59">
      <text>
        <t xml:space="preserve">850 NEW
850 USED
1700 TOTAL 
</t>
      </text>
    </comment>
    <comment authorId="0" ref="I59">
      <text>
        <t xml:space="preserve">850 NEW
850 USED
1700 TOTAL 
</t>
      </text>
    </comment>
    <comment authorId="0" ref="J59">
      <text>
        <t xml:space="preserve">850 NEW
850 USED
1700 TOTAL 
</t>
      </text>
    </comment>
    <comment authorId="0" ref="K59">
      <text>
        <t xml:space="preserve">850 NEW
850 USED
1700 TOTAL 
</t>
      </text>
    </comment>
    <comment authorId="0" ref="L59">
      <text>
        <t xml:space="preserve">850 NEW
850 USED
1700 TOTAL 
</t>
      </text>
    </comment>
    <comment authorId="0" ref="M59">
      <text>
        <t xml:space="preserve">850 NEW
850 USED
1700 TOTAL 
</t>
      </text>
    </comment>
    <comment authorId="0" ref="B63">
      <text>
        <t xml:space="preserve">4,500 new
0 used</t>
      </text>
    </comment>
    <comment authorId="0" ref="C63">
      <text>
        <t xml:space="preserve">4,500 new
0 used</t>
      </text>
    </comment>
    <comment authorId="0" ref="D63">
      <text>
        <t xml:space="preserve">4,500 new
0 used</t>
      </text>
    </comment>
    <comment authorId="0" ref="E63">
      <text>
        <t xml:space="preserve">4,500 new
0 used</t>
      </text>
    </comment>
    <comment authorId="0" ref="F63">
      <text>
        <t xml:space="preserve">4,500 new
0 used</t>
      </text>
    </comment>
    <comment authorId="0" ref="G63">
      <text>
        <t xml:space="preserve">4,500 new
0 used</t>
      </text>
    </comment>
    <comment authorId="0" ref="H63">
      <text>
        <t xml:space="preserve">4,500 new
0 used</t>
      </text>
    </comment>
    <comment authorId="0" ref="I63">
      <text>
        <t xml:space="preserve">4,500 new
0 used</t>
      </text>
    </comment>
    <comment authorId="0" ref="J63">
      <text>
        <t xml:space="preserve">4,500 new
0 used</t>
      </text>
    </comment>
    <comment authorId="0" ref="K63">
      <text>
        <t xml:space="preserve">4,500 new
0 used</t>
      </text>
    </comment>
    <comment authorId="0" ref="L63">
      <text>
        <t xml:space="preserve">4,500 new
0 used</t>
      </text>
    </comment>
    <comment authorId="0" ref="M63">
      <text>
        <t xml:space="preserve">4,500 new
0 used</t>
      </text>
    </comment>
    <comment authorId="0" ref="E69">
      <text>
        <t xml:space="preserve">4105 enrolled on 4/8</t>
      </text>
    </comment>
    <comment authorId="0" ref="F69">
      <text>
        <t xml:space="preserve">4105 enrolled on 4/8</t>
      </text>
    </comment>
    <comment authorId="0" ref="B72">
      <text>
        <t xml:space="preserve">TBD</t>
      </text>
    </comment>
    <comment authorId="0" ref="C72">
      <text>
        <t xml:space="preserve">TBD</t>
      </text>
    </comment>
    <comment authorId="0" ref="D72">
      <text>
        <t xml:space="preserve">TBD</t>
      </text>
    </comment>
    <comment authorId="0" ref="E72">
      <text>
        <t xml:space="preserve">TBD</t>
      </text>
    </comment>
    <comment authorId="0" ref="F72">
      <text>
        <t xml:space="preserve">TBD</t>
      </text>
    </comment>
    <comment authorId="0" ref="G72">
      <text>
        <t xml:space="preserve">TBD</t>
      </text>
    </comment>
    <comment authorId="0" ref="H72">
      <text>
        <t xml:space="preserve">TBD</t>
      </text>
    </comment>
    <comment authorId="0" ref="I72">
      <text>
        <t xml:space="preserve">TBD</t>
      </text>
    </comment>
    <comment authorId="0" ref="J72">
      <text>
        <t xml:space="preserve">TBD</t>
      </text>
    </comment>
    <comment authorId="0" ref="K72">
      <text>
        <t xml:space="preserve">TBD</t>
      </text>
    </comment>
    <comment authorId="0" ref="L72">
      <text>
        <t xml:space="preserve">TBD</t>
      </text>
    </comment>
    <comment authorId="0" ref="M72">
      <text>
        <t xml:space="preserve">TBD</t>
      </text>
    </comment>
    <comment authorId="0" ref="B73">
      <text>
        <t xml:space="preserve">TBD</t>
      </text>
    </comment>
    <comment authorId="0" ref="C73">
      <text>
        <t xml:space="preserve">TBD</t>
      </text>
    </comment>
    <comment authorId="0" ref="D73">
      <text>
        <t xml:space="preserve">TBD</t>
      </text>
    </comment>
    <comment authorId="0" ref="E73">
      <text>
        <t xml:space="preserve">TBD</t>
      </text>
    </comment>
    <comment authorId="0" ref="F73">
      <text>
        <t xml:space="preserve">TBD</t>
      </text>
    </comment>
    <comment authorId="0" ref="G73">
      <text>
        <t xml:space="preserve">TBD</t>
      </text>
    </comment>
    <comment authorId="0" ref="H73">
      <text>
        <t xml:space="preserve">TBD</t>
      </text>
    </comment>
    <comment authorId="0" ref="I73">
      <text>
        <t xml:space="preserve">TBD</t>
      </text>
    </comment>
    <comment authorId="0" ref="J73">
      <text>
        <t xml:space="preserve">TBD</t>
      </text>
    </comment>
    <comment authorId="0" ref="K73">
      <text>
        <t xml:space="preserve">TBD</t>
      </text>
    </comment>
    <comment authorId="0" ref="L73">
      <text>
        <t xml:space="preserve">TBD</t>
      </text>
    </comment>
    <comment authorId="0" ref="M73">
      <text>
        <t xml:space="preserve">TBD</t>
      </text>
    </comment>
    <comment authorId="0" ref="B74">
      <text>
        <t xml:space="preserve">850 NEW
850 USED
1700 TOTAL 
</t>
      </text>
    </comment>
    <comment authorId="0" ref="C74">
      <text>
        <t xml:space="preserve">850 NEW
850 USED
1700 TOTAL 
</t>
      </text>
    </comment>
    <comment authorId="0" ref="D74">
      <text>
        <t xml:space="preserve">850 NEW
850 USED
1700 TOTAL 
</t>
      </text>
    </comment>
    <comment authorId="0" ref="E74">
      <text>
        <t xml:space="preserve">850 NEW
850 USED
1700 TOTAL 
</t>
      </text>
    </comment>
    <comment authorId="0" ref="F74">
      <text>
        <t xml:space="preserve">850 NEW
850 USED
1700 TOTAL 
</t>
      </text>
    </comment>
    <comment authorId="0" ref="G74">
      <text>
        <t xml:space="preserve">850 NEW
850 USED
1700 TOTAL 
</t>
      </text>
    </comment>
    <comment authorId="0" ref="H74">
      <text>
        <t xml:space="preserve">850 NEW
850 USED
1700 TOTAL 
</t>
      </text>
    </comment>
    <comment authorId="0" ref="I74">
      <text>
        <t xml:space="preserve">850 NEW
850 USED
1700 TOTAL 
</t>
      </text>
    </comment>
    <comment authorId="0" ref="J74">
      <text>
        <t xml:space="preserve">850 NEW
850 USED
1700 TOTAL 
</t>
      </text>
    </comment>
    <comment authorId="0" ref="K74">
      <text>
        <t xml:space="preserve">850 NEW
850 USED
1700 TOTAL 
</t>
      </text>
    </comment>
    <comment authorId="0" ref="L74">
      <text>
        <t xml:space="preserve">850 NEW
850 USED
1700 TOTAL 
</t>
      </text>
    </comment>
    <comment authorId="0" ref="M74">
      <text>
        <t xml:space="preserve">850 NEW
850 USED
1700 TOTAL 
</t>
      </text>
    </comment>
    <comment authorId="0" ref="B80">
      <text>
        <t xml:space="preserve">$1650 Enhanced </t>
      </text>
    </comment>
    <comment authorId="0" ref="C80">
      <text>
        <t xml:space="preserve">$1650 Enhanced </t>
      </text>
    </comment>
    <comment authorId="0" ref="D80">
      <text>
        <t xml:space="preserve">$1650 Enhanced </t>
      </text>
    </comment>
    <comment authorId="0" ref="E80">
      <text>
        <t xml:space="preserve">$1650 Enhanced </t>
      </text>
    </comment>
    <comment authorId="0" ref="F80">
      <text>
        <t xml:space="preserve">$1650 Enhanced </t>
      </text>
    </comment>
    <comment authorId="0" ref="G80">
      <text>
        <t xml:space="preserve">$1650 Enhanced W/ 5% DISCOUNT JUNE &amp; JULY AT$1567.50</t>
      </text>
    </comment>
    <comment authorId="0" ref="H80">
      <text>
        <t xml:space="preserve">$1650 Enhanced W/ 5% DISCOUNT JUNE &amp; JULY AT$1567.50</t>
      </text>
    </comment>
    <comment authorId="0" ref="I80">
      <text>
        <t xml:space="preserve">$1650 Enhanced </t>
      </text>
    </comment>
    <comment authorId="0" ref="J80">
      <text>
        <t xml:space="preserve">$1650 Enhanced </t>
      </text>
    </comment>
    <comment authorId="0" ref="K80">
      <text>
        <t xml:space="preserve">$1650 Enhanced </t>
      </text>
    </comment>
    <comment authorId="0" ref="L80">
      <text>
        <t xml:space="preserve">$1650 Enhanced </t>
      </text>
    </comment>
    <comment authorId="0" ref="M80">
      <text>
        <t xml:space="preserve">$1650 Enhanced </t>
      </text>
    </comment>
    <comment authorId="0" ref="K94">
      <text>
        <t xml:space="preserve">$180 Polin
$200 boxes
</t>
      </text>
    </comment>
    <comment authorId="0" ref="B103">
      <text>
        <t xml:space="preserve">$500 Other Group Digital </t>
      </text>
    </comment>
    <comment authorId="0" ref="C103">
      <text>
        <t xml:space="preserve">$500 Other Group Digital </t>
      </text>
    </comment>
    <comment authorId="0" ref="D103">
      <text>
        <t xml:space="preserve">$200 Other Group Digital 
$113.63 WJA sponsorship</t>
      </text>
    </comment>
    <comment authorId="0" ref="E103">
      <text>
        <t xml:space="preserve">$500 Other Group Digital </t>
      </text>
    </comment>
    <comment authorId="0" ref="F103">
      <text>
        <t xml:space="preserve">$500 Other Group Digital </t>
      </text>
    </comment>
    <comment authorId="0" ref="G103">
      <text>
        <t xml:space="preserve">$605 Other Group Digital </t>
      </text>
    </comment>
    <comment authorId="0" ref="H103">
      <text>
        <t xml:space="preserve">$605 Other Group Digital </t>
      </text>
    </comment>
    <comment authorId="0" ref="I103">
      <text>
        <t xml:space="preserve">$500 Other Group Digital </t>
      </text>
    </comment>
    <comment authorId="0" ref="J103">
      <text>
        <t xml:space="preserve">$500 Other Group Digital </t>
      </text>
    </comment>
    <comment authorId="0" ref="K103">
      <text>
        <t xml:space="preserve">$500 Other Group Digital </t>
      </text>
    </comment>
    <comment authorId="0" ref="L103">
      <text>
        <t xml:space="preserve">$500 Other Group Digital </t>
      </text>
    </comment>
    <comment authorId="0" ref="M103">
      <text>
        <t xml:space="preserve">$500 Other Group Digital </t>
      </text>
    </comment>
    <comment authorId="0" ref="B118">
      <text>
        <t xml:space="preserve">500 fixed ops sem
</t>
      </text>
    </comment>
    <comment authorId="0" ref="C118">
      <text>
        <t xml:space="preserve">500 fixed ops sem
</t>
      </text>
    </comment>
    <comment authorId="0" ref="D118">
      <text>
        <t xml:space="preserve">500 fixed ops sem
</t>
      </text>
    </comment>
    <comment authorId="0" ref="E118">
      <text>
        <t xml:space="preserve">500 fixed ops sem
</t>
      </text>
    </comment>
    <comment authorId="0" ref="F118">
      <text>
        <t xml:space="preserve">500 fixed ops sem
</t>
      </text>
    </comment>
    <comment authorId="0" ref="G118">
      <text>
        <t xml:space="preserve">500 fixed ops sem
</t>
      </text>
    </comment>
    <comment authorId="0" ref="H118">
      <text>
        <t xml:space="preserve">500 fixed ops sem
</t>
      </text>
    </comment>
    <comment authorId="0" ref="I118">
      <text>
        <t xml:space="preserve">500 fixed ops sem
</t>
      </text>
    </comment>
    <comment authorId="0" ref="J118">
      <text>
        <t xml:space="preserve">500 fixed ops sem
</t>
      </text>
    </comment>
    <comment authorId="0" ref="K118">
      <text>
        <t xml:space="preserve">500 fixed ops sem
</t>
      </text>
    </comment>
    <comment authorId="0" ref="L118">
      <text>
        <t xml:space="preserve">500 fixed ops sem
</t>
      </text>
    </comment>
    <comment authorId="0" ref="M118">
      <text>
        <t xml:space="preserve">500 fixed ops sem
</t>
      </text>
    </comment>
  </commentList>
</comments>
</file>

<file path=xl/comments1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INCLUDES GROUP PVOD &amp; STORE'S YOUTUBE WITH PURECARS-AND TOYOTA PVOD
</t>
      </text>
    </comment>
    <comment authorId="0" ref="C9">
      <text>
        <t xml:space="preserve">INCLUDES GROUP PVOD &amp; STORE'S YOUTUBE WITH PURECARS-AND TOYOTA PVOD
</t>
      </text>
    </comment>
    <comment authorId="0" ref="D9">
      <text>
        <t xml:space="preserve">INCLUDES GROUP PVOD &amp; STORE'S YOUTUBE WITH PURECARS-AND TOYOTA PVOD
</t>
      </text>
    </comment>
    <comment authorId="0" ref="E9">
      <text>
        <t xml:space="preserve">INCLUDES GROUP PVOD &amp; STORE'S YOUTUBE WITH PURECARS-AND TOYOTA PVOD
</t>
      </text>
    </comment>
    <comment authorId="0" ref="F9">
      <text>
        <t xml:space="preserve">INCLUDES GROUP PVOD &amp; STORE'S YOUTUBE WITH PURECARS-AND TOYOTA PVOD
</t>
      </text>
    </comment>
    <comment authorId="0" ref="G9">
      <text>
        <t xml:space="preserve">INCLUDES GROUP PVOD &amp; STORE'S YOUTUBE WITH PURECARS-AND TOYOTA PVOD
</t>
      </text>
    </comment>
    <comment authorId="0" ref="H9">
      <text>
        <t xml:space="preserve">INCLUDES GROUP PVOD &amp; STORE'S YOUTUBE WITH PURECARS-AND TOYOTA PVOD
</t>
      </text>
    </comment>
    <comment authorId="0" ref="I9">
      <text>
        <t xml:space="preserve">INCLUDES GROUP PVOD &amp; STORE'S YOUTUBE WITH PURECARS-AND TOYOTA PVOD
</t>
      </text>
    </comment>
    <comment authorId="0" ref="J9">
      <text>
        <t xml:space="preserve">INCLUDES GROUP PVOD &amp; STORE'S YOUTUBE WITH PURECARS-AND TOYOTA PVOD
</t>
      </text>
    </comment>
    <comment authorId="0" ref="K9">
      <text>
        <t xml:space="preserve">INCLUDES GROUP PVOD &amp; STORE'S YOUTUBE WITH PURECARS-AND TOYOTA PVOD
</t>
      </text>
    </comment>
    <comment authorId="0" ref="L9">
      <text>
        <t xml:space="preserve">INCLUDES GROUP PVOD &amp; STORE'S YOUTUBE WITH PURECARS-AND TOYOTA PVOD
</t>
      </text>
    </comment>
    <comment authorId="0" ref="M9">
      <text>
        <t xml:space="preserve">INCLUDES GROUP PVOD &amp; STORE'S YOUTUBE WITH PURECARS-AND TOYOTA PVOD
</t>
      </text>
    </comment>
    <comment authorId="0" ref="B19">
      <text>
        <t xml:space="preserve">($5750 total invoice for 16 DC stores split over 2 mos ea. ) </t>
      </text>
    </comment>
    <comment authorId="0" ref="C19">
      <text>
        <t xml:space="preserve">($5750 total invoice for 16 DC stores split over 2 mos ea. ) </t>
      </text>
    </comment>
    <comment authorId="0" ref="J23">
      <text>
        <t xml:space="preserve">$2,000 Ross KBB ICO calls using calling center</t>
      </text>
    </comment>
    <comment authorId="0" ref="B28">
      <text>
        <t xml:space="preserve">$499.75  OnlineBKManager ($5,997 divided up over 12 months)
MAKE SURE TO ADD THIS TO JAN-MARCH ON 2021 BUDGET</t>
      </text>
    </comment>
    <comment authorId="0" ref="C28">
      <text>
        <t xml:space="preserve">$499.75  OnlineBKManager ($5,997 divided up over 12 months)
MAKE SURE TO ADD THIS TO JAN-MARCH ON 2021 BUDGET</t>
      </text>
    </comment>
    <comment authorId="0" ref="D28">
      <text>
        <t xml:space="preserve">$499.75  OnlineBKManager ($5,997 divided up over 12 months)</t>
      </text>
    </comment>
    <comment authorId="0" ref="E28">
      <text>
        <t xml:space="preserve">$499.75  OnlineBKManager ($5,997 divided up over 12 months)</t>
      </text>
    </comment>
    <comment authorId="0" ref="F28">
      <text>
        <t xml:space="preserve">$499.75  OnlineBKManager ($5,997 divided up over 12 months)</t>
      </text>
    </comment>
    <comment authorId="0" ref="G28">
      <text>
        <t xml:space="preserve">$499.75  OnlineBKManager ($5,997 divided up over 12 months)</t>
      </text>
    </comment>
    <comment authorId="0" ref="H28">
      <text>
        <t xml:space="preserve">$499.75  OnlineBKManager ($5,997 divided up over 12 months)</t>
      </text>
    </comment>
    <comment authorId="0" ref="I28">
      <text>
        <t xml:space="preserve">$499.75  OnlineBKManager ($5,997 divided up over 12 months)</t>
      </text>
    </comment>
    <comment authorId="0" ref="J28">
      <text>
        <t xml:space="preserve">$499.75  OnlineBKManager ($5,997 divided up over 12 months)</t>
      </text>
    </comment>
    <comment authorId="0" ref="K28">
      <text>
        <t xml:space="preserve">$499.75  OnlineBKManager ($5,997 divided up over 12 months)</t>
      </text>
    </comment>
    <comment authorId="0" ref="L28">
      <text>
        <t xml:space="preserve">$499.75  OnlineBKManager ($5,997 divided up over 12 months)</t>
      </text>
    </comment>
    <comment authorId="0" ref="M28">
      <text>
        <t xml:space="preserve">$499.75  OnlineBKManager ($5,997 divided up over 12 months)
MAKE SURE TO ADD THIS TO JAN-MARCH ON 2021 BUDGET</t>
      </text>
    </comment>
    <comment authorId="0" ref="B34">
      <text>
        <t xml:space="preserve">1899 dealerfire 
499 Orbee
850 AAG (SEO)
61.9 sheehy.com portal site</t>
      </text>
    </comment>
    <comment authorId="0" ref="C34">
      <text>
        <t xml:space="preserve">1899 dealerfire 
499 Orbee
850 AAG (SEO)
61.9 sheehy.com portal site</t>
      </text>
    </comment>
    <comment authorId="0" ref="D34">
      <text>
        <t xml:space="preserve">1899 dealerfire 
499 Orbee
850 AAG (SEO)
61.9 sheehy.com portal site</t>
      </text>
    </comment>
    <comment authorId="0" ref="E34">
      <text>
        <t xml:space="preserve">1899 dealerfire 
499 Orbee
850 AAG (SEO)
61.9 sheehy.com portal site</t>
      </text>
    </comment>
    <comment authorId="0" ref="F34">
      <text>
        <t xml:space="preserve">1899 dealerfire 
499 Orbee
850 AAG (SEO)
61.9 sheehy.com portal site</t>
      </text>
    </comment>
    <comment authorId="0" ref="G34">
      <text>
        <t xml:space="preserve">1899 dealerfire 
499 Orbee
850 AAG (SEO)
61.9 sheehy.com portal site</t>
      </text>
    </comment>
    <comment authorId="0" ref="H34">
      <text>
        <t xml:space="preserve">1899 dealerfire 
499 Orbee
850 AAG (SEO)
61.9 sheehy.com portal site</t>
      </text>
    </comment>
    <comment authorId="0" ref="I34">
      <text>
        <t xml:space="preserve">1899 dealerfire 
499 Orbee
850 AAG (SEO)
61.9 sheehy.com portal site</t>
      </text>
    </comment>
    <comment authorId="0" ref="J34">
      <text>
        <t xml:space="preserve">1899 dealerfire 
499 Orbee
850 AAG (SEO)
61.9 sheehy.com portal site</t>
      </text>
    </comment>
    <comment authorId="0" ref="K34">
      <text>
        <t xml:space="preserve">1899 dealerfire 
499 Orbee
850 AAG (SEO)
61.9 sheehy.com portal site</t>
      </text>
    </comment>
    <comment authorId="0" ref="L34">
      <text>
        <t xml:space="preserve">1899 dealerfire 
499 Orbee
850 AAG (SEO)
61.9 sheehy.com portal site</t>
      </text>
    </comment>
    <comment authorId="0" ref="M34">
      <text>
        <t xml:space="preserve">1899 dealerfire 
499 Orbee
850 AAG (SEO)
61.9 sheehy.com portal site</t>
      </text>
    </comment>
    <comment authorId="0" ref="B36">
      <text>
        <t xml:space="preserve">$395 (texting)
$75 (Drivers License Scanner)
</t>
      </text>
    </comment>
    <comment authorId="0" ref="C36">
      <text>
        <t xml:space="preserve">$395 (texting)
$75 (Drivers License Scanner)
</t>
      </text>
    </comment>
    <comment authorId="0" ref="D36">
      <text>
        <t xml:space="preserve">$395 (texting)
$75 (Drivers License Scanner)
</t>
      </text>
    </comment>
    <comment authorId="0" ref="E36">
      <text>
        <t xml:space="preserve">$395 (texting)
$75 (Drivers License Scanner)
</t>
      </text>
    </comment>
    <comment authorId="0" ref="F36">
      <text>
        <t xml:space="preserve">$395 (texting)
$75 (Drivers License Scanner)
</t>
      </text>
    </comment>
    <comment authorId="0" ref="G36">
      <text>
        <t xml:space="preserve">$395 (texting)
$75 (Drivers License Scanner)
</t>
      </text>
    </comment>
    <comment authorId="0" ref="H36">
      <text>
        <t xml:space="preserve">$395 (texting)
$75 (Drivers License Scanner)
</t>
      </text>
    </comment>
    <comment authorId="0" ref="I36">
      <text>
        <t xml:space="preserve">$395 (texting)
$75 (Drivers License Scanner)
</t>
      </text>
    </comment>
    <comment authorId="0" ref="J36">
      <text>
        <t xml:space="preserve">$395 (texting)
$75 (Drivers License Scanner)
</t>
      </text>
    </comment>
    <comment authorId="0" ref="K36">
      <text>
        <t xml:space="preserve">$395 (texting)
$75 (Drivers License Scanner)
</t>
      </text>
    </comment>
    <comment authorId="0" ref="L36">
      <text>
        <t xml:space="preserve">$395 (texting)
$75 (Drivers License Scanner)
</t>
      </text>
    </comment>
    <comment authorId="0" ref="M36">
      <text>
        <t xml:space="preserve">$395 (texting)
$75 (Drivers License Scanner)
</t>
      </text>
    </comment>
    <comment authorId="0" ref="F40">
      <text>
        <t xml:space="preserve">elead golddigger for memorial day
2000 calls @ $5k
</t>
      </text>
    </comment>
    <comment authorId="0" ref="B42">
      <text>
        <t xml:space="preserve">365 switch to car chat
</t>
      </text>
    </comment>
    <comment authorId="0" ref="C42">
      <text>
        <t xml:space="preserve">365 switch to car chat
</t>
      </text>
    </comment>
    <comment authorId="0" ref="D42">
      <text>
        <t xml:space="preserve">365 switch to car chat
</t>
      </text>
    </comment>
    <comment authorId="0" ref="E42">
      <text>
        <t xml:space="preserve">365 switch to car chat
</t>
      </text>
    </comment>
    <comment authorId="0" ref="F42">
      <text>
        <t xml:space="preserve">365 switch to car chat
</t>
      </text>
    </comment>
    <comment authorId="0" ref="G42">
      <text>
        <t xml:space="preserve">365 switch to car chat
</t>
      </text>
    </comment>
    <comment authorId="0" ref="H42">
      <text>
        <t xml:space="preserve">365 switch to car chat
</t>
      </text>
    </comment>
    <comment authorId="0" ref="I42">
      <text>
        <t xml:space="preserve">365 switch to car chat
</t>
      </text>
    </comment>
    <comment authorId="0" ref="J42">
      <text>
        <t xml:space="preserve">365 switch to car chat
</t>
      </text>
    </comment>
    <comment authorId="0" ref="K42">
      <text>
        <t xml:space="preserve">365 switch to car chat
</t>
      </text>
    </comment>
    <comment authorId="0" ref="L42">
      <text>
        <t xml:space="preserve">365 switch to car chat
</t>
      </text>
    </comment>
    <comment authorId="0" ref="M42">
      <text>
        <t xml:space="preserve">365 switch to car chat
</t>
      </text>
    </comment>
    <comment authorId="0" ref="B44">
      <text>
        <t xml:space="preserve">299 Finance Driver </t>
      </text>
    </comment>
    <comment authorId="0" ref="C44">
      <text>
        <t xml:space="preserve">299 Finance Driver </t>
      </text>
    </comment>
    <comment authorId="0" ref="D44">
      <text>
        <t xml:space="preserve">299 Finance Driver </t>
      </text>
    </comment>
    <comment authorId="0" ref="E44">
      <text>
        <t xml:space="preserve">299 Finance Driver </t>
      </text>
    </comment>
    <comment authorId="0" ref="F44">
      <text>
        <t xml:space="preserve">299 Finance Driver </t>
      </text>
    </comment>
    <comment authorId="0" ref="G44">
      <text>
        <t xml:space="preserve">299 Finance Driver </t>
      </text>
    </comment>
    <comment authorId="0" ref="H44">
      <text>
        <t xml:space="preserve">299 Finance Driver </t>
      </text>
    </comment>
    <comment authorId="0" ref="I44">
      <text>
        <t xml:space="preserve">299 Finance Driver </t>
      </text>
    </comment>
    <comment authorId="0" ref="J44">
      <text>
        <t xml:space="preserve">299 Finance Driver </t>
      </text>
    </comment>
    <comment authorId="0" ref="K44">
      <text>
        <t xml:space="preserve">299 Finance Driver </t>
      </text>
    </comment>
    <comment authorId="0" ref="L44">
      <text>
        <t xml:space="preserve">299 Finance Driver </t>
      </text>
    </comment>
    <comment authorId="0" ref="M44">
      <text>
        <t xml:space="preserve">299 Finance Driver </t>
      </text>
    </comment>
    <comment authorId="0" ref="B45">
      <text>
        <t xml:space="preserve">45 Yelp 
97.5 Reputation.com
448 podium</t>
      </text>
    </comment>
    <comment authorId="0" ref="C45">
      <text>
        <t xml:space="preserve">45 Yelp 
97.5 Reputation.com
448 podium</t>
      </text>
    </comment>
    <comment authorId="0" ref="D45">
      <text>
        <t xml:space="preserve">45 Yelp 
97.5 Reputation.com
448 podium</t>
      </text>
    </comment>
    <comment authorId="0" ref="E45">
      <text>
        <t xml:space="preserve">45 Yelp 
97.5 Reputation.com
448 podium</t>
      </text>
    </comment>
    <comment authorId="0" ref="F45">
      <text>
        <t xml:space="preserve">45 Yelp 
97.5 Reputation.com
448 podium</t>
      </text>
    </comment>
    <comment authorId="0" ref="G45">
      <text>
        <t xml:space="preserve">45 Yelp 
97.5 Reputation.com
448 podium</t>
      </text>
    </comment>
    <comment authorId="0" ref="H45">
      <text>
        <t xml:space="preserve">45 Yelp 
97.5 Reputation.com
448 podium</t>
      </text>
    </comment>
    <comment authorId="0" ref="I45">
      <text>
        <t xml:space="preserve">45 Yelp 
97.5 Reputation.com
448 podium</t>
      </text>
    </comment>
    <comment authorId="0" ref="J45">
      <text>
        <t xml:space="preserve">45 Yelp 
97.5 Reputation.com
448 podium</t>
      </text>
    </comment>
    <comment authorId="0" ref="K45">
      <text>
        <t xml:space="preserve">45 Yelp 
97.5 Reputation.com
448 podium</t>
      </text>
    </comment>
    <comment authorId="0" ref="L45">
      <text>
        <t xml:space="preserve">45 Yelp 
97.5 Reputation.com
448 podium</t>
      </text>
    </comment>
    <comment authorId="0" ref="M45">
      <text>
        <t xml:space="preserve">45 Yelp 
97.5 Reputation.com
448 podium</t>
      </text>
    </comment>
    <comment authorId="0" ref="E46">
      <text>
        <t xml:space="preserve">cancelled 3/16</t>
      </text>
    </comment>
    <comment authorId="0" ref="B47">
      <text>
        <t xml:space="preserve">850- Alli mgmt
+30 Alli boosted campaigns
2750- Autoleadstar spend
750- ALS mgmt fee
</t>
      </text>
    </comment>
    <comment authorId="0" ref="C47">
      <text>
        <t xml:space="preserve">850- Alli mgmt
+30 Alli boosted campaigns
2750- Autoleadstar spend
750- ALS mgmt fee
</t>
      </text>
    </comment>
    <comment authorId="0" ref="D47">
      <text>
        <t xml:space="preserve">850- Alli mgmt
+30 Alli boosted campaigns
2750- Autoleadstar spend
750- ALS mgmt fee
</t>
      </text>
    </comment>
    <comment authorId="0" ref="E47">
      <text>
        <t xml:space="preserve">850- Alli mgmt
+30 Alli boosted campaigns
2750- Autoleadstar spend
750- ALS mgmt fee
</t>
      </text>
    </comment>
    <comment authorId="0" ref="F47">
      <text>
        <t xml:space="preserve">850- Alli mgmt
+30 Alli boosted campaigns
2750- Autoleadstar spend
750- ALS mgmt fee
</t>
      </text>
    </comment>
    <comment authorId="0" ref="G47">
      <text>
        <t xml:space="preserve">850- Alli mgmt
+30 Alli boosted campaigns
2750- Autoleadstar spend
750- ALS mgmt fee
</t>
      </text>
    </comment>
    <comment authorId="0" ref="H47">
      <text>
        <t xml:space="preserve">850- Alli mgmt
+30 Alli boosted campaigns
2750- Autoleadstar spend
750- ALS mgmt fee
</t>
      </text>
    </comment>
    <comment authorId="0" ref="I47">
      <text>
        <t xml:space="preserve">850- Alli mgmt
+30 Alli boosted campaigns
2750- Autoleadstar spend
750- ALS mgmt fee
</t>
      </text>
    </comment>
    <comment authorId="0" ref="J47">
      <text>
        <t xml:space="preserve">850- Alli mgmt
+30 Alli boosted campaigns
2750- Autoleadstar spend
750- ALS mgmt fee
</t>
      </text>
    </comment>
    <comment authorId="0" ref="K47">
      <text>
        <t xml:space="preserve">850- Alli mgmt
+30 Alli boosted campaigns
2750- Autoleadstar spend
750- ALS mgmt fee
</t>
      </text>
    </comment>
    <comment authorId="0" ref="L47">
      <text>
        <t xml:space="preserve">850- Alli mgmt
+30 Alli boosted campaigns
2750- Autoleadstar spend
750- ALS mgmt fee
</t>
      </text>
    </comment>
    <comment authorId="0" ref="M47">
      <text>
        <t xml:space="preserve">850- Alli mgmt
+30 Alli boosted campaigns
2750- Autoleadstar spend
750- ALS mgmt fee
</t>
      </text>
    </comment>
    <comment authorId="0" ref="B48">
      <text>
        <t xml:space="preserve">55.66 Sheehy.com
$350.33 PERQ child site
80 we buy cars</t>
      </text>
    </comment>
    <comment authorId="0" ref="C48">
      <text>
        <t xml:space="preserve">55.66 Sheehy.com
$350.33 PERQ child site
80 we buy cars</t>
      </text>
    </comment>
    <comment authorId="0" ref="D48">
      <text>
        <t xml:space="preserve">55.66 Sheehy.com
$350.33 PERQ child site
80 we buy cars</t>
      </text>
    </comment>
    <comment authorId="0" ref="E48">
      <text>
        <t xml:space="preserve">55.66 Sheehy.com
$350.33 PERQ child site
80 we buy cars</t>
      </text>
    </comment>
    <comment authorId="0" ref="F48">
      <text>
        <t xml:space="preserve">55.66 Sheehy.com
$350.33 PERQ child site
80 we buy cars</t>
      </text>
    </comment>
    <comment authorId="0" ref="G48">
      <text>
        <t xml:space="preserve">55.66 Sheehy.com
$350.33 PERQ child site
80 we buy cars</t>
      </text>
    </comment>
    <comment authorId="0" ref="H48">
      <text>
        <t xml:space="preserve">55.66 Sheehy.com
$350.33 PERQ child site
80 we buy cars</t>
      </text>
    </comment>
    <comment authorId="0" ref="I48">
      <text>
        <t xml:space="preserve">55.66 Sheehy.com
$350.33 PERQ child site
80 we buy cars</t>
      </text>
    </comment>
    <comment authorId="0" ref="J48">
      <text>
        <t xml:space="preserve">55.66 Sheehy.com
$350.33 PERQ child site
80 we buy cars</t>
      </text>
    </comment>
    <comment authorId="0" ref="K48">
      <text>
        <t xml:space="preserve">55.66 Sheehy.com
$350.33 PERQ child site
80 we buy cars</t>
      </text>
    </comment>
    <comment authorId="0" ref="L48">
      <text>
        <t xml:space="preserve">55.66 Sheehy.com
$350.33 PERQ child site
80 we buy cars</t>
      </text>
    </comment>
    <comment authorId="0" ref="M48">
      <text>
        <t xml:space="preserve">55.66 Sheehy.com
$350.33 PERQ child site
80 we buy cars</t>
      </text>
    </comment>
    <comment authorId="0" ref="B55">
      <text>
        <t xml:space="preserve">includes trade/reach and subscription</t>
      </text>
    </comment>
    <comment authorId="0" ref="C55">
      <text>
        <t xml:space="preserve">includes trade/reach and subscription</t>
      </text>
    </comment>
    <comment authorId="0" ref="D55">
      <text>
        <t xml:space="preserve">includes trade/reach and subscription</t>
      </text>
    </comment>
    <comment authorId="0" ref="E55">
      <text>
        <t xml:space="preserve">includes trade/reach and subscription</t>
      </text>
    </comment>
    <comment authorId="0" ref="F55">
      <text>
        <t xml:space="preserve">includes trade/reach and subscription</t>
      </text>
    </comment>
    <comment authorId="0" ref="G55">
      <text>
        <t xml:space="preserve">includes trade/reach and subscription</t>
      </text>
    </comment>
    <comment authorId="0" ref="H55">
      <text>
        <t xml:space="preserve">includes trade/reach and subscription</t>
      </text>
    </comment>
    <comment authorId="0" ref="I55">
      <text>
        <t xml:space="preserve">includes trade/reach and subscription</t>
      </text>
    </comment>
    <comment authorId="0" ref="J55">
      <text>
        <t xml:space="preserve">includes trade/reach and subscription</t>
      </text>
    </comment>
    <comment authorId="0" ref="K55">
      <text>
        <t xml:space="preserve">includes trade/reach and subscription</t>
      </text>
    </comment>
    <comment authorId="0" ref="L55">
      <text>
        <t xml:space="preserve">includes trade/reach and subscription</t>
      </text>
    </comment>
    <comment authorId="0" ref="M55">
      <text>
        <t xml:space="preserve">includes trade/reach and subscription</t>
      </text>
    </comment>
    <comment authorId="0" ref="B56">
      <text>
        <t xml:space="preserve">399 Trade tool with Purecars
351 mgmt fee
57 Data Management fee</t>
      </text>
    </comment>
    <comment authorId="0" ref="C56">
      <text>
        <t xml:space="preserve">399 Trade tool with Purecars
351 mgmt fee
57 Data Management fee</t>
      </text>
    </comment>
    <comment authorId="0" ref="D56">
      <text>
        <t xml:space="preserve">399 Trade tool with Purecars
351 mgmt fee
57 Data Management fee</t>
      </text>
    </comment>
    <comment authorId="0" ref="E56">
      <text>
        <t xml:space="preserve">399 Trade tool with Purecars
351 mgmt fee
57 Data Management fee</t>
      </text>
    </comment>
    <comment authorId="0" ref="F56">
      <text>
        <t xml:space="preserve">399 Trade tool with Purecars
351 mgmt fee
57 Data Management fee</t>
      </text>
    </comment>
    <comment authorId="0" ref="G56">
      <text>
        <t xml:space="preserve">399 Trade tool with Purecars
351 mgmt fee
57 Data Management fee</t>
      </text>
    </comment>
    <comment authorId="0" ref="H56">
      <text>
        <t xml:space="preserve">399 Trade tool with Purecars
351 mgmt fee
57 Data Management fee</t>
      </text>
    </comment>
    <comment authorId="0" ref="I56">
      <text>
        <t xml:space="preserve">399 Trade tool with Purecars
351 mgmt fee
57 Data Management fee</t>
      </text>
    </comment>
    <comment authorId="0" ref="J56">
      <text>
        <t xml:space="preserve">399 Trade tool with Purecars
351 mgmt fee
57 Data Management fee</t>
      </text>
    </comment>
    <comment authorId="0" ref="K56">
      <text>
        <t xml:space="preserve">399 Trade tool with Purecars
351 mgmt fee
57 Data Management fee</t>
      </text>
    </comment>
    <comment authorId="0" ref="L56">
      <text>
        <t xml:space="preserve">399 Trade tool with Purecars
351 mgmt fee
57 Data Management fee</t>
      </text>
    </comment>
    <comment authorId="0" ref="M56">
      <text>
        <t xml:space="preserve">399 Trade tool with Purecars
351 mgmt fee
57 Data Management fee</t>
      </text>
    </comment>
    <comment authorId="0" ref="B59">
      <text>
        <t xml:space="preserve">1250 NEW
1250 USED
2500 TOTAL</t>
      </text>
    </comment>
    <comment authorId="0" ref="C59">
      <text>
        <t xml:space="preserve">1250 NEW
1250 USED
2500 TOTAL</t>
      </text>
    </comment>
    <comment authorId="0" ref="D59">
      <text>
        <t xml:space="preserve">1250 NEW
1250 USED
2500 TOTAL</t>
      </text>
    </comment>
    <comment authorId="0" ref="E59">
      <text>
        <t xml:space="preserve">1250 NEW
1250 USED
2500 TOTAL</t>
      </text>
    </comment>
    <comment authorId="0" ref="F59">
      <text>
        <t xml:space="preserve">1250 NEW
1250 USED
2500 TOTAL</t>
      </text>
    </comment>
    <comment authorId="0" ref="G59">
      <text>
        <t xml:space="preserve">1250 NEW
1250 USED
2500 TOTAL</t>
      </text>
    </comment>
    <comment authorId="0" ref="H59">
      <text>
        <t xml:space="preserve">1250 NEW
1250 USED
2500 TOTAL</t>
      </text>
    </comment>
    <comment authorId="0" ref="I59">
      <text>
        <t xml:space="preserve">1250 NEW
1250 USED
2500 TOTAL</t>
      </text>
    </comment>
    <comment authorId="0" ref="J59">
      <text>
        <t xml:space="preserve">1250 NEW
1250 USED
2500 TOTAL</t>
      </text>
    </comment>
    <comment authorId="0" ref="K59">
      <text>
        <t xml:space="preserve">1250 NEW
1250 USED
2500 TOTAL</t>
      </text>
    </comment>
    <comment authorId="0" ref="L59">
      <text>
        <t xml:space="preserve">1250 NEW
1250 USED
2500 TOTAL</t>
      </text>
    </comment>
    <comment authorId="0" ref="M59">
      <text>
        <t xml:space="preserve">1250 NEW
1250 USED
2500 TOTAL</t>
      </text>
    </comment>
    <comment authorId="0" ref="B63">
      <text>
        <t xml:space="preserve">6942 new
(500 preowned)
(700 fixed ops)
8142 total</t>
      </text>
    </comment>
    <comment authorId="0" ref="C63">
      <text>
        <t xml:space="preserve">6942 new
(500 preowned)
(700 fixed ops)
8142 total</t>
      </text>
    </comment>
    <comment authorId="0" ref="D63">
      <text>
        <t xml:space="preserve">6942 new
(500 preowned)
(700 fixed ops)
8142 total</t>
      </text>
    </comment>
    <comment authorId="0" ref="E63">
      <text>
        <t xml:space="preserve">6942 new
(500 preowned)
(700 fixed ops)
8142 total</t>
      </text>
    </comment>
    <comment authorId="0" ref="F63">
      <text>
        <t xml:space="preserve">6942 new
(500 preowned)
(700 fixed ops)
8142 total</t>
      </text>
    </comment>
    <comment authorId="0" ref="G63">
      <text>
        <t xml:space="preserve">6942 new
(500 preowned)
(700 fixed ops)
8142 total</t>
      </text>
    </comment>
    <comment authorId="0" ref="H63">
      <text>
        <t xml:space="preserve">6942 new
(500 preowned)
(700 fixed ops)
8142 total</t>
      </text>
    </comment>
    <comment authorId="0" ref="I63">
      <text>
        <t xml:space="preserve">6942 new
(500 preowned)
(700 fixed ops)
8142 total</t>
      </text>
    </comment>
    <comment authorId="0" ref="J63">
      <text>
        <t xml:space="preserve">6942 new
(500 preowned)
(700 fixed ops)
8142 total</t>
      </text>
    </comment>
    <comment authorId="0" ref="K63">
      <text>
        <t xml:space="preserve">6942 new
(500 preowned)
(700 fixed ops)
8142 total</t>
      </text>
    </comment>
    <comment authorId="0" ref="L63">
      <text>
        <t xml:space="preserve">6942 new
(500 preowned)
(700 fixed ops)
8142 total</t>
      </text>
    </comment>
    <comment authorId="0" ref="M63">
      <text>
        <t xml:space="preserve">6942 new
(500 preowned)
(700 fixed ops)
8142 total</t>
      </text>
    </comment>
    <comment authorId="0" ref="B72">
      <text>
        <t xml:space="preserve">TBD
</t>
      </text>
    </comment>
    <comment authorId="0" ref="C72">
      <text>
        <t xml:space="preserve">TBD
</t>
      </text>
    </comment>
    <comment authorId="0" ref="D72">
      <text>
        <t xml:space="preserve">TBD
</t>
      </text>
    </comment>
    <comment authorId="0" ref="E72">
      <text>
        <t xml:space="preserve">TBD
</t>
      </text>
    </comment>
    <comment authorId="0" ref="F72">
      <text>
        <t xml:space="preserve">TBD
</t>
      </text>
    </comment>
    <comment authorId="0" ref="G72">
      <text>
        <t xml:space="preserve">TBD
</t>
      </text>
    </comment>
    <comment authorId="0" ref="H72">
      <text>
        <t xml:space="preserve">TBD
</t>
      </text>
    </comment>
    <comment authorId="0" ref="I72">
      <text>
        <t xml:space="preserve">TBD
</t>
      </text>
    </comment>
    <comment authorId="0" ref="J72">
      <text>
        <t xml:space="preserve">TBD
</t>
      </text>
    </comment>
    <comment authorId="0" ref="K72">
      <text>
        <t xml:space="preserve">TBD
</t>
      </text>
    </comment>
    <comment authorId="0" ref="L72">
      <text>
        <t xml:space="preserve">TBD
</t>
      </text>
    </comment>
    <comment authorId="0" ref="M72">
      <text>
        <t xml:space="preserve">TBD
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B74">
      <text>
        <t xml:space="preserve">1250 NEW
1250 USED
2500 TOTAL</t>
      </text>
    </comment>
    <comment authorId="0" ref="C74">
      <text>
        <t xml:space="preserve">1250 NEW
1250 USED
2500 TOTAL</t>
      </text>
    </comment>
    <comment authorId="0" ref="D74">
      <text>
        <t xml:space="preserve">1250 NEW
1250 USED
2500 TOTAL</t>
      </text>
    </comment>
    <comment authorId="0" ref="E74">
      <text>
        <t xml:space="preserve">1250 NEW
1250 USED
2500 TOTAL</t>
      </text>
    </comment>
    <comment authorId="0" ref="F74">
      <text>
        <t xml:space="preserve">1250 NEW
1250 USED
2500 TOTAL</t>
      </text>
    </comment>
    <comment authorId="0" ref="G74">
      <text>
        <t xml:space="preserve">1250 NEW
1250 USED
2500 TOTAL</t>
      </text>
    </comment>
    <comment authorId="0" ref="H74">
      <text>
        <t xml:space="preserve">1250 NEW
1250 USED
2500 TOTAL</t>
      </text>
    </comment>
    <comment authorId="0" ref="I74">
      <text>
        <t xml:space="preserve">1250 NEW
1250 USED
2500 TOTAL</t>
      </text>
    </comment>
    <comment authorId="0" ref="J74">
      <text>
        <t xml:space="preserve">1250 NEW
1250 USED
2500 TOTAL</t>
      </text>
    </comment>
    <comment authorId="0" ref="K74">
      <text>
        <t xml:space="preserve">1250 NEW
1250 USED
2500 TOTAL</t>
      </text>
    </comment>
    <comment authorId="0" ref="L74">
      <text>
        <t xml:space="preserve">1250 NEW
1250 USED
2500 TOTAL</t>
      </text>
    </comment>
    <comment authorId="0" ref="M74">
      <text>
        <t xml:space="preserve">1250 NEW
1250 USED
2500 TOTAL</t>
      </text>
    </comment>
    <comment authorId="0" ref="B79">
      <text>
        <t xml:space="preserve">4105 KBB Buying Center
</t>
      </text>
    </comment>
    <comment authorId="0" ref="C79">
      <text>
        <t xml:space="preserve">4105 KBB Buying Center
</t>
      </text>
    </comment>
    <comment authorId="0" ref="D79">
      <text>
        <t xml:space="preserve">4105 KBB Buying Center
</t>
      </text>
    </comment>
    <comment authorId="0" ref="E79">
      <text>
        <t xml:space="preserve">4105 KBB Buying Center
</t>
      </text>
    </comment>
    <comment authorId="0" ref="F79">
      <text>
        <t xml:space="preserve">4105 KBB Buying Center
</t>
      </text>
    </comment>
    <comment authorId="0" ref="G79">
      <text>
        <t xml:space="preserve">4105 KBB Buying Center
</t>
      </text>
    </comment>
    <comment authorId="0" ref="H79">
      <text>
        <t xml:space="preserve">4105 KBB Buying Center
</t>
      </text>
    </comment>
    <comment authorId="0" ref="I79">
      <text>
        <t xml:space="preserve">4105 KBB Buying Center
</t>
      </text>
    </comment>
    <comment authorId="0" ref="J79">
      <text>
        <t xml:space="preserve">4105 KBB Buying Center
</t>
      </text>
    </comment>
    <comment authorId="0" ref="K79">
      <text>
        <t xml:space="preserve">4105 KBB Buying Center
</t>
      </text>
    </comment>
    <comment authorId="0" ref="L79">
      <text>
        <t xml:space="preserve">4105 KBB Buying Center
</t>
      </text>
    </comment>
    <comment authorId="0" ref="M79">
      <text>
        <t xml:space="preserve">4105 KBB Buying Center
</t>
      </text>
    </comment>
    <comment authorId="0" ref="B80">
      <text>
        <t xml:space="preserve">2050 Enhanced</t>
      </text>
    </comment>
    <comment authorId="0" ref="C80">
      <text>
        <t xml:space="preserve">2050 Enhanced</t>
      </text>
    </comment>
    <comment authorId="0" ref="D80">
      <text>
        <t xml:space="preserve">2050 Enhanced</t>
      </text>
    </comment>
    <comment authorId="0" ref="E80">
      <text>
        <t xml:space="preserve">2050 Enhanced</t>
      </text>
    </comment>
    <comment authorId="0" ref="F80">
      <text>
        <t xml:space="preserve">2050 Enhanced</t>
      </text>
    </comment>
    <comment authorId="0" ref="G80">
      <text>
        <t xml:space="preserve">2050 Enhanced</t>
      </text>
    </comment>
    <comment authorId="0" ref="H80">
      <text>
        <t xml:space="preserve">2050 Enhanced</t>
      </text>
    </comment>
    <comment authorId="0" ref="I80">
      <text>
        <t xml:space="preserve">2050 Enhanced</t>
      </text>
    </comment>
    <comment authorId="0" ref="J80">
      <text>
        <t xml:space="preserve">2050 Enhanced</t>
      </text>
    </comment>
    <comment authorId="0" ref="K80">
      <text>
        <t xml:space="preserve">2050 Enhanced</t>
      </text>
    </comment>
    <comment authorId="0" ref="L80">
      <text>
        <t xml:space="preserve">2050 Enhanced</t>
      </text>
    </comment>
    <comment authorId="0" ref="M80">
      <text>
        <t xml:space="preserve">2050 Enhanced</t>
      </text>
    </comment>
    <comment authorId="0" ref="B81">
      <text>
        <t xml:space="preserve">500 used</t>
      </text>
    </comment>
    <comment authorId="0" ref="C81">
      <text>
        <t xml:space="preserve">500 used</t>
      </text>
    </comment>
    <comment authorId="0" ref="D81">
      <text>
        <t xml:space="preserve">500 used</t>
      </text>
    </comment>
    <comment authorId="0" ref="E81">
      <text>
        <t xml:space="preserve">500 used</t>
      </text>
    </comment>
    <comment authorId="0" ref="F81">
      <text>
        <t xml:space="preserve">500 used</t>
      </text>
    </comment>
    <comment authorId="0" ref="G81">
      <text>
        <t xml:space="preserve">500 used</t>
      </text>
    </comment>
    <comment authorId="0" ref="H81">
      <text>
        <t xml:space="preserve">500 used</t>
      </text>
    </comment>
    <comment authorId="0" ref="I81">
      <text>
        <t xml:space="preserve">500 used</t>
      </text>
    </comment>
    <comment authorId="0" ref="J81">
      <text>
        <t xml:space="preserve">500 used</t>
      </text>
    </comment>
    <comment authorId="0" ref="K81">
      <text>
        <t xml:space="preserve">500 used</t>
      </text>
    </comment>
    <comment authorId="0" ref="L81">
      <text>
        <t xml:space="preserve">500 used</t>
      </text>
    </comment>
    <comment authorId="0" ref="M81">
      <text>
        <t xml:space="preserve">500 used</t>
      </text>
    </comment>
    <comment authorId="0" ref="B93">
      <text>
        <t xml:space="preserve">$900 photo booth updates (lang)</t>
      </text>
    </comment>
    <comment authorId="0" ref="F93">
      <text>
        <t xml:space="preserve">$520 HBP banner</t>
      </text>
    </comment>
    <comment authorId="0" ref="I93">
      <text>
        <t xml:space="preserve">$4,314.2 hanging signs
$190.8 Sheehy Value standee
$800 we buy cars brochures</t>
      </text>
    </comment>
    <comment authorId="0" ref="K93">
      <text>
        <t xml:space="preserve">$649.12 additional Fall Savings POP</t>
      </text>
    </comment>
    <comment authorId="0" ref="K94">
      <text>
        <t xml:space="preserve">$180 Polin
$200 boxes
</t>
      </text>
    </comment>
    <comment authorId="0" ref="B96">
      <text>
        <t xml:space="preserve">900 costco
500 navyfed
</t>
      </text>
    </comment>
    <comment authorId="0" ref="C96">
      <text>
        <t xml:space="preserve">900 costco
500 navyfed
</t>
      </text>
    </comment>
    <comment authorId="0" ref="D96">
      <text>
        <t xml:space="preserve">900 costco
500 navyfed
</t>
      </text>
    </comment>
    <comment authorId="0" ref="E96">
      <text>
        <t xml:space="preserve">900 costco
500 navyfed
</t>
      </text>
    </comment>
    <comment authorId="0" ref="F96">
      <text>
        <t xml:space="preserve">900 costco
500 navyfed
</t>
      </text>
    </comment>
    <comment authorId="0" ref="G96">
      <text>
        <t xml:space="preserve">900 costco
500 navyfed
</t>
      </text>
    </comment>
    <comment authorId="0" ref="H96">
      <text>
        <t xml:space="preserve">900 costco
500 navyfed
</t>
      </text>
    </comment>
    <comment authorId="0" ref="I96">
      <text>
        <t xml:space="preserve">900 costco
500 navyfed
</t>
      </text>
    </comment>
    <comment authorId="0" ref="J96">
      <text>
        <t xml:space="preserve">900 costco
500 navyfed
</t>
      </text>
    </comment>
    <comment authorId="0" ref="K96">
      <text>
        <t xml:space="preserve">900 costco
500 navyfed
</t>
      </text>
    </comment>
    <comment authorId="0" ref="L96">
      <text>
        <t xml:space="preserve">900 costco
500 navyfed
</t>
      </text>
    </comment>
    <comment authorId="0" ref="M96">
      <text>
        <t xml:space="preserve">900 costco
500 navyfed
</t>
      </text>
    </comment>
    <comment authorId="0" ref="B103">
      <text>
        <t xml:space="preserve">$500 Other Group Digital </t>
      </text>
    </comment>
    <comment authorId="0" ref="C103">
      <text>
        <t xml:space="preserve">$500 Other Group Digital </t>
      </text>
    </comment>
    <comment authorId="0" ref="D103">
      <text>
        <t xml:space="preserve">$200 Other Group Digital 
$113.63 WJA sponsorship</t>
      </text>
    </comment>
    <comment authorId="0" ref="E103">
      <text>
        <t xml:space="preserve">$500 Other Group Digital </t>
      </text>
    </comment>
    <comment authorId="0" ref="F103">
      <text>
        <t xml:space="preserve">$500 Other Group Digital </t>
      </text>
    </comment>
    <comment authorId="0" ref="G103">
      <text>
        <t xml:space="preserve">$605 Other Group Digital </t>
      </text>
    </comment>
    <comment authorId="0" ref="H103">
      <text>
        <t xml:space="preserve">$605 Other Group Digital </t>
      </text>
    </comment>
    <comment authorId="0" ref="I103">
      <text>
        <t xml:space="preserve">$500 Other Group Digital </t>
      </text>
    </comment>
    <comment authorId="0" ref="J103">
      <text>
        <t xml:space="preserve">$500 Other Group Digital </t>
      </text>
    </comment>
    <comment authorId="0" ref="K103">
      <text>
        <t xml:space="preserve">$500 Other Group Digital </t>
      </text>
    </comment>
    <comment authorId="0" ref="L103">
      <text>
        <t xml:space="preserve">$500 Other Group Digital </t>
      </text>
    </comment>
    <comment authorId="0" ref="M103">
      <text>
        <t xml:space="preserve">$500 Other Group Digital </t>
      </text>
    </comment>
    <comment authorId="0" ref="B115">
      <text>
        <t xml:space="preserve">$1,495 Easy Care
</t>
      </text>
    </comment>
    <comment authorId="0" ref="C115">
      <text>
        <t xml:space="preserve">$1,495 Easy Care
</t>
      </text>
    </comment>
    <comment authorId="0" ref="D115">
      <text>
        <t xml:space="preserve">$1,495 Easy Care
</t>
      </text>
    </comment>
    <comment authorId="0" ref="E115">
      <text>
        <t xml:space="preserve">$1,495 Easy Care
</t>
      </text>
    </comment>
    <comment authorId="0" ref="F115">
      <text>
        <t xml:space="preserve">$1,495 Easy Care
</t>
      </text>
    </comment>
    <comment authorId="0" ref="G115">
      <text>
        <t xml:space="preserve">$1,495 Easy Care
</t>
      </text>
    </comment>
    <comment authorId="0" ref="H115">
      <text>
        <t xml:space="preserve">$1,495 Easy Care
</t>
      </text>
    </comment>
    <comment authorId="0" ref="I115">
      <text>
        <t xml:space="preserve">$1,495 Easy Care
</t>
      </text>
    </comment>
    <comment authorId="0" ref="J115">
      <text>
        <t xml:space="preserve">$1,495 Easy Care
</t>
      </text>
    </comment>
    <comment authorId="0" ref="K115">
      <text>
        <t xml:space="preserve">$1,495 Easy Care
</t>
      </text>
    </comment>
    <comment authorId="0" ref="L115">
      <text>
        <t xml:space="preserve">$1,495 Easy Care
</t>
      </text>
    </comment>
    <comment authorId="0" ref="M115">
      <text>
        <t xml:space="preserve">$1,495 Easy Care
</t>
      </text>
    </comment>
    <comment authorId="0" ref="B116">
      <text>
        <t xml:space="preserve">$540 Logitrac service</t>
      </text>
    </comment>
    <comment authorId="0" ref="C116">
      <text>
        <t xml:space="preserve">$540 Logitrac service</t>
      </text>
    </comment>
    <comment authorId="0" ref="D116">
      <text>
        <t xml:space="preserve">$540 Logitrac service</t>
      </text>
    </comment>
    <comment authorId="0" ref="E116">
      <text>
        <t xml:space="preserve">$540 Logitrac service</t>
      </text>
    </comment>
    <comment authorId="0" ref="F116">
      <text>
        <t xml:space="preserve">$540 Logitrac service</t>
      </text>
    </comment>
    <comment authorId="0" ref="G116">
      <text>
        <t xml:space="preserve">$540 Logitrac service</t>
      </text>
    </comment>
    <comment authorId="0" ref="H116">
      <text>
        <t xml:space="preserve">$540 Logitrac service</t>
      </text>
    </comment>
    <comment authorId="0" ref="I116">
      <text>
        <t xml:space="preserve">$540 Logitrac service</t>
      </text>
    </comment>
    <comment authorId="0" ref="J116">
      <text>
        <t xml:space="preserve">$540 Logitrac service</t>
      </text>
    </comment>
    <comment authorId="0" ref="K116">
      <text>
        <t xml:space="preserve">$540 Logitrac service</t>
      </text>
    </comment>
    <comment authorId="0" ref="L116">
      <text>
        <t xml:space="preserve">$540 Logitrac service</t>
      </text>
    </comment>
    <comment authorId="0" ref="M116">
      <text>
        <t xml:space="preserve">$540 Logitrac service</t>
      </text>
    </comment>
    <comment authorId="0" ref="K117">
      <text>
        <t xml:space="preserve">4182.81 Q3 recovery mailer</t>
      </text>
    </comment>
    <comment authorId="0" ref="B118">
      <text>
        <t xml:space="preserve">NOW: 700 
WAS: 1000 fixed ops PureCars</t>
      </text>
    </comment>
    <comment authorId="0" ref="C118">
      <text>
        <t xml:space="preserve">NOW: 700 
WAS: 1000 fixed ops PureCars</t>
      </text>
    </comment>
    <comment authorId="0" ref="D118">
      <text>
        <t xml:space="preserve">NOW: 700 
WAS: 1000 fixed ops PureCars</t>
      </text>
    </comment>
    <comment authorId="0" ref="E118">
      <text>
        <t xml:space="preserve">NOW: 700 
WAS: 1000 fixed ops PureCars</t>
      </text>
    </comment>
    <comment authorId="0" ref="F118">
      <text>
        <t xml:space="preserve">NOW: 700 
WAS: 1000 fixed ops PureCars</t>
      </text>
    </comment>
    <comment authorId="0" ref="G118">
      <text>
        <t xml:space="preserve">NOW: 700 
WAS: 1000 fixed ops PureCars</t>
      </text>
    </comment>
    <comment authorId="0" ref="H118">
      <text>
        <t xml:space="preserve">NOW: 700 
WAS: 1000 fixed ops PureCars</t>
      </text>
    </comment>
    <comment authorId="0" ref="I118">
      <text>
        <t xml:space="preserve">NOW: 700 
WAS: 1000 fixed ops PureCars</t>
      </text>
    </comment>
    <comment authorId="0" ref="J118">
      <text>
        <t xml:space="preserve">NOW: 700 
WAS: 1000 fixed ops PureCars</t>
      </text>
    </comment>
    <comment authorId="0" ref="K118">
      <text>
        <t xml:space="preserve">NOW: 700 
WAS: 1000 fixed ops PureCars</t>
      </text>
    </comment>
    <comment authorId="0" ref="L118">
      <text>
        <t xml:space="preserve">NOW: 700 
WAS: 1000 fixed ops PureCars</t>
      </text>
    </comment>
    <comment authorId="0" ref="M118">
      <text>
        <t xml:space="preserve">NOW: 700 
WAS: 1000 fixed ops PureCars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3">
      <text>
        <t xml:space="preserve">$7,028.76 Richmond
$1,147.19 Lincoln mailer</t>
      </text>
    </comment>
    <comment authorId="0" ref="D23">
      <text>
        <t xml:space="preserve">$7,028.76 Richmond
$1,147.19 Lincoln mailer</t>
      </text>
    </comment>
    <comment authorId="0" ref="F23">
      <text>
        <t xml:space="preserve">$7,028.76 Richmond
$1,147.19 Lincoln mailer</t>
      </text>
    </comment>
    <comment authorId="0" ref="G23">
      <text>
        <t xml:space="preserve">$6000 Richmond
$4000 Lincoln mailer</t>
      </text>
    </comment>
    <comment authorId="0" ref="H23">
      <text>
        <t xml:space="preserve">$6000 Richmond
$4000 Lincoln mailer</t>
      </text>
    </comment>
    <comment authorId="0" ref="I23">
      <text>
        <t xml:space="preserve">$7,028.76 Richmond
$1,147.19 Lincoln mailer</t>
      </text>
    </comment>
    <comment authorId="0" ref="L23">
      <text>
        <t xml:space="preserve">$6000 Richmond
$4000 Lincoln mailer</t>
      </text>
    </comment>
    <comment authorId="0" ref="B34">
      <text>
        <t xml:space="preserve">1999 fd website
349 dms integration
850 AAG 
61.90 sheehy.com portal site
199 municipal</t>
      </text>
    </comment>
    <comment authorId="0" ref="C34">
      <text>
        <t xml:space="preserve">1999 fd website
349 dms integration
850 AAG 
61.90 sheehy.com portal site
199 municipal</t>
      </text>
    </comment>
    <comment authorId="0" ref="D34">
      <text>
        <t xml:space="preserve">1999 fd website
349 dms integration
850 AAG 
61.90 sheehy.com portal site
199 municipal</t>
      </text>
    </comment>
    <comment authorId="0" ref="E34">
      <text>
        <t xml:space="preserve">1999 fd website
349 dms integration
850 AAG 
61.90 sheehy.com portal site
199 municipal</t>
      </text>
    </comment>
    <comment authorId="0" ref="F34">
      <text>
        <t xml:space="preserve">1999 fd website
349 dms integration
850 AAG 
61.90 sheehy.com portal site
199 municipal</t>
      </text>
    </comment>
    <comment authorId="0" ref="G34">
      <text>
        <t xml:space="preserve">1999 fd website
349 dms integration
850 AAG 
61.90 sheehy.com portal site
199 municipal</t>
      </text>
    </comment>
    <comment authorId="0" ref="H34">
      <text>
        <t xml:space="preserve">1999 fd website
349 dms integration
850 AAG 
61.90 sheehy.com portal site
199 municipal</t>
      </text>
    </comment>
    <comment authorId="0" ref="I34">
      <text>
        <t xml:space="preserve">1999 fd website
349 dms integration
850 AAG 
61.90 sheehy.com portal site
199 municipal</t>
      </text>
    </comment>
    <comment authorId="0" ref="J34">
      <text>
        <t xml:space="preserve">1999 fd website
349 dms integration
850 AAG 
61.90 sheehy.com portal site
199 municipal</t>
      </text>
    </comment>
    <comment authorId="0" ref="K34">
      <text>
        <t xml:space="preserve">1999 fd website
349 dms integration
850 AAG 
61.90 sheehy.com portal site
199 municipal</t>
      </text>
    </comment>
    <comment authorId="0" ref="L34">
      <text>
        <t xml:space="preserve">1999 fd website
349 dms integration
850 AAG 
61.90 sheehy.com portal site
199 municipal</t>
      </text>
    </comment>
    <comment authorId="0" ref="M34">
      <text>
        <t xml:space="preserve">1999 fd website
349 dms integration
850 AAG 
61.90 sheehy.com portal site
199 municipal</t>
      </text>
    </comment>
    <comment authorId="0" ref="B42">
      <text>
        <t xml:space="preserve"> 365 switched to carchat24
</t>
      </text>
    </comment>
    <comment authorId="0" ref="C42">
      <text>
        <t xml:space="preserve"> 365 switched to carchat24
</t>
      </text>
    </comment>
    <comment authorId="0" ref="D42">
      <text>
        <t xml:space="preserve"> 365 switched to carchat24
</t>
      </text>
    </comment>
    <comment authorId="0" ref="E42">
      <text>
        <t xml:space="preserve"> 365 switched to carchat24
</t>
      </text>
    </comment>
    <comment authorId="0" ref="F42">
      <text>
        <t xml:space="preserve"> 365 switched to carchat24
</t>
      </text>
    </comment>
    <comment authorId="0" ref="G42">
      <text>
        <t xml:space="preserve"> 365 switched to carchat24
</t>
      </text>
    </comment>
    <comment authorId="0" ref="H42">
      <text>
        <t xml:space="preserve"> 365 switched to carchat24
</t>
      </text>
    </comment>
    <comment authorId="0" ref="I42">
      <text>
        <t xml:space="preserve"> 365 switched to carchat24
</t>
      </text>
    </comment>
    <comment authorId="0" ref="J42">
      <text>
        <t xml:space="preserve"> 365 switched to carchat24
</t>
      </text>
    </comment>
    <comment authorId="0" ref="K42">
      <text>
        <t xml:space="preserve"> 365 switched to carchat24
</t>
      </text>
    </comment>
    <comment authorId="0" ref="L42">
      <text>
        <t xml:space="preserve"> 365 switched to carchat24
</t>
      </text>
    </comment>
    <comment authorId="0" ref="M42">
      <text>
        <t xml:space="preserve"> 365 switched to carchat24
</t>
      </text>
    </comment>
    <comment authorId="0" ref="B44">
      <text>
        <t xml:space="preserve">259 finance driver RI
259 finance driver Lincoln site
</t>
      </text>
    </comment>
    <comment authorId="0" ref="C44">
      <text>
        <t xml:space="preserve">259 finance driver RI
259 finance driver Lincoln site
</t>
      </text>
    </comment>
    <comment authorId="0" ref="D44">
      <text>
        <t xml:space="preserve">259 finance driver RI
259 finance driver Lincoln site
</t>
      </text>
    </comment>
    <comment authorId="0" ref="E44">
      <text>
        <t xml:space="preserve">259 finance driver RI
259 finance driver Lincoln site
</t>
      </text>
    </comment>
    <comment authorId="0" ref="F44">
      <text>
        <t xml:space="preserve">259 finance driver RI
259 finance driver Lincoln site
</t>
      </text>
    </comment>
    <comment authorId="0" ref="G44">
      <text>
        <t xml:space="preserve">259 finance driver RI
259 finance driver Lincoln site
</t>
      </text>
    </comment>
    <comment authorId="0" ref="H44">
      <text>
        <t xml:space="preserve">259 finance driver RI
259 finance driver Lincoln site
</t>
      </text>
    </comment>
    <comment authorId="0" ref="I44">
      <text>
        <t xml:space="preserve">259 finance driver RI
259 finance driver Lincoln site
</t>
      </text>
    </comment>
    <comment authorId="0" ref="J44">
      <text>
        <t xml:space="preserve">259 finance driver RI
259 finance driver Lincoln site
</t>
      </text>
    </comment>
    <comment authorId="0" ref="K44">
      <text>
        <t xml:space="preserve">259 finance driver RI
259 finance driver Lincoln site
</t>
      </text>
    </comment>
    <comment authorId="0" ref="L44">
      <text>
        <t xml:space="preserve">259 finance driver RI
259 finance driver Lincoln site
</t>
      </text>
    </comment>
    <comment authorId="0" ref="M44">
      <text>
        <t xml:space="preserve">259 finance driver RI
259 finance driver Lincoln site
</t>
      </text>
    </comment>
    <comment authorId="0" ref="B45">
      <text>
        <t xml:space="preserve">45 Yelp 
97.5 Reputation.com
349 podium</t>
      </text>
    </comment>
    <comment authorId="0" ref="C45">
      <text>
        <t xml:space="preserve">45 Yelp 
97.5 Reputation.com
349 podium</t>
      </text>
    </comment>
    <comment authorId="0" ref="D45">
      <text>
        <t xml:space="preserve">45 Yelp 
97.5 Reputation.com
349 podium</t>
      </text>
    </comment>
    <comment authorId="0" ref="E45">
      <text>
        <t xml:space="preserve">45 Yelp 
97.5 Reputation.com
349 podium</t>
      </text>
    </comment>
    <comment authorId="0" ref="F45">
      <text>
        <t xml:space="preserve">45 Yelp 
97.5 Reputation.com
349 podium</t>
      </text>
    </comment>
    <comment authorId="0" ref="G45">
      <text>
        <t xml:space="preserve">45 Yelp 
97.5 Reputation.com
349 podium</t>
      </text>
    </comment>
    <comment authorId="0" ref="H45">
      <text>
        <t xml:space="preserve">45 Yelp 
97.5 Reputation.com
349 podium</t>
      </text>
    </comment>
    <comment authorId="0" ref="I45">
      <text>
        <t xml:space="preserve">45 Yelp 
97.5 Reputation.com
349 podium</t>
      </text>
    </comment>
    <comment authorId="0" ref="J45">
      <text>
        <t xml:space="preserve">45 Yelp 
97.5 Reputation.com
349 podium</t>
      </text>
    </comment>
    <comment authorId="0" ref="K45">
      <text>
        <t xml:space="preserve">45 Yelp 
97.5 Reputation.com
349 podium</t>
      </text>
    </comment>
    <comment authorId="0" ref="L45">
      <text>
        <t xml:space="preserve">45 Yelp 
97.5 Reputation.com
349 podium</t>
      </text>
    </comment>
    <comment authorId="0" ref="M45">
      <text>
        <t xml:space="preserve">45 Yelp 
97.5 Reputation.com
349 podium</t>
      </text>
    </comment>
    <comment authorId="0" ref="B47">
      <text>
        <t xml:space="preserve">850 Alli 
30 Alli Boosted
750 ALS Lincoln
1250 Lincoln ad spend
750 ALS Ford
2,500 Ford ad spend
</t>
      </text>
    </comment>
    <comment authorId="0" ref="C47">
      <text>
        <t xml:space="preserve">850 Alli 
30 Alli Boosted
750 ALS Lincoln
1250 Lincoln ad spend
750 ALS Ford
2,500 Ford ad spend
</t>
      </text>
    </comment>
    <comment authorId="0" ref="D47">
      <text>
        <t xml:space="preserve">850 Alli 
30 Alli Boosted
750 ALS Lincoln
1250 Lincoln ad spend
750 ALS Ford
2,500 Ford ad spend
</t>
      </text>
    </comment>
    <comment authorId="0" ref="E47">
      <text>
        <t xml:space="preserve">850 Alli 
30 Alli Boosted
750 ALS Lincoln
1250 Lincoln ad spend
750 ALS Ford
2,500 Ford ad spend
</t>
      </text>
    </comment>
    <comment authorId="0" ref="F47">
      <text>
        <t xml:space="preserve">850 Alli 
30 Alli Boosted
750 ALS Lincoln
1250 Lincoln ad spend
750 ALS Ford
2,500 Ford ad spend
</t>
      </text>
    </comment>
    <comment authorId="0" ref="G47">
      <text>
        <t xml:space="preserve">850 Alli 
30 Alli Boosted
750 ALS Lincoln
1250 Lincoln ad spend
750 ALS Ford
2,500 Ford ad spend
</t>
      </text>
    </comment>
    <comment authorId="0" ref="H47">
      <text>
        <t xml:space="preserve">850 Alli 
30 Alli Boosted
750 ALS Lincoln
1250 Lincoln ad spend
750 ALS Ford
2,500 Ford ad spend
</t>
      </text>
    </comment>
    <comment authorId="0" ref="I47">
      <text>
        <t xml:space="preserve">850 Alli 
30 Alli Boosted
750 ALS Lincoln
1250 Lincoln ad spend
750 ALS Ford
2,500 Ford ad spend
</t>
      </text>
    </comment>
    <comment authorId="0" ref="J47">
      <text>
        <t xml:space="preserve">850 Alli 
30 Alli Boosted
750 ALS Lincoln
1250 Lincoln ad spend
750 ALS Ford
2,500 Ford ad spend
</t>
      </text>
    </comment>
    <comment authorId="0" ref="K47">
      <text>
        <t xml:space="preserve">850 Alli 
30 Alli Boosted
750 ALS Lincoln
1250 Lincoln ad spend
750 ALS Ford
2,500 Ford ad spend
</t>
      </text>
    </comment>
    <comment authorId="0" ref="L47">
      <text>
        <t xml:space="preserve">850 Alli 
30 Alli Boosted
750 ALS Lincoln
1250 Lincoln ad spend
750 ALS Ford
2,500 Ford ad spend
</t>
      </text>
    </comment>
    <comment authorId="0" ref="M47">
      <text>
        <t xml:space="preserve">850 Alli 
30 Alli Boosted
750 ALS Lincoln
1250 Lincoln ad spend
750 ALS Ford
2,500 Ford ad spend
</t>
      </text>
    </comment>
    <comment authorId="0" ref="B48">
      <text>
        <t xml:space="preserve">55.66 Sheehy.com
$350.33 PERQ child site
80 we buy cars</t>
      </text>
    </comment>
    <comment authorId="0" ref="C48">
      <text>
        <t xml:space="preserve">55.66 Sheehy.com
$350.33 PERQ child site
80 we buy cars</t>
      </text>
    </comment>
    <comment authorId="0" ref="D48">
      <text>
        <t xml:space="preserve">55.66 Sheehy.com
$350.33 PERQ child site
80 we buy cars</t>
      </text>
    </comment>
    <comment authorId="0" ref="E48">
      <text>
        <t xml:space="preserve">55.66 Sheehy.com
$350.33 PERQ child site
80 we buy cars</t>
      </text>
    </comment>
    <comment authorId="0" ref="F48">
      <text>
        <t xml:space="preserve">55.66 Sheehy.com
$350.33 PERQ child site
80 we buy cars</t>
      </text>
    </comment>
    <comment authorId="0" ref="G48">
      <text>
        <t xml:space="preserve">55.66 Sheehy.com
$350.33 PERQ child site
80 we buy cars</t>
      </text>
    </comment>
    <comment authorId="0" ref="H48">
      <text>
        <t xml:space="preserve">55.66 Sheehy.com
$350.33 PERQ child site
80 we buy cars</t>
      </text>
    </comment>
    <comment authorId="0" ref="I48">
      <text>
        <t xml:space="preserve">55.66 Sheehy.com
$350.33 PERQ child site
80 we buy cars</t>
      </text>
    </comment>
    <comment authorId="0" ref="J48">
      <text>
        <t xml:space="preserve">55.66 Sheehy.com
$350.33 PERQ child site
80 we buy cars</t>
      </text>
    </comment>
    <comment authorId="0" ref="K48">
      <text>
        <t xml:space="preserve">55.66 Sheehy.com
$350.33 PERQ child site
80 we buy cars</t>
      </text>
    </comment>
    <comment authorId="0" ref="L48">
      <text>
        <t xml:space="preserve">55.66 Sheehy.com
$350.33 PERQ child site
80 we buy cars</t>
      </text>
    </comment>
    <comment authorId="0" ref="M48">
      <text>
        <t xml:space="preserve">55.66 Sheehy.com
$350.33 PERQ child site
80 we buy cars</t>
      </text>
    </comment>
    <comment authorId="0" ref="B50">
      <text>
        <t xml:space="preserve">$1600 Roadster charges
$995 Roadster setup charges</t>
      </text>
    </comment>
    <comment authorId="0" ref="B55">
      <text>
        <t xml:space="preserve">includes trade/reach and subscription</t>
      </text>
    </comment>
    <comment authorId="0" ref="C55">
      <text>
        <t xml:space="preserve">includes trade/reach and subscription</t>
      </text>
    </comment>
    <comment authorId="0" ref="D55">
      <text>
        <t xml:space="preserve">includes trade/reach and subscription</t>
      </text>
    </comment>
    <comment authorId="0" ref="E55">
      <text>
        <t xml:space="preserve">includes trade/reach and subscription</t>
      </text>
    </comment>
    <comment authorId="0" ref="F55">
      <text>
        <t xml:space="preserve">includes trade/reach and subscription</t>
      </text>
    </comment>
    <comment authorId="0" ref="G55">
      <text>
        <t xml:space="preserve">includes trade/reach and subscription</t>
      </text>
    </comment>
    <comment authorId="0" ref="H55">
      <text>
        <t xml:space="preserve">includes trade/reach and subscription</t>
      </text>
    </comment>
    <comment authorId="0" ref="I55">
      <text>
        <t xml:space="preserve">includes trade/reach and subscription</t>
      </text>
    </comment>
    <comment authorId="0" ref="J55">
      <text>
        <t xml:space="preserve">includes trade/reach and subscription</t>
      </text>
    </comment>
    <comment authorId="0" ref="K55">
      <text>
        <t xml:space="preserve">includes trade/reach and subscription</t>
      </text>
    </comment>
    <comment authorId="0" ref="L55">
      <text>
        <t xml:space="preserve">includes trade/reach and subscription</t>
      </text>
    </comment>
    <comment authorId="0" ref="M55">
      <text>
        <t xml:space="preserve">includes trade/reach and subscription</t>
      </text>
    </comment>
    <comment authorId="0" ref="B56">
      <text>
        <t xml:space="preserve">399 VYT Lincoln
399 VYT Ford
351 MGMT Fee Lincoln
351 MGMT Fee Ford
57 Data Management fee Ford
57 Data Management fee Lincoln</t>
      </text>
    </comment>
    <comment authorId="0" ref="C56">
      <text>
        <t xml:space="preserve">399 VYT Lincoln
399 VYT Ford
351 MGMT Fee Lincoln
351 MGMT Fee Ford
57 Data Management fee Ford
57 Data Management fee Lincoln</t>
      </text>
    </comment>
    <comment authorId="0" ref="D56">
      <text>
        <t xml:space="preserve">399 VYT Lincoln
399 VYT Ford
351 MGMT Fee Lincoln
351 MGMT Fee Ford
57 Data Management fee Ford
57 Data Management fee Lincoln</t>
      </text>
    </comment>
    <comment authorId="0" ref="E56">
      <text>
        <t xml:space="preserve">399 VYT Lincoln
399 VYT Ford
351 MGMT Fee Lincoln
351 MGMT Fee Ford
57 Data Management fee Ford
57 Data Management fee Lincoln</t>
      </text>
    </comment>
    <comment authorId="0" ref="F56">
      <text>
        <t xml:space="preserve">399 VYT Lincoln
399 VYT Ford
351 MGMT Fee Lincoln
351 MGMT Fee Ford
57 Data Management fee Ford
57 Data Management fee Lincoln</t>
      </text>
    </comment>
    <comment authorId="0" ref="G56">
      <text>
        <t xml:space="preserve">399 VYT Lincoln
399 VYT Ford
351 MGMT Fee Lincoln
351 MGMT Fee Ford
57 Data Management fee Ford
57 Data Management fee Lincoln</t>
      </text>
    </comment>
    <comment authorId="0" ref="H56">
      <text>
        <t xml:space="preserve">399 VYT Lincoln
399 VYT Ford
351 MGMT Fee Lincoln
351 MGMT Fee Ford
57 Data Management fee Ford
57 Data Management fee Lincoln</t>
      </text>
    </comment>
    <comment authorId="0" ref="I56">
      <text>
        <t xml:space="preserve">399 VYT Lincoln
399 VYT Ford
351 MGMT Fee Lincoln
351 MGMT Fee Ford
57 Data Management fee Ford
57 Data Management fee Lincoln</t>
      </text>
    </comment>
    <comment authorId="0" ref="J56">
      <text>
        <t xml:space="preserve">399 VYT Lincoln
399 VYT Ford
351 MGMT Fee Lincoln
351 MGMT Fee Ford
57 Data Management fee Ford
57 Data Management fee Lincoln</t>
      </text>
    </comment>
    <comment authorId="0" ref="K56">
      <text>
        <t xml:space="preserve">399 VYT Lincoln
399 VYT Ford
351 MGMT Fee Lincoln
351 MGMT Fee Ford
57 Data Management fee Ford
57 Data Management fee Lincoln</t>
      </text>
    </comment>
    <comment authorId="0" ref="L56">
      <text>
        <t xml:space="preserve">399 VYT Lincoln
399 VYT Ford
351 MGMT Fee Lincoln
351 MGMT Fee Ford
57 Data Management fee Ford
57 Data Management fee Lincoln</t>
      </text>
    </comment>
    <comment authorId="0" ref="M56">
      <text>
        <t xml:space="preserve">399 VYT Lincoln
399 VYT Ford
351 MGMT Fee Lincoln
351 MGMT Fee Ford
57 Data Management fee Ford
57 Data Management fee Lincoln</t>
      </text>
    </comment>
    <comment authorId="0" ref="B59">
      <text>
        <t xml:space="preserve">1250 NEW
1250 USED
2500 TOTAL</t>
      </text>
    </comment>
    <comment authorId="0" ref="C59">
      <text>
        <t xml:space="preserve">1250 NEW
1250 USED
2500 TOTAL</t>
      </text>
    </comment>
    <comment authorId="0" ref="D59">
      <text>
        <t xml:space="preserve">1250 NEW
1250 USED
2500 TOTAL</t>
      </text>
    </comment>
    <comment authorId="0" ref="E59">
      <text>
        <t xml:space="preserve">1250 NEW
1250 USED
2500 TOTAL</t>
      </text>
    </comment>
    <comment authorId="0" ref="F59">
      <text>
        <t xml:space="preserve">1250 NEW
1250 USED
2500 TOTAL</t>
      </text>
    </comment>
    <comment authorId="0" ref="G59">
      <text>
        <t xml:space="preserve">1250 NEW
1250 USED
2500 TOTAL</t>
      </text>
    </comment>
    <comment authorId="0" ref="H59">
      <text>
        <t xml:space="preserve">1250 NEW
1250 USED
2500 TOTAL</t>
      </text>
    </comment>
    <comment authorId="0" ref="I59">
      <text>
        <t xml:space="preserve">1250 NEW
1250 USED
2500 TOTAL</t>
      </text>
    </comment>
    <comment authorId="0" ref="J59">
      <text>
        <t xml:space="preserve">1250 NEW
1250 USED
2500 TOTAL</t>
      </text>
    </comment>
    <comment authorId="0" ref="K59">
      <text>
        <t xml:space="preserve">1250 NEW
1250 USED
2500 TOTAL</t>
      </text>
    </comment>
    <comment authorId="0" ref="L59">
      <text>
        <t xml:space="preserve">1250 NEW
1250 USED
2500 TOTAL</t>
      </text>
    </comment>
    <comment authorId="0" ref="M59">
      <text>
        <t xml:space="preserve">1250 NEW
1250 USED
2500 TOTAL</t>
      </text>
    </comment>
    <comment authorId="0" ref="B63">
      <text>
        <t xml:space="preserve">12,000 ford
+2300 ford
+300 ford starting dec. 2021
2000 lincoln</t>
      </text>
    </comment>
    <comment authorId="0" ref="C63">
      <text>
        <t xml:space="preserve">12,000 ford
+2300 ford
+300 ford starting dec. 2021
2000 lincoln</t>
      </text>
    </comment>
    <comment authorId="0" ref="D63">
      <text>
        <t xml:space="preserve">12,000 ford
+2300 ford
+300 ford starting dec. 2021
2000 lincoln</t>
      </text>
    </comment>
    <comment authorId="0" ref="E63">
      <text>
        <t xml:space="preserve">12,000 ford
+2300 ford
+300 ford starting dec. 2021
2000 lincoln</t>
      </text>
    </comment>
    <comment authorId="0" ref="F63">
      <text>
        <t xml:space="preserve">12,000 ford
+2300 ford
+300 ford starting dec. 2021
2000 lincoln</t>
      </text>
    </comment>
    <comment authorId="0" ref="G63">
      <text>
        <t xml:space="preserve">12,000 ford
+2300 ford
+300 ford starting dec. 2021
2000 lincoln</t>
      </text>
    </comment>
    <comment authorId="0" ref="H63">
      <text>
        <t xml:space="preserve">12,000 ford
+2300 ford
+300 ford starting dec. 2021
2000 lincoln</t>
      </text>
    </comment>
    <comment authorId="0" ref="I63">
      <text>
        <t xml:space="preserve">12,000 ford
+2300 ford
+300 ford starting dec. 2021
2000 lincoln</t>
      </text>
    </comment>
    <comment authorId="0" ref="J63">
      <text>
        <t xml:space="preserve">12,000 ford
+2300 ford
+300 ford starting dec. 2021
2000 lincoln</t>
      </text>
    </comment>
    <comment authorId="0" ref="K63">
      <text>
        <t xml:space="preserve">12,000 ford
+2300 ford
+300 ford starting dec. 2021
2000 lincoln</t>
      </text>
    </comment>
    <comment authorId="0" ref="L63">
      <text>
        <t xml:space="preserve">12,000 ford
+2300 ford
+300 ford starting dec. 2021
2000 lincoln</t>
      </text>
    </comment>
    <comment authorId="0" ref="M63">
      <text>
        <t xml:space="preserve">12,000 ford
+2300 ford
+300 ford starting dec. 2021
2000 lincoln</t>
      </text>
    </comment>
    <comment authorId="0" ref="B64">
      <text>
        <t xml:space="preserve">595 Work Truck Solutions
+$99 WTS Comvoy
1401 Truck Trader</t>
      </text>
    </comment>
    <comment authorId="0" ref="C64">
      <text>
        <t xml:space="preserve">595 Work Truck Solutions
+$99 WTS Comvoy
1401 Truck Trader</t>
      </text>
    </comment>
    <comment authorId="0" ref="D64">
      <text>
        <t xml:space="preserve">595 Work Truck Solutions
+$99 WTS Comvoy
1401 Truck Trader</t>
      </text>
    </comment>
    <comment authorId="0" ref="E64">
      <text>
        <t xml:space="preserve">595 Work Truck Solutions
+$99 WTS Comvoy
1401 Truck Trader</t>
      </text>
    </comment>
    <comment authorId="0" ref="F64">
      <text>
        <t xml:space="preserve">595 Work Truck Solutions
+$99 WTS Comvoy
1401 Truck Trader</t>
      </text>
    </comment>
    <comment authorId="0" ref="G64">
      <text>
        <t xml:space="preserve">595 Work Truck Solutions
+$99 WTS Comvoy
1401 Truck Trader</t>
      </text>
    </comment>
    <comment authorId="0" ref="H64">
      <text>
        <t xml:space="preserve">595 Work Truck Solutions
+$99 WTS Comvoy
1401 Truck Trader</t>
      </text>
    </comment>
    <comment authorId="0" ref="I64">
      <text>
        <t xml:space="preserve">595 Work Truck Solutions
+$99 WTS Comvoy
1401 Truck Trader</t>
      </text>
    </comment>
    <comment authorId="0" ref="J64">
      <text>
        <t xml:space="preserve">595 Work Truck Solutions
+$99 WTS Comvoy
1401 Truck Trader</t>
      </text>
    </comment>
    <comment authorId="0" ref="K64">
      <text>
        <t xml:space="preserve">595 Work Truck Solutions
+$99 WTS Comvoy
1401 Truck Trader</t>
      </text>
    </comment>
    <comment authorId="0" ref="L64">
      <text>
        <t xml:space="preserve">595 Work Truck Solutions
+$99 WTS Comvoy
1401 Truck Trader</t>
      </text>
    </comment>
    <comment authorId="0" ref="M64">
      <text>
        <t xml:space="preserve">595 Work Truck Solutions
+$99 WTS Comvoy
1401 Truck Trader</t>
      </text>
    </comment>
    <comment authorId="0" ref="B72">
      <text>
        <t xml:space="preserve">TBD
</t>
      </text>
    </comment>
    <comment authorId="0" ref="C72">
      <text>
        <t xml:space="preserve">TBD
</t>
      </text>
    </comment>
    <comment authorId="0" ref="D72">
      <text>
        <t xml:space="preserve">TBD
</t>
      </text>
    </comment>
    <comment authorId="0" ref="E72">
      <text>
        <t xml:space="preserve">TBD
</t>
      </text>
    </comment>
    <comment authorId="0" ref="F72">
      <text>
        <t xml:space="preserve">TBD
</t>
      </text>
    </comment>
    <comment authorId="0" ref="G72">
      <text>
        <t xml:space="preserve">TBD
</t>
      </text>
    </comment>
    <comment authorId="0" ref="H72">
      <text>
        <t xml:space="preserve">TBD
</t>
      </text>
    </comment>
    <comment authorId="0" ref="I72">
      <text>
        <t xml:space="preserve">TBD
</t>
      </text>
    </comment>
    <comment authorId="0" ref="J72">
      <text>
        <t xml:space="preserve">TBD
</t>
      </text>
    </comment>
    <comment authorId="0" ref="K72">
      <text>
        <t xml:space="preserve">TBD
</t>
      </text>
    </comment>
    <comment authorId="0" ref="L72">
      <text>
        <t xml:space="preserve">TBD
</t>
      </text>
    </comment>
    <comment authorId="0" ref="M72">
      <text>
        <t xml:space="preserve">TBD
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B74">
      <text>
        <t xml:space="preserve">1250 NEW
1250 USED
2500 TOTAL</t>
      </text>
    </comment>
    <comment authorId="0" ref="C74">
      <text>
        <t xml:space="preserve">1250 NEW
1250 USED
2500 TOTAL</t>
      </text>
    </comment>
    <comment authorId="0" ref="D74">
      <text>
        <t xml:space="preserve">1250 NEW
1250 USED
2500 TOTAL</t>
      </text>
    </comment>
    <comment authorId="0" ref="E74">
      <text>
        <t xml:space="preserve">1250 NEW
1250 USED
2500 TOTAL</t>
      </text>
    </comment>
    <comment authorId="0" ref="F74">
      <text>
        <t xml:space="preserve">1250 NEW
1250 USED
2500 TOTAL</t>
      </text>
    </comment>
    <comment authorId="0" ref="G74">
      <text>
        <t xml:space="preserve">1250 NEW
1250 USED
2500 TOTAL</t>
      </text>
    </comment>
    <comment authorId="0" ref="H74">
      <text>
        <t xml:space="preserve">1250 NEW
1250 USED
2500 TOTAL</t>
      </text>
    </comment>
    <comment authorId="0" ref="I74">
      <text>
        <t xml:space="preserve">1250 NEW
1250 USED
2500 TOTAL</t>
      </text>
    </comment>
    <comment authorId="0" ref="J74">
      <text>
        <t xml:space="preserve">1250 NEW
1250 USED
2500 TOTAL</t>
      </text>
    </comment>
    <comment authorId="0" ref="K74">
      <text>
        <t xml:space="preserve">1250 NEW
1250 USED
2500 TOTAL</t>
      </text>
    </comment>
    <comment authorId="0" ref="L74">
      <text>
        <t xml:space="preserve">1250 NEW
1250 USED
2500 TOTAL</t>
      </text>
    </comment>
    <comment authorId="0" ref="M74">
      <text>
        <t xml:space="preserve">1250 NEW
1250 USED
2500 TOTAL</t>
      </text>
    </comment>
    <comment authorId="0" ref="B79">
      <text>
        <t xml:space="preserve">4105 buying center (reenrolled on 3/17)</t>
      </text>
    </comment>
    <comment authorId="0" ref="C79">
      <text>
        <t xml:space="preserve">4105 buying center (reenrolled on 3/17)</t>
      </text>
    </comment>
    <comment authorId="0" ref="D79">
      <text>
        <t xml:space="preserve">4105 buying center (reenrolled on 3/17)</t>
      </text>
    </comment>
    <comment authorId="0" ref="E79">
      <text>
        <t xml:space="preserve">4105 buying center (reenrolled on 3/17)</t>
      </text>
    </comment>
    <comment authorId="0" ref="F79">
      <text>
        <t xml:space="preserve">4105 buying center (reenrolled on 3/17)</t>
      </text>
    </comment>
    <comment authorId="0" ref="G79">
      <text>
        <t xml:space="preserve">4105 buying center (reenrolled on 3/17)</t>
      </text>
    </comment>
    <comment authorId="0" ref="H79">
      <text>
        <t xml:space="preserve">4105 buying center (reenrolled on 3/17)</t>
      </text>
    </comment>
    <comment authorId="0" ref="I79">
      <text>
        <t xml:space="preserve">4105 buying center (reenrolled on 3/17)</t>
      </text>
    </comment>
    <comment authorId="0" ref="J79">
      <text>
        <t xml:space="preserve">4105 buying center (reenrolled on 3/17)</t>
      </text>
    </comment>
    <comment authorId="0" ref="K79">
      <text>
        <t xml:space="preserve">4105 buying center (reenrolled on 3/17)</t>
      </text>
    </comment>
    <comment authorId="0" ref="L79">
      <text>
        <t xml:space="preserve">4105 buying center (reenrolled on 3/17)</t>
      </text>
    </comment>
    <comment authorId="0" ref="M79">
      <text>
        <t xml:space="preserve">4105 buying center (reenrolled on 3/17)</t>
      </text>
    </comment>
    <comment authorId="0" ref="B80">
      <text>
        <t xml:space="preserve">1750 enhanced </t>
      </text>
    </comment>
    <comment authorId="0" ref="C80">
      <text>
        <t xml:space="preserve">1750 enhanced </t>
      </text>
    </comment>
    <comment authorId="0" ref="D80">
      <text>
        <t xml:space="preserve">1750 enhanced </t>
      </text>
    </comment>
    <comment authorId="0" ref="E80">
      <text>
        <t xml:space="preserve">1750 enhanced </t>
      </text>
    </comment>
    <comment authorId="0" ref="F80">
      <text>
        <t xml:space="preserve">1750 enhanced </t>
      </text>
    </comment>
    <comment authorId="0" ref="G80">
      <text>
        <t xml:space="preserve">1750 enhanced </t>
      </text>
    </comment>
    <comment authorId="0" ref="H80">
      <text>
        <t xml:space="preserve">1750 enhanced </t>
      </text>
    </comment>
    <comment authorId="0" ref="I80">
      <text>
        <t xml:space="preserve">1750 enhanced </t>
      </text>
    </comment>
    <comment authorId="0" ref="J80">
      <text>
        <t xml:space="preserve">1750 enhanced </t>
      </text>
    </comment>
    <comment authorId="0" ref="K80">
      <text>
        <t xml:space="preserve">1750 enhanced </t>
      </text>
    </comment>
    <comment authorId="0" ref="L80">
      <text>
        <t xml:space="preserve">1750 enhanced </t>
      </text>
    </comment>
    <comment authorId="0" ref="M80">
      <text>
        <t xml:space="preserve">1750 enhanced </t>
      </text>
    </comment>
    <comment authorId="0" ref="B81">
      <text>
        <t xml:space="preserve">500 used sem</t>
      </text>
    </comment>
    <comment authorId="0" ref="C81">
      <text>
        <t xml:space="preserve">500 used sem</t>
      </text>
    </comment>
    <comment authorId="0" ref="D81">
      <text>
        <t xml:space="preserve">500 used sem</t>
      </text>
    </comment>
    <comment authorId="0" ref="E81">
      <text>
        <t xml:space="preserve">500 used sem</t>
      </text>
    </comment>
    <comment authorId="0" ref="F81">
      <text>
        <t xml:space="preserve">500 used sem</t>
      </text>
    </comment>
    <comment authorId="0" ref="G81">
      <text>
        <t xml:space="preserve">500 used sem</t>
      </text>
    </comment>
    <comment authorId="0" ref="H81">
      <text>
        <t xml:space="preserve">500 used sem</t>
      </text>
    </comment>
    <comment authorId="0" ref="I81">
      <text>
        <t xml:space="preserve">500 used sem</t>
      </text>
    </comment>
    <comment authorId="0" ref="J81">
      <text>
        <t xml:space="preserve">500 used sem</t>
      </text>
    </comment>
    <comment authorId="0" ref="K81">
      <text>
        <t xml:space="preserve">500 used sem</t>
      </text>
    </comment>
    <comment authorId="0" ref="L81">
      <text>
        <t xml:space="preserve">500 used sem</t>
      </text>
    </comment>
    <comment authorId="0" ref="M81">
      <text>
        <t xml:space="preserve">500 used sem</t>
      </text>
    </comment>
    <comment authorId="0" ref="I93">
      <text>
        <t xml:space="preserve">$1,100 select/value window clings</t>
      </text>
    </comment>
    <comment authorId="0" ref="K93">
      <text>
        <t xml:space="preserve">$1,367.40 We Buy Cars service lane banner
$1,166 Updated Window Murals</t>
      </text>
    </comment>
    <comment authorId="0" ref="K94">
      <text>
        <t xml:space="preserve">$180 Polin
$200 boxes
</t>
      </text>
    </comment>
    <comment authorId="0" ref="B103">
      <text>
        <t xml:space="preserve">$500 Other Group Digital </t>
      </text>
    </comment>
    <comment authorId="0" ref="C103">
      <text>
        <t xml:space="preserve">$500 Other Group Digital </t>
      </text>
    </comment>
    <comment authorId="0" ref="D103">
      <text>
        <t xml:space="preserve">$200 Other Group Digital 
$113.63 WJA sponsorship</t>
      </text>
    </comment>
    <comment authorId="0" ref="E103">
      <text>
        <t xml:space="preserve">$500 Other Group Digital </t>
      </text>
    </comment>
    <comment authorId="0" ref="F103">
      <text>
        <t xml:space="preserve">$500 Other Group Digital </t>
      </text>
    </comment>
    <comment authorId="0" ref="G103">
      <text>
        <t xml:space="preserve">$605 Other Group Digital </t>
      </text>
    </comment>
    <comment authorId="0" ref="H103">
      <text>
        <t xml:space="preserve">$605 Other Group Digital </t>
      </text>
    </comment>
    <comment authorId="0" ref="I103">
      <text>
        <t xml:space="preserve">$500 Other Group Digital </t>
      </text>
    </comment>
    <comment authorId="0" ref="J103">
      <text>
        <t xml:space="preserve">$500 Other Group Digital </t>
      </text>
    </comment>
    <comment authorId="0" ref="K103">
      <text>
        <t xml:space="preserve">$500 Other Group Digital </t>
      </text>
    </comment>
    <comment authorId="0" ref="L103">
      <text>
        <t xml:space="preserve">$500 Other Group Digital </t>
      </text>
    </comment>
    <comment authorId="0" ref="M103">
      <text>
        <t xml:space="preserve">$500 Other Group Digital </t>
      </text>
    </comment>
    <comment authorId="0" ref="K108">
      <text>
        <t xml:space="preserve">based on 2017 reimbursement
-$8,509 Ford co-op reimbursement
-$2,033 Lincoln co-op reimbursement</t>
      </text>
    </comment>
    <comment authorId="0" ref="L108">
      <text>
        <t xml:space="preserve">based on 2017 reimbursement
-$8,509 Ford co-op reimbursement
-$2,033 Lincoln co-op reimbursement</t>
      </text>
    </comment>
    <comment authorId="0" ref="M108">
      <text>
        <t xml:space="preserve">based on 2017 reimbursement
-$8,509 Ford co-op reimbursement
-$2,033 Lincoln co-op reimbursement</t>
      </text>
    </comment>
    <comment authorId="0" ref="B115">
      <text>
        <t xml:space="preserve">$1,495 Easy Care
</t>
      </text>
    </comment>
    <comment authorId="0" ref="C115">
      <text>
        <t xml:space="preserve">$1,495 Easy Care
</t>
      </text>
    </comment>
    <comment authorId="0" ref="D115">
      <text>
        <t xml:space="preserve">$1,495 Easy Care
</t>
      </text>
    </comment>
    <comment authorId="0" ref="E115">
      <text>
        <t xml:space="preserve">$1,495 Easy Care
</t>
      </text>
    </comment>
    <comment authorId="0" ref="F115">
      <text>
        <t xml:space="preserve">$1,495 Easy Care
</t>
      </text>
    </comment>
    <comment authorId="0" ref="G115">
      <text>
        <t xml:space="preserve">$1,495 Easy Care
</t>
      </text>
    </comment>
    <comment authorId="0" ref="H115">
      <text>
        <t xml:space="preserve">$1,495 Easy Care
</t>
      </text>
    </comment>
    <comment authorId="0" ref="I115">
      <text>
        <t xml:space="preserve">$1,495 Easy Care
</t>
      </text>
    </comment>
    <comment authorId="0" ref="J115">
      <text>
        <t xml:space="preserve">$1,495 Easy Care
</t>
      </text>
    </comment>
    <comment authorId="0" ref="K115">
      <text>
        <t xml:space="preserve">$1,495 Easy Care
</t>
      </text>
    </comment>
    <comment authorId="0" ref="L115">
      <text>
        <t xml:space="preserve">$1,495 Easy Care
</t>
      </text>
    </comment>
    <comment authorId="0" ref="M115">
      <text>
        <t xml:space="preserve">$1,495 Easy Care
</t>
      </text>
    </comment>
    <comment authorId="0" ref="B117">
      <text>
        <t xml:space="preserve">$3,381.48 quarterly mailer
1750 trigger mail</t>
      </text>
    </comment>
    <comment authorId="0" ref="E117">
      <text>
        <t xml:space="preserve">$3,381.48 quarterly mailer
1750 trigger mail</t>
      </text>
    </comment>
    <comment authorId="0" ref="H117">
      <text>
        <t xml:space="preserve">$3,381.48 quarterly mailer
1750 trigger mail</t>
      </text>
    </comment>
  </commentList>
</comments>
</file>

<file path=xl/comments2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9">
      <text>
        <t xml:space="preserve">($5750 total invoice for 16 DC stores split over 2 mos ea. ) </t>
      </text>
    </comment>
    <comment authorId="0" ref="C19">
      <text>
        <t xml:space="preserve">($5750 total invoice for 16 DC stores split over 2 mos ea. ) </t>
      </text>
    </comment>
    <comment authorId="0" ref="B34">
      <text>
        <t xml:space="preserve">1899 DealerFire
850 SEO
61.90 sheehy.com portal site</t>
      </text>
    </comment>
    <comment authorId="0" ref="C34">
      <text>
        <t xml:space="preserve">1899 DealerFire
850 SEO
61.90 sheehy.com portal site</t>
      </text>
    </comment>
    <comment authorId="0" ref="D34">
      <text>
        <t xml:space="preserve">1899 DealerFire
850 SEO
61.90 sheehy.com portal site</t>
      </text>
    </comment>
    <comment authorId="0" ref="E34">
      <text>
        <t xml:space="preserve">1899 DealerFire
850 SEO
61.90 sheehy.com portal site</t>
      </text>
    </comment>
    <comment authorId="0" ref="F34">
      <text>
        <t xml:space="preserve">1899 DealerFire
850 SEO
61.90 sheehy.com portal site</t>
      </text>
    </comment>
    <comment authorId="0" ref="G34">
      <text>
        <t xml:space="preserve">1899 DealerFire
850 SEO
61.90 sheehy.com portal site</t>
      </text>
    </comment>
    <comment authorId="0" ref="H34">
      <text>
        <t xml:space="preserve">1899 DealerFire
850 SEO
61.90 sheehy.com portal site</t>
      </text>
    </comment>
    <comment authorId="0" ref="I34">
      <text>
        <t xml:space="preserve">1899 DealerFire
850 SEO
61.90 sheehy.com portal site</t>
      </text>
    </comment>
    <comment authorId="0" ref="J34">
      <text>
        <t xml:space="preserve">1899 DealerFire
850 SEO
61.90 sheehy.com portal site</t>
      </text>
    </comment>
    <comment authorId="0" ref="K34">
      <text>
        <t xml:space="preserve">1899 DealerFire
850 SEO
61.90 sheehy.com portal site</t>
      </text>
    </comment>
    <comment authorId="0" ref="L34">
      <text>
        <t xml:space="preserve">1899 DealerFire
850 SEO
61.90 sheehy.com portal site</t>
      </text>
    </comment>
    <comment authorId="0" ref="M34">
      <text>
        <t xml:space="preserve">1899 DealerFire
850 SEO
61.90 sheehy.com portal site</t>
      </text>
    </comment>
    <comment authorId="0" ref="B36">
      <text>
        <t xml:space="preserve">$395 (texting)
$75 (Drivers License Scanner)
</t>
      </text>
    </comment>
    <comment authorId="0" ref="C36">
      <text>
        <t xml:space="preserve">$395 (texting)
$75 (Drivers License Scanner)
</t>
      </text>
    </comment>
    <comment authorId="0" ref="D36">
      <text>
        <t xml:space="preserve">$395 (texting)
$75 (Drivers License Scanner)
</t>
      </text>
    </comment>
    <comment authorId="0" ref="E36">
      <text>
        <t xml:space="preserve">$395 (texting)
$75 (Drivers License Scanner)
</t>
      </text>
    </comment>
    <comment authorId="0" ref="F36">
      <text>
        <t xml:space="preserve">$395 (texting)
$75 (Drivers License Scanner)
</t>
      </text>
    </comment>
    <comment authorId="0" ref="G36">
      <text>
        <t xml:space="preserve">$395 (texting)
$75 (Drivers License Scanner)
</t>
      </text>
    </comment>
    <comment authorId="0" ref="H36">
      <text>
        <t xml:space="preserve">$395 (texting)
$75 (Drivers License Scanner)
</t>
      </text>
    </comment>
    <comment authorId="0" ref="I36">
      <text>
        <t xml:space="preserve">$395 (texting)
$75 (Drivers License Scanner)
</t>
      </text>
    </comment>
    <comment authorId="0" ref="J36">
      <text>
        <t xml:space="preserve">$395 (texting)
$75 (Drivers License Scanner)
</t>
      </text>
    </comment>
    <comment authorId="0" ref="K36">
      <text>
        <t xml:space="preserve">$395 (texting)
$75 (Drivers License Scanner)
</t>
      </text>
    </comment>
    <comment authorId="0" ref="L36">
      <text>
        <t xml:space="preserve">$395 (texting)
$75 (Drivers License Scanner)
</t>
      </text>
    </comment>
    <comment authorId="0" ref="M36">
      <text>
        <t xml:space="preserve">$395 (texting)
$75 (Drivers License Scanner)
</t>
      </text>
    </comment>
    <comment authorId="0" ref="B42">
      <text>
        <t xml:space="preserve">365 switch to car chat
</t>
      </text>
    </comment>
    <comment authorId="0" ref="C42">
      <text>
        <t xml:space="preserve">365 switch to car chat
</t>
      </text>
    </comment>
    <comment authorId="0" ref="D42">
      <text>
        <t xml:space="preserve">365 switch to car chat
</t>
      </text>
    </comment>
    <comment authorId="0" ref="E42">
      <text>
        <t xml:space="preserve">365 switch to car chat
</t>
      </text>
    </comment>
    <comment authorId="0" ref="F42">
      <text>
        <t xml:space="preserve">365 switch to car chat
</t>
      </text>
    </comment>
    <comment authorId="0" ref="G42">
      <text>
        <t xml:space="preserve">365 switch to car chat
</t>
      </text>
    </comment>
    <comment authorId="0" ref="H42">
      <text>
        <t xml:space="preserve">365 switch to car chat
</t>
      </text>
    </comment>
    <comment authorId="0" ref="I42">
      <text>
        <t xml:space="preserve">365 switch to car chat
</t>
      </text>
    </comment>
    <comment authorId="0" ref="J42">
      <text>
        <t xml:space="preserve">365 switch to car chat
</t>
      </text>
    </comment>
    <comment authorId="0" ref="K42">
      <text>
        <t xml:space="preserve">365 switch to car chat
</t>
      </text>
    </comment>
    <comment authorId="0" ref="L42">
      <text>
        <t xml:space="preserve">365 switch to car chat
</t>
      </text>
    </comment>
    <comment authorId="0" ref="M42">
      <text>
        <t xml:space="preserve">365 switch to car chat
</t>
      </text>
    </comment>
    <comment authorId="0" ref="B44">
      <text>
        <t xml:space="preserve">299 Finance Driver </t>
      </text>
    </comment>
    <comment authorId="0" ref="C44">
      <text>
        <t xml:space="preserve">299 Finance Driver </t>
      </text>
    </comment>
    <comment authorId="0" ref="D44">
      <text>
        <t xml:space="preserve">299 Finance Driver </t>
      </text>
    </comment>
    <comment authorId="0" ref="E44">
      <text>
        <t xml:space="preserve">299 Finance Driver </t>
      </text>
    </comment>
    <comment authorId="0" ref="F44">
      <text>
        <t xml:space="preserve">299 Finance Driver </t>
      </text>
    </comment>
    <comment authorId="0" ref="G44">
      <text>
        <t xml:space="preserve">299 Finance Driver </t>
      </text>
    </comment>
    <comment authorId="0" ref="H44">
      <text>
        <t xml:space="preserve">299 Finance Driver </t>
      </text>
    </comment>
    <comment authorId="0" ref="I44">
      <text>
        <t xml:space="preserve">299 Finance Driver </t>
      </text>
    </comment>
    <comment authorId="0" ref="J44">
      <text>
        <t xml:space="preserve">299 Finance Driver </t>
      </text>
    </comment>
    <comment authorId="0" ref="K44">
      <text>
        <t xml:space="preserve">299 Finance Driver </t>
      </text>
    </comment>
    <comment authorId="0" ref="L44">
      <text>
        <t xml:space="preserve">299 Finance Driver </t>
      </text>
    </comment>
    <comment authorId="0" ref="M44">
      <text>
        <t xml:space="preserve">299 Finance Driver </t>
      </text>
    </comment>
    <comment authorId="0" ref="B45">
      <text>
        <t xml:space="preserve">45 Yelp 
97.5 Reputation.com
448 Podium</t>
      </text>
    </comment>
    <comment authorId="0" ref="C45">
      <text>
        <t xml:space="preserve">45 Yelp 
97.5 Reputation.com
448 Podium</t>
      </text>
    </comment>
    <comment authorId="0" ref="D45">
      <text>
        <t xml:space="preserve">45 Yelp 
97.5 Reputation.com
448 Podium</t>
      </text>
    </comment>
    <comment authorId="0" ref="E45">
      <text>
        <t xml:space="preserve">45 Yelp 
97.5 Reputation.com
448 Podium</t>
      </text>
    </comment>
    <comment authorId="0" ref="F45">
      <text>
        <t xml:space="preserve">45 Yelp 
97.5 Reputation.com
448 Podium</t>
      </text>
    </comment>
    <comment authorId="0" ref="G45">
      <text>
        <t xml:space="preserve">45 Yelp 
97.5 Reputation.com
448 Podium</t>
      </text>
    </comment>
    <comment authorId="0" ref="H45">
      <text>
        <t xml:space="preserve">45 Yelp 
97.5 Reputation.com
448 Podium</t>
      </text>
    </comment>
    <comment authorId="0" ref="I45">
      <text>
        <t xml:space="preserve">45 Yelp 
97.5 Reputation.com
448 Podium</t>
      </text>
    </comment>
    <comment authorId="0" ref="J45">
      <text>
        <t xml:space="preserve">45 Yelp 
97.5 Reputation.com
448 Podium</t>
      </text>
    </comment>
    <comment authorId="0" ref="K45">
      <text>
        <t xml:space="preserve">45 Yelp 
97.5 Reputation.com
448 Podium</t>
      </text>
    </comment>
    <comment authorId="0" ref="L45">
      <text>
        <t xml:space="preserve">45 Yelp 
97.5 Reputation.com
448 Podium</t>
      </text>
    </comment>
    <comment authorId="0" ref="M45">
      <text>
        <t xml:space="preserve">45 Yelp 
97.5 Reputation.com
448 Podium</t>
      </text>
    </comment>
    <comment authorId="0" ref="E46">
      <text>
        <t xml:space="preserve">cancelled 3/16</t>
      </text>
    </comment>
    <comment authorId="0" ref="B47">
      <text>
        <t xml:space="preserve">850 Alli Mgmt
30 Alli
750 ALS Mgmt fee
2250 ALS FB spend
+1000 starting Jan
</t>
      </text>
    </comment>
    <comment authorId="0" ref="C47">
      <text>
        <t xml:space="preserve">850 Alli Mgmt
30 Alli
750 ALS Mgmt fee
2250 ALS FB spend
+1000 starting Jan
</t>
      </text>
    </comment>
    <comment authorId="0" ref="D47">
      <text>
        <t xml:space="preserve">850 Alli Mgmt
30 Alli
750 ALS Mgmt fee
2250 ALS FB spend
</t>
      </text>
    </comment>
    <comment authorId="0" ref="E47">
      <text>
        <t xml:space="preserve">850 Alli Mgmt
30 Alli
750 ALS Mgmt fee
2250 ALS FB spend
</t>
      </text>
    </comment>
    <comment authorId="0" ref="F47">
      <text>
        <t xml:space="preserve">850 Alli Mgmt
30 Alli
750 ALS Mgmt fee
2250 ALS FB spend
</t>
      </text>
    </comment>
    <comment authorId="0" ref="G47">
      <text>
        <t xml:space="preserve">850 Alli Mgmt
30 Alli
750 ALS Mgmt fee
2250 ALS FB spend
</t>
      </text>
    </comment>
    <comment authorId="0" ref="H47">
      <text>
        <t xml:space="preserve">850 Alli Mgmt
30 Alli
750 ALS Mgmt fee
2250 ALS FB spend
</t>
      </text>
    </comment>
    <comment authorId="0" ref="I47">
      <text>
        <t xml:space="preserve">850 Alli Mgmt
30 Alli
750 ALS Mgmt fee
2250 ALS FB spend
</t>
      </text>
    </comment>
    <comment authorId="0" ref="J47">
      <text>
        <t xml:space="preserve">850 Alli Mgmt
30 Alli
750 ALS Mgmt fee
2250 ALS FB spend
</t>
      </text>
    </comment>
    <comment authorId="0" ref="K47">
      <text>
        <t xml:space="preserve">850 Alli Mgmt
30 Alli
750 ALS Mgmt fee
2250 ALS FB spend
</t>
      </text>
    </comment>
    <comment authorId="0" ref="L47">
      <text>
        <t xml:space="preserve">850 Alli Mgmt
30 Alli
750 ALS Mgmt fee
2250 ALS FB spend
</t>
      </text>
    </comment>
    <comment authorId="0" ref="M47">
      <text>
        <t xml:space="preserve">850 Alli Mgmt
30 Alli
750 ALS Mgmt fee
2250 ALS FB spend
</t>
      </text>
    </comment>
    <comment authorId="0" ref="B48">
      <text>
        <t xml:space="preserve">55.66 Sheehy.com
$350.33 PERQ child site
80 we buy cars</t>
      </text>
    </comment>
    <comment authorId="0" ref="C48">
      <text>
        <t xml:space="preserve">55.66 Sheehy.com
$350.33 PERQ child site
80 we buy cars</t>
      </text>
    </comment>
    <comment authorId="0" ref="D48">
      <text>
        <t xml:space="preserve">55.66 Sheehy.com
$350.33 PERQ child site
80 we buy cars</t>
      </text>
    </comment>
    <comment authorId="0" ref="E48">
      <text>
        <t xml:space="preserve">55.66 Sheehy.com
$350.33 PERQ child site
80 we buy cars</t>
      </text>
    </comment>
    <comment authorId="0" ref="F48">
      <text>
        <t xml:space="preserve">55.66 Sheehy.com
$350.33 PERQ child site
80 we buy cars</t>
      </text>
    </comment>
    <comment authorId="0" ref="G48">
      <text>
        <t xml:space="preserve">55.66 Sheehy.com
$350.33 PERQ child site
80 we buy cars</t>
      </text>
    </comment>
    <comment authorId="0" ref="H48">
      <text>
        <t xml:space="preserve">55.66 Sheehy.com
$350.33 PERQ child site
80 we buy cars</t>
      </text>
    </comment>
    <comment authorId="0" ref="I48">
      <text>
        <t xml:space="preserve">55.66 Sheehy.com
$350.33 PERQ child site
80 we buy cars</t>
      </text>
    </comment>
    <comment authorId="0" ref="J48">
      <text>
        <t xml:space="preserve">55.66 Sheehy.com
$350.33 PERQ child site
80 we buy cars</t>
      </text>
    </comment>
    <comment authorId="0" ref="K48">
      <text>
        <t xml:space="preserve">55.66 Sheehy.com
$350.33 PERQ child site
80 we buy cars</t>
      </text>
    </comment>
    <comment authorId="0" ref="L48">
      <text>
        <t xml:space="preserve">55.66 Sheehy.com
$350.33 PERQ child site
80 we buy cars</t>
      </text>
    </comment>
    <comment authorId="0" ref="M48">
      <text>
        <t xml:space="preserve">55.66 Sheehy.com
$350.33 PERQ child site
80 we buy cars</t>
      </text>
    </comment>
    <comment authorId="0" ref="B55">
      <text>
        <t xml:space="preserve">6000 truecar
149 accutrade</t>
      </text>
    </comment>
    <comment authorId="0" ref="C55">
      <text>
        <t xml:space="preserve">6000 truecar
149 accutrade</t>
      </text>
    </comment>
    <comment authorId="0" ref="D55">
      <text>
        <t xml:space="preserve">6000 truecar
149 accutrade</t>
      </text>
    </comment>
    <comment authorId="0" ref="E55">
      <text>
        <t xml:space="preserve">6000 truecar
149 accutrade</t>
      </text>
    </comment>
    <comment authorId="0" ref="F55">
      <text>
        <t xml:space="preserve">6000 truecar
149 accutrade</t>
      </text>
    </comment>
    <comment authorId="0" ref="G55">
      <text>
        <t xml:space="preserve">6000 truecar
149 accutrade</t>
      </text>
    </comment>
    <comment authorId="0" ref="H55">
      <text>
        <t xml:space="preserve">includes trade/reach and subscription</t>
      </text>
    </comment>
    <comment authorId="0" ref="I55">
      <text>
        <t xml:space="preserve">includes trade/reach and subscription</t>
      </text>
    </comment>
    <comment authorId="0" ref="J55">
      <text>
        <t xml:space="preserve">includes trade/reach and subscription</t>
      </text>
    </comment>
    <comment authorId="0" ref="K55">
      <text>
        <t xml:space="preserve">includes trade/reach and subscription</t>
      </text>
    </comment>
    <comment authorId="0" ref="L55">
      <text>
        <t xml:space="preserve">includes trade/reach and subscription</t>
      </text>
    </comment>
    <comment authorId="0" ref="M55">
      <text>
        <t xml:space="preserve">includes trade/reach and subscription</t>
      </text>
    </comment>
    <comment authorId="0" ref="B56">
      <text>
        <t xml:space="preserve">399 Trade tool with Purecars
351 mgmt fee
57 Data Management fee</t>
      </text>
    </comment>
    <comment authorId="0" ref="C56">
      <text>
        <t xml:space="preserve">399 Trade tool with Purecars
351 mgmt fee
57 Data Management fee</t>
      </text>
    </comment>
    <comment authorId="0" ref="D56">
      <text>
        <t xml:space="preserve">399 Trade tool with Purecars
351 mgmt fee
57 Data Management fee</t>
      </text>
    </comment>
    <comment authorId="0" ref="E56">
      <text>
        <t xml:space="preserve">399 Trade tool with Purecars
351 mgmt fee
57 Data Management fee</t>
      </text>
    </comment>
    <comment authorId="0" ref="F56">
      <text>
        <t xml:space="preserve">399 Trade tool with Purecars
351 mgmt fee
57 Data Management fee</t>
      </text>
    </comment>
    <comment authorId="0" ref="G56">
      <text>
        <t xml:space="preserve">399 Trade tool with Purecars
351 mgmt fee
57 Data Management fee</t>
      </text>
    </comment>
    <comment authorId="0" ref="H56">
      <text>
        <t xml:space="preserve">399 Trade tool with Purecars
351 mgmt fee
57 Data Management fee</t>
      </text>
    </comment>
    <comment authorId="0" ref="I56">
      <text>
        <t xml:space="preserve">399 Trade tool with Purecars
351 mgmt fee
57 Data Management fee</t>
      </text>
    </comment>
    <comment authorId="0" ref="J56">
      <text>
        <t xml:space="preserve">399 Trade tool with Purecars
351 mgmt fee
57 Data Management fee</t>
      </text>
    </comment>
    <comment authorId="0" ref="K56">
      <text>
        <t xml:space="preserve">399 Trade tool with Purecars
351 mgmt fee
57 Data Management fee</t>
      </text>
    </comment>
    <comment authorId="0" ref="L56">
      <text>
        <t xml:space="preserve">399 Trade tool with Purecars
351 mgmt fee
57 Data Management fee</t>
      </text>
    </comment>
    <comment authorId="0" ref="M56">
      <text>
        <t xml:space="preserve">399 Trade tool with Purecars
351 mgmt fee
57 Data Management fee</t>
      </text>
    </comment>
    <comment authorId="0" ref="B59">
      <text>
        <t xml:space="preserve">1250 NEW
1250 USED
2500 TOTAL</t>
      </text>
    </comment>
    <comment authorId="0" ref="C59">
      <text>
        <t xml:space="preserve">1250 NEW
1250 USED
2500 TOTAL</t>
      </text>
    </comment>
    <comment authorId="0" ref="D59">
      <text>
        <t xml:space="preserve">1250 NEW
1250 USED
2500 TOTAL</t>
      </text>
    </comment>
    <comment authorId="0" ref="E59">
      <text>
        <t xml:space="preserve">1250 NEW
1250 USED
2500 TOTAL</t>
      </text>
    </comment>
    <comment authorId="0" ref="F59">
      <text>
        <t xml:space="preserve">1250 NEW
1250 USED
2500 TOTAL</t>
      </text>
    </comment>
    <comment authorId="0" ref="G59">
      <text>
        <t xml:space="preserve">1250 NEW
1250 USED
2500 TOTAL</t>
      </text>
    </comment>
    <comment authorId="0" ref="H59">
      <text>
        <t xml:space="preserve">1250 NEW
1250 USED
2500 TOTAL</t>
      </text>
    </comment>
    <comment authorId="0" ref="I59">
      <text>
        <t xml:space="preserve">1250 NEW
1250 USED
2500 TOTAL</t>
      </text>
    </comment>
    <comment authorId="0" ref="J59">
      <text>
        <t xml:space="preserve">1250 NEW
1250 USED
2500 TOTAL</t>
      </text>
    </comment>
    <comment authorId="0" ref="K59">
      <text>
        <t xml:space="preserve">1250 NEW
1250 USED
2500 TOTAL</t>
      </text>
    </comment>
    <comment authorId="0" ref="L59">
      <text>
        <t xml:space="preserve">1250 NEW
1250 USED
2500 TOTAL</t>
      </text>
    </comment>
    <comment authorId="0" ref="M59">
      <text>
        <t xml:space="preserve">1250 NEW
1250 USED
2500 TOTAL</t>
      </text>
    </comment>
    <comment authorId="0" ref="B63">
      <text>
        <t xml:space="preserve">6425 new
375 used
6800 total</t>
      </text>
    </comment>
    <comment authorId="0" ref="C63">
      <text>
        <t xml:space="preserve">6425 new
375 used
6800 total</t>
      </text>
    </comment>
    <comment authorId="0" ref="D63">
      <text>
        <t xml:space="preserve">6425 new
375 used
6800 total</t>
      </text>
    </comment>
    <comment authorId="0" ref="E63">
      <text>
        <t xml:space="preserve">6425 new
375 used
6800 total</t>
      </text>
    </comment>
    <comment authorId="0" ref="F63">
      <text>
        <t xml:space="preserve">6425 new
375 used
6800 total</t>
      </text>
    </comment>
    <comment authorId="0" ref="G63">
      <text>
        <t xml:space="preserve">6425 new
375 used
6800 total</t>
      </text>
    </comment>
    <comment authorId="0" ref="H63">
      <text>
        <t xml:space="preserve">6425 new
375 used
6800 total</t>
      </text>
    </comment>
    <comment authorId="0" ref="I63">
      <text>
        <t xml:space="preserve">6425 new
375 used
6800 total</t>
      </text>
    </comment>
    <comment authorId="0" ref="J63">
      <text>
        <t xml:space="preserve">6425 new
375 used
6800 total</t>
      </text>
    </comment>
    <comment authorId="0" ref="K63">
      <text>
        <t xml:space="preserve">6425 new
375 used
6800 total</t>
      </text>
    </comment>
    <comment authorId="0" ref="L63">
      <text>
        <t xml:space="preserve">6425 new
375 used
6800 total</t>
      </text>
    </comment>
    <comment authorId="0" ref="M63">
      <text>
        <t xml:space="preserve">6425 new
375 used
6800 total</t>
      </text>
    </comment>
    <comment authorId="0" ref="B72">
      <text>
        <t xml:space="preserve">TBD
</t>
      </text>
    </comment>
    <comment authorId="0" ref="C72">
      <text>
        <t xml:space="preserve">TBD
</t>
      </text>
    </comment>
    <comment authorId="0" ref="D72">
      <text>
        <t xml:space="preserve">TBD
</t>
      </text>
    </comment>
    <comment authorId="0" ref="E72">
      <text>
        <t xml:space="preserve">TBD
</t>
      </text>
    </comment>
    <comment authorId="0" ref="F72">
      <text>
        <t xml:space="preserve">TBD
</t>
      </text>
    </comment>
    <comment authorId="0" ref="G72">
      <text>
        <t xml:space="preserve">TBD
</t>
      </text>
    </comment>
    <comment authorId="0" ref="H72">
      <text>
        <t xml:space="preserve">TBD
</t>
      </text>
    </comment>
    <comment authorId="0" ref="I72">
      <text>
        <t xml:space="preserve">TBD
</t>
      </text>
    </comment>
    <comment authorId="0" ref="J72">
      <text>
        <t xml:space="preserve">TBD
</t>
      </text>
    </comment>
    <comment authorId="0" ref="K72">
      <text>
        <t xml:space="preserve">TBD
</t>
      </text>
    </comment>
    <comment authorId="0" ref="L72">
      <text>
        <t xml:space="preserve">TBD
</t>
      </text>
    </comment>
    <comment authorId="0" ref="M72">
      <text>
        <t xml:space="preserve">TBD
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B74">
      <text>
        <t xml:space="preserve">1250 NEW
1250 USED
2500 TOTAL</t>
      </text>
    </comment>
    <comment authorId="0" ref="C74">
      <text>
        <t xml:space="preserve">1250 NEW
1250 USED
2500 TOTAL</t>
      </text>
    </comment>
    <comment authorId="0" ref="D74">
      <text>
        <t xml:space="preserve">1250 NEW
1250 USED
2500 TOTAL</t>
      </text>
    </comment>
    <comment authorId="0" ref="E74">
      <text>
        <t xml:space="preserve">1250 NEW
1250 USED
2500 TOTAL</t>
      </text>
    </comment>
    <comment authorId="0" ref="F74">
      <text>
        <t xml:space="preserve">1250 NEW
1250 USED
2500 TOTAL</t>
      </text>
    </comment>
    <comment authorId="0" ref="G74">
      <text>
        <t xml:space="preserve">1250 NEW
1250 USED
2500 TOTAL</t>
      </text>
    </comment>
    <comment authorId="0" ref="H74">
      <text>
        <t xml:space="preserve">1250 NEW
1250 USED
2500 TOTAL</t>
      </text>
    </comment>
    <comment authorId="0" ref="I74">
      <text>
        <t xml:space="preserve">1250 NEW
1250 USED
2500 TOTAL</t>
      </text>
    </comment>
    <comment authorId="0" ref="J74">
      <text>
        <t xml:space="preserve">1250 NEW
1250 USED
2500 TOTAL</t>
      </text>
    </comment>
    <comment authorId="0" ref="K74">
      <text>
        <t xml:space="preserve">1250 NEW
1250 USED
2500 TOTAL</t>
      </text>
    </comment>
    <comment authorId="0" ref="L74">
      <text>
        <t xml:space="preserve">1250 NEW
1250 USED
2500 TOTAL</t>
      </text>
    </comment>
    <comment authorId="0" ref="M74">
      <text>
        <t xml:space="preserve">1250 NEW
1250 USED
2500 TOTAL</t>
      </text>
    </comment>
    <comment authorId="0" ref="B80">
      <text>
        <t xml:space="preserve">2050 Enhanced</t>
      </text>
    </comment>
    <comment authorId="0" ref="C80">
      <text>
        <t xml:space="preserve">2050 Enhanced</t>
      </text>
    </comment>
    <comment authorId="0" ref="D80">
      <text>
        <t xml:space="preserve">2050 Enhanced</t>
      </text>
    </comment>
    <comment authorId="0" ref="E80">
      <text>
        <t xml:space="preserve">2050 Enhanced</t>
      </text>
    </comment>
    <comment authorId="0" ref="F80">
      <text>
        <t xml:space="preserve">2050 Enhanced</t>
      </text>
    </comment>
    <comment authorId="0" ref="G80">
      <text>
        <t xml:space="preserve">2050 Enhanced</t>
      </text>
    </comment>
    <comment authorId="0" ref="H80">
      <text>
        <t xml:space="preserve">2050 Enhanced</t>
      </text>
    </comment>
    <comment authorId="0" ref="I80">
      <text>
        <t xml:space="preserve">2050 Enhanced</t>
      </text>
    </comment>
    <comment authorId="0" ref="J80">
      <text>
        <t xml:space="preserve">2050 Enhanced</t>
      </text>
    </comment>
    <comment authorId="0" ref="K80">
      <text>
        <t xml:space="preserve">2050 Enhanced</t>
      </text>
    </comment>
    <comment authorId="0" ref="L80">
      <text>
        <t xml:space="preserve">2050 Enhanced</t>
      </text>
    </comment>
    <comment authorId="0" ref="M80">
      <text>
        <t xml:space="preserve">2050 Enhanced</t>
      </text>
    </comment>
    <comment authorId="0" ref="B81">
      <text>
        <t xml:space="preserve">375 used</t>
      </text>
    </comment>
    <comment authorId="0" ref="C81">
      <text>
        <t xml:space="preserve">375 used</t>
      </text>
    </comment>
    <comment authorId="0" ref="D81">
      <text>
        <t xml:space="preserve">375 used</t>
      </text>
    </comment>
    <comment authorId="0" ref="E81">
      <text>
        <t xml:space="preserve">375 used</t>
      </text>
    </comment>
    <comment authorId="0" ref="F81">
      <text>
        <t xml:space="preserve">375 used</t>
      </text>
    </comment>
    <comment authorId="0" ref="G81">
      <text>
        <t xml:space="preserve">375 used</t>
      </text>
    </comment>
    <comment authorId="0" ref="H81">
      <text>
        <t xml:space="preserve">375 used</t>
      </text>
    </comment>
    <comment authorId="0" ref="I81">
      <text>
        <t xml:space="preserve">375 used</t>
      </text>
    </comment>
    <comment authorId="0" ref="J81">
      <text>
        <t xml:space="preserve">375 used</t>
      </text>
    </comment>
    <comment authorId="0" ref="K81">
      <text>
        <t xml:space="preserve">375 used</t>
      </text>
    </comment>
    <comment authorId="0" ref="L81">
      <text>
        <t xml:space="preserve">375 used</t>
      </text>
    </comment>
    <comment authorId="0" ref="M81">
      <text>
        <t xml:space="preserve">375 used</t>
      </text>
    </comment>
    <comment authorId="0" ref="K93">
      <text>
        <t xml:space="preserve">$3,700 various jobs </t>
      </text>
    </comment>
    <comment authorId="0" ref="K94">
      <text>
        <t xml:space="preserve">$180 Polin
$200 boxes
</t>
      </text>
    </comment>
    <comment authorId="0" ref="B96">
      <text>
        <t xml:space="preserve">500 navyfed costco
</t>
      </text>
    </comment>
    <comment authorId="0" ref="C96">
      <text>
        <t xml:space="preserve">500 navyfed costco
</t>
      </text>
    </comment>
    <comment authorId="0" ref="D96">
      <text>
        <t xml:space="preserve">500 navyfed costco store submitted cancellation mid-feb</t>
      </text>
    </comment>
    <comment authorId="0" ref="E96">
      <text>
        <t xml:space="preserve">Store cancelled mid feb
</t>
      </text>
    </comment>
    <comment authorId="0" ref="F96">
      <text>
        <t xml:space="preserve">Store cancelled mid feb
</t>
      </text>
    </comment>
    <comment authorId="0" ref="G96">
      <text>
        <t xml:space="preserve">Store cancelled mid feb
</t>
      </text>
    </comment>
    <comment authorId="0" ref="H96">
      <text>
        <t xml:space="preserve">Store cancelled mid feb
</t>
      </text>
    </comment>
    <comment authorId="0" ref="I96">
      <text>
        <t xml:space="preserve">Store cancelled mid feb
</t>
      </text>
    </comment>
    <comment authorId="0" ref="J96">
      <text>
        <t xml:space="preserve">Store cancelled mid feb
</t>
      </text>
    </comment>
    <comment authorId="0" ref="K96">
      <text>
        <t xml:space="preserve">Store cancelled mid feb
</t>
      </text>
    </comment>
    <comment authorId="0" ref="L96">
      <text>
        <t xml:space="preserve">Store cancelled mid feb
</t>
      </text>
    </comment>
    <comment authorId="0" ref="M96">
      <text>
        <t xml:space="preserve">500 navyfed costco
</t>
      </text>
    </comment>
    <comment authorId="0" ref="B99">
      <text>
        <t xml:space="preserve">33/mo. (store responsible for $400 of the $800 annual fee for both stores) enrolled in Chamber of Commerce JUNE 2019, need to extend this charge through JUNE 2020
</t>
      </text>
    </comment>
    <comment authorId="0" ref="C99">
      <text>
        <t xml:space="preserve">33/mo. (store responsible for $400 of the $800 annual fee for both stores) enrolled in Chamber of Commerce JUNE 2019, need to extend this charge through JUNE 2020
</t>
      </text>
    </comment>
    <comment authorId="0" ref="D99">
      <text>
        <t xml:space="preserve">33/mo. (store responsible for $400 of the $800 annual fee for both stores) enrolled in Chamber of Commerce JUNE 2019, need to extend this charge through JUNE 2020
</t>
      </text>
    </comment>
    <comment authorId="0" ref="E99">
      <text>
        <t xml:space="preserve">33/mo. (store responsible for $400 of the $800 annual fee for both stores) enrolled in Chamber of Commerce JUNE 2019, need to extend this charge through JUNE 2020
</t>
      </text>
    </comment>
    <comment authorId="0" ref="F99">
      <text>
        <t xml:space="preserve">33/mo. (store responsible for $400 of the $800 annual fee for both stores) enrolled in Chamber of Commerce JUNE 2019, need to extend this charge through JUNE 2020
</t>
      </text>
    </comment>
    <comment authorId="0" ref="G99">
      <text>
        <t xml:space="preserve">33/mo. (store responsible for $400 of the $800 annual fee for both stores) enrolled in Chamber of Commerce JUNE 2019, need to extend this charge through JUNE 2020
</t>
      </text>
    </comment>
    <comment authorId="0" ref="B103">
      <text>
        <t xml:space="preserve">$500 Other Group Digital </t>
      </text>
    </comment>
    <comment authorId="0" ref="C103">
      <text>
        <t xml:space="preserve">$500 Other Group Digital </t>
      </text>
    </comment>
    <comment authorId="0" ref="D103">
      <text>
        <t xml:space="preserve">$200 Other Group Digital 
$113.63 WJA sponsorship</t>
      </text>
    </comment>
    <comment authorId="0" ref="E103">
      <text>
        <t xml:space="preserve">$500 Other Group Digital </t>
      </text>
    </comment>
    <comment authorId="0" ref="F103">
      <text>
        <t xml:space="preserve">$500 Other Group Digital </t>
      </text>
    </comment>
    <comment authorId="0" ref="G103">
      <text>
        <t xml:space="preserve">$605 Other Group Digital </t>
      </text>
    </comment>
    <comment authorId="0" ref="H103">
      <text>
        <t xml:space="preserve">$605 Other Group Digital </t>
      </text>
    </comment>
    <comment authorId="0" ref="I103">
      <text>
        <t xml:space="preserve">$500 Other Group Digital </t>
      </text>
    </comment>
    <comment authorId="0" ref="J103">
      <text>
        <t xml:space="preserve">$500 Other Group Digital </t>
      </text>
    </comment>
    <comment authorId="0" ref="K103">
      <text>
        <t xml:space="preserve">$500 Other Group Digital </t>
      </text>
    </comment>
    <comment authorId="0" ref="L103">
      <text>
        <t xml:space="preserve">$500 Other Group Digital </t>
      </text>
    </comment>
    <comment authorId="0" ref="M103">
      <text>
        <t xml:space="preserve">$500 Other Group Digital </t>
      </text>
    </comment>
    <comment authorId="0" ref="B115">
      <text>
        <t xml:space="preserve">$1,495 Easy Care
</t>
      </text>
    </comment>
    <comment authorId="0" ref="C115">
      <text>
        <t xml:space="preserve">$1,495 Easy Care
</t>
      </text>
    </comment>
    <comment authorId="0" ref="D115">
      <text>
        <t xml:space="preserve">$1,495 Easy Care
</t>
      </text>
    </comment>
    <comment authorId="0" ref="E115">
      <text>
        <t xml:space="preserve">$1,495 Easy Care
</t>
      </text>
    </comment>
    <comment authorId="0" ref="F115">
      <text>
        <t xml:space="preserve">$1,495 Easy Care
</t>
      </text>
    </comment>
    <comment authorId="0" ref="G115">
      <text>
        <t xml:space="preserve">$1,495 Easy Care
</t>
      </text>
    </comment>
    <comment authorId="0" ref="H115">
      <text>
        <t xml:space="preserve">$1,495 Easy Care
</t>
      </text>
    </comment>
    <comment authorId="0" ref="I115">
      <text>
        <t xml:space="preserve">$1,495 Easy Care
</t>
      </text>
    </comment>
    <comment authorId="0" ref="J115">
      <text>
        <t xml:space="preserve">$1,495 Easy Care
</t>
      </text>
    </comment>
    <comment authorId="0" ref="K115">
      <text>
        <t xml:space="preserve">$1,495 Easy Care
</t>
      </text>
    </comment>
    <comment authorId="0" ref="L115">
      <text>
        <t xml:space="preserve">$1,495 Easy Care
</t>
      </text>
    </comment>
    <comment authorId="0" ref="M115">
      <text>
        <t xml:space="preserve">$1,495 Easy Care
</t>
      </text>
    </comment>
    <comment authorId="0" ref="B116">
      <text>
        <t xml:space="preserve">$139 DMS Integration for TDS Rental 
$240 TDS Rental Rent a Car 2.0 Pro</t>
      </text>
    </comment>
    <comment authorId="0" ref="C116">
      <text>
        <t xml:space="preserve">$139 DMS Integration for TDS Rental 
$240 TDS Rental Rent a Car 2.0 Pro</t>
      </text>
    </comment>
    <comment authorId="0" ref="D116">
      <text>
        <t xml:space="preserve">$139 DMS Integration for TDS Rental 
$240 TDS Rental Rent a Car 2.0 Pro</t>
      </text>
    </comment>
    <comment authorId="0" ref="E116">
      <text>
        <t xml:space="preserve">$139 DMS Integration for TDS Rental 
$240 TDS Rental Rent a Car 2.0 Pro</t>
      </text>
    </comment>
    <comment authorId="0" ref="F116">
      <text>
        <t xml:space="preserve">$139 DMS Integration for TDS Rental 
$240 TDS Rental Rent a Car 2.0 Pro</t>
      </text>
    </comment>
    <comment authorId="0" ref="G116">
      <text>
        <t xml:space="preserve">$139 DMS Integration for TDS Rental 
$240 TDS Rental Rent a Car 2.0 Pro</t>
      </text>
    </comment>
    <comment authorId="0" ref="H116">
      <text>
        <t xml:space="preserve">$139 DMS Integration for TDS Rental 
$240 TDS Rental Rent a Car 2.0 Pro</t>
      </text>
    </comment>
    <comment authorId="0" ref="I116">
      <text>
        <t xml:space="preserve">$139 DMS Integration for TDS Rental 
$240 TDS Rental Rent a Car 2.0 Pro</t>
      </text>
    </comment>
    <comment authorId="0" ref="J116">
      <text>
        <t xml:space="preserve">$139 DMS Integration for TDS Rental 
$240 TDS Rental Rent a Car 2.0 Pro</t>
      </text>
    </comment>
    <comment authorId="0" ref="K116">
      <text>
        <t xml:space="preserve">$139 DMS Integration for TDS Rental 
$240 TDS Rental Rent a Car 2.0 Pro</t>
      </text>
    </comment>
    <comment authorId="0" ref="L116">
      <text>
        <t xml:space="preserve">$139 DMS Integration for TDS Rental 
$240 TDS Rental Rent a Car 2.0 Pro</t>
      </text>
    </comment>
    <comment authorId="0" ref="M116">
      <text>
        <t xml:space="preserve">$139 DMS Integration for TDS Rental 
$240 TDS Rental Rent a Car 2.0 Pro</t>
      </text>
    </comment>
    <comment authorId="0" ref="B117">
      <text>
        <t xml:space="preserve">500 trigger mail
$2,476.32 quarterly mailer</t>
      </text>
    </comment>
    <comment authorId="0" ref="C117">
      <text>
        <t xml:space="preserve">500 trigger mail
</t>
      </text>
    </comment>
    <comment authorId="0" ref="D117">
      <text>
        <t xml:space="preserve">500 trigger mail
</t>
      </text>
    </comment>
    <comment authorId="0" ref="E117">
      <text>
        <t xml:space="preserve">500 trigger mail
$2,476.32 quarterly mailer</t>
      </text>
    </comment>
    <comment authorId="0" ref="F117">
      <text>
        <t xml:space="preserve">500 trigger mail
</t>
      </text>
    </comment>
    <comment authorId="0" ref="G117">
      <text>
        <t xml:space="preserve">500 trigger mail
</t>
      </text>
    </comment>
    <comment authorId="0" ref="H117">
      <text>
        <t xml:space="preserve">500 trigger mail
$2,476.32 quarterly mailer</t>
      </text>
    </comment>
    <comment authorId="0" ref="I117">
      <text>
        <t xml:space="preserve">500 trigger mail
</t>
      </text>
    </comment>
    <comment authorId="0" ref="J117">
      <text>
        <t xml:space="preserve">500 trigger mail
</t>
      </text>
    </comment>
    <comment authorId="0" ref="K117">
      <text>
        <t xml:space="preserve">500 trigger mail
2598.26 Q3 recovery mailer</t>
      </text>
    </comment>
    <comment authorId="0" ref="L117">
      <text>
        <t xml:space="preserve">500 trigger mail
</t>
      </text>
    </comment>
    <comment authorId="0" ref="M117">
      <text>
        <t xml:space="preserve">500 trigger mail
</t>
      </text>
    </comment>
    <comment authorId="0" ref="B118">
      <text>
        <t xml:space="preserve">NOW: 840
WAS: 1200 PC SEM Fixed Ops </t>
      </text>
    </comment>
    <comment authorId="0" ref="C118">
      <text>
        <t xml:space="preserve">NOW: 840
WAS: 1200 PC SEM Fixed Ops </t>
      </text>
    </comment>
    <comment authorId="0" ref="D118">
      <text>
        <t xml:space="preserve">NOW: 840
WAS: 1200 PC SEM Fixed Ops </t>
      </text>
    </comment>
    <comment authorId="0" ref="E118">
      <text>
        <t xml:space="preserve">NOW: 840
WAS: 1200 PC SEM Fixed Ops </t>
      </text>
    </comment>
    <comment authorId="0" ref="F118">
      <text>
        <t xml:space="preserve">NOW: 840
WAS: 1200 PC SEM Fixed Ops </t>
      </text>
    </comment>
    <comment authorId="0" ref="G118">
      <text>
        <t xml:space="preserve">NOW: 840
WAS: 1200 PC SEM Fixed Ops </t>
      </text>
    </comment>
    <comment authorId="0" ref="H118">
      <text>
        <t xml:space="preserve">NOW: 840
WAS: 1200 PC SEM Fixed Ops </t>
      </text>
    </comment>
    <comment authorId="0" ref="I118">
      <text>
        <t xml:space="preserve">NOW: 840
WAS: 1200 PC SEM Fixed Ops </t>
      </text>
    </comment>
    <comment authorId="0" ref="J118">
      <text>
        <t xml:space="preserve">NOW: 840
WAS: 1200 PC SEM Fixed Ops </t>
      </text>
    </comment>
    <comment authorId="0" ref="K118">
      <text>
        <t xml:space="preserve">NOW: 840
WAS: 1200 PC SEM Fixed Ops </t>
      </text>
    </comment>
    <comment authorId="0" ref="L118">
      <text>
        <t xml:space="preserve">NOW: 840
WAS: 1200 PC SEM Fixed Ops </t>
      </text>
    </comment>
    <comment authorId="0" ref="M118">
      <text>
        <t xml:space="preserve">NOW: 840
WAS: 1200 PC SEM Fixed Ops </t>
      </text>
    </comment>
  </commentList>
</comments>
</file>

<file path=xl/comments2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4">
      <text>
        <t xml:space="preserve">1899 DealerFire
850 SEO
161.57 sheehy.com portal site
</t>
      </text>
    </comment>
    <comment authorId="0" ref="C34">
      <text>
        <t xml:space="preserve">1899 DealerFire
850 SEO
161.57 sheehy.com portal site
</t>
      </text>
    </comment>
    <comment authorId="0" ref="D34">
      <text>
        <t xml:space="preserve">1899 DealerFire
850 SEO
161.57 sheehy.com portal site
</t>
      </text>
    </comment>
    <comment authorId="0" ref="E34">
      <text>
        <t xml:space="preserve">1899 DealerFire
850 SEO
161.57 sheehy.com portal site
</t>
      </text>
    </comment>
    <comment authorId="0" ref="F34">
      <text>
        <t xml:space="preserve">1899 DealerFire
850 SEO
161.57 sheehy.com portal site
</t>
      </text>
    </comment>
    <comment authorId="0" ref="G34">
      <text>
        <t xml:space="preserve">1899 DealerFire
850 SEO
161.57 sheehy.com portal site
</t>
      </text>
    </comment>
    <comment authorId="0" ref="H34">
      <text>
        <t xml:space="preserve">1899 DealerFire
850 SEO
161.57 sheehy.com portal site
</t>
      </text>
    </comment>
    <comment authorId="0" ref="I34">
      <text>
        <t xml:space="preserve">1899 DealerFire
850 SEO
161.57 sheehy.com portal site
</t>
      </text>
    </comment>
    <comment authorId="0" ref="J34">
      <text>
        <t xml:space="preserve">1899 DealerFire
850 SEO
161.57 sheehy.com portal site
</t>
      </text>
    </comment>
    <comment authorId="0" ref="K34">
      <text>
        <t xml:space="preserve">1899 DealerFire
850 SEO
161.57 sheehy.com portal site
</t>
      </text>
    </comment>
    <comment authorId="0" ref="L34">
      <text>
        <t xml:space="preserve">1899 DealerFire
850 SEO
161.57 sheehy.com portal site
</t>
      </text>
    </comment>
    <comment authorId="0" ref="M34">
      <text>
        <t xml:space="preserve">1899 DealerFire
850 SEO
161.57 sheehy.com portal site
</t>
      </text>
    </comment>
    <comment authorId="0" ref="B42">
      <text>
        <t xml:space="preserve">switch to carchat24</t>
      </text>
    </comment>
    <comment authorId="0" ref="C42">
      <text>
        <t xml:space="preserve">switch to carchat24</t>
      </text>
    </comment>
    <comment authorId="0" ref="D42">
      <text>
        <t xml:space="preserve">switch to carchat24</t>
      </text>
    </comment>
    <comment authorId="0" ref="E42">
      <text>
        <t xml:space="preserve">switch to carchat24</t>
      </text>
    </comment>
    <comment authorId="0" ref="F42">
      <text>
        <t xml:space="preserve">switch to carchat24</t>
      </text>
    </comment>
    <comment authorId="0" ref="G42">
      <text>
        <t xml:space="preserve">switch to carchat24</t>
      </text>
    </comment>
    <comment authorId="0" ref="H42">
      <text>
        <t xml:space="preserve">switch to carchat24</t>
      </text>
    </comment>
    <comment authorId="0" ref="I42">
      <text>
        <t xml:space="preserve">switch to carchat24</t>
      </text>
    </comment>
    <comment authorId="0" ref="J42">
      <text>
        <t xml:space="preserve">switch to carchat24</t>
      </text>
    </comment>
    <comment authorId="0" ref="K42">
      <text>
        <t xml:space="preserve">switch to carchat24</t>
      </text>
    </comment>
    <comment authorId="0" ref="L42">
      <text>
        <t xml:space="preserve">switch to carchat24</t>
      </text>
    </comment>
    <comment authorId="0" ref="M42">
      <text>
        <t xml:space="preserve">switch to carchat24</t>
      </text>
    </comment>
    <comment authorId="0" ref="B44">
      <text>
        <t xml:space="preserve">299 Finance Driver</t>
      </text>
    </comment>
    <comment authorId="0" ref="C44">
      <text>
        <t xml:space="preserve">299 Finance Driver</t>
      </text>
    </comment>
    <comment authorId="0" ref="D44">
      <text>
        <t xml:space="preserve">299 Finance Driver</t>
      </text>
    </comment>
    <comment authorId="0" ref="E44">
      <text>
        <t xml:space="preserve">299 Finance Driver</t>
      </text>
    </comment>
    <comment authorId="0" ref="F44">
      <text>
        <t xml:space="preserve">299 Finance Driver</t>
      </text>
    </comment>
    <comment authorId="0" ref="G44">
      <text>
        <t xml:space="preserve">299 Finance Driver</t>
      </text>
    </comment>
    <comment authorId="0" ref="H44">
      <text>
        <t xml:space="preserve">299 Finance Driver</t>
      </text>
    </comment>
    <comment authorId="0" ref="I44">
      <text>
        <t xml:space="preserve">299 Finance Driver</t>
      </text>
    </comment>
    <comment authorId="0" ref="J44">
      <text>
        <t xml:space="preserve">299 Finance Driver</t>
      </text>
    </comment>
    <comment authorId="0" ref="K44">
      <text>
        <t xml:space="preserve">299 Finance Driver</t>
      </text>
    </comment>
    <comment authorId="0" ref="L44">
      <text>
        <t xml:space="preserve">299 Finance Driver</t>
      </text>
    </comment>
    <comment authorId="0" ref="M44">
      <text>
        <t xml:space="preserve">299 Finance Driver</t>
      </text>
    </comment>
    <comment authorId="0" ref="B45">
      <text>
        <t xml:space="preserve">45 Yelp 
97.5 Rep.com</t>
      </text>
    </comment>
    <comment authorId="0" ref="C45">
      <text>
        <t xml:space="preserve">45 Yelp 
97.5 Rep.com</t>
      </text>
    </comment>
    <comment authorId="0" ref="D45">
      <text>
        <t xml:space="preserve">45 Yelp 
97.5 Rep.com</t>
      </text>
    </comment>
    <comment authorId="0" ref="E45">
      <text>
        <t xml:space="preserve">45 Yelp 
97.5 Rep.com</t>
      </text>
    </comment>
    <comment authorId="0" ref="F45">
      <text>
        <t xml:space="preserve">45 Yelp 
97.5 Rep.com</t>
      </text>
    </comment>
    <comment authorId="0" ref="G45">
      <text>
        <t xml:space="preserve">45 Yelp 
97.5 Rep.com</t>
      </text>
    </comment>
    <comment authorId="0" ref="H45">
      <text>
        <t xml:space="preserve">45 Yelp 
97.5 Rep.com</t>
      </text>
    </comment>
    <comment authorId="0" ref="I45">
      <text>
        <t xml:space="preserve">45 Yelp 
97.5 Rep.com</t>
      </text>
    </comment>
    <comment authorId="0" ref="J45">
      <text>
        <t xml:space="preserve">45 Yelp 
97.5 Rep.com</t>
      </text>
    </comment>
    <comment authorId="0" ref="K45">
      <text>
        <t xml:space="preserve">45 Yelp 
97.5 Rep.com</t>
      </text>
    </comment>
    <comment authorId="0" ref="L45">
      <text>
        <t xml:space="preserve">45 Yelp 
97.5 Rep.com</t>
      </text>
    </comment>
    <comment authorId="0" ref="M45">
      <text>
        <t xml:space="preserve">45 Yelp 
97.5 Rep.com</t>
      </text>
    </comment>
    <comment authorId="0" ref="E46">
      <text>
        <t xml:space="preserve">cancelled 3/16</t>
      </text>
    </comment>
    <comment authorId="0" ref="B47">
      <text>
        <t xml:space="preserve">850 Alli Mgmt
30 Alli
750 ALS Mgmt fee
2000 ALS FB spend</t>
      </text>
    </comment>
    <comment authorId="0" ref="C47">
      <text>
        <t xml:space="preserve">850 Alli Mgmt
30 Alli
750 ALS Mgmt fee
2000 ALS FB spend</t>
      </text>
    </comment>
    <comment authorId="0" ref="D47">
      <text>
        <t xml:space="preserve">850 Alli Mgmt
30 Alli
750 ALS Mgmt fee
2000 ALS FB spend</t>
      </text>
    </comment>
    <comment authorId="0" ref="E47">
      <text>
        <t xml:space="preserve">850 Alli Mgmt
30 Alli
750 ALS Mgmt fee
2000 ALS FB spend</t>
      </text>
    </comment>
    <comment authorId="0" ref="F47">
      <text>
        <t xml:space="preserve">850 Alli Mgmt
30 Alli
750 ALS Mgmt fee
2000 ALS FB spend</t>
      </text>
    </comment>
    <comment authorId="0" ref="G47">
      <text>
        <t xml:space="preserve">850 Alli Mgmt
30 Alli
750 ALS Mgmt fee
2000 ALS FB spend</t>
      </text>
    </comment>
    <comment authorId="0" ref="H47">
      <text>
        <t xml:space="preserve">850 Alli Mgmt
30 Alli
750 ALS Mgmt fee
2000 ALS FB spend</t>
      </text>
    </comment>
    <comment authorId="0" ref="I47">
      <text>
        <t xml:space="preserve">850 Alli Mgmt
30 Alli
750 ALS Mgmt fee
2000 ALS FB spend</t>
      </text>
    </comment>
    <comment authorId="0" ref="J47">
      <text>
        <t xml:space="preserve">850 Alli Mgmt
30 Alli
750 ALS Mgmt fee
2000 ALS FB spend</t>
      </text>
    </comment>
    <comment authorId="0" ref="K47">
      <text>
        <t xml:space="preserve">850 Alli Mgmt
30 Alli
750 ALS Mgmt fee
2000 ALS FB spend</t>
      </text>
    </comment>
    <comment authorId="0" ref="L47">
      <text>
        <t xml:space="preserve">850 Alli Mgmt
30 Alli
750 ALS Mgmt fee
2000 ALS FB spend</t>
      </text>
    </comment>
    <comment authorId="0" ref="M47">
      <text>
        <t xml:space="preserve">850 Alli Mgmt
30 Alli
750 ALS Mgmt fee
2000 ALS FB spend</t>
      </text>
    </comment>
    <comment authorId="0" ref="B48">
      <text>
        <t xml:space="preserve">55.66 Sheehy.com
$350.33 PERQ child site
80 we buy cars</t>
      </text>
    </comment>
    <comment authorId="0" ref="C48">
      <text>
        <t xml:space="preserve">55.66 Sheehy.com
$350.33 PERQ child site
80 we buy cars</t>
      </text>
    </comment>
    <comment authorId="0" ref="D48">
      <text>
        <t xml:space="preserve">55.66 Sheehy.com
$350.33 PERQ child site
80 we buy cars</t>
      </text>
    </comment>
    <comment authorId="0" ref="E48">
      <text>
        <t xml:space="preserve">55.66 Sheehy.com
$350.33 PERQ child site
80 we buy cars</t>
      </text>
    </comment>
    <comment authorId="0" ref="F48">
      <text>
        <t xml:space="preserve">55.66 Sheehy.com
$350.33 PERQ child site
80 we buy cars</t>
      </text>
    </comment>
    <comment authorId="0" ref="G48">
      <text>
        <t xml:space="preserve">55.66 Sheehy.com
$350.33 PERQ child site
80 we buy cars</t>
      </text>
    </comment>
    <comment authorId="0" ref="H48">
      <text>
        <t xml:space="preserve">55.66 Sheehy.com
$350.33 PERQ child site
80 we buy cars</t>
      </text>
    </comment>
    <comment authorId="0" ref="I48">
      <text>
        <t xml:space="preserve">55.66 Sheehy.com
$350.33 PERQ child site
80 we buy cars</t>
      </text>
    </comment>
    <comment authorId="0" ref="J48">
      <text>
        <t xml:space="preserve">55.66 Sheehy.com
$350.33 PERQ child site
80 we buy cars</t>
      </text>
    </comment>
    <comment authorId="0" ref="K48">
      <text>
        <t xml:space="preserve">55.66 Sheehy.com
$350.33 PERQ child site
80 we buy cars</t>
      </text>
    </comment>
    <comment authorId="0" ref="L48">
      <text>
        <t xml:space="preserve">55.66 Sheehy.com
$350.33 PERQ child site
80 we buy cars</t>
      </text>
    </comment>
    <comment authorId="0" ref="M48">
      <text>
        <t xml:space="preserve">55.66 Sheehy.com
$350.33 PERQ child site
80 we buy cars</t>
      </text>
    </comment>
    <comment authorId="0" ref="B55">
      <text>
        <t xml:space="preserve">includes trade/reach and subscription </t>
      </text>
    </comment>
    <comment authorId="0" ref="C55">
      <text>
        <t xml:space="preserve">includes trade/reach and subscription </t>
      </text>
    </comment>
    <comment authorId="0" ref="D55">
      <text>
        <t xml:space="preserve">includes trade/reach and subscription </t>
      </text>
    </comment>
    <comment authorId="0" ref="E55">
      <text>
        <t xml:space="preserve">includes trade/reach and subscription </t>
      </text>
    </comment>
    <comment authorId="0" ref="F55">
      <text>
        <t xml:space="preserve">includes trade/reach and subscription </t>
      </text>
    </comment>
    <comment authorId="0" ref="G55">
      <text>
        <t xml:space="preserve">includes trade/reach and subscription </t>
      </text>
    </comment>
    <comment authorId="0" ref="H55">
      <text>
        <t xml:space="preserve">includes trade/reach and subscription </t>
      </text>
    </comment>
    <comment authorId="0" ref="I55">
      <text>
        <t xml:space="preserve">includes trade/reach and subscription </t>
      </text>
    </comment>
    <comment authorId="0" ref="J55">
      <text>
        <t xml:space="preserve">includes trade/reach and subscription </t>
      </text>
    </comment>
    <comment authorId="0" ref="K55">
      <text>
        <t xml:space="preserve">includes trade/reach and subscription </t>
      </text>
    </comment>
    <comment authorId="0" ref="L55">
      <text>
        <t xml:space="preserve">includes trade/reach and subscription </t>
      </text>
    </comment>
    <comment authorId="0" ref="M55">
      <text>
        <t xml:space="preserve">includes trade/reach and subscription </t>
      </text>
    </comment>
    <comment authorId="0" ref="B56">
      <text>
        <t xml:space="preserve">399 Trade tool with Purecars
351 mgmt fee
57 Data Management fee</t>
      </text>
    </comment>
    <comment authorId="0" ref="C56">
      <text>
        <t xml:space="preserve">399 Trade tool with Purecars
351 mgmt fee
57 Data Management fee</t>
      </text>
    </comment>
    <comment authorId="0" ref="D56">
      <text>
        <t xml:space="preserve">399 Trade tool with Purecars
351 mgmt fee
57 Data Management fee</t>
      </text>
    </comment>
    <comment authorId="0" ref="E56">
      <text>
        <t xml:space="preserve">399 Trade tool with Purecars
351 mgmt fee
57 Data Management fee</t>
      </text>
    </comment>
    <comment authorId="0" ref="F56">
      <text>
        <t xml:space="preserve">399 Trade tool with Purecars
351 mgmt fee
57 Data Management fee</t>
      </text>
    </comment>
    <comment authorId="0" ref="G56">
      <text>
        <t xml:space="preserve">399 Trade tool with Purecars
351 mgmt fee
57 Data Management fee</t>
      </text>
    </comment>
    <comment authorId="0" ref="H56">
      <text>
        <t xml:space="preserve">399 Trade tool with Purecars
351 mgmt fee
57 Data Management fee</t>
      </text>
    </comment>
    <comment authorId="0" ref="I56">
      <text>
        <t xml:space="preserve">399 Trade tool with Purecars
351 mgmt fee
57 Data Management fee</t>
      </text>
    </comment>
    <comment authorId="0" ref="J56">
      <text>
        <t xml:space="preserve">399 Trade tool with Purecars
351 mgmt fee
57 Data Management fee</t>
      </text>
    </comment>
    <comment authorId="0" ref="K56">
      <text>
        <t xml:space="preserve">399 Trade tool with Purecars
351 mgmt fee
57 Data Management fee</t>
      </text>
    </comment>
    <comment authorId="0" ref="L56">
      <text>
        <t xml:space="preserve">399 Trade tool with Purecars
351 mgmt fee
57 Data Management fee</t>
      </text>
    </comment>
    <comment authorId="0" ref="M56">
      <text>
        <t xml:space="preserve">399 Trade tool with Purecars
351 mgmt fee
57 Data Management fee</t>
      </text>
    </comment>
    <comment authorId="0" ref="B59">
      <text>
        <t xml:space="preserve">1358 new
1358 used
2716 total
standard at 150 units </t>
      </text>
    </comment>
    <comment authorId="0" ref="C59">
      <text>
        <t xml:space="preserve">1358 new
1358 used
2716 total
standard at 150 units </t>
      </text>
    </comment>
    <comment authorId="0" ref="D59">
      <text>
        <t xml:space="preserve">1358 new
1358 used
2716 total
standard at 150 units </t>
      </text>
    </comment>
    <comment authorId="0" ref="E59">
      <text>
        <t xml:space="preserve">1358 new
1358 used
2716 total
standard at 150 units </t>
      </text>
    </comment>
    <comment authorId="0" ref="F59">
      <text>
        <t xml:space="preserve">1358 new
1358 used
2716 total
standard at 150 units </t>
      </text>
    </comment>
    <comment authorId="0" ref="G59">
      <text>
        <t xml:space="preserve">1358 new
1358 used
2716 total
standard at 150 units </t>
      </text>
    </comment>
    <comment authorId="0" ref="H59">
      <text>
        <t xml:space="preserve">1358 new
1358 used
2716 total
standard at 150 units </t>
      </text>
    </comment>
    <comment authorId="0" ref="I59">
      <text>
        <t xml:space="preserve">1358 new
1358 used
2716 total
standard at 150 units </t>
      </text>
    </comment>
    <comment authorId="0" ref="J59">
      <text>
        <t xml:space="preserve">1358 new
1358 used
2716 total
standard at 150 units </t>
      </text>
    </comment>
    <comment authorId="0" ref="K59">
      <text>
        <t xml:space="preserve">1358 new
1358 used
2716 total
standard at 150 units </t>
      </text>
    </comment>
    <comment authorId="0" ref="L59">
      <text>
        <t xml:space="preserve">1358 new
1358 used
2716 total
standard at 150 units </t>
      </text>
    </comment>
    <comment authorId="0" ref="M59">
      <text>
        <t xml:space="preserve">1358 new
1358 used
2716 total
standard at 150 units </t>
      </text>
    </comment>
    <comment authorId="0" ref="B62">
      <text>
        <t xml:space="preserve">100 new
100 used 
(premium listings)</t>
      </text>
    </comment>
    <comment authorId="0" ref="C62">
      <text>
        <t xml:space="preserve">100 new
100 used 
(premium listings)</t>
      </text>
    </comment>
    <comment authorId="0" ref="D62">
      <text>
        <t xml:space="preserve">100 new
100 used 
(premium listings)</t>
      </text>
    </comment>
    <comment authorId="0" ref="E62">
      <text>
        <t xml:space="preserve">100 new
100 used 
(premium listings)</t>
      </text>
    </comment>
    <comment authorId="0" ref="F62">
      <text>
        <t xml:space="preserve">100 new
100 used 
(premium listings)</t>
      </text>
    </comment>
    <comment authorId="0" ref="G62">
      <text>
        <t xml:space="preserve">100 new
100 used 
(premium listings)</t>
      </text>
    </comment>
    <comment authorId="0" ref="H62">
      <text>
        <t xml:space="preserve">100 new
100 used 
(premium listings)</t>
      </text>
    </comment>
    <comment authorId="0" ref="I62">
      <text>
        <t xml:space="preserve">100 new
100 used 
(premium listings)</t>
      </text>
    </comment>
    <comment authorId="0" ref="J62">
      <text>
        <t xml:space="preserve">100 new
100 used 
(premium listings)</t>
      </text>
    </comment>
    <comment authorId="0" ref="K62">
      <text>
        <t xml:space="preserve">100 new
100 used 
(premium listings)</t>
      </text>
    </comment>
    <comment authorId="0" ref="L62">
      <text>
        <t xml:space="preserve">100 new
100 used 
(premium listings)</t>
      </text>
    </comment>
    <comment authorId="0" ref="M62">
      <text>
        <t xml:space="preserve">100 new
100 used 
(premium listings)</t>
      </text>
    </comment>
    <comment authorId="0" ref="B63">
      <text>
        <t xml:space="preserve">8000 NEW/BRAND/REGIONAL
</t>
      </text>
    </comment>
    <comment authorId="0" ref="C63">
      <text>
        <t xml:space="preserve">8000 NEW/BRAND/REGIONAL
</t>
      </text>
    </comment>
    <comment authorId="0" ref="D63">
      <text>
        <t xml:space="preserve">8000 NEW/BRAND/REGIONAL
</t>
      </text>
    </comment>
    <comment authorId="0" ref="E63">
      <text>
        <t xml:space="preserve">8000 NEW/BRAND/REGIONAL
</t>
      </text>
    </comment>
    <comment authorId="0" ref="F63">
      <text>
        <t xml:space="preserve">8000 NEW/BRAND/REGIONAL
</t>
      </text>
    </comment>
    <comment authorId="0" ref="G63">
      <text>
        <t xml:space="preserve">8000 NEW/BRAND/REGIONAL
</t>
      </text>
    </comment>
    <comment authorId="0" ref="H63">
      <text>
        <t xml:space="preserve">8000 NEW/BRAND/REGIONAL
</t>
      </text>
    </comment>
    <comment authorId="0" ref="I63">
      <text>
        <t xml:space="preserve">8000 NEW/BRAND/REGIONAL
</t>
      </text>
    </comment>
    <comment authorId="0" ref="J63">
      <text>
        <t xml:space="preserve">8000 NEW/BRAND/REGIONAL
</t>
      </text>
    </comment>
    <comment authorId="0" ref="K63">
      <text>
        <t xml:space="preserve">8000 NEW/BRAND/REGIONAL
</t>
      </text>
    </comment>
    <comment authorId="0" ref="L63">
      <text>
        <t xml:space="preserve">8000 NEW/BRAND/REGIONAL
</t>
      </text>
    </comment>
    <comment authorId="0" ref="M63">
      <text>
        <t xml:space="preserve">8000 NEW/BRAND/REGIONAL
</t>
      </text>
    </comment>
    <comment authorId="0" ref="B74">
      <text>
        <t xml:space="preserve">1358 new
1358 used
2716 total
standard at 150 units </t>
      </text>
    </comment>
    <comment authorId="0" ref="C74">
      <text>
        <t xml:space="preserve">1358 new
1358 used
2716 total
standard at 150 units </t>
      </text>
    </comment>
    <comment authorId="0" ref="D74">
      <text>
        <t xml:space="preserve">1358 new
1358 used
2716 total
standard at 150 units </t>
      </text>
    </comment>
    <comment authorId="0" ref="E74">
      <text>
        <t xml:space="preserve">1358 new
1358 used
2716 total
standard at 150 units </t>
      </text>
    </comment>
    <comment authorId="0" ref="F74">
      <text>
        <t xml:space="preserve">1358 new
1358 used
2716 total
standard at 150 units </t>
      </text>
    </comment>
    <comment authorId="0" ref="G74">
      <text>
        <t xml:space="preserve">1358 new
1358 used
2716 total
standard at 150 units </t>
      </text>
    </comment>
    <comment authorId="0" ref="H74">
      <text>
        <t xml:space="preserve">1358 new
1358 used
2716 total
standard at 150 units </t>
      </text>
    </comment>
    <comment authorId="0" ref="I74">
      <text>
        <t xml:space="preserve">1358 new
1358 used
2716 total
standard at 150 units </t>
      </text>
    </comment>
    <comment authorId="0" ref="J74">
      <text>
        <t xml:space="preserve">1358 new
1358 used
2716 total
standard at 150 units </t>
      </text>
    </comment>
    <comment authorId="0" ref="K74">
      <text>
        <t xml:space="preserve">1358 new
1358 used
2716 total
standard at 150 units </t>
      </text>
    </comment>
    <comment authorId="0" ref="L74">
      <text>
        <t xml:space="preserve">1358 new
1358 used
2716 total
standard at 150 units </t>
      </text>
    </comment>
    <comment authorId="0" ref="M74">
      <text>
        <t xml:space="preserve">1358 new
1358 used
2716 total
standard at 150 units </t>
      </text>
    </comment>
    <comment authorId="0" ref="B76">
      <text>
        <t xml:space="preserve">store enrolled in autoipacket in feb
799 preowned
199 new</t>
      </text>
    </comment>
    <comment authorId="0" ref="C76">
      <text>
        <t xml:space="preserve">store enrolled in autoipacket in feb
799 preowned
199 new</t>
      </text>
    </comment>
    <comment authorId="0" ref="D76">
      <text>
        <t xml:space="preserve">store enrolled in autoipacket in feb
799 preowned
199 new</t>
      </text>
    </comment>
    <comment authorId="0" ref="E76">
      <text>
        <t xml:space="preserve">store enrolled in autoipacket in feb
799 preowned
199 new</t>
      </text>
    </comment>
    <comment authorId="0" ref="F76">
      <text>
        <t xml:space="preserve">store enrolled in autoipacket in feb
799 preowned
199 new</t>
      </text>
    </comment>
    <comment authorId="0" ref="G76">
      <text>
        <t xml:space="preserve">store enrolled in autoipacket in feb
799 preowned
199 new</t>
      </text>
    </comment>
    <comment authorId="0" ref="H76">
      <text>
        <t xml:space="preserve">store enrolled in autoipacket in feb
799 preowned
199 new</t>
      </text>
    </comment>
    <comment authorId="0" ref="I76">
      <text>
        <t xml:space="preserve">store enrolled in autoipacket in feb
799 preowned
199 new</t>
      </text>
    </comment>
    <comment authorId="0" ref="J76">
      <text>
        <t xml:space="preserve">store enrolled in autoipacket in feb
799 preowned
199 new</t>
      </text>
    </comment>
    <comment authorId="0" ref="K76">
      <text>
        <t xml:space="preserve">store enrolled in autoipacket in feb
799 preowned
199 new</t>
      </text>
    </comment>
    <comment authorId="0" ref="L76">
      <text>
        <t xml:space="preserve">store enrolled in autoipacket in feb
799 preowned
199 new</t>
      </text>
    </comment>
    <comment authorId="0" ref="M76">
      <text>
        <t xml:space="preserve">store enrolled in autoipacket in feb
799 preowned
199 new</t>
      </text>
    </comment>
    <comment authorId="0" ref="B77">
      <text>
        <t xml:space="preserve">100 new
100 used 
(premium listings)</t>
      </text>
    </comment>
    <comment authorId="0" ref="C77">
      <text>
        <t xml:space="preserve">100 new
100 used 
(premium listings)</t>
      </text>
    </comment>
    <comment authorId="0" ref="D77">
      <text>
        <t xml:space="preserve">100 new
100 used 
(premium listings)</t>
      </text>
    </comment>
    <comment authorId="0" ref="E77">
      <text>
        <t xml:space="preserve">100 new
100 used 
(premium listings)</t>
      </text>
    </comment>
    <comment authorId="0" ref="F77">
      <text>
        <t xml:space="preserve">100 new
100 used 
(premium listings)</t>
      </text>
    </comment>
    <comment authorId="0" ref="G77">
      <text>
        <t xml:space="preserve">100 new
100 used 
(premium listings)</t>
      </text>
    </comment>
    <comment authorId="0" ref="H77">
      <text>
        <t xml:space="preserve">100 new
100 used 
(premium listings)</t>
      </text>
    </comment>
    <comment authorId="0" ref="I77">
      <text>
        <t xml:space="preserve">100 new
100 used 
(premium listings)</t>
      </text>
    </comment>
    <comment authorId="0" ref="J77">
      <text>
        <t xml:space="preserve">100 new
100 used 
(premium listings)</t>
      </text>
    </comment>
    <comment authorId="0" ref="K77">
      <text>
        <t xml:space="preserve">100 new
100 used 
(premium listings)</t>
      </text>
    </comment>
    <comment authorId="0" ref="L77">
      <text>
        <t xml:space="preserve">100 new
100 used 
(premium listings)</t>
      </text>
    </comment>
    <comment authorId="0" ref="M77">
      <text>
        <t xml:space="preserve">100 new
100 used 
(premium listings)</t>
      </text>
    </comment>
    <comment authorId="0" ref="B80">
      <text>
        <t xml:space="preserve">2050 enhanced</t>
      </text>
    </comment>
    <comment authorId="0" ref="C80">
      <text>
        <t xml:space="preserve">2050 enhanced</t>
      </text>
    </comment>
    <comment authorId="0" ref="D80">
      <text>
        <t xml:space="preserve">2050 enhanced</t>
      </text>
    </comment>
    <comment authorId="0" ref="E80">
      <text>
        <t xml:space="preserve">2050 enhanced</t>
      </text>
    </comment>
    <comment authorId="0" ref="F80">
      <text>
        <t xml:space="preserve">2050 enhanced</t>
      </text>
    </comment>
    <comment authorId="0" ref="G80">
      <text>
        <t xml:space="preserve">2050 enhanced</t>
      </text>
    </comment>
    <comment authorId="0" ref="H80">
      <text>
        <t xml:space="preserve">2050 enhanced</t>
      </text>
    </comment>
    <comment authorId="0" ref="I80">
      <text>
        <t xml:space="preserve">2050 enhanced</t>
      </text>
    </comment>
    <comment authorId="0" ref="J80">
      <text>
        <t xml:space="preserve">2050 enhanced</t>
      </text>
    </comment>
    <comment authorId="0" ref="K80">
      <text>
        <t xml:space="preserve">2050 enhanced</t>
      </text>
    </comment>
    <comment authorId="0" ref="L80">
      <text>
        <t xml:space="preserve">2050 enhanced</t>
      </text>
    </comment>
    <comment authorId="0" ref="M80">
      <text>
        <t xml:space="preserve">2050 enhanced</t>
      </text>
    </comment>
    <comment authorId="0" ref="C93">
      <text>
        <t xml:space="preserve">$40 no entry signs
$400 parts wholesale flyers</t>
      </text>
    </comment>
    <comment authorId="0" ref="F93">
      <text>
        <t xml:space="preserve">$3,195 front desk sign
$1,550 photo booth step and repeat wall
$1,120 photo booth side glass panels
$1,916 photo booth upper glass panels</t>
      </text>
    </comment>
    <comment authorId="0" ref="G93">
      <text>
        <t xml:space="preserve">$2,980 5x5 PVC hanging 2 sided signs from showroom ceiling
</t>
      </text>
    </comment>
    <comment authorId="0" ref="H93">
      <text>
        <t xml:space="preserve">$7,940 showroom murals
$17,202.57 papercraft signage</t>
      </text>
    </comment>
    <comment authorId="0" ref="I93">
      <text>
        <t xml:space="preserve">$21,255.12 various signage (see multiple invoices)</t>
      </text>
    </comment>
    <comment authorId="0" ref="K93">
      <text>
        <t xml:space="preserve">$734.72 parts notepads
$193.12 Parts Flyer
$6,190.4 Toyota Logo Sign
$956.76 Please Pull Forward signage
$864.96 We Buy Cars and One Team signs</t>
      </text>
    </comment>
    <comment authorId="0" ref="K94">
      <text>
        <t xml:space="preserve">$180 Polin
$200 boxes</t>
      </text>
    </comment>
    <comment authorId="0" ref="B103">
      <text>
        <t xml:space="preserve">$500 Other Group Digital</t>
      </text>
    </comment>
    <comment authorId="0" ref="C103">
      <text>
        <t xml:space="preserve">$500 Other Group Digital</t>
      </text>
    </comment>
    <comment authorId="0" ref="D103">
      <text>
        <t xml:space="preserve">$500 Other Group Digital</t>
      </text>
    </comment>
    <comment authorId="0" ref="E103">
      <text>
        <t xml:space="preserve">$500 Other Group Digital</t>
      </text>
    </comment>
    <comment authorId="0" ref="F103">
      <text>
        <t xml:space="preserve">$500 Other Group Digital</t>
      </text>
    </comment>
    <comment authorId="0" ref="G103">
      <text>
        <t xml:space="preserve">$605 Other Group Digital </t>
      </text>
    </comment>
    <comment authorId="0" ref="H103">
      <text>
        <t xml:space="preserve">$605 Other Group Digital </t>
      </text>
    </comment>
    <comment authorId="0" ref="I103">
      <text>
        <t xml:space="preserve">$500 Other Group Digital</t>
      </text>
    </comment>
    <comment authorId="0" ref="J103">
      <text>
        <t xml:space="preserve">$500 Other Group Digital</t>
      </text>
    </comment>
    <comment authorId="0" ref="K103">
      <text>
        <t xml:space="preserve">$500 Other Group Digital</t>
      </text>
    </comment>
    <comment authorId="0" ref="L103">
      <text>
        <t xml:space="preserve">$500 Other Group Digital</t>
      </text>
    </comment>
    <comment authorId="0" ref="M103">
      <text>
        <t xml:space="preserve">$500 Other Group Digital</t>
      </text>
    </comment>
    <comment authorId="0" ref="B115">
      <text>
        <t xml:space="preserve">$1,495 Easy Care</t>
      </text>
    </comment>
    <comment authorId="0" ref="C115">
      <text>
        <t xml:space="preserve">$1,495 Easy Care</t>
      </text>
    </comment>
    <comment authorId="0" ref="D115">
      <text>
        <t xml:space="preserve">$1,495 Easy Care</t>
      </text>
    </comment>
    <comment authorId="0" ref="E115">
      <text>
        <t xml:space="preserve">$1,495 Easy Care</t>
      </text>
    </comment>
    <comment authorId="0" ref="F115">
      <text>
        <t xml:space="preserve">$1,495 Easy Care</t>
      </text>
    </comment>
    <comment authorId="0" ref="G115">
      <text>
        <t xml:space="preserve">$1,495 Easy Care</t>
      </text>
    </comment>
    <comment authorId="0" ref="H115">
      <text>
        <t xml:space="preserve">$1,495 Easy Care</t>
      </text>
    </comment>
    <comment authorId="0" ref="I115">
      <text>
        <t xml:space="preserve">$1,495 Easy Care</t>
      </text>
    </comment>
    <comment authorId="0" ref="J115">
      <text>
        <t xml:space="preserve">$1,495 Easy Care</t>
      </text>
    </comment>
    <comment authorId="0" ref="K115">
      <text>
        <t xml:space="preserve">$1,495 Easy Care</t>
      </text>
    </comment>
    <comment authorId="0" ref="L115">
      <text>
        <t xml:space="preserve">$1,495 Easy Care</t>
      </text>
    </comment>
    <comment authorId="0" ref="M115">
      <text>
        <t xml:space="preserve">$1,495 Easy Care</t>
      </text>
    </comment>
    <comment authorId="0" ref="B116">
      <text>
        <t xml:space="preserve">$130 TDS Rental Rent a Car 2.0 Pro</t>
      </text>
    </comment>
    <comment authorId="0" ref="C116">
      <text>
        <t xml:space="preserve">$130 TDS Rental Rent a Car 2.0 Pro</t>
      </text>
    </comment>
    <comment authorId="0" ref="D116">
      <text>
        <t xml:space="preserve">$130 TDS Rental Rent a Car 2.0 Pro</t>
      </text>
    </comment>
    <comment authorId="0" ref="E116">
      <text>
        <t xml:space="preserve">$130 TDS Rental Rent a Car 2.0 Pro</t>
      </text>
    </comment>
    <comment authorId="0" ref="F116">
      <text>
        <t xml:space="preserve">$130 TDS Rental Rent a Car 2.0 Pro</t>
      </text>
    </comment>
    <comment authorId="0" ref="G116">
      <text>
        <t xml:space="preserve">$130 TDS Rental Rent a Car 2.0 Pro</t>
      </text>
    </comment>
    <comment authorId="0" ref="H116">
      <text>
        <t xml:space="preserve">$130 TDS Rental Rent a Car 2.0 Pro</t>
      </text>
    </comment>
    <comment authorId="0" ref="I116">
      <text>
        <t xml:space="preserve">$130 TDS Rental Rent a Car 2.0 Pro</t>
      </text>
    </comment>
    <comment authorId="0" ref="J116">
      <text>
        <t xml:space="preserve">$130 TDS Rental Rent a Car 2.0 Pro</t>
      </text>
    </comment>
    <comment authorId="0" ref="K116">
      <text>
        <t xml:space="preserve">$130 TDS Rental Rent a Car 2.0 Pro</t>
      </text>
    </comment>
    <comment authorId="0" ref="L116">
      <text>
        <t xml:space="preserve">$130 TDS Rental Rent a Car 2.0 Pro</t>
      </text>
    </comment>
    <comment authorId="0" ref="M116">
      <text>
        <t xml:space="preserve">$130 TDS Rental Rent a Car 2.0 Pro</t>
      </text>
    </comment>
    <comment authorId="0" ref="B117">
      <text>
        <t xml:space="preserve">500 trigger mail</t>
      </text>
    </comment>
    <comment authorId="0" ref="C117">
      <text>
        <t xml:space="preserve">500 trigger mail</t>
      </text>
    </comment>
    <comment authorId="0" ref="D117">
      <text>
        <t xml:space="preserve">500 trigger mail</t>
      </text>
    </comment>
    <comment authorId="0" ref="E117">
      <text>
        <t xml:space="preserve">500 trigger mail</t>
      </text>
    </comment>
    <comment authorId="0" ref="F117">
      <text>
        <t xml:space="preserve">500 trigger mail</t>
      </text>
    </comment>
    <comment authorId="0" ref="G117">
      <text>
        <t xml:space="preserve">500 trigger mail</t>
      </text>
    </comment>
    <comment authorId="0" ref="H117">
      <text>
        <t xml:space="preserve">500 trigger mail</t>
      </text>
    </comment>
    <comment authorId="0" ref="I117">
      <text>
        <t xml:space="preserve">500 trigger mail</t>
      </text>
    </comment>
    <comment authorId="0" ref="J117">
      <text>
        <t xml:space="preserve">500 trigger mail</t>
      </text>
    </comment>
    <comment authorId="0" ref="K117">
      <text>
        <t xml:space="preserve">500 trigger mail</t>
      </text>
    </comment>
    <comment authorId="0" ref="L117">
      <text>
        <t xml:space="preserve">500 trigger mail</t>
      </text>
    </comment>
    <comment authorId="0" ref="M117">
      <text>
        <t xml:space="preserve">500 trigger mail</t>
      </text>
    </comment>
    <comment authorId="0" ref="B118">
      <text>
        <t xml:space="preserve">1000 (1000 spend + 300 mgmt fee)- fixed ops sem is billed via shift digital</t>
      </text>
    </comment>
    <comment authorId="0" ref="C118">
      <text>
        <t xml:space="preserve">1000 (1000 spend + 300 mgmt fee)- fixed ops sem is billed via shift digital</t>
      </text>
    </comment>
    <comment authorId="0" ref="D118">
      <text>
        <t xml:space="preserve">1000 (1000 spend + 300 mgmt fee)- fixed ops sem is billed via shift digital</t>
      </text>
    </comment>
    <comment authorId="0" ref="E118">
      <text>
        <t xml:space="preserve">1000 (1000 spend + 300 mgmt fee)- fixed ops sem is billed via shift digital</t>
      </text>
    </comment>
    <comment authorId="0" ref="F118">
      <text>
        <t xml:space="preserve">1000 (1000 spend + 300 mgmt fee)- fixed ops sem is billed via shift digital</t>
      </text>
    </comment>
    <comment authorId="0" ref="G118">
      <text>
        <t xml:space="preserve">1000 (1000 spend + 300 mgmt fee)- fixed ops sem is billed via shift digital</t>
      </text>
    </comment>
    <comment authorId="0" ref="H118">
      <text>
        <t xml:space="preserve">1000 (1000 spend + 300 mgmt fee)- fixed ops sem is billed via shift digital</t>
      </text>
    </comment>
    <comment authorId="0" ref="I118">
      <text>
        <t xml:space="preserve">1000 (1000 spend + 300 mgmt fee)- fixed ops sem is billed via shift digital</t>
      </text>
    </comment>
    <comment authorId="0" ref="J118">
      <text>
        <t xml:space="preserve">1000 (1000 spend + 300 mgmt fee)- fixed ops sem is billed via shift digital</t>
      </text>
    </comment>
    <comment authorId="0" ref="K118">
      <text>
        <t xml:space="preserve">1000 (1000 spend + 300 mgmt fee)- fixed ops sem is billed via shift digital</t>
      </text>
    </comment>
    <comment authorId="0" ref="L118">
      <text>
        <t xml:space="preserve">1000 (1000 spend + 300 mgmt fee)- fixed ops sem is billed via shift digital</t>
      </text>
    </comment>
    <comment authorId="0" ref="M118">
      <text>
        <t xml:space="preserve">1000 (1000 spend + 300 mgmt fee)- fixed ops sem is billed via shift digital</t>
      </text>
    </comment>
    <comment authorId="0" ref="B120">
      <text>
        <t xml:space="preserve">$1090 billed by shift on parts statement
$550 billed by Vinco</t>
      </text>
    </comment>
    <comment authorId="0" ref="C120">
      <text>
        <t xml:space="preserve">$1090 billed by shift on parts statement
$550 billed by Vinco</t>
      </text>
    </comment>
    <comment authorId="0" ref="D120">
      <text>
        <t xml:space="preserve">$1090 billed by shift on parts statement
$550 billed by Vinco</t>
      </text>
    </comment>
    <comment authorId="0" ref="E120">
      <text>
        <t xml:space="preserve">$1090 billed by shift on parts statement
$550 billed by Vinco</t>
      </text>
    </comment>
    <comment authorId="0" ref="F120">
      <text>
        <t xml:space="preserve">$1090 billed by shift on parts statement
$550 billed by Vinco</t>
      </text>
    </comment>
    <comment authorId="0" ref="G120">
      <text>
        <t xml:space="preserve">$1090 billed by shift on parts statement
$550 billed by Vinco</t>
      </text>
    </comment>
    <comment authorId="0" ref="H120">
      <text>
        <t xml:space="preserve">$1090 billed by shift on parts statement
$550 billed by Vinco</t>
      </text>
    </comment>
    <comment authorId="0" ref="I120">
      <text>
        <t xml:space="preserve">$1090 billed by shift on parts statement
$550 billed by Vinco</t>
      </text>
    </comment>
    <comment authorId="0" ref="J120">
      <text>
        <t xml:space="preserve">$1090 billed by shift on parts statement
$550 billed by Vinco</t>
      </text>
    </comment>
    <comment authorId="0" ref="K120">
      <text>
        <t xml:space="preserve">$1090 billed by shift on parts statement
$550 billed by Vinco</t>
      </text>
    </comment>
    <comment authorId="0" ref="L120">
      <text>
        <t xml:space="preserve">$1090 billed by shift on parts statement
$550 billed by Vinco</t>
      </text>
    </comment>
    <comment authorId="0" ref="M120">
      <text>
        <t xml:space="preserve">$1090 billed by shift on parts statement
$550 billed by Vinco</t>
      </text>
    </comment>
  </commentList>
</comments>
</file>

<file path=xl/comments2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9">
      <text>
        <t xml:space="preserve">($5750 total invoice for 16 DC stores split over 2 mos ea. ) </t>
      </text>
    </comment>
    <comment authorId="0" ref="C19">
      <text>
        <t xml:space="preserve">($5750 total invoice for 16 DC stores split over 2 mos ea. ) </t>
      </text>
    </comment>
    <comment authorId="0" ref="B34">
      <text>
        <t xml:space="preserve">$1,600 DDC
$124.75 collision center website (1/4 of the charge--splitting up $499 charge to all 4 stores)
$425 AAG (SEO)
</t>
      </text>
    </comment>
    <comment authorId="0" ref="C34">
      <text>
        <t xml:space="preserve">$1,600 DDC
$124.75 collision center website (1/4 of the charge--splitting up $499 charge to all 4 stores)
$425 AAG (SEO)
</t>
      </text>
    </comment>
    <comment authorId="0" ref="D34">
      <text>
        <t xml:space="preserve">$1,600 DDC
$124.75 collision center website (1/4 of the charge--splitting up $499 charge to all 4 stores)
$425 AAG (SEO)
</t>
      </text>
    </comment>
    <comment authorId="0" ref="E34">
      <text>
        <t xml:space="preserve">$1,600 DDC
$124.75 collision center website (1/4 of the charge--splitting up $499 charge to all 4 stores)
$425 AAG (SEO)
</t>
      </text>
    </comment>
    <comment authorId="0" ref="F34">
      <text>
        <t xml:space="preserve">$1,600 DDC
$224.5 collision center website w/SEO now included(1/4 of the charge--splitting up $499 charge to all 4 stores)
$425 AAG (SEO)
</t>
      </text>
    </comment>
    <comment authorId="0" ref="G34">
      <text>
        <t xml:space="preserve">$1,600 DDC
$224.5 collision center website w/SEO now included(1/4 of the charge--splitting up $898 charge to all 4 stores)
$425 AAG (SEO)
</t>
      </text>
    </comment>
    <comment authorId="0" ref="H34">
      <text>
        <t xml:space="preserve">$1,600 DDC
$224.5 collision center website w/SEO now included(1/4 of the charge--splitting up $898 charge to all 4 stores)
$425 AAG (SEO)
</t>
      </text>
    </comment>
    <comment authorId="0" ref="I34">
      <text>
        <t xml:space="preserve">$1,600 DDC
$224.5 collision center website w/SEO now included(1/4 of the charge--splitting up $898 charge to all 4 stores)
$425 AAG (SEO)
</t>
      </text>
    </comment>
    <comment authorId="0" ref="J34">
      <text>
        <t xml:space="preserve">$1,600 DDC
$224.5 collision center website w/SEO now included(1/4 of the charge--splitting up $898 charge to all 4 stores)
$425 AAG (SEO)
</t>
      </text>
    </comment>
    <comment authorId="0" ref="K34">
      <text>
        <t xml:space="preserve">$1,600 DDC
$224.5 collision center website w/SEO now included(1/4 of the charge--splitting up $898 charge to all 4 stores)
$425 AAG (SEO)
</t>
      </text>
    </comment>
    <comment authorId="0" ref="L34">
      <text>
        <t xml:space="preserve">$1,600 DDC
$224.5 collision center website w/SEO now included(1/4 of the charge--splitting up $898 charge to all 4 stores)
$425 AAG (SEO)
</t>
      </text>
    </comment>
    <comment authorId="0" ref="M34">
      <text>
        <t xml:space="preserve">$1,600 DDC
$224.5 collision center website w/SEO now included(1/4 of the charge--splitting up $898 charge to all 4 stores)
$425 AAG (SEO)
</t>
      </text>
    </comment>
    <comment authorId="0" ref="B42">
      <text>
        <t xml:space="preserve">365 for campus
91.25 per roof</t>
      </text>
    </comment>
    <comment authorId="0" ref="C42">
      <text>
        <t xml:space="preserve">365 for campus
91.25 per roof</t>
      </text>
    </comment>
    <comment authorId="0" ref="D42">
      <text>
        <t xml:space="preserve">365 for campus
91.25 per roof</t>
      </text>
    </comment>
    <comment authorId="0" ref="E42">
      <text>
        <t xml:space="preserve">365 for campus
91.25 per roof</t>
      </text>
    </comment>
    <comment authorId="0" ref="F42">
      <text>
        <t xml:space="preserve">365 for campus
91.25 per roof</t>
      </text>
    </comment>
    <comment authorId="0" ref="G42">
      <text>
        <t xml:space="preserve">365 for campus
91.25 per roof</t>
      </text>
    </comment>
    <comment authorId="0" ref="H42">
      <text>
        <t xml:space="preserve">365 for campus
91.25 per roof</t>
      </text>
    </comment>
    <comment authorId="0" ref="I42">
      <text>
        <t xml:space="preserve">365 for campus
91.25 per roof</t>
      </text>
    </comment>
    <comment authorId="0" ref="J42">
      <text>
        <t xml:space="preserve">365 for campus
91.25 per roof</t>
      </text>
    </comment>
    <comment authorId="0" ref="K42">
      <text>
        <t xml:space="preserve">365 for campus
91.25 per roof</t>
      </text>
    </comment>
    <comment authorId="0" ref="L42">
      <text>
        <t xml:space="preserve">365 for campus
91.25 per roof</t>
      </text>
    </comment>
    <comment authorId="0" ref="M42">
      <text>
        <t xml:space="preserve">365 for campus
91.25 per roof</t>
      </text>
    </comment>
    <comment authorId="0" ref="B43">
      <text>
        <t xml:space="preserve">new rate for HG group is $1449; splitting it 4 ways</t>
      </text>
    </comment>
    <comment authorId="0" ref="C43">
      <text>
        <t xml:space="preserve">new rate for HG group is $1449; splitting it 4 ways</t>
      </text>
    </comment>
    <comment authorId="0" ref="D43">
      <text>
        <t xml:space="preserve">new rate for HG group is $1449; splitting it 4 ways</t>
      </text>
    </comment>
    <comment authorId="0" ref="E43">
      <text>
        <t xml:space="preserve">new rate for HG group is $1449; splitting it 4 ways</t>
      </text>
    </comment>
    <comment authorId="0" ref="F43">
      <text>
        <t xml:space="preserve">new rate for HG group is $1449; splitting it 4 ways</t>
      </text>
    </comment>
    <comment authorId="0" ref="G43">
      <text>
        <t xml:space="preserve">new rate for HG group is $1449; splitting it 4 ways</t>
      </text>
    </comment>
    <comment authorId="0" ref="H43">
      <text>
        <t xml:space="preserve">new rate for HG group is $1449; splitting it 4 ways</t>
      </text>
    </comment>
    <comment authorId="0" ref="I43">
      <text>
        <t xml:space="preserve">new rate for HG group is $1449; splitting it 4 ways</t>
      </text>
    </comment>
    <comment authorId="0" ref="J43">
      <text>
        <t xml:space="preserve">new rate for HG group is $1449; splitting it 4 ways</t>
      </text>
    </comment>
    <comment authorId="0" ref="K43">
      <text>
        <t xml:space="preserve">new rate for HG group is $1449; splitting it 4 ways</t>
      </text>
    </comment>
    <comment authorId="0" ref="L43">
      <text>
        <t xml:space="preserve">new rate for HG group is $1449; splitting it 4 ways</t>
      </text>
    </comment>
    <comment authorId="0" ref="M43">
      <text>
        <t xml:space="preserve">new rate for HG group is $1449; splitting it 4 ways</t>
      </text>
    </comment>
    <comment authorId="0" ref="B44">
      <text>
        <t xml:space="preserve">139 (total 398 for 3 stores/3= 133) finance driver billed through dealertrack</t>
      </text>
    </comment>
    <comment authorId="0" ref="C44">
      <text>
        <t xml:space="preserve">139 (total 398 for 3 stores/3= 133) finance driver billed through dealertrack</t>
      </text>
    </comment>
    <comment authorId="0" ref="D44">
      <text>
        <t xml:space="preserve">139 (total 398 for 3 stores/3= 133) finance driver billed through dealertrack</t>
      </text>
    </comment>
    <comment authorId="0" ref="E44">
      <text>
        <t xml:space="preserve">139 (total 398 for 3 stores/3= 133) finance driver billed through dealertrack</t>
      </text>
    </comment>
    <comment authorId="0" ref="F44">
      <text>
        <t xml:space="preserve">139 (total 398 for 3 stores/3= 133) finance driver billed through dealertrack</t>
      </text>
    </comment>
    <comment authorId="0" ref="G44">
      <text>
        <t xml:space="preserve">139 (total 398 for 3 stores/3= 133) finance driver billed through dealertrack</t>
      </text>
    </comment>
    <comment authorId="0" ref="H44">
      <text>
        <t xml:space="preserve">139 (total 398 for 3 stores/3= 133) finance driver billed through dealertrack</t>
      </text>
    </comment>
    <comment authorId="0" ref="I44">
      <text>
        <t xml:space="preserve">139 (total 398 for 3 stores/3= 133) finance driver billed through dealertrack</t>
      </text>
    </comment>
    <comment authorId="0" ref="J44">
      <text>
        <t xml:space="preserve">139 (total 398 for 3 stores/3= 133) finance driver billed through dealertrack</t>
      </text>
    </comment>
    <comment authorId="0" ref="K44">
      <text>
        <t xml:space="preserve">139 (total 398 for 3 stores/3= 133) finance driver billed through dealertrack</t>
      </text>
    </comment>
    <comment authorId="0" ref="L44">
      <text>
        <t xml:space="preserve">139 (total 398 for 3 stores/3= 133) finance driver billed through dealertrack</t>
      </text>
    </comment>
    <comment authorId="0" ref="M44">
      <text>
        <t xml:space="preserve">139 (total 398 for 3 stores/3= 133) finance driver billed through dealertrack</t>
      </text>
    </comment>
    <comment authorId="0" ref="B45">
      <text>
        <t xml:space="preserve">45 Yelp 
97.5 Reputation.com</t>
      </text>
    </comment>
    <comment authorId="0" ref="C45">
      <text>
        <t xml:space="preserve">45 Yelp 
97.5 Reputation.com</t>
      </text>
    </comment>
    <comment authorId="0" ref="D45">
      <text>
        <t xml:space="preserve">45 Yelp 
97.5 Reputation.com</t>
      </text>
    </comment>
    <comment authorId="0" ref="E45">
      <text>
        <t xml:space="preserve">45 Yelp 
97.5 Reputation.com</t>
      </text>
    </comment>
    <comment authorId="0" ref="F45">
      <text>
        <t xml:space="preserve">45 Yelp 
97.5 Reputation.com</t>
      </text>
    </comment>
    <comment authorId="0" ref="G45">
      <text>
        <t xml:space="preserve">45 Yelp 
97.5 Reputation.com</t>
      </text>
    </comment>
    <comment authorId="0" ref="H45">
      <text>
        <t xml:space="preserve">45 Yelp 
97.5 Reputation.com</t>
      </text>
    </comment>
    <comment authorId="0" ref="I45">
      <text>
        <t xml:space="preserve">45 Yelp 
97.5 Reputation.com</t>
      </text>
    </comment>
    <comment authorId="0" ref="J45">
      <text>
        <t xml:space="preserve">45 Yelp 
97.5 Reputation.com</t>
      </text>
    </comment>
    <comment authorId="0" ref="K45">
      <text>
        <t xml:space="preserve">45 Yelp 
97.5 Reputation.com</t>
      </text>
    </comment>
    <comment authorId="0" ref="L45">
      <text>
        <t xml:space="preserve">45 Yelp 
97.5 Reputation.com</t>
      </text>
    </comment>
    <comment authorId="0" ref="M45">
      <text>
        <t xml:space="preserve">45 Yelp 
97.5 Reputation.com</t>
      </text>
    </comment>
    <comment authorId="0" ref="B47">
      <text>
        <t xml:space="preserve">212.50 alli social media/online rep
(850 total for hagerstown)
750
+2750 AutoStarLead 
</t>
      </text>
    </comment>
    <comment authorId="0" ref="C47">
      <text>
        <t xml:space="preserve">212.50 alli social media/online rep
(850 total for hagerstown)
750
+2750 AutoStarLead 
</t>
      </text>
    </comment>
    <comment authorId="0" ref="D47">
      <text>
        <t xml:space="preserve">212.50 alli social media/online rep
(850 total for hagerstown)
750
+2750 AutoStarLead 
</t>
      </text>
    </comment>
    <comment authorId="0" ref="E47">
      <text>
        <t xml:space="preserve">212.50 alli social media/online rep
(850 total for hagerstown)
750
+2750 AutoStarLead 
</t>
      </text>
    </comment>
    <comment authorId="0" ref="F47">
      <text>
        <t xml:space="preserve">212.50 alli social media/online rep
(850 total for hagerstown)
750
+2750 AutoStarLead 
</t>
      </text>
    </comment>
    <comment authorId="0" ref="G47">
      <text>
        <t xml:space="preserve">212.50 alli social media/online rep
(850 total for hagerstown)
750
+2750 AutoStarLead 
</t>
      </text>
    </comment>
    <comment authorId="0" ref="H47">
      <text>
        <t xml:space="preserve">212.50 alli social media/online rep
(850 total for hagerstown)
750
+2750 AutoStarLead 
</t>
      </text>
    </comment>
    <comment authorId="0" ref="I47">
      <text>
        <t xml:space="preserve">212.50 alli social media/online rep
(850 total for hagerstown)
750
+2750 AutoStarLead 
</t>
      </text>
    </comment>
    <comment authorId="0" ref="J47">
      <text>
        <t xml:space="preserve">212.50 alli social media/online rep
(850 total for hagerstown)
750
+2750 AutoStarLead 
</t>
      </text>
    </comment>
    <comment authorId="0" ref="K47">
      <text>
        <t xml:space="preserve">212.50 alli social media/online rep
(850 total for hagerstown)
750
+2750 AutoStarLead 
</t>
      </text>
    </comment>
    <comment authorId="0" ref="L47">
      <text>
        <t xml:space="preserve">212.50 alli social media/online rep
(850 total for hagerstown)
750
+2750 AutoStarLead 
</t>
      </text>
    </comment>
    <comment authorId="0" ref="M47">
      <text>
        <t xml:space="preserve">212.50 alli social media/online rep
(850 total for hagerstown)
750
+2750 AutoStarLead 
</t>
      </text>
    </comment>
    <comment authorId="0" ref="B48">
      <text>
        <t xml:space="preserve">$101.33 PERQ child site
$55.64 sheehy.com
80 we buy cars</t>
      </text>
    </comment>
    <comment authorId="0" ref="C48">
      <text>
        <t xml:space="preserve">$101.33 PERQ child site
$55.64 sheehy.com
80 we buy cars</t>
      </text>
    </comment>
    <comment authorId="0" ref="D48">
      <text>
        <t xml:space="preserve">$101.33 PERQ child site
$55.64 sheehy.com
80 we buy cars</t>
      </text>
    </comment>
    <comment authorId="0" ref="E48">
      <text>
        <t xml:space="preserve">$101.33 PERQ child site
$55.64 sheehy.com
80 we buy cars</t>
      </text>
    </comment>
    <comment authorId="0" ref="F48">
      <text>
        <t xml:space="preserve">$101.33 PERQ child site
$55.64 sheehy.com
80 we buy cars</t>
      </text>
    </comment>
    <comment authorId="0" ref="G48">
      <text>
        <t xml:space="preserve">$101.33 PERQ child site
$55.64 sheehy.com
80 we buy cars</t>
      </text>
    </comment>
    <comment authorId="0" ref="H48">
      <text>
        <t xml:space="preserve">$101.33 PERQ child site
$55.64 sheehy.com
80 we buy cars</t>
      </text>
    </comment>
    <comment authorId="0" ref="I48">
      <text>
        <t xml:space="preserve">$101.33 PERQ child site
$55.64 sheehy.com
80 we buy cars</t>
      </text>
    </comment>
    <comment authorId="0" ref="J48">
      <text>
        <t xml:space="preserve">$101.33 PERQ child site
$55.64 sheehy.com
80 we buy cars</t>
      </text>
    </comment>
    <comment authorId="0" ref="K48">
      <text>
        <t xml:space="preserve">$101.33 PERQ child site
$55.64 sheehy.com
80 we buy cars</t>
      </text>
    </comment>
    <comment authorId="0" ref="L48">
      <text>
        <t xml:space="preserve">$101.33 PERQ child site
$55.64 sheehy.com
80 we buy cars</t>
      </text>
    </comment>
    <comment authorId="0" ref="M48">
      <text>
        <t xml:space="preserve">$101.33 PERQ child site
$55.64 sheehy.com
80 we buy cars</t>
      </text>
    </comment>
    <comment authorId="0" ref="B54">
      <text>
        <t xml:space="preserve">2000 ILM leads- required/no cap 
</t>
      </text>
    </comment>
    <comment authorId="0" ref="C54">
      <text>
        <t xml:space="preserve">2000 ILM leads- required/no cap 
</t>
      </text>
    </comment>
    <comment authorId="0" ref="D54">
      <text>
        <t xml:space="preserve">2000 ILM leads- required/no cap 
</t>
      </text>
    </comment>
    <comment authorId="0" ref="E54">
      <text>
        <t xml:space="preserve">2000 ILM leads- required/no cap 
</t>
      </text>
    </comment>
    <comment authorId="0" ref="F54">
      <text>
        <t xml:space="preserve">2000 ILM leads- required/no cap 
</t>
      </text>
    </comment>
    <comment authorId="0" ref="G54">
      <text>
        <t xml:space="preserve">2000 ILM leads- required/no cap 
</t>
      </text>
    </comment>
    <comment authorId="0" ref="H54">
      <text>
        <t xml:space="preserve">2000 ILM leads- required/no cap 
</t>
      </text>
    </comment>
    <comment authorId="0" ref="I54">
      <text>
        <t xml:space="preserve">2000 ILM leads- required/no cap 
</t>
      </text>
    </comment>
    <comment authorId="0" ref="J54">
      <text>
        <t xml:space="preserve">2000 ILM leads- required/no cap 
</t>
      </text>
    </comment>
    <comment authorId="0" ref="K54">
      <text>
        <t xml:space="preserve">2000 ILM leads- required/no cap 
</t>
      </text>
    </comment>
    <comment authorId="0" ref="L54">
      <text>
        <t xml:space="preserve">2000 ILM leads- required/no cap 
</t>
      </text>
    </comment>
    <comment authorId="0" ref="M54">
      <text>
        <t xml:space="preserve">2000 ILM leads- required/no cap 
</t>
      </text>
    </comment>
    <comment authorId="0" ref="B55">
      <text>
        <t xml:space="preserve">1,075per store @ 30mi
(4300 total for campus -- includes trade/reach and subscription)</t>
      </text>
    </comment>
    <comment authorId="0" ref="C55">
      <text>
        <t xml:space="preserve">1,075per store @ 30mi
(4300 total for campus -- includes trade/reach and subscription)</t>
      </text>
    </comment>
    <comment authorId="0" ref="D55">
      <text>
        <t xml:space="preserve">1,075per store @ 30mi
(4300 total for campus -- includes trade/reach and subscription)</t>
      </text>
    </comment>
    <comment authorId="0" ref="E55">
      <text>
        <t xml:space="preserve">1,075per store @ 30mi
(4300 total for campus -- includes trade/reach and subscription)</t>
      </text>
    </comment>
    <comment authorId="0" ref="F55">
      <text>
        <t xml:space="preserve">1,075per store @ 30mi
(4300 total for campus -- includes trade/reach and subscription)</t>
      </text>
    </comment>
    <comment authorId="0" ref="G55">
      <text>
        <t xml:space="preserve">1,075per store @ 30mi
(4300 total for campus -- includes trade/reach and subscription)</t>
      </text>
    </comment>
    <comment authorId="0" ref="H55">
      <text>
        <t xml:space="preserve">1,075per store @ 30mi
(4300 total for campus -- includes trade/reach and subscription)</t>
      </text>
    </comment>
    <comment authorId="0" ref="I55">
      <text>
        <t xml:space="preserve">1,075per store @ 30mi
(4300 total for campus -- includes trade/reach and subscription)</t>
      </text>
    </comment>
    <comment authorId="0" ref="J55">
      <text>
        <t xml:space="preserve">1,075per store @ 30mi
(4300 total for campus -- includes trade/reach and subscription)</t>
      </text>
    </comment>
    <comment authorId="0" ref="K55">
      <text>
        <t xml:space="preserve">1,075per store @ 30mi
(4300 total for campus -- includes trade/reach and subscription)</t>
      </text>
    </comment>
    <comment authorId="0" ref="L55">
      <text>
        <t xml:space="preserve">1,075per store @ 30mi
(4300 total for campus -- includes trade/reach and subscription)</t>
      </text>
    </comment>
    <comment authorId="0" ref="M55">
      <text>
        <t xml:space="preserve">1,075per store @ 30mi
(4300 total for campus -- includes trade/reach and subscription)</t>
      </text>
    </comment>
    <comment authorId="0" ref="B56">
      <text>
        <t xml:space="preserve">399 Trade tool with Purecars
351 mgmt fee
57 Data Management fee</t>
      </text>
    </comment>
    <comment authorId="0" ref="C56">
      <text>
        <t xml:space="preserve">399 Trade tool with Purecars
351 mgmt fee
57 Data Management fee</t>
      </text>
    </comment>
    <comment authorId="0" ref="D56">
      <text>
        <t xml:space="preserve">399 Trade tool with Purecars
351 mgmt fee
57 Data Management fee</t>
      </text>
    </comment>
    <comment authorId="0" ref="E56">
      <text>
        <t xml:space="preserve">399 Trade tool with Purecars
351 mgmt fee
57 Data Management fee</t>
      </text>
    </comment>
    <comment authorId="0" ref="F56">
      <text>
        <t xml:space="preserve">399 Trade tool with Purecars
351 mgmt fee
57 Data Management fee</t>
      </text>
    </comment>
    <comment authorId="0" ref="G56">
      <text>
        <t xml:space="preserve">399 Trade tool with Purecars
351 mgmt fee
57 Data Management fee</t>
      </text>
    </comment>
    <comment authorId="0" ref="H56">
      <text>
        <t xml:space="preserve">399 Trade tool with Purecars
351 mgmt fee
57 Data Management fee</t>
      </text>
    </comment>
    <comment authorId="0" ref="I56">
      <text>
        <t xml:space="preserve">399 Trade tool with Purecars
351 mgmt fee
57 Data Management fee</t>
      </text>
    </comment>
    <comment authorId="0" ref="J56">
      <text>
        <t xml:space="preserve">399 Trade tool with Purecars
351 mgmt fee
57 Data Management fee</t>
      </text>
    </comment>
    <comment authorId="0" ref="K56">
      <text>
        <t xml:space="preserve">399 Trade tool with Purecars
351 mgmt fee
57 Data Management fee</t>
      </text>
    </comment>
    <comment authorId="0" ref="L56">
      <text>
        <t xml:space="preserve">399 Trade tool with Purecars
351 mgmt fee
57 Data Management fee</t>
      </text>
    </comment>
    <comment authorId="0" ref="M56">
      <text>
        <t xml:space="preserve">399 Trade tool with Purecars
351 mgmt fee
57 Data Management fee</t>
      </text>
    </comment>
    <comment authorId="0" ref="B59">
      <text>
        <t xml:space="preserve">312.50 NEW
312.50 USED
625 STORE
2500 CAMPUS
tbd</t>
      </text>
    </comment>
    <comment authorId="0" ref="C59">
      <text>
        <t xml:space="preserve">312.50 NEW
312.50 USED
625 STORE
2500 CAMPUS
tbd</t>
      </text>
    </comment>
    <comment authorId="0" ref="D59">
      <text>
        <t xml:space="preserve">312.50 NEW
312.50 USED
625 STORE
2500 CAMPUS
tbd</t>
      </text>
    </comment>
    <comment authorId="0" ref="E59">
      <text>
        <t xml:space="preserve">312.50 NEW
312.50 USED
625 STORE
2500 CAMPUS
tbd</t>
      </text>
    </comment>
    <comment authorId="0" ref="F59">
      <text>
        <t xml:space="preserve">312.50 NEW
312.50 USED
625 STORE
2500 CAMPUS
tbd</t>
      </text>
    </comment>
    <comment authorId="0" ref="G59">
      <text>
        <t xml:space="preserve">312.50 NEW
312.50 USED
625 STORE
2500 CAMPUS
tbd</t>
      </text>
    </comment>
    <comment authorId="0" ref="H59">
      <text>
        <t xml:space="preserve">312.50 NEW
312.50 USED
625 STORE
2500 CAMPUS
tbd</t>
      </text>
    </comment>
    <comment authorId="0" ref="I59">
      <text>
        <t xml:space="preserve">312.50 NEW
312.50 USED
625 STORE
2500 CAMPUS
tbd</t>
      </text>
    </comment>
    <comment authorId="0" ref="J59">
      <text>
        <t xml:space="preserve">312.50 NEW
312.50 USED
625 STORE
2500 CAMPUS
tbd</t>
      </text>
    </comment>
    <comment authorId="0" ref="K59">
      <text>
        <t xml:space="preserve">312.50 NEW
312.50 USED
625 STORE
2500 CAMPUS
tbd</t>
      </text>
    </comment>
    <comment authorId="0" ref="L59">
      <text>
        <t xml:space="preserve">312.50 NEW
312.50 USED
625 STORE
2500 CAMPUS
tbd</t>
      </text>
    </comment>
    <comment authorId="0" ref="M59">
      <text>
        <t xml:space="preserve">312.50 NEW
312.50 USED
625 STORE
2500 CAMPUS
tbd</t>
      </text>
    </comment>
    <comment authorId="0" ref="B63">
      <text>
        <t xml:space="preserve">6400 new
+1890</t>
      </text>
    </comment>
    <comment authorId="0" ref="C63">
      <text>
        <t xml:space="preserve">6400 new
+1890</t>
      </text>
    </comment>
    <comment authorId="0" ref="D63">
      <text>
        <t xml:space="preserve">6400 new
+1890</t>
      </text>
    </comment>
    <comment authorId="0" ref="E63">
      <text>
        <t xml:space="preserve">6400 new
+1890</t>
      </text>
    </comment>
    <comment authorId="0" ref="F63">
      <text>
        <t xml:space="preserve">6400 new
+1890</t>
      </text>
    </comment>
    <comment authorId="0" ref="G63">
      <text>
        <t xml:space="preserve">6400 new
+1890</t>
      </text>
    </comment>
    <comment authorId="0" ref="H63">
      <text>
        <t xml:space="preserve">6400 new
+1890</t>
      </text>
    </comment>
    <comment authorId="0" ref="I63">
      <text>
        <t xml:space="preserve">6400 new
+1890</t>
      </text>
    </comment>
    <comment authorId="0" ref="J63">
      <text>
        <t xml:space="preserve">6400 new
+1890</t>
      </text>
    </comment>
    <comment authorId="0" ref="K63">
      <text>
        <t xml:space="preserve">6400 new
+1890</t>
      </text>
    </comment>
    <comment authorId="0" ref="L63">
      <text>
        <t xml:space="preserve">6400 new
+1890</t>
      </text>
    </comment>
    <comment authorId="0" ref="M63">
      <text>
        <t xml:space="preserve">6400 new
+1890</t>
      </text>
    </comment>
    <comment authorId="0" ref="B72">
      <text>
        <t xml:space="preserve">TBD
</t>
      </text>
    </comment>
    <comment authorId="0" ref="C72">
      <text>
        <t xml:space="preserve">TBD
</t>
      </text>
    </comment>
    <comment authorId="0" ref="D72">
      <text>
        <t xml:space="preserve">TBD
</t>
      </text>
    </comment>
    <comment authorId="0" ref="E72">
      <text>
        <t xml:space="preserve">TBD
</t>
      </text>
    </comment>
    <comment authorId="0" ref="F72">
      <text>
        <t xml:space="preserve">TBD
</t>
      </text>
    </comment>
    <comment authorId="0" ref="G72">
      <text>
        <t xml:space="preserve">TBD
</t>
      </text>
    </comment>
    <comment authorId="0" ref="H72">
      <text>
        <t xml:space="preserve">TBD
</t>
      </text>
    </comment>
    <comment authorId="0" ref="I72">
      <text>
        <t xml:space="preserve">TBD
</t>
      </text>
    </comment>
    <comment authorId="0" ref="J72">
      <text>
        <t xml:space="preserve">TBD
</t>
      </text>
    </comment>
    <comment authorId="0" ref="K72">
      <text>
        <t xml:space="preserve">TBD
</t>
      </text>
    </comment>
    <comment authorId="0" ref="L72">
      <text>
        <t xml:space="preserve">TBD
</t>
      </text>
    </comment>
    <comment authorId="0" ref="M72">
      <text>
        <t xml:space="preserve">TBD
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B74">
      <text>
        <t xml:space="preserve">312.50 NEW
312.50 USED
625 STORE
2500 CAMPUS
tbd</t>
      </text>
    </comment>
    <comment authorId="0" ref="C74">
      <text>
        <t xml:space="preserve">312.50 NEW
312.50 USED
625 STORE
2500 CAMPUS
tbd</t>
      </text>
    </comment>
    <comment authorId="0" ref="D74">
      <text>
        <t xml:space="preserve">312.50 NEW
312.50 USED
625 STORE
2500 CAMPUS
tbd</t>
      </text>
    </comment>
    <comment authorId="0" ref="E74">
      <text>
        <t xml:space="preserve">312.50 NEW
312.50 USED
625 STORE
2500 CAMPUS
tbd</t>
      </text>
    </comment>
    <comment authorId="0" ref="F74">
      <text>
        <t xml:space="preserve">312.50 NEW
312.50 USED
625 STORE
2500 CAMPUS
tbd</t>
      </text>
    </comment>
    <comment authorId="0" ref="G74">
      <text>
        <t xml:space="preserve">312.50 NEW
312.50 USED
625 STORE
2500 CAMPUS
tbd</t>
      </text>
    </comment>
    <comment authorId="0" ref="H74">
      <text>
        <t xml:space="preserve">312.50 NEW
312.50 USED
625 STORE
2500 CAMPUS
tbd</t>
      </text>
    </comment>
    <comment authorId="0" ref="I74">
      <text>
        <t xml:space="preserve">312.50 NEW
312.50 USED
625 STORE
2500 CAMPUS
tbd</t>
      </text>
    </comment>
    <comment authorId="0" ref="J74">
      <text>
        <t xml:space="preserve">312.50 NEW
312.50 USED
625 STORE
2500 CAMPUS
tbd</t>
      </text>
    </comment>
    <comment authorId="0" ref="K74">
      <text>
        <t xml:space="preserve">312.50 NEW
312.50 USED
625 STORE
2500 CAMPUS
tbd</t>
      </text>
    </comment>
    <comment authorId="0" ref="L74">
      <text>
        <t xml:space="preserve">312.50 NEW
312.50 USED
625 STORE
2500 CAMPUS
tbd</t>
      </text>
    </comment>
    <comment authorId="0" ref="M74">
      <text>
        <t xml:space="preserve">312.50 NEW
312.50 USED
625 STORE
2500 CAMPUS
tbd</t>
      </text>
    </comment>
    <comment authorId="0" ref="B79">
      <text>
        <t xml:space="preserve">198.33 ($595 for SU/VW/MZ combined) KBB ICO</t>
      </text>
    </comment>
    <comment authorId="0" ref="C79">
      <text>
        <t xml:space="preserve">1,087.83 (split evenly across all 4 stores) KBB ICO</t>
      </text>
    </comment>
    <comment authorId="0" ref="D79">
      <text>
        <t xml:space="preserve">1,087.83 (split evenly across all 4 stores) KBB ICO</t>
      </text>
    </comment>
    <comment authorId="0" ref="E79">
      <text>
        <t xml:space="preserve">1,087.83 (split evenly across all 4 stores) KBB ICO</t>
      </text>
    </comment>
    <comment authorId="0" ref="F79">
      <text>
        <t xml:space="preserve">1,087.83 (split evenly across all 4 stores) KBB ICO</t>
      </text>
    </comment>
    <comment authorId="0" ref="G79">
      <text>
        <t xml:space="preserve">1,087.83 (split evenly across all 4 stores) KBB ICO</t>
      </text>
    </comment>
    <comment authorId="0" ref="H79">
      <text>
        <t xml:space="preserve">1,087.83 (split evenly across all 4 stores) KBB ICO</t>
      </text>
    </comment>
    <comment authorId="0" ref="I79">
      <text>
        <t xml:space="preserve">1,087.83 (split evenly across all 4 stores) KBB ICO</t>
      </text>
    </comment>
    <comment authorId="0" ref="J79">
      <text>
        <t xml:space="preserve">1,087.83 (split evenly across all 4 stores) KBB ICO</t>
      </text>
    </comment>
    <comment authorId="0" ref="K79">
      <text>
        <t xml:space="preserve">1,087.83 (split evenly across all 4 stores) KBB ICO</t>
      </text>
    </comment>
    <comment authorId="0" ref="L79">
      <text>
        <t xml:space="preserve">1,087.83 (split evenly across all 4 stores) KBB ICO</t>
      </text>
    </comment>
    <comment authorId="0" ref="M79">
      <text>
        <t xml:space="preserve">1,087.83 (split evenly across all 4 stores) KBB ICO</t>
      </text>
    </comment>
    <comment authorId="0" ref="B80">
      <text>
        <t xml:space="preserve">250 Cargurus (1000 for group) </t>
      </text>
    </comment>
    <comment authorId="0" ref="C80">
      <text>
        <t xml:space="preserve">250 Cargurus (1000 for group) </t>
      </text>
    </comment>
    <comment authorId="0" ref="D80">
      <text>
        <t xml:space="preserve">250 Cargurus (1000 for group) </t>
      </text>
    </comment>
    <comment authorId="0" ref="E80">
      <text>
        <t xml:space="preserve">250 Cargurus (1000 for group) </t>
      </text>
    </comment>
    <comment authorId="0" ref="F80">
      <text>
        <t xml:space="preserve">250 Cargurus (1000 for group) </t>
      </text>
    </comment>
    <comment authorId="0" ref="G80">
      <text>
        <t xml:space="preserve">250 Cargurus (1000 for group) </t>
      </text>
    </comment>
    <comment authorId="0" ref="H80">
      <text>
        <t xml:space="preserve">250 Cargurus (1000 for group) </t>
      </text>
    </comment>
    <comment authorId="0" ref="I80">
      <text>
        <t xml:space="preserve">250 Cargurus (1000 for group) </t>
      </text>
    </comment>
    <comment authorId="0" ref="J80">
      <text>
        <t xml:space="preserve">250 Cargurus (1000 for group) </t>
      </text>
    </comment>
    <comment authorId="0" ref="K80">
      <text>
        <t xml:space="preserve">250 Cargurus (1000 for group) </t>
      </text>
    </comment>
    <comment authorId="0" ref="L80">
      <text>
        <t xml:space="preserve">250 Cargurus (1000 for group) </t>
      </text>
    </comment>
    <comment authorId="0" ref="M80">
      <text>
        <t xml:space="preserve">250 Cargurus (1000 for group) </t>
      </text>
    </comment>
    <comment authorId="0" ref="B86">
      <text>
        <t xml:space="preserve">1680 (for campus, divide by 4 for each store to be 420)</t>
      </text>
    </comment>
    <comment authorId="0" ref="C86">
      <text>
        <t xml:space="preserve">1680 (for campus, divide by 4 for each store to be 420)</t>
      </text>
    </comment>
    <comment authorId="0" ref="D86">
      <text>
        <t xml:space="preserve">1680 (for campus, divide by 4 for each store to be 420)</t>
      </text>
    </comment>
    <comment authorId="0" ref="E86">
      <text>
        <t xml:space="preserve">1680 (for campus, divide by 4 for each store to be 420)</t>
      </text>
    </comment>
    <comment authorId="0" ref="F86">
      <text>
        <t xml:space="preserve">1680 (for campus, divide by 4 for each store to be 420)</t>
      </text>
    </comment>
    <comment authorId="0" ref="G86">
      <text>
        <t xml:space="preserve">1680 (for campus, divide by 4 for each store to be 420)</t>
      </text>
    </comment>
    <comment authorId="0" ref="H86">
      <text>
        <t xml:space="preserve">1680 (for campus, divide by 4 for each store to be 420)</t>
      </text>
    </comment>
    <comment authorId="0" ref="I86">
      <text>
        <t xml:space="preserve">1680 (for campus, divide by 4 for each store to be 420)</t>
      </text>
    </comment>
    <comment authorId="0" ref="J86">
      <text>
        <t xml:space="preserve">1680 (for campus, divide by 4 for each store to be 420)</t>
      </text>
    </comment>
    <comment authorId="0" ref="K86">
      <text>
        <t xml:space="preserve">1680 (for campus, divide by 4 for each store to be 420)</t>
      </text>
    </comment>
    <comment authorId="0" ref="L86">
      <text>
        <t xml:space="preserve">1680 (for campus, divide by 4 for each store to be 420)</t>
      </text>
    </comment>
    <comment authorId="0" ref="M86">
      <text>
        <t xml:space="preserve">1680 (for campus, divide by 4 for each store to be 420)</t>
      </text>
    </comment>
    <comment authorId="0" ref="K93">
      <text>
        <t xml:space="preserve">$350 big check
$235.85 CSI banner split up evenly amongst all 4 stores
$126.67 One Team Mural</t>
      </text>
    </comment>
    <comment authorId="0" ref="K94">
      <text>
        <t xml:space="preserve">$180 Polin
$200 boxes
</t>
      </text>
    </comment>
    <comment authorId="0" ref="C95">
      <text>
        <t xml:space="preserve">$60.75 step and repeat</t>
      </text>
    </comment>
    <comment authorId="0" ref="B103">
      <text>
        <t xml:space="preserve">125 SHEEHY.COM 
125 OTHER DIGITAL 
(1000 FOR CAMPUS TOTAL/4 STORES)</t>
      </text>
    </comment>
    <comment authorId="0" ref="C103">
      <text>
        <t xml:space="preserve">125 SHEEHY.COM 
125 OTHER DIGITAL 
(1000 FOR CAMPUS TOTAL/4 STORES)</t>
      </text>
    </comment>
    <comment authorId="0" ref="D103">
      <text>
        <t xml:space="preserve">100 SHEEHY.COM 
113.63 WJA Sponsorship</t>
      </text>
    </comment>
    <comment authorId="0" ref="E103">
      <text>
        <t xml:space="preserve">125 SHEEHY.COM 
125 OTHER DIGITAL 
(1000 FOR CAMPUS TOTAL/4 STORES)</t>
      </text>
    </comment>
    <comment authorId="0" ref="F103">
      <text>
        <t xml:space="preserve">125 SHEEHY.COM 
125 OTHER DIGITAL 
(1000 FOR CAMPUS TOTAL/4 STORES)</t>
      </text>
    </comment>
    <comment authorId="0" ref="G103">
      <text>
        <t xml:space="preserve">125 SHEEHY.COM 
125 OTHER DIGITAL 
(1000 FOR CAMPUS TOTAL/4 STORES)</t>
      </text>
    </comment>
    <comment authorId="0" ref="H103">
      <text>
        <t xml:space="preserve">125 SHEEHY.COM 
125 OTHER DIGITAL 
(1000 FOR CAMPUS TOTAL/4 STORES)</t>
      </text>
    </comment>
    <comment authorId="0" ref="I103">
      <text>
        <t xml:space="preserve">125 SHEEHY.COM 
125 OTHER DIGITAL 
(1000 FOR CAMPUS TOTAL/4 STORES)</t>
      </text>
    </comment>
    <comment authorId="0" ref="J103">
      <text>
        <t xml:space="preserve">125 SHEEHY.COM 
125 OTHER DIGITAL 
(1000 FOR CAMPUS TOTAL/4 STORES)</t>
      </text>
    </comment>
    <comment authorId="0" ref="K103">
      <text>
        <t xml:space="preserve">125 SHEEHY.COM 
125 OTHER DIGITAL 
(1000 FOR CAMPUS TOTAL/4 STORES)</t>
      </text>
    </comment>
    <comment authorId="0" ref="L103">
      <text>
        <t xml:space="preserve">125 SHEEHY.COM 
125 OTHER DIGITAL 
(1000 FOR CAMPUS TOTAL/4 STORES)</t>
      </text>
    </comment>
    <comment authorId="0" ref="M103">
      <text>
        <t xml:space="preserve">125 SHEEHY.COM 
125 OTHER DIGITAL 
(1000 FOR CAMPUS TOTAL/4 STORES)</t>
      </text>
    </comment>
    <comment authorId="0" ref="B108">
      <text>
        <t xml:space="preserve">based on 2017 reimbursements</t>
      </text>
    </comment>
    <comment authorId="0" ref="C108">
      <text>
        <t xml:space="preserve">based on 2017 reimbursements</t>
      </text>
    </comment>
    <comment authorId="0" ref="D108">
      <text>
        <t xml:space="preserve">based on 2017 reimbursements</t>
      </text>
    </comment>
    <comment authorId="0" ref="E108">
      <text>
        <t xml:space="preserve">based on 2017 reimbursements</t>
      </text>
    </comment>
    <comment authorId="0" ref="F108">
      <text>
        <t xml:space="preserve">based on 2017 reimbursements</t>
      </text>
    </comment>
    <comment authorId="0" ref="G108">
      <text>
        <t xml:space="preserve">based on 2017 reimbursements</t>
      </text>
    </comment>
    <comment authorId="0" ref="H108">
      <text>
        <t xml:space="preserve">based on 2017 reimbursements</t>
      </text>
    </comment>
    <comment authorId="0" ref="I108">
      <text>
        <t xml:space="preserve">based on 2017 reimbursements</t>
      </text>
    </comment>
    <comment authorId="0" ref="J108">
      <text>
        <t xml:space="preserve">based on 2017 reimbursements</t>
      </text>
    </comment>
    <comment authorId="0" ref="K108">
      <text>
        <t xml:space="preserve">based on 2017 reimbursements</t>
      </text>
    </comment>
    <comment authorId="0" ref="L108">
      <text>
        <t xml:space="preserve">based on 2017 reimbursements</t>
      </text>
    </comment>
    <comment authorId="0" ref="M108">
      <text>
        <t xml:space="preserve">based on 2017 reimbursements</t>
      </text>
    </comment>
    <comment authorId="0" ref="B115">
      <text>
        <t xml:space="preserve">$395 Easy Care
</t>
      </text>
    </comment>
    <comment authorId="0" ref="C115">
      <text>
        <t xml:space="preserve">$395 Easy Care
</t>
      </text>
    </comment>
    <comment authorId="0" ref="D115">
      <text>
        <t xml:space="preserve">$395 Easy Care
</t>
      </text>
    </comment>
    <comment authorId="0" ref="E115">
      <text>
        <t xml:space="preserve">$395 Easy Care
</t>
      </text>
    </comment>
    <comment authorId="0" ref="F115">
      <text>
        <t xml:space="preserve">$395 Easy Care
</t>
      </text>
    </comment>
    <comment authorId="0" ref="G115">
      <text>
        <t xml:space="preserve">$395 Easy Care
</t>
      </text>
    </comment>
    <comment authorId="0" ref="H115">
      <text>
        <t xml:space="preserve">$395 Easy Care
</t>
      </text>
    </comment>
    <comment authorId="0" ref="I115">
      <text>
        <t xml:space="preserve">$395 Easy Care
</t>
      </text>
    </comment>
    <comment authorId="0" ref="J115">
      <text>
        <t xml:space="preserve">$395 Easy Care
</t>
      </text>
    </comment>
    <comment authorId="0" ref="K115">
      <text>
        <t xml:space="preserve">$395 Easy Care
</t>
      </text>
    </comment>
    <comment authorId="0" ref="L115">
      <text>
        <t xml:space="preserve">$395 Easy Care
</t>
      </text>
    </comment>
    <comment authorId="0" ref="M115">
      <text>
        <t xml:space="preserve">$395 Easy Care
</t>
      </text>
    </comment>
    <comment authorId="0" ref="B117">
      <text>
        <t xml:space="preserve">$1,648.08 quarterly mailer</t>
      </text>
    </comment>
    <comment authorId="0" ref="E117">
      <text>
        <t xml:space="preserve">$1,648.08 quarterly mailer</t>
      </text>
    </comment>
    <comment authorId="0" ref="H117">
      <text>
        <t xml:space="preserve">$1,648.08 quarterly mailer</t>
      </text>
    </comment>
    <comment authorId="0" ref="B118">
      <text>
        <t xml:space="preserve">117 collision SEM mgmt fee
666 collision SEM spend
</t>
      </text>
    </comment>
    <comment authorId="0" ref="C118">
      <text>
        <t xml:space="preserve">117 collision SEM mgmt fee
666 collision SEM spend
</t>
      </text>
    </comment>
    <comment authorId="0" ref="D118">
      <text>
        <t xml:space="preserve">117 collision SEM mgmt fee
666 collision SEM spend
</t>
      </text>
    </comment>
    <comment authorId="0" ref="E118">
      <text>
        <t xml:space="preserve">117 collision SEM mgmt fee
666 collision SEM spend
</t>
      </text>
    </comment>
    <comment authorId="0" ref="F118">
      <text>
        <t xml:space="preserve">117 collision SEM mgmt fee
666 collision SEM spend
</t>
      </text>
    </comment>
    <comment authorId="0" ref="G118">
      <text>
        <t xml:space="preserve">117 collision SEM mgmt fee
666 collision SEM spend
</t>
      </text>
    </comment>
    <comment authorId="0" ref="H118">
      <text>
        <t xml:space="preserve">117 collision SEM mgmt fee
666 collision SEM spend
</t>
      </text>
    </comment>
    <comment authorId="0" ref="I118">
      <text>
        <t xml:space="preserve">117 collision SEM mgmt fee
666 collision SEM spend
</t>
      </text>
    </comment>
    <comment authorId="0" ref="J118">
      <text>
        <t xml:space="preserve">117 collision SEM mgmt fee
666 collision SEM spend
</t>
      </text>
    </comment>
    <comment authorId="0" ref="K118">
      <text>
        <t xml:space="preserve">117 collision SEM mgmt fee
666 collision SEM spend
</t>
      </text>
    </comment>
    <comment authorId="0" ref="L118">
      <text>
        <t xml:space="preserve">117 collision SEM mgmt fee
666 collision SEM spend
</t>
      </text>
    </comment>
    <comment authorId="0" ref="M118">
      <text>
        <t xml:space="preserve">117 collision SEM mgmt fee
666 collision SEM spend
</t>
      </text>
    </comment>
  </commentList>
</comments>
</file>

<file path=xl/comments2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4">
      <text>
        <t xml:space="preserve">1999 dealerfire
$124.75 collision center website (1/4 of the charge--splitting up $499 charge to all 4 stores)
$425 AAG (SEO)</t>
      </text>
    </comment>
    <comment authorId="0" ref="C34">
      <text>
        <t xml:space="preserve">1999 dealerfire
$124.75 collision center website (1/4 of the charge--splitting up $499 charge to all 4 stores)
$425 AAG (SEO)</t>
      </text>
    </comment>
    <comment authorId="0" ref="D34">
      <text>
        <t xml:space="preserve">1999 dealerfire
$124.75 collision center website (1/4 of the charge--splitting up $499 charge to all 4 stores)
$425 AAG (SEO)</t>
      </text>
    </comment>
    <comment authorId="0" ref="E34">
      <text>
        <t xml:space="preserve">1999 dealerfire
$124.75 collision center website (1/4 of the charge--splitting up $499 charge to all 4 stores)
$425 AAG (SEO)</t>
      </text>
    </comment>
    <comment authorId="0" ref="F34">
      <text>
        <t xml:space="preserve">1999 dealerfire
$224.5 collision center website w/SEO now included (1/4 of the charge--splitting up $898 charge to all 4 stores)
$425 AAG (SEO)</t>
      </text>
    </comment>
    <comment authorId="0" ref="G34">
      <text>
        <t xml:space="preserve">1999 dealerfire
$224.5 collision center website w/SEO now included (1/4 of the charge--splitting up $898 charge to all 4 stores)
$425 AAG (SEO)</t>
      </text>
    </comment>
    <comment authorId="0" ref="H34">
      <text>
        <t xml:space="preserve">1999 dealerfire
$224.5 collision center website w/SEO now included (1/4 of the charge--splitting up $898 charge to all 4 stores)
$425 AAG (SEO)</t>
      </text>
    </comment>
    <comment authorId="0" ref="I34">
      <text>
        <t xml:space="preserve">1999 dealerfire
$224.5 collision center website w/SEO now included (1/4 of the charge--splitting up $898 charge to all 4 stores)
$425 AAG (SEO)</t>
      </text>
    </comment>
    <comment authorId="0" ref="J34">
      <text>
        <t xml:space="preserve">1999 dealerfire
$224.5 collision center website w/SEO now included (1/4 of the charge--splitting up $898 charge to all 4 stores)
$425 AAG (SEO)</t>
      </text>
    </comment>
    <comment authorId="0" ref="K34">
      <text>
        <t xml:space="preserve">1999 dealerfire
$224.5 collision center website w/SEO now included (1/4 of the charge--splitting up $898 charge to all 4 stores)
$425 AAG (SEO)</t>
      </text>
    </comment>
    <comment authorId="0" ref="L34">
      <text>
        <t xml:space="preserve">1999 dealerfire
$224.5 collision center website w/SEO now included (1/4 of the charge--splitting up $898 charge to all 4 stores)
$425 AAG (SEO)</t>
      </text>
    </comment>
    <comment authorId="0" ref="M34">
      <text>
        <t xml:space="preserve">1999 dealerfire
$224.5 collision center website w/SEO now included (1/4 of the charge--splitting up $898 charge to all 4 stores)
$425 AAG (SEO)</t>
      </text>
    </comment>
    <comment authorId="0" ref="B42">
      <text>
        <t xml:space="preserve">365 for campus
91.25 per roof</t>
      </text>
    </comment>
    <comment authorId="0" ref="C42">
      <text>
        <t xml:space="preserve">365 for campus
91.25 per roof</t>
      </text>
    </comment>
    <comment authorId="0" ref="D42">
      <text>
        <t xml:space="preserve">365 for campus
91.25 per roof</t>
      </text>
    </comment>
    <comment authorId="0" ref="E42">
      <text>
        <t xml:space="preserve">365 for campus
91.25 per roof</t>
      </text>
    </comment>
    <comment authorId="0" ref="F42">
      <text>
        <t xml:space="preserve">365 for campus
91.25 per roof</t>
      </text>
    </comment>
    <comment authorId="0" ref="G42">
      <text>
        <t xml:space="preserve">365 for campus
91.25 per roof</t>
      </text>
    </comment>
    <comment authorId="0" ref="H42">
      <text>
        <t xml:space="preserve">365 for campus
91.25 per roof</t>
      </text>
    </comment>
    <comment authorId="0" ref="I42">
      <text>
        <t xml:space="preserve">365 for campus
91.25 per roof</t>
      </text>
    </comment>
    <comment authorId="0" ref="J42">
      <text>
        <t xml:space="preserve">365 for campus
91.25 per roof</t>
      </text>
    </comment>
    <comment authorId="0" ref="K42">
      <text>
        <t xml:space="preserve">365 for campus
91.25 per roof</t>
      </text>
    </comment>
    <comment authorId="0" ref="L42">
      <text>
        <t xml:space="preserve">365 for campus
91.25 per roof</t>
      </text>
    </comment>
    <comment authorId="0" ref="M42">
      <text>
        <t xml:space="preserve">365 for campus
91.25 per roof</t>
      </text>
    </comment>
    <comment authorId="0" ref="B43">
      <text>
        <t xml:space="preserve">new rate for HG group is $1449; splitting it 4 ways</t>
      </text>
    </comment>
    <comment authorId="0" ref="C43">
      <text>
        <t xml:space="preserve">new rate for HG group is $1449; splitting it 4 ways</t>
      </text>
    </comment>
    <comment authorId="0" ref="D43">
      <text>
        <t xml:space="preserve">new rate for HG group is $1449; splitting it 4 ways</t>
      </text>
    </comment>
    <comment authorId="0" ref="E43">
      <text>
        <t xml:space="preserve">new rate for HG group is $1449; splitting it 4 ways</t>
      </text>
    </comment>
    <comment authorId="0" ref="F43">
      <text>
        <t xml:space="preserve">new rate for HG group is $1449; splitting it 4 ways</t>
      </text>
    </comment>
    <comment authorId="0" ref="G43">
      <text>
        <t xml:space="preserve">new rate for HG group is $1449; splitting it 4 ways</t>
      </text>
    </comment>
    <comment authorId="0" ref="H43">
      <text>
        <t xml:space="preserve">new rate for HG group is $1449; splitting it 4 ways</t>
      </text>
    </comment>
    <comment authorId="0" ref="I43">
      <text>
        <t xml:space="preserve">new rate for HG group is $1449; splitting it 4 ways</t>
      </text>
    </comment>
    <comment authorId="0" ref="J43">
      <text>
        <t xml:space="preserve">new rate for HG group is $1449; splitting it 4 ways</t>
      </text>
    </comment>
    <comment authorId="0" ref="K43">
      <text>
        <t xml:space="preserve">new rate for HG group is $1449; splitting it 4 ways</t>
      </text>
    </comment>
    <comment authorId="0" ref="L43">
      <text>
        <t xml:space="preserve">new rate for HG group is $1449; splitting it 4 ways</t>
      </text>
    </comment>
    <comment authorId="0" ref="M43">
      <text>
        <t xml:space="preserve">new rate for HG group is $1449; splitting it 4 ways</t>
      </text>
    </comment>
    <comment authorId="0" ref="B44">
      <text>
        <t xml:space="preserve">139 (total 398 for 3 stores/3= 133) finance driver billed through dealertrack</t>
      </text>
    </comment>
    <comment authorId="0" ref="C44">
      <text>
        <t xml:space="preserve">139 (total 398 for 3 stores/3= 133) finance driver billed through dealertrack</t>
      </text>
    </comment>
    <comment authorId="0" ref="D44">
      <text>
        <t xml:space="preserve">139 (total 398 for 3 stores/3= 133) finance driver billed through dealertrack</t>
      </text>
    </comment>
    <comment authorId="0" ref="E44">
      <text>
        <t xml:space="preserve">139 (total 398 for 3 stores/3= 133) finance driver billed through dealertrack</t>
      </text>
    </comment>
    <comment authorId="0" ref="F44">
      <text>
        <t xml:space="preserve">139 (total 398 for 3 stores/3= 133) finance driver billed through dealertrack</t>
      </text>
    </comment>
    <comment authorId="0" ref="G44">
      <text>
        <t xml:space="preserve">139 (total 398 for 3 stores/3= 133) finance driver billed through dealertrack</t>
      </text>
    </comment>
    <comment authorId="0" ref="H44">
      <text>
        <t xml:space="preserve">139 (total 398 for 3 stores/3= 133) finance driver billed through dealertrack</t>
      </text>
    </comment>
    <comment authorId="0" ref="I44">
      <text>
        <t xml:space="preserve">139 (total 398 for 3 stores/3= 133) finance driver billed through dealertrack</t>
      </text>
    </comment>
    <comment authorId="0" ref="J44">
      <text>
        <t xml:space="preserve">139 (total 398 for 3 stores/3= 133) finance driver billed through dealertrack</t>
      </text>
    </comment>
    <comment authorId="0" ref="K44">
      <text>
        <t xml:space="preserve">139 (total 398 for 3 stores/3= 133) finance driver billed through dealertrack</t>
      </text>
    </comment>
    <comment authorId="0" ref="L44">
      <text>
        <t xml:space="preserve">139 (total 398 for 3 stores/3= 133) finance driver billed through dealertrack</t>
      </text>
    </comment>
    <comment authorId="0" ref="M44">
      <text>
        <t xml:space="preserve">139 (total 398 for 3 stores/3= 133) finance driver billed through dealertrack</t>
      </text>
    </comment>
    <comment authorId="0" ref="B45">
      <text>
        <t xml:space="preserve">45 Yelp 
97.5 Reputation.com</t>
      </text>
    </comment>
    <comment authorId="0" ref="C45">
      <text>
        <t xml:space="preserve">45 Yelp 
97.5 Reputation.com</t>
      </text>
    </comment>
    <comment authorId="0" ref="D45">
      <text>
        <t xml:space="preserve">45 Yelp 
97.5 Reputation.com</t>
      </text>
    </comment>
    <comment authorId="0" ref="E45">
      <text>
        <t xml:space="preserve">45 Yelp 
97.5 Reputation.com</t>
      </text>
    </comment>
    <comment authorId="0" ref="F45">
      <text>
        <t xml:space="preserve">45 Yelp 
97.5 Reputation.com</t>
      </text>
    </comment>
    <comment authorId="0" ref="G45">
      <text>
        <t xml:space="preserve">45 Yelp 
97.5 Reputation.com</t>
      </text>
    </comment>
    <comment authorId="0" ref="H45">
      <text>
        <t xml:space="preserve">45 Yelp 
97.5 Reputation.com</t>
      </text>
    </comment>
    <comment authorId="0" ref="I45">
      <text>
        <t xml:space="preserve">45 Yelp 
97.5 Reputation.com</t>
      </text>
    </comment>
    <comment authorId="0" ref="J45">
      <text>
        <t xml:space="preserve">45 Yelp 
97.5 Reputation.com</t>
      </text>
    </comment>
    <comment authorId="0" ref="K45">
      <text>
        <t xml:space="preserve">45 Yelp 
97.5 Reputation.com</t>
      </text>
    </comment>
    <comment authorId="0" ref="L45">
      <text>
        <t xml:space="preserve">45 Yelp 
97.5 Reputation.com</t>
      </text>
    </comment>
    <comment authorId="0" ref="M45">
      <text>
        <t xml:space="preserve">45 Yelp 
97.5 Reputation.com</t>
      </text>
    </comment>
    <comment authorId="0" ref="E46">
      <text>
        <t xml:space="preserve">cancelled 3/16</t>
      </text>
    </comment>
    <comment authorId="0" ref="B47">
      <text>
        <t xml:space="preserve">212.50 alli social media/online rep
(850 total for hagerstown)
750 ALS MGMT
1750 FB spend</t>
      </text>
    </comment>
    <comment authorId="0" ref="C47">
      <text>
        <t xml:space="preserve">212.50 alli social media/online rep
(850 total for hagerstown)
750 ALS MGMT
1750 FB spend</t>
      </text>
    </comment>
    <comment authorId="0" ref="D47">
      <text>
        <t xml:space="preserve">212.50 alli social media/online rep
(850 total for hagerstown)
750 ALS MGMT
1750 FB spend</t>
      </text>
    </comment>
    <comment authorId="0" ref="E47">
      <text>
        <t xml:space="preserve">212.50 alli social media/online rep
(850 total for hagerstown)
750 ALS MGMT
1750 FB spend</t>
      </text>
    </comment>
    <comment authorId="0" ref="F47">
      <text>
        <t xml:space="preserve">212.50 alli social media/online rep
(850 total for hagerstown)
750 ALS MGMT
1750 FB spend</t>
      </text>
    </comment>
    <comment authorId="0" ref="G47">
      <text>
        <t xml:space="preserve">212.50 alli social media/online rep
(850 total for hagerstown)
750 ALS MGMT
1750 FB spend</t>
      </text>
    </comment>
    <comment authorId="0" ref="H47">
      <text>
        <t xml:space="preserve">212.50 alli social media/online rep
(850 total for hagerstown)
750 ALS MGMT
1750 FB spend</t>
      </text>
    </comment>
    <comment authorId="0" ref="I47">
      <text>
        <t xml:space="preserve">212.50 alli social media/online rep
(850 total for hagerstown)
750 ALS MGMT
1750 FB spend</t>
      </text>
    </comment>
    <comment authorId="0" ref="J47">
      <text>
        <t xml:space="preserve">212.50 alli social media/online rep
(850 total for hagerstown)
750 ALS MGMT
1750 FB spend</t>
      </text>
    </comment>
    <comment authorId="0" ref="K47">
      <text>
        <t xml:space="preserve">212.50 alli social media/online rep
(850 total for hagerstown)
750 ALS MGMT
1750 FB spend</t>
      </text>
    </comment>
    <comment authorId="0" ref="L47">
      <text>
        <t xml:space="preserve">212.50 alli social media/online rep
(850 total for hagerstown)
750 ALS MGMT
1750 FB spend</t>
      </text>
    </comment>
    <comment authorId="0" ref="M47">
      <text>
        <t xml:space="preserve">212.50 alli social media/online rep
(850 total for hagerstown)
750 ALS MGMT
1750 FB spend</t>
      </text>
    </comment>
    <comment authorId="0" ref="B48">
      <text>
        <t xml:space="preserve">55.66 Sheehy.com
$350.33 PERQ child site</t>
      </text>
    </comment>
    <comment authorId="0" ref="C48">
      <text>
        <t xml:space="preserve">55.66 Sheehy.com
$350.33 PERQ child site</t>
      </text>
    </comment>
    <comment authorId="0" ref="D48">
      <text>
        <t xml:space="preserve">55.66 Sheehy.com
$350.33 PERQ child site</t>
      </text>
    </comment>
    <comment authorId="0" ref="E48">
      <text>
        <t xml:space="preserve">55.66 Sheehy.com
$350.33 PERQ child site</t>
      </text>
    </comment>
    <comment authorId="0" ref="F48">
      <text>
        <t xml:space="preserve">55.66 Sheehy.com
$350.33 PERQ child site</t>
      </text>
    </comment>
    <comment authorId="0" ref="G48">
      <text>
        <t xml:space="preserve">55.66 Sheehy.com
$350.33 PERQ child site</t>
      </text>
    </comment>
    <comment authorId="0" ref="H48">
      <text>
        <t xml:space="preserve">55.66 Sheehy.com
$350.33 PERQ child site</t>
      </text>
    </comment>
    <comment authorId="0" ref="I48">
      <text>
        <t xml:space="preserve">55.66 Sheehy.com
$350.33 PERQ child site</t>
      </text>
    </comment>
    <comment authorId="0" ref="J48">
      <text>
        <t xml:space="preserve">55.66 Sheehy.com
$350.33 PERQ child site</t>
      </text>
    </comment>
    <comment authorId="0" ref="K48">
      <text>
        <t xml:space="preserve">55.66 Sheehy.com
$350.33 PERQ child site</t>
      </text>
    </comment>
    <comment authorId="0" ref="L48">
      <text>
        <t xml:space="preserve">55.66 Sheehy.com
$350.33 PERQ child site</t>
      </text>
    </comment>
    <comment authorId="0" ref="M48">
      <text>
        <t xml:space="preserve">55.66 Sheehy.com
$350.33 PERQ child site</t>
      </text>
    </comment>
    <comment authorId="0" ref="B55">
      <text>
        <t xml:space="preserve">1,075per store @ 30mi
(4300 total for campus -- includes trade/reach and subscription)</t>
      </text>
    </comment>
    <comment authorId="0" ref="C55">
      <text>
        <t xml:space="preserve">1,075per store @ 30mi
(4300 total for campus -- includes trade/reach and subscription)</t>
      </text>
    </comment>
    <comment authorId="0" ref="D55">
      <text>
        <t xml:space="preserve">1,075per store @ 30mi
(4300 total for campus -- includes trade/reach and subscription)</t>
      </text>
    </comment>
    <comment authorId="0" ref="E55">
      <text>
        <t xml:space="preserve">1,075per store @ 30mi
(4300 total for campus -- includes trade/reach and subscription)</t>
      </text>
    </comment>
    <comment authorId="0" ref="F55">
      <text>
        <t xml:space="preserve">1,075per store @ 30mi
(4300 total for campus -- includes trade/reach and subscription)</t>
      </text>
    </comment>
    <comment authorId="0" ref="G55">
      <text>
        <t xml:space="preserve">1,075per store @ 30mi
(4300 total for campus -- includes trade/reach and subscription)</t>
      </text>
    </comment>
    <comment authorId="0" ref="H55">
      <text>
        <t xml:space="preserve">1,075per store @ 30mi
(4300 total for campus -- includes trade/reach and subscription)</t>
      </text>
    </comment>
    <comment authorId="0" ref="I55">
      <text>
        <t xml:space="preserve">1,075per store @ 30mi
(4300 total for campus -- includes trade/reach and subscription)</t>
      </text>
    </comment>
    <comment authorId="0" ref="J55">
      <text>
        <t xml:space="preserve">1,075per store @ 30mi
(4300 total for campus -- includes trade/reach and subscription)</t>
      </text>
    </comment>
    <comment authorId="0" ref="K55">
      <text>
        <t xml:space="preserve">1,075per store @ 30mi
(4300 total for campus -- includes trade/reach and subscription)</t>
      </text>
    </comment>
    <comment authorId="0" ref="L55">
      <text>
        <t xml:space="preserve">1,075per store @ 30mi
(4300 total for campus -- includes trade/reach and subscription)</t>
      </text>
    </comment>
    <comment authorId="0" ref="M55">
      <text>
        <t xml:space="preserve">1,075per store @ 30mi
(4300 total for campus -- includes trade/reach and subscription)</t>
      </text>
    </comment>
    <comment authorId="0" ref="B56">
      <text>
        <t xml:space="preserve">1000 VW MGMT
250 ADWORD FIXED OPS</t>
      </text>
    </comment>
    <comment authorId="0" ref="C56">
      <text>
        <t xml:space="preserve">1000 VW MGMT
250 ADWORD FIXED OPS</t>
      </text>
    </comment>
    <comment authorId="0" ref="D56">
      <text>
        <t xml:space="preserve">1000 VW MGMT
250 ADWORD FIXED OPS</t>
      </text>
    </comment>
    <comment authorId="0" ref="E56">
      <text>
        <t xml:space="preserve">1000 VW MGMT
250 ADWORD FIXED OPS</t>
      </text>
    </comment>
    <comment authorId="0" ref="F56">
      <text>
        <t xml:space="preserve">1000 VW MGMT
250 ADWORD FIXED OPS</t>
      </text>
    </comment>
    <comment authorId="0" ref="G56">
      <text>
        <t xml:space="preserve">1000 VW MGMT
250 ADWORD FIXED OPS</t>
      </text>
    </comment>
    <comment authorId="0" ref="H56">
      <text>
        <t xml:space="preserve">1000 VW MGMT
250 ADWORD FIXED OPS</t>
      </text>
    </comment>
    <comment authorId="0" ref="I56">
      <text>
        <t xml:space="preserve">1000 VW MGMT
250 ADWORD FIXED OPS</t>
      </text>
    </comment>
    <comment authorId="0" ref="J56">
      <text>
        <t xml:space="preserve">1000 VW MGMT
250 ADWORD FIXED OPS</t>
      </text>
    </comment>
    <comment authorId="0" ref="K56">
      <text>
        <t xml:space="preserve">1000 VW MGMT
250 ADWORD FIXED OPS</t>
      </text>
    </comment>
    <comment authorId="0" ref="L56">
      <text>
        <t xml:space="preserve">1000 VW MGMT
250 ADWORD FIXED OPS</t>
      </text>
    </comment>
    <comment authorId="0" ref="M56">
      <text>
        <t xml:space="preserve">1000 VW MGMT
250 ADWORD FIXED OPS</t>
      </text>
    </comment>
    <comment authorId="0" ref="B59">
      <text>
        <t xml:space="preserve">312.50 NEW
312.50 USED
625 STORE
2500 CAMPUS
tbd</t>
      </text>
    </comment>
    <comment authorId="0" ref="C59">
      <text>
        <t xml:space="preserve">312.50 NEW
312.50 USED
625 STORE
2500 CAMPUS
tbd</t>
      </text>
    </comment>
    <comment authorId="0" ref="D59">
      <text>
        <t xml:space="preserve">312.50 NEW
312.50 USED
625 STORE
2500 CAMPUS
tbd</t>
      </text>
    </comment>
    <comment authorId="0" ref="E59">
      <text>
        <t xml:space="preserve">312.50 NEW
312.50 USED
625 STORE
2500 CAMPUS
tbd</t>
      </text>
    </comment>
    <comment authorId="0" ref="F59">
      <text>
        <t xml:space="preserve">312.50 NEW
312.50 USED
625 STORE
2500 CAMPUS
tbd</t>
      </text>
    </comment>
    <comment authorId="0" ref="G59">
      <text>
        <t xml:space="preserve">312.50 NEW
312.50 USED
625 STORE
2500 CAMPUS
tbd</t>
      </text>
    </comment>
    <comment authorId="0" ref="H59">
      <text>
        <t xml:space="preserve">312.50 NEW
312.50 USED
625 STORE
2500 CAMPUS
tbd</t>
      </text>
    </comment>
    <comment authorId="0" ref="I59">
      <text>
        <t xml:space="preserve">312.50 NEW
312.50 USED
625 STORE
2500 CAMPUS
tbd</t>
      </text>
    </comment>
    <comment authorId="0" ref="J59">
      <text>
        <t xml:space="preserve">312.50 NEW
312.50 USED
625 STORE
2500 CAMPUS
tbd</t>
      </text>
    </comment>
    <comment authorId="0" ref="K59">
      <text>
        <t xml:space="preserve">312.50 NEW
312.50 USED
625 STORE
2500 CAMPUS
tbd</t>
      </text>
    </comment>
    <comment authorId="0" ref="L59">
      <text>
        <t xml:space="preserve">312.50 NEW
312.50 USED
625 STORE
2500 CAMPUS
tbd</t>
      </text>
    </comment>
    <comment authorId="0" ref="M59">
      <text>
        <t xml:space="preserve">312.50 NEW
312.50 USED
625 STORE
2500 CAMPUS
tbd</t>
      </text>
    </comment>
    <comment authorId="0" ref="B63">
      <text>
        <t xml:space="preserve">3250 new
+$1000 in dec 2021</t>
      </text>
    </comment>
    <comment authorId="0" ref="C63">
      <text>
        <t xml:space="preserve">3250 new
+$1000 in dec 2021</t>
      </text>
    </comment>
    <comment authorId="0" ref="D63">
      <text>
        <t xml:space="preserve">3250 new
+$1000 in dec 2021</t>
      </text>
    </comment>
    <comment authorId="0" ref="E63">
      <text>
        <t xml:space="preserve">3250 new
+$1000 in dec 2021</t>
      </text>
    </comment>
    <comment authorId="0" ref="F63">
      <text>
        <t xml:space="preserve">3250 new
+$1000 in dec 2021</t>
      </text>
    </comment>
    <comment authorId="0" ref="G63">
      <text>
        <t xml:space="preserve">3250 new
+$1000 in dec 2021</t>
      </text>
    </comment>
    <comment authorId="0" ref="H63">
      <text>
        <t xml:space="preserve">3250 new
+$1000 in dec 2021</t>
      </text>
    </comment>
    <comment authorId="0" ref="I63">
      <text>
        <t xml:space="preserve">3250 new
+$1000 in dec 2021</t>
      </text>
    </comment>
    <comment authorId="0" ref="J63">
      <text>
        <t xml:space="preserve">3250 new
+$1000 in dec 2021</t>
      </text>
    </comment>
    <comment authorId="0" ref="K63">
      <text>
        <t xml:space="preserve">3250 new
+$1000 in dec 2021</t>
      </text>
    </comment>
    <comment authorId="0" ref="L63">
      <text>
        <t xml:space="preserve">3250 new
+$1000 in dec 2021</t>
      </text>
    </comment>
    <comment authorId="0" ref="M63">
      <text>
        <t xml:space="preserve">3250 new
+$1000 in dec 2021</t>
      </text>
    </comment>
    <comment authorId="0" ref="B72">
      <text>
        <t xml:space="preserve">TBD
</t>
      </text>
    </comment>
    <comment authorId="0" ref="C72">
      <text>
        <t xml:space="preserve">TBD
</t>
      </text>
    </comment>
    <comment authorId="0" ref="D72">
      <text>
        <t xml:space="preserve">TBD
</t>
      </text>
    </comment>
    <comment authorId="0" ref="E72">
      <text>
        <t xml:space="preserve">TBD
</t>
      </text>
    </comment>
    <comment authorId="0" ref="F72">
      <text>
        <t xml:space="preserve">TBD
</t>
      </text>
    </comment>
    <comment authorId="0" ref="G72">
      <text>
        <t xml:space="preserve">TBD
</t>
      </text>
    </comment>
    <comment authorId="0" ref="H72">
      <text>
        <t xml:space="preserve">TBD
</t>
      </text>
    </comment>
    <comment authorId="0" ref="I72">
      <text>
        <t xml:space="preserve">TBD
</t>
      </text>
    </comment>
    <comment authorId="0" ref="J72">
      <text>
        <t xml:space="preserve">TBD
</t>
      </text>
    </comment>
    <comment authorId="0" ref="K72">
      <text>
        <t xml:space="preserve">TBD
</t>
      </text>
    </comment>
    <comment authorId="0" ref="L72">
      <text>
        <t xml:space="preserve">TBD
</t>
      </text>
    </comment>
    <comment authorId="0" ref="M72">
      <text>
        <t xml:space="preserve">TBD
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B74">
      <text>
        <t xml:space="preserve">312.50 NEW
312.50 USED
625 STORE
2500 CAMPUS
tbd</t>
      </text>
    </comment>
    <comment authorId="0" ref="C74">
      <text>
        <t xml:space="preserve">312.50 NEW
312.50 USED
625 STORE
2500 CAMPUS
tbd</t>
      </text>
    </comment>
    <comment authorId="0" ref="D74">
      <text>
        <t xml:space="preserve">312.50 NEW
312.50 USED
625 STORE
2500 CAMPUS
tbd</t>
      </text>
    </comment>
    <comment authorId="0" ref="E74">
      <text>
        <t xml:space="preserve">312.50 NEW
312.50 USED
625 STORE
2500 CAMPUS
tbd</t>
      </text>
    </comment>
    <comment authorId="0" ref="F74">
      <text>
        <t xml:space="preserve">312.50 NEW
312.50 USED
625 STORE
2500 CAMPUS
tbd</t>
      </text>
    </comment>
    <comment authorId="0" ref="G74">
      <text>
        <t xml:space="preserve">312.50 NEW
312.50 USED
625 STORE
2500 CAMPUS
tbd</t>
      </text>
    </comment>
    <comment authorId="0" ref="H74">
      <text>
        <t xml:space="preserve">312.50 NEW
312.50 USED
625 STORE
2500 CAMPUS
tbd</t>
      </text>
    </comment>
    <comment authorId="0" ref="I74">
      <text>
        <t xml:space="preserve">312.50 NEW
312.50 USED
625 STORE
2500 CAMPUS
tbd</t>
      </text>
    </comment>
    <comment authorId="0" ref="J74">
      <text>
        <t xml:space="preserve">312.50 NEW
312.50 USED
625 STORE
2500 CAMPUS
tbd</t>
      </text>
    </comment>
    <comment authorId="0" ref="K74">
      <text>
        <t xml:space="preserve">312.50 NEW
312.50 USED
625 STORE
2500 CAMPUS
tbd</t>
      </text>
    </comment>
    <comment authorId="0" ref="L74">
      <text>
        <t xml:space="preserve">312.50 NEW
312.50 USED
625 STORE
2500 CAMPUS
tbd</t>
      </text>
    </comment>
    <comment authorId="0" ref="M74">
      <text>
        <t xml:space="preserve">312.50 NEW
312.50 USED
625 STORE
2500 CAMPUS
tbd</t>
      </text>
    </comment>
    <comment authorId="0" ref="B79">
      <text>
        <t xml:space="preserve">198.33 ($595 for SU/VW/MZ combined) KBB ICO</t>
      </text>
    </comment>
    <comment authorId="0" ref="C79">
      <text>
        <t xml:space="preserve">1,087.83 (split evenly across all 4 stores) KBB ICO</t>
      </text>
    </comment>
    <comment authorId="0" ref="D79">
      <text>
        <t xml:space="preserve">1,087.83 (split evenly across all 4 stores) KBB ICO</t>
      </text>
    </comment>
    <comment authorId="0" ref="E79">
      <text>
        <t xml:space="preserve">1,087.83 (split evenly across all 4 stores) KBB ICO</t>
      </text>
    </comment>
    <comment authorId="0" ref="F79">
      <text>
        <t xml:space="preserve">1,087.83 (split evenly across all 4 stores) KBB ICO</t>
      </text>
    </comment>
    <comment authorId="0" ref="G79">
      <text>
        <t xml:space="preserve">1,087.83 (split evenly across all 4 stores) KBB ICO</t>
      </text>
    </comment>
    <comment authorId="0" ref="H79">
      <text>
        <t xml:space="preserve">1,087.83 (split evenly across all 4 stores) KBB ICO</t>
      </text>
    </comment>
    <comment authorId="0" ref="I79">
      <text>
        <t xml:space="preserve">1,087.83 (split evenly across all 4 stores) KBB ICO</t>
      </text>
    </comment>
    <comment authorId="0" ref="J79">
      <text>
        <t xml:space="preserve">1,087.83 (split evenly across all 4 stores) KBB ICO</t>
      </text>
    </comment>
    <comment authorId="0" ref="K79">
      <text>
        <t xml:space="preserve">1,087.83 (split evenly across all 4 stores) KBB ICO</t>
      </text>
    </comment>
    <comment authorId="0" ref="L79">
      <text>
        <t xml:space="preserve">1,087.83 (split evenly across all 4 stores) KBB ICO</t>
      </text>
    </comment>
    <comment authorId="0" ref="M79">
      <text>
        <t xml:space="preserve">1,087.83 (split evenly across all 4 stores) KBB ICO</t>
      </text>
    </comment>
    <comment authorId="0" ref="B80">
      <text>
        <t xml:space="preserve">250 Cargurus (1000 for group) </t>
      </text>
    </comment>
    <comment authorId="0" ref="C80">
      <text>
        <t xml:space="preserve">250 Cargurus (1000 for group) </t>
      </text>
    </comment>
    <comment authorId="0" ref="D80">
      <text>
        <t xml:space="preserve">250 Cargurus (1000 for group) </t>
      </text>
    </comment>
    <comment authorId="0" ref="E80">
      <text>
        <t xml:space="preserve">250 Cargurus (1000 for group) </t>
      </text>
    </comment>
    <comment authorId="0" ref="F80">
      <text>
        <t xml:space="preserve">250 Cargurus (1000 for group) </t>
      </text>
    </comment>
    <comment authorId="0" ref="G80">
      <text>
        <t xml:space="preserve">250 Cargurus (1000 for group) </t>
      </text>
    </comment>
    <comment authorId="0" ref="H80">
      <text>
        <t xml:space="preserve">250 Cargurus (1000 for group) </t>
      </text>
    </comment>
    <comment authorId="0" ref="I80">
      <text>
        <t xml:space="preserve">250 Cargurus (1000 for group) </t>
      </text>
    </comment>
    <comment authorId="0" ref="J80">
      <text>
        <t xml:space="preserve">250 Cargurus (1000 for group) </t>
      </text>
    </comment>
    <comment authorId="0" ref="K80">
      <text>
        <t xml:space="preserve">250 Cargurus (1000 for group) </t>
      </text>
    </comment>
    <comment authorId="0" ref="L80">
      <text>
        <t xml:space="preserve">250 Cargurus (1000 for group) </t>
      </text>
    </comment>
    <comment authorId="0" ref="M80">
      <text>
        <t xml:space="preserve">250 Cargurus (1000 for group) </t>
      </text>
    </comment>
    <comment authorId="0" ref="B86">
      <text>
        <t xml:space="preserve">1680 (for campus, divide by 4 for each store to be 420)</t>
      </text>
    </comment>
    <comment authorId="0" ref="C86">
      <text>
        <t xml:space="preserve">1680 (for campus, divide by 4 for each store to be 420)</t>
      </text>
    </comment>
    <comment authorId="0" ref="D86">
      <text>
        <t xml:space="preserve">1680 (for campus, divide by 4 for each store to be 420)</t>
      </text>
    </comment>
    <comment authorId="0" ref="E86">
      <text>
        <t xml:space="preserve">1680 (for campus, divide by 4 for each store to be 420)</t>
      </text>
    </comment>
    <comment authorId="0" ref="F86">
      <text>
        <t xml:space="preserve">1680 (for campus, divide by 4 for each store to be 420)</t>
      </text>
    </comment>
    <comment authorId="0" ref="G86">
      <text>
        <t xml:space="preserve">1680 (for campus, divide by 4 for each store to be 420)</t>
      </text>
    </comment>
    <comment authorId="0" ref="H86">
      <text>
        <t xml:space="preserve">1680 (for campus, divide by 4 for each store to be 420)</t>
      </text>
    </comment>
    <comment authorId="0" ref="I86">
      <text>
        <t xml:space="preserve">1680 (for campus, divide by 4 for each store to be 420)</t>
      </text>
    </comment>
    <comment authorId="0" ref="J86">
      <text>
        <t xml:space="preserve">1680 (for campus, divide by 4 for each store to be 420)</t>
      </text>
    </comment>
    <comment authorId="0" ref="K86">
      <text>
        <t xml:space="preserve">1680 (for campus, divide by 4 for each store to be 420)</t>
      </text>
    </comment>
    <comment authorId="0" ref="L86">
      <text>
        <t xml:space="preserve">1680 (for campus, divide by 4 for each store to be 420)</t>
      </text>
    </comment>
    <comment authorId="0" ref="M86">
      <text>
        <t xml:space="preserve">1680 (for campus, divide by 4 for each store to be 420)</t>
      </text>
    </comment>
    <comment authorId="0" ref="K93">
      <text>
        <t xml:space="preserve">$235.85 CSI banner split up evenly amongst all 4 stores
$126.67 One Team Mural</t>
      </text>
    </comment>
    <comment authorId="0" ref="K94">
      <text>
        <t xml:space="preserve">$180 Polin
$200 boxes
</t>
      </text>
    </comment>
    <comment authorId="0" ref="C95">
      <text>
        <t xml:space="preserve">$60.75 step and repeat</t>
      </text>
    </comment>
    <comment authorId="0" ref="B103">
      <text>
        <t xml:space="preserve">125 SHEEHY.COM 
125 OTHER DIGITAL 
(1000 FOR CAMPUS TOTAL/4 STORES)</t>
      </text>
    </comment>
    <comment authorId="0" ref="C103">
      <text>
        <t xml:space="preserve">125 SHEEHY.COM 
125 OTHER DIGITAL 
(1000 FOR CAMPUS TOTAL/4 STORES)</t>
      </text>
    </comment>
    <comment authorId="0" ref="D103">
      <text>
        <t xml:space="preserve">100 SHEEHY.COM 
113.63 WJA Sponsorship</t>
      </text>
    </comment>
    <comment authorId="0" ref="E103">
      <text>
        <t xml:space="preserve">125 SHEEHY.COM 
125 OTHER DIGITAL 
(1000 FOR CAMPUS TOTAL/4 STORES)</t>
      </text>
    </comment>
    <comment authorId="0" ref="F103">
      <text>
        <t xml:space="preserve">125 SHEEHY.COM 
125 OTHER DIGITAL 
(1000 FOR CAMPUS TOTAL/4 STORES)</t>
      </text>
    </comment>
    <comment authorId="0" ref="G103">
      <text>
        <t xml:space="preserve">125 SHEEHY.COM 
125 OTHER DIGITAL 
(1000 FOR CAMPUS TOTAL/4 STORES)</t>
      </text>
    </comment>
    <comment authorId="0" ref="H103">
      <text>
        <t xml:space="preserve">125 SHEEHY.COM 
125 OTHER DIGITAL 
(1000 FOR CAMPUS TOTAL/4 STORES)</t>
      </text>
    </comment>
    <comment authorId="0" ref="I103">
      <text>
        <t xml:space="preserve">125 SHEEHY.COM 
125 OTHER DIGITAL 
(1000 FOR CAMPUS TOTAL/4 STORES)</t>
      </text>
    </comment>
    <comment authorId="0" ref="J103">
      <text>
        <t xml:space="preserve">125 SHEEHY.COM 
125 OTHER DIGITAL 
(1000 FOR CAMPUS TOTAL/4 STORES)</t>
      </text>
    </comment>
    <comment authorId="0" ref="K103">
      <text>
        <t xml:space="preserve">125 SHEEHY.COM 
125 OTHER DIGITAL 
(1000 FOR CAMPUS TOTAL/4 STORES)</t>
      </text>
    </comment>
    <comment authorId="0" ref="L103">
      <text>
        <t xml:space="preserve">125 SHEEHY.COM 
125 OTHER DIGITAL 
(1000 FOR CAMPUS TOTAL/4 STORES)</t>
      </text>
    </comment>
    <comment authorId="0" ref="M103">
      <text>
        <t xml:space="preserve">125 SHEEHY.COM 
125 OTHER DIGITAL 
(1000 FOR CAMPUS TOTAL/4 STORES)</t>
      </text>
    </comment>
    <comment authorId="0" ref="B115">
      <text>
        <t xml:space="preserve">$1,295 Easy Care
</t>
      </text>
    </comment>
    <comment authorId="0" ref="C115">
      <text>
        <t xml:space="preserve">$1,295 Easy Care
</t>
      </text>
    </comment>
    <comment authorId="0" ref="D115">
      <text>
        <t xml:space="preserve">$1,295 Easy Care
</t>
      </text>
    </comment>
    <comment authorId="0" ref="E115">
      <text>
        <t xml:space="preserve">$1,295 Easy Care
</t>
      </text>
    </comment>
    <comment authorId="0" ref="F115">
      <text>
        <t xml:space="preserve">$1,295 Easy Care
</t>
      </text>
    </comment>
    <comment authorId="0" ref="G115">
      <text>
        <t xml:space="preserve">$1,295 Easy Care
</t>
      </text>
    </comment>
    <comment authorId="0" ref="H115">
      <text>
        <t xml:space="preserve">$1,295 Easy Care
</t>
      </text>
    </comment>
    <comment authorId="0" ref="I115">
      <text>
        <t xml:space="preserve">$1,295 Easy Care
</t>
      </text>
    </comment>
    <comment authorId="0" ref="J115">
      <text>
        <t xml:space="preserve">$1,295 Easy Care
</t>
      </text>
    </comment>
    <comment authorId="0" ref="K115">
      <text>
        <t xml:space="preserve">$1,295 Easy Care
</t>
      </text>
    </comment>
    <comment authorId="0" ref="L115">
      <text>
        <t xml:space="preserve">$1,295 Easy Care
</t>
      </text>
    </comment>
    <comment authorId="0" ref="M115">
      <text>
        <t xml:space="preserve">$1,295 Easy Care
</t>
      </text>
    </comment>
    <comment authorId="0" ref="B117">
      <text>
        <t xml:space="preserve">$954.00 quarterly mailer</t>
      </text>
    </comment>
    <comment authorId="0" ref="E117">
      <text>
        <t xml:space="preserve">$954.00 quarterly mailer</t>
      </text>
    </comment>
    <comment authorId="0" ref="H117">
      <text>
        <t xml:space="preserve">$954.00 quarterly mailer</t>
      </text>
    </comment>
    <comment authorId="0" ref="B118">
      <text>
        <t xml:space="preserve">699 SE Region Fixed Ops SEO 
116 collision SEM mgmt fee
666 collision SEM spend</t>
      </text>
    </comment>
    <comment authorId="0" ref="C118">
      <text>
        <t xml:space="preserve">699 SE Region Fixed Ops SEO 
116 collision SEM mgmt fee
666 collision SEM spend</t>
      </text>
    </comment>
    <comment authorId="0" ref="D118">
      <text>
        <t xml:space="preserve">699 SE Region Fixed Ops SEO 
116 collision SEM mgmt fee
666 collision SEM spend</t>
      </text>
    </comment>
    <comment authorId="0" ref="E118">
      <text>
        <t xml:space="preserve">699 SE Region Fixed Ops SEO 
116 collision SEM mgmt fee
666 collision SEM spend</t>
      </text>
    </comment>
    <comment authorId="0" ref="F118">
      <text>
        <t xml:space="preserve">699 SE Region Fixed Ops SEO 
116 collision SEM mgmt fee
666 collision SEM spend</t>
      </text>
    </comment>
    <comment authorId="0" ref="G118">
      <text>
        <t xml:space="preserve">699 SE Region Fixed Ops SEO 
116 collision SEM mgmt fee
666 collision SEM spend</t>
      </text>
    </comment>
    <comment authorId="0" ref="H118">
      <text>
        <t xml:space="preserve">699 SE Region Fixed Ops SEO 
116 collision SEM mgmt fee
666 collision SEM spend</t>
      </text>
    </comment>
    <comment authorId="0" ref="I118">
      <text>
        <t xml:space="preserve">699 SE Region Fixed Ops SEO 
116 collision SEM mgmt fee
666 collision SEM spend</t>
      </text>
    </comment>
    <comment authorId="0" ref="J118">
      <text>
        <t xml:space="preserve">699 SE Region Fixed Ops SEO 
116 collision SEM mgmt fee
666 collision SEM spend</t>
      </text>
    </comment>
    <comment authorId="0" ref="K118">
      <text>
        <t xml:space="preserve">699 SE Region Fixed Ops SEO 
116 collision SEM mgmt fee
666 collision SEM spend</t>
      </text>
    </comment>
    <comment authorId="0" ref="L118">
      <text>
        <t xml:space="preserve">699 SE Region Fixed Ops SEO 
116 collision SEM mgmt fee
666 collision SEM spend</t>
      </text>
    </comment>
    <comment authorId="0" ref="M118">
      <text>
        <t xml:space="preserve">699 SE Region Fixed Ops SEO 
116 collision SEM mgmt fee
666 collision SEM spend</t>
      </text>
    </comment>
  </commentList>
</comments>
</file>

<file path=xl/comments2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9">
      <text>
        <t xml:space="preserve">($5750 total invoice for 16 DC stores split over 2 mos ea. ) </t>
      </text>
    </comment>
    <comment authorId="0" ref="C19">
      <text>
        <t xml:space="preserve">($5750 total invoice for 16 DC stores split over 2 mos ea. ) </t>
      </text>
    </comment>
    <comment authorId="0" ref="B34">
      <text>
        <t xml:space="preserve">$1499 Mazda website
$124.75 collision center website (1/4 of the charge--splitting up $499 charge to all 4 stores)
$425 AAG (SEO)</t>
      </text>
    </comment>
    <comment authorId="0" ref="C34">
      <text>
        <t xml:space="preserve">$1499 Mazda website
$124.75 collision center website (1/4 of the charge--splitting up $499 charge to all 4 stores)
$425 AAG (SEO)</t>
      </text>
    </comment>
    <comment authorId="0" ref="D34">
      <text>
        <t xml:space="preserve">$1499 Mazda website
$124.75 collision center website (1/4 of the charge--splitting up $499 charge to all 4 stores)
$425 AAG (SEO)</t>
      </text>
    </comment>
    <comment authorId="0" ref="E34">
      <text>
        <t xml:space="preserve">$1499 Mazda website
$124.75 collision center website (1/4 of the charge--splitting up $499 charge to all 4 stores)
$425 AAG (SEO)</t>
      </text>
    </comment>
    <comment authorId="0" ref="F34">
      <text>
        <t xml:space="preserve">$1499 Mazda website
$224.5 collision center website w/SEO now included (1/4 of the charge--splitting up $898 charge to all 4 stores)
$425 AAG (SEO)</t>
      </text>
    </comment>
    <comment authorId="0" ref="G34">
      <text>
        <t xml:space="preserve">$1499 Mazda website
$224.5 collision center website w/SEO now included (1/4 of the charge--splitting up $898 charge to all 4 stores)
$425 AAG (SEO)</t>
      </text>
    </comment>
    <comment authorId="0" ref="H34">
      <text>
        <t xml:space="preserve">$1499 Mazda website
$224.5 collision center website w/SEO now included (1/4 of the charge--splitting up $898 charge to all 4 stores)
$425 AAG (SEO)</t>
      </text>
    </comment>
    <comment authorId="0" ref="I34">
      <text>
        <t xml:space="preserve">$1499 Mazda website
$224.5 collision center website w/SEO now included (1/4 of the charge--splitting up $898 charge to all 4 stores)
$425 AAG (SEO)</t>
      </text>
    </comment>
    <comment authorId="0" ref="J34">
      <text>
        <t xml:space="preserve">$1499 Mazda website
$224.5 collision center website w/SEO now included (1/4 of the charge--splitting up $898 charge to all 4 stores)
$425 AAG (SEO)</t>
      </text>
    </comment>
    <comment authorId="0" ref="K34">
      <text>
        <t xml:space="preserve">$1499 Mazda website
$224.5 collision center website w/SEO now included (1/4 of the charge--splitting up $898 charge to all 4 stores)
$425 AAG (SEO)</t>
      </text>
    </comment>
    <comment authorId="0" ref="L34">
      <text>
        <t xml:space="preserve">$1499 Mazda website
$224.5 collision center website w/SEO now included (1/4 of the charge--splitting up $898 charge to all 4 stores)
$425 AAG (SEO)</t>
      </text>
    </comment>
    <comment authorId="0" ref="M34">
      <text>
        <t xml:space="preserve">$1499 Mazda website
$224.5 collision center website w/SEO now included (1/4 of the charge--splitting up $898 charge to all 4 stores)
$425 AAG (SEO)</t>
      </text>
    </comment>
    <comment authorId="0" ref="B42">
      <text>
        <t xml:space="preserve">365 for campus
91.25 per roof</t>
      </text>
    </comment>
    <comment authorId="0" ref="C42">
      <text>
        <t xml:space="preserve">365 for campus
91.25 per roof</t>
      </text>
    </comment>
    <comment authorId="0" ref="D42">
      <text>
        <t xml:space="preserve">365 for campus
91.25 per roof</t>
      </text>
    </comment>
    <comment authorId="0" ref="E42">
      <text>
        <t xml:space="preserve">365 for campus
91.25 per roof</t>
      </text>
    </comment>
    <comment authorId="0" ref="F42">
      <text>
        <t xml:space="preserve">365 for campus
91.25 per roof</t>
      </text>
    </comment>
    <comment authorId="0" ref="G42">
      <text>
        <t xml:space="preserve">365 for campus
91.25 per roof</t>
      </text>
    </comment>
    <comment authorId="0" ref="H42">
      <text>
        <t xml:space="preserve">365 for campus
91.25 per roof</t>
      </text>
    </comment>
    <comment authorId="0" ref="I42">
      <text>
        <t xml:space="preserve">365 for campus
91.25 per roof</t>
      </text>
    </comment>
    <comment authorId="0" ref="J42">
      <text>
        <t xml:space="preserve">365 for campus
91.25 per roof</t>
      </text>
    </comment>
    <comment authorId="0" ref="K42">
      <text>
        <t xml:space="preserve">365 for campus
91.25 per roof</t>
      </text>
    </comment>
    <comment authorId="0" ref="L42">
      <text>
        <t xml:space="preserve">365 for campus
91.25 per roof</t>
      </text>
    </comment>
    <comment authorId="0" ref="M42">
      <text>
        <t xml:space="preserve">365 for campus
91.25 per roof</t>
      </text>
    </comment>
    <comment authorId="0" ref="B43">
      <text>
        <t xml:space="preserve">new rate for HG group is $1449; splitting it 4 ways</t>
      </text>
    </comment>
    <comment authorId="0" ref="C43">
      <text>
        <t xml:space="preserve">new rate for HG group is $1449; splitting it 4 ways</t>
      </text>
    </comment>
    <comment authorId="0" ref="D43">
      <text>
        <t xml:space="preserve">new rate for HG group is $1449; splitting it 4 ways</t>
      </text>
    </comment>
    <comment authorId="0" ref="E43">
      <text>
        <t xml:space="preserve">new rate for HG group is $1449; splitting it 4 ways</t>
      </text>
    </comment>
    <comment authorId="0" ref="F43">
      <text>
        <t xml:space="preserve">new rate for HG group is $1449; splitting it 4 ways</t>
      </text>
    </comment>
    <comment authorId="0" ref="G43">
      <text>
        <t xml:space="preserve">new rate for HG group is $1449; splitting it 4 ways</t>
      </text>
    </comment>
    <comment authorId="0" ref="H43">
      <text>
        <t xml:space="preserve">new rate for HG group is $1449; splitting it 4 ways</t>
      </text>
    </comment>
    <comment authorId="0" ref="I43">
      <text>
        <t xml:space="preserve">new rate for HG group is $1449; splitting it 4 ways</t>
      </text>
    </comment>
    <comment authorId="0" ref="J43">
      <text>
        <t xml:space="preserve">new rate for HG group is $1449; splitting it 4 ways</t>
      </text>
    </comment>
    <comment authorId="0" ref="K43">
      <text>
        <t xml:space="preserve">new rate for HG group is $1449; splitting it 4 ways</t>
      </text>
    </comment>
    <comment authorId="0" ref="L43">
      <text>
        <t xml:space="preserve">new rate for HG group is $1449; splitting it 4 ways</t>
      </text>
    </comment>
    <comment authorId="0" ref="M43">
      <text>
        <t xml:space="preserve">new rate for HG group is $1449; splitting it 4 ways</t>
      </text>
    </comment>
    <comment authorId="0" ref="B44">
      <text>
        <t xml:space="preserve">139 (total 398 for 3 stores/3= 133) finance driver billed through dealertrack</t>
      </text>
    </comment>
    <comment authorId="0" ref="C44">
      <text>
        <t xml:space="preserve">139 (total 398 for 3 stores/3= 133) finance driver billed through dealertrack</t>
      </text>
    </comment>
    <comment authorId="0" ref="D44">
      <text>
        <t xml:space="preserve">139 (total 398 for 3 stores/3= 133) finance driver billed through dealertrack</t>
      </text>
    </comment>
    <comment authorId="0" ref="E44">
      <text>
        <t xml:space="preserve">139 (total 398 for 3 stores/3= 133) finance driver billed through dealertrack</t>
      </text>
    </comment>
    <comment authorId="0" ref="F44">
      <text>
        <t xml:space="preserve">139 (total 398 for 3 stores/3= 133) finance driver billed through dealertrack</t>
      </text>
    </comment>
    <comment authorId="0" ref="G44">
      <text>
        <t xml:space="preserve">139 (total 398 for 3 stores/3= 133) finance driver billed through dealertrack</t>
      </text>
    </comment>
    <comment authorId="0" ref="H44">
      <text>
        <t xml:space="preserve">139 (total 398 for 3 stores/3= 133) finance driver billed through dealertrack</t>
      </text>
    </comment>
    <comment authorId="0" ref="I44">
      <text>
        <t xml:space="preserve">139 (total 398 for 3 stores/3= 133) finance driver billed through dealertrack</t>
      </text>
    </comment>
    <comment authorId="0" ref="J44">
      <text>
        <t xml:space="preserve">139 (total 398 for 3 stores/3= 133) finance driver billed through dealertrack</t>
      </text>
    </comment>
    <comment authorId="0" ref="K44">
      <text>
        <t xml:space="preserve">139 (total 398 for 3 stores/3= 133) finance driver billed through dealertrack</t>
      </text>
    </comment>
    <comment authorId="0" ref="L44">
      <text>
        <t xml:space="preserve">133 (total 398 for 3 stores/3= 133) finance driver billed through dealertrack</t>
      </text>
    </comment>
    <comment authorId="0" ref="M44">
      <text>
        <t xml:space="preserve">139 (total 398 for 3 stores/3= 133) finance driver billed through dealertrack</t>
      </text>
    </comment>
    <comment authorId="0" ref="B45">
      <text>
        <t xml:space="preserve">45 Yelp 
97.5 Reputation.com</t>
      </text>
    </comment>
    <comment authorId="0" ref="C45">
      <text>
        <t xml:space="preserve">45 Yelp 
97.5 Reputation.com</t>
      </text>
    </comment>
    <comment authorId="0" ref="D45">
      <text>
        <t xml:space="preserve">45 Yelp 
97.5 Reputation.com</t>
      </text>
    </comment>
    <comment authorId="0" ref="E45">
      <text>
        <t xml:space="preserve">45 Yelp 
97.5 Reputation.com</t>
      </text>
    </comment>
    <comment authorId="0" ref="F45">
      <text>
        <t xml:space="preserve">45 Yelp 
97.5 Reputation.com</t>
      </text>
    </comment>
    <comment authorId="0" ref="G45">
      <text>
        <t xml:space="preserve">45 Yelp 
97.5 Reputation.com</t>
      </text>
    </comment>
    <comment authorId="0" ref="H45">
      <text>
        <t xml:space="preserve">45 Yelp 
97.5 Reputation.com</t>
      </text>
    </comment>
    <comment authorId="0" ref="I45">
      <text>
        <t xml:space="preserve">45 Yelp 
97.5 Reputation.com</t>
      </text>
    </comment>
    <comment authorId="0" ref="J45">
      <text>
        <t xml:space="preserve">45 Yelp 
97.5 Reputation.com</t>
      </text>
    </comment>
    <comment authorId="0" ref="K45">
      <text>
        <t xml:space="preserve">45 Yelp 
97.5 Reputation.com</t>
      </text>
    </comment>
    <comment authorId="0" ref="L45">
      <text>
        <t xml:space="preserve">45 Yelp 
97.5 Reputation.com</t>
      </text>
    </comment>
    <comment authorId="0" ref="M45">
      <text>
        <t xml:space="preserve">45 Yelp 
97.5 Reputation.com</t>
      </text>
    </comment>
    <comment authorId="0" ref="E46">
      <text>
        <t xml:space="preserve">cancelled 3/16</t>
      </text>
    </comment>
    <comment authorId="0" ref="B47">
      <text>
        <t xml:space="preserve">212.50 alli social media/online rep
(850 total for hagerstown)
750 ALS mgmt
1750 ALS spend
</t>
      </text>
    </comment>
    <comment authorId="0" ref="C47">
      <text>
        <t xml:space="preserve">212.50 alli social media/online rep
(850 total for hagerstown)
750 ALS mgmt
1750 ALS spend
</t>
      </text>
    </comment>
    <comment authorId="0" ref="D47">
      <text>
        <t xml:space="preserve">212.50 alli social media/online rep
(850 total for hagerstown)
750 ALS mgmt
1750 ALS spend
</t>
      </text>
    </comment>
    <comment authorId="0" ref="E47">
      <text>
        <t xml:space="preserve">212.50 alli social media/online rep
(850 total for hagerstown)
750 ALS mgmt
1750 ALS spend
</t>
      </text>
    </comment>
    <comment authorId="0" ref="F47">
      <text>
        <t xml:space="preserve">212.50 alli social media/online rep
(850 total for hagerstown)
750 ALS mgmt
1750 ALS spend
</t>
      </text>
    </comment>
    <comment authorId="0" ref="G47">
      <text>
        <t xml:space="preserve">212.50 alli social media/online rep
(850 total for hagerstown)
750 ALS mgmt
1750 ALS spend
</t>
      </text>
    </comment>
    <comment authorId="0" ref="H47">
      <text>
        <t xml:space="preserve">212.50 alli social media/online rep
(850 total for hagerstown)
750 ALS mgmt
1750 ALS spend
</t>
      </text>
    </comment>
    <comment authorId="0" ref="I47">
      <text>
        <t xml:space="preserve">212.50 alli social media/online rep
(850 total for hagerstown)
750 ALS mgmt
1750 ALS spend
</t>
      </text>
    </comment>
    <comment authorId="0" ref="J47">
      <text>
        <t xml:space="preserve">212.50 alli social media/online rep
(850 total for hagerstown)
750 ALS mgmt
1750 ALS spend
</t>
      </text>
    </comment>
    <comment authorId="0" ref="K47">
      <text>
        <t xml:space="preserve">212.50 alli social media/online rep
(850 total for hagerstown)
750 ALS mgmt
1750 ALS spend
</t>
      </text>
    </comment>
    <comment authorId="0" ref="L47">
      <text>
        <t xml:space="preserve">212.50 alli social media/online rep
(850 total for hagerstown)
750 ALS mgmt
1750 ALS spend
</t>
      </text>
    </comment>
    <comment authorId="0" ref="M47">
      <text>
        <t xml:space="preserve">212.50 alli social media/online rep
(850 total for hagerstown)
750 ALS mgmt
1750 ALS spend
</t>
      </text>
    </comment>
    <comment authorId="0" ref="B48">
      <text>
        <t xml:space="preserve">55.66 Sheehy.com
$350.33 PERQ child site</t>
      </text>
    </comment>
    <comment authorId="0" ref="C48">
      <text>
        <t xml:space="preserve">55.66 Sheehy.com
$350.33 PERQ child site</t>
      </text>
    </comment>
    <comment authorId="0" ref="D48">
      <text>
        <t xml:space="preserve">55.66 Sheehy.com
$350.33 PERQ child site</t>
      </text>
    </comment>
    <comment authorId="0" ref="E48">
      <text>
        <t xml:space="preserve">55.66 Sheehy.com
$350.33 PERQ child site</t>
      </text>
    </comment>
    <comment authorId="0" ref="F48">
      <text>
        <t xml:space="preserve">55.66 Sheehy.com
$350.33 PERQ child site</t>
      </text>
    </comment>
    <comment authorId="0" ref="G48">
      <text>
        <t xml:space="preserve">55.66 Sheehy.com
$350.33 PERQ child site</t>
      </text>
    </comment>
    <comment authorId="0" ref="H48">
      <text>
        <t xml:space="preserve">55.66 Sheehy.com
$350.33 PERQ child site</t>
      </text>
    </comment>
    <comment authorId="0" ref="I48">
      <text>
        <t xml:space="preserve">55.66 Sheehy.com
$350.33 PERQ child site</t>
      </text>
    </comment>
    <comment authorId="0" ref="J48">
      <text>
        <t xml:space="preserve">55.66 Sheehy.com
$350.33 PERQ child site</t>
      </text>
    </comment>
    <comment authorId="0" ref="K48">
      <text>
        <t xml:space="preserve">55.66 Sheehy.com
$350.33 PERQ child site</t>
      </text>
    </comment>
    <comment authorId="0" ref="L48">
      <text>
        <t xml:space="preserve">55.66 Sheehy.com
$350.33 PERQ child site</t>
      </text>
    </comment>
    <comment authorId="0" ref="M48">
      <text>
        <t xml:space="preserve">55.66 Sheehy.com
$350.33 PERQ child site</t>
      </text>
    </comment>
    <comment authorId="0" ref="B50">
      <text>
        <t xml:space="preserve">$1,650 DR platform
$295 Express Trade</t>
      </text>
    </comment>
    <comment authorId="0" ref="C50">
      <text>
        <t xml:space="preserve">$1,650 DR platform
$295 Express Trade</t>
      </text>
    </comment>
    <comment authorId="0" ref="D50">
      <text>
        <t xml:space="preserve">$1,650 DR platform
$295 Express Trade</t>
      </text>
    </comment>
    <comment authorId="0" ref="E50">
      <text>
        <t xml:space="preserve">$1,650 DR platform
$295 Express Trade</t>
      </text>
    </comment>
    <comment authorId="0" ref="F50">
      <text>
        <t xml:space="preserve">$1,650 DR platform
$295 Express Trade</t>
      </text>
    </comment>
    <comment authorId="0" ref="G50">
      <text>
        <t xml:space="preserve">$1,650 DR platform
$295 Express Trade</t>
      </text>
    </comment>
    <comment authorId="0" ref="H50">
      <text>
        <t xml:space="preserve">$1,650 DR platform
$295 Express Trade</t>
      </text>
    </comment>
    <comment authorId="0" ref="I50">
      <text>
        <t xml:space="preserve">$1,650 DR platform
$295 Express Trade</t>
      </text>
    </comment>
    <comment authorId="0" ref="J50">
      <text>
        <t xml:space="preserve">$1,650 DR platform
$295 Express Trade</t>
      </text>
    </comment>
    <comment authorId="0" ref="K50">
      <text>
        <t xml:space="preserve">$1,650 DR platform
$295 Express Trade</t>
      </text>
    </comment>
    <comment authorId="0" ref="L50">
      <text>
        <t xml:space="preserve">$1,650 DR platform
$295 Express Trade</t>
      </text>
    </comment>
    <comment authorId="0" ref="M50">
      <text>
        <t xml:space="preserve">$1,650 DR platform
$295 Express Trade</t>
      </text>
    </comment>
    <comment authorId="0" ref="B54">
      <text>
        <t xml:space="preserve">Q1 RGTM billed to parts statement
1732Paid Social
1790 Preroll
</t>
      </text>
    </comment>
    <comment authorId="0" ref="C54">
      <text>
        <t xml:space="preserve">Q1 RGTM billed to parts statement
1732Paid Social
1790 Preroll
</t>
      </text>
    </comment>
    <comment authorId="0" ref="D54">
      <text>
        <t xml:space="preserve">Q1 RGTM billed to parts statement
1732Paid Social
1790 Preroll
</t>
      </text>
    </comment>
    <comment authorId="0" ref="E54">
      <text>
        <t xml:space="preserve">Q@ RTGM Preroll 2345/mo on parts statement autosubmit for coop</t>
      </text>
    </comment>
    <comment authorId="0" ref="F54">
      <text>
        <t xml:space="preserve">Q@ RTGM Preroll 2345/mo on parts statement autosubmit for coop</t>
      </text>
    </comment>
    <comment authorId="0" ref="G54">
      <text>
        <t xml:space="preserve">Q@ RTGM Preroll 2345/mo on parts statement autosubmit for coop</t>
      </text>
    </comment>
    <comment authorId="0" ref="H54">
      <text>
        <t xml:space="preserve">Q@ RTGM Preroll 2345/mo on parts statement autosubmit for coop</t>
      </text>
    </comment>
    <comment authorId="0" ref="I54">
      <text>
        <t xml:space="preserve">Q@ RTGM Preroll 2345/mo on parts statement autosubmit for coop</t>
      </text>
    </comment>
    <comment authorId="0" ref="J54">
      <text>
        <t xml:space="preserve">Q@ RTGM Preroll 2345/mo on parts statement autosubmit for coop</t>
      </text>
    </comment>
    <comment authorId="0" ref="B55">
      <text>
        <t xml:space="preserve">1,075per store @ 30mi
(4300 total for campus -- includes trade/reach and subscription)</t>
      </text>
    </comment>
    <comment authorId="0" ref="C55">
      <text>
        <t xml:space="preserve">1,075per store @ 30mi
(4300 total for campus -- includes trade/reach and subscription)</t>
      </text>
    </comment>
    <comment authorId="0" ref="D55">
      <text>
        <t xml:space="preserve">1,075per store @ 30mi
(4300 total for campus -- includes trade/reach and subscription)</t>
      </text>
    </comment>
    <comment authorId="0" ref="E55">
      <text>
        <t xml:space="preserve">1,075per store @ 30mi
(4300 total for campus -- includes trade/reach and subscription)</t>
      </text>
    </comment>
    <comment authorId="0" ref="F55">
      <text>
        <t xml:space="preserve">1,075per store @ 30mi
(4300 total for campus -- includes trade/reach and subscription)</t>
      </text>
    </comment>
    <comment authorId="0" ref="G55">
      <text>
        <t xml:space="preserve">1,075per store @ 30mi
(4300 total for campus -- includes trade/reach and subscription)</t>
      </text>
    </comment>
    <comment authorId="0" ref="H55">
      <text>
        <t xml:space="preserve">1,075per store @ 30mi
(4300 total for campus -- includes trade/reach and subscription)</t>
      </text>
    </comment>
    <comment authorId="0" ref="I55">
      <text>
        <t xml:space="preserve">1,075per store @ 30mi
(4300 total for campus -- includes trade/reach and subscription)</t>
      </text>
    </comment>
    <comment authorId="0" ref="J55">
      <text>
        <t xml:space="preserve">1,075per store @ 30mi
(4300 total for campus -- includes trade/reach and subscription)</t>
      </text>
    </comment>
    <comment authorId="0" ref="K55">
      <text>
        <t xml:space="preserve">1,075per store @ 30mi
(4300 total for campus -- includes trade/reach and subscription)</t>
      </text>
    </comment>
    <comment authorId="0" ref="L55">
      <text>
        <t xml:space="preserve">1,075per store @ 30mi
(4300 total for campus -- includes trade/reach and subscription)</t>
      </text>
    </comment>
    <comment authorId="0" ref="M55">
      <text>
        <t xml:space="preserve">1,075per store @ 30mi
(4300 total for campus -- includes trade/reach and subscription)</t>
      </text>
    </comment>
    <comment authorId="0" ref="B59">
      <text>
        <t xml:space="preserve">312.50 NEW
312.50 USED
625 STORE
2500 CAMPUS
tbd</t>
      </text>
    </comment>
    <comment authorId="0" ref="C59">
      <text>
        <t xml:space="preserve">312.50 NEW
312.50 USED
625 STORE
2500 CAMPUS
tbd</t>
      </text>
    </comment>
    <comment authorId="0" ref="D59">
      <text>
        <t xml:space="preserve">312.50 NEW
312.50 USED
625 STORE
2500 CAMPUS
tbd</t>
      </text>
    </comment>
    <comment authorId="0" ref="E59">
      <text>
        <t xml:space="preserve">312.50 NEW
312.50 USED
625 STORE
2500 CAMPUS
tbd</t>
      </text>
    </comment>
    <comment authorId="0" ref="F59">
      <text>
        <t xml:space="preserve">312.50 NEW
312.50 USED
625 STORE
2500 CAMPUS
tbd</t>
      </text>
    </comment>
    <comment authorId="0" ref="G59">
      <text>
        <t xml:space="preserve">312.50 NEW
312.50 USED
625 STORE
2500 CAMPUS
tbd</t>
      </text>
    </comment>
    <comment authorId="0" ref="H59">
      <text>
        <t xml:space="preserve">312.50 NEW
312.50 USED
625 STORE
2500 CAMPUS
tbd</t>
      </text>
    </comment>
    <comment authorId="0" ref="I59">
      <text>
        <t xml:space="preserve">312.50 NEW
312.50 USED
625 STORE
2500 CAMPUS
tbd</t>
      </text>
    </comment>
    <comment authorId="0" ref="J59">
      <text>
        <t xml:space="preserve">312.50 NEW
312.50 USED
625 STORE
2500 CAMPUS
tbd</t>
      </text>
    </comment>
    <comment authorId="0" ref="K59">
      <text>
        <t xml:space="preserve">312.50 NEW
312.50 USED
625 STORE
2500 CAMPUS
tbd</t>
      </text>
    </comment>
    <comment authorId="0" ref="L59">
      <text>
        <t xml:space="preserve">312.50 NEW
312.50 USED
625 STORE
2500 CAMPUS
tbd</t>
      </text>
    </comment>
    <comment authorId="0" ref="M59">
      <text>
        <t xml:space="preserve">312.50 NEW
312.50 USED
625 STORE
2500 CAMPUS
tbd</t>
      </text>
    </comment>
    <comment authorId="0" ref="B63">
      <text>
        <t xml:space="preserve">6100 new (LC signed agreement per Beau's convo with John)</t>
      </text>
    </comment>
    <comment authorId="0" ref="C63">
      <text>
        <t xml:space="preserve">6100 new (LC signed agreement per Beau's convo with John)</t>
      </text>
    </comment>
    <comment authorId="0" ref="D63">
      <text>
        <t xml:space="preserve">6100 new (LC signed agreement per Beau's convo with John)</t>
      </text>
    </comment>
    <comment authorId="0" ref="E63">
      <text>
        <t xml:space="preserve">6100 new (LC signed agreement per Beau's convo with John)</t>
      </text>
    </comment>
    <comment authorId="0" ref="F63">
      <text>
        <t xml:space="preserve">6100 new (LC signed agreement per Beau's convo with John)</t>
      </text>
    </comment>
    <comment authorId="0" ref="G63">
      <text>
        <t xml:space="preserve">6100 new (LC signed agreement per Beau's convo with John)</t>
      </text>
    </comment>
    <comment authorId="0" ref="H63">
      <text>
        <t xml:space="preserve">6100 new (LC signed agreement per Beau's convo with John)</t>
      </text>
    </comment>
    <comment authorId="0" ref="I63">
      <text>
        <t xml:space="preserve">6100 new (LC signed agreement per Beau's convo with John)</t>
      </text>
    </comment>
    <comment authorId="0" ref="J63">
      <text>
        <t xml:space="preserve">6100 new (LC signed agreement per Beau's convo with John)</t>
      </text>
    </comment>
    <comment authorId="0" ref="K63">
      <text>
        <t xml:space="preserve">6100 new (LC signed agreement per Beau's convo with John)</t>
      </text>
    </comment>
    <comment authorId="0" ref="L63">
      <text>
        <t xml:space="preserve">6100 new (LC signed agreement per Beau's convo with John)</t>
      </text>
    </comment>
    <comment authorId="0" ref="M63">
      <text>
        <t xml:space="preserve">6100 new (LC signed agreement per Beau's convo with John)</t>
      </text>
    </comment>
    <comment authorId="0" ref="B72">
      <text>
        <t xml:space="preserve">TBD
</t>
      </text>
    </comment>
    <comment authorId="0" ref="C72">
      <text>
        <t xml:space="preserve">TBD
</t>
      </text>
    </comment>
    <comment authorId="0" ref="D72">
      <text>
        <t xml:space="preserve">TBD
</t>
      </text>
    </comment>
    <comment authorId="0" ref="E72">
      <text>
        <t xml:space="preserve">TBD
</t>
      </text>
    </comment>
    <comment authorId="0" ref="F72">
      <text>
        <t xml:space="preserve">TBD
</t>
      </text>
    </comment>
    <comment authorId="0" ref="G72">
      <text>
        <t xml:space="preserve">TBD
</t>
      </text>
    </comment>
    <comment authorId="0" ref="H72">
      <text>
        <t xml:space="preserve">TBD
</t>
      </text>
    </comment>
    <comment authorId="0" ref="I72">
      <text>
        <t xml:space="preserve">TBD
</t>
      </text>
    </comment>
    <comment authorId="0" ref="J72">
      <text>
        <t xml:space="preserve">TBD
</t>
      </text>
    </comment>
    <comment authorId="0" ref="K72">
      <text>
        <t xml:space="preserve">TBD
</t>
      </text>
    </comment>
    <comment authorId="0" ref="L72">
      <text>
        <t xml:space="preserve">TBD
</t>
      </text>
    </comment>
    <comment authorId="0" ref="M72">
      <text>
        <t xml:space="preserve">TBD
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B74">
      <text>
        <t xml:space="preserve">312.50 NEW
312.50 USED
625 STORE
2500 CAMPUS
tbd</t>
      </text>
    </comment>
    <comment authorId="0" ref="C74">
      <text>
        <t xml:space="preserve">312.50 NEW
312.50 USED
625 STORE
2500 CAMPUS
tbd</t>
      </text>
    </comment>
    <comment authorId="0" ref="D74">
      <text>
        <t xml:space="preserve">312.50 NEW
312.50 USED
625 STORE
2500 CAMPUS
tbd</t>
      </text>
    </comment>
    <comment authorId="0" ref="E74">
      <text>
        <t xml:space="preserve">312.50 NEW
312.50 USED
625 STORE
2500 CAMPUS
tbd</t>
      </text>
    </comment>
    <comment authorId="0" ref="F74">
      <text>
        <t xml:space="preserve">312.50 NEW
312.50 USED
625 STORE
2500 CAMPUS
tbd</t>
      </text>
    </comment>
    <comment authorId="0" ref="G74">
      <text>
        <t xml:space="preserve">312.50 NEW
312.50 USED
625 STORE
2500 CAMPUS
tbd</t>
      </text>
    </comment>
    <comment authorId="0" ref="H74">
      <text>
        <t xml:space="preserve">312.50 NEW
312.50 USED
625 STORE
2500 CAMPUS
tbd</t>
      </text>
    </comment>
    <comment authorId="0" ref="I74">
      <text>
        <t xml:space="preserve">312.50 NEW
312.50 USED
625 STORE
2500 CAMPUS
tbd</t>
      </text>
    </comment>
    <comment authorId="0" ref="J74">
      <text>
        <t xml:space="preserve">312.50 NEW
312.50 USED
625 STORE
2500 CAMPUS
tbd</t>
      </text>
    </comment>
    <comment authorId="0" ref="K74">
      <text>
        <t xml:space="preserve">312.50 NEW
312.50 USED
625 STORE
2500 CAMPUS
tbd</t>
      </text>
    </comment>
    <comment authorId="0" ref="L74">
      <text>
        <t xml:space="preserve">312.50 NEW
312.50 USED
625 STORE
2500 CAMPUS
tbd</t>
      </text>
    </comment>
    <comment authorId="0" ref="M74">
      <text>
        <t xml:space="preserve">312.50 NEW
312.50 USED
625 STORE
2500 CAMPUS
tbd</t>
      </text>
    </comment>
    <comment authorId="0" ref="B79">
      <text>
        <t xml:space="preserve">198.33 ($595 for SU/VW/MZ combined) KBB ICO</t>
      </text>
    </comment>
    <comment authorId="0" ref="C79">
      <text>
        <t xml:space="preserve">1,087.83 (split evenly across all 4 stores) KBB ICO</t>
      </text>
    </comment>
    <comment authorId="0" ref="D79">
      <text>
        <t xml:space="preserve">1,087.83 (split evenly across all 4 stores) KBB ICO</t>
      </text>
    </comment>
    <comment authorId="0" ref="E79">
      <text>
        <t xml:space="preserve">1,087.83 (split evenly across all 4 stores) KBB ICO</t>
      </text>
    </comment>
    <comment authorId="0" ref="F79">
      <text>
        <t xml:space="preserve">1,087.83 (split evenly across all 4 stores) KBB ICO</t>
      </text>
    </comment>
    <comment authorId="0" ref="G79">
      <text>
        <t xml:space="preserve">1,087.83 (split evenly across all 4 stores) KBB ICO</t>
      </text>
    </comment>
    <comment authorId="0" ref="H79">
      <text>
        <t xml:space="preserve">1,087.83 (split evenly across all 4 stores) KBB ICO</t>
      </text>
    </comment>
    <comment authorId="0" ref="I79">
      <text>
        <t xml:space="preserve">1,087.83 (split evenly across all 4 stores) KBB ICO</t>
      </text>
    </comment>
    <comment authorId="0" ref="J79">
      <text>
        <t xml:space="preserve">1,087.83 (split evenly across all 4 stores) KBB ICO</t>
      </text>
    </comment>
    <comment authorId="0" ref="K79">
      <text>
        <t xml:space="preserve">1,087.83 (split evenly across all 4 stores) KBB ICO</t>
      </text>
    </comment>
    <comment authorId="0" ref="L79">
      <text>
        <t xml:space="preserve">1,087.83 (split evenly across all 4 stores) KBB ICO</t>
      </text>
    </comment>
    <comment authorId="0" ref="M79">
      <text>
        <t xml:space="preserve">1,087.83 (split evenly across all 4 stores) KBB ICO</t>
      </text>
    </comment>
    <comment authorId="0" ref="B80">
      <text>
        <t xml:space="preserve">250 Cargurus (1000 for group) </t>
      </text>
    </comment>
    <comment authorId="0" ref="C80">
      <text>
        <t xml:space="preserve">250 Cargurus (1000 for group) </t>
      </text>
    </comment>
    <comment authorId="0" ref="D80">
      <text>
        <t xml:space="preserve">250 Cargurus (1000 for group) </t>
      </text>
    </comment>
    <comment authorId="0" ref="E80">
      <text>
        <t xml:space="preserve">250 Cargurus (1000 for group) </t>
      </text>
    </comment>
    <comment authorId="0" ref="F80">
      <text>
        <t xml:space="preserve">250 Cargurus (1000 for group) </t>
      </text>
    </comment>
    <comment authorId="0" ref="G80">
      <text>
        <t xml:space="preserve">250 Cargurus (1000 for group) </t>
      </text>
    </comment>
    <comment authorId="0" ref="H80">
      <text>
        <t xml:space="preserve">250 Cargurus (1000 for group) </t>
      </text>
    </comment>
    <comment authorId="0" ref="I80">
      <text>
        <t xml:space="preserve">250 Cargurus (1000 for group) </t>
      </text>
    </comment>
    <comment authorId="0" ref="J80">
      <text>
        <t xml:space="preserve">250 Cargurus (1000 for group) </t>
      </text>
    </comment>
    <comment authorId="0" ref="K80">
      <text>
        <t xml:space="preserve">250 Cargurus (1000 for group) </t>
      </text>
    </comment>
    <comment authorId="0" ref="L80">
      <text>
        <t xml:space="preserve">250 Cargurus (1000 for group) </t>
      </text>
    </comment>
    <comment authorId="0" ref="M80">
      <text>
        <t xml:space="preserve">250 Cargurus (1000 for group) </t>
      </text>
    </comment>
    <comment authorId="0" ref="B86">
      <text>
        <t xml:space="preserve">1680 (for campus, divide by 4 for each store to be 420)</t>
      </text>
    </comment>
    <comment authorId="0" ref="C86">
      <text>
        <t xml:space="preserve">1680 (for campus, divide by 4 for each store to be 420)</t>
      </text>
    </comment>
    <comment authorId="0" ref="D86">
      <text>
        <t xml:space="preserve">1680 (for campus, divide by 4 for each store to be 420)</t>
      </text>
    </comment>
    <comment authorId="0" ref="E86">
      <text>
        <t xml:space="preserve">1680 (for campus, divide by 4 for each store to be 420)</t>
      </text>
    </comment>
    <comment authorId="0" ref="F86">
      <text>
        <t xml:space="preserve">1680 (for campus, divide by 4 for each store to be 420)</t>
      </text>
    </comment>
    <comment authorId="0" ref="G86">
      <text>
        <t xml:space="preserve">1680 (for campus, divide by 4 for each store to be 420)</t>
      </text>
    </comment>
    <comment authorId="0" ref="H86">
      <text>
        <t xml:space="preserve">1680 (for campus, divide by 4 for each store to be 420)</t>
      </text>
    </comment>
    <comment authorId="0" ref="I86">
      <text>
        <t xml:space="preserve">1680 (for campus, divide by 4 for each store to be 420)</t>
      </text>
    </comment>
    <comment authorId="0" ref="J86">
      <text>
        <t xml:space="preserve">1680 (for campus, divide by 4 for each store to be 420)</t>
      </text>
    </comment>
    <comment authorId="0" ref="K86">
      <text>
        <t xml:space="preserve">1680 (for campus, divide by 4 for each store to be 420)</t>
      </text>
    </comment>
    <comment authorId="0" ref="L86">
      <text>
        <t xml:space="preserve">1680 (for campus, divide by 4 for each store to be 420)</t>
      </text>
    </comment>
    <comment authorId="0" ref="M86">
      <text>
        <t xml:space="preserve">1680 (for campus, divide by 4 for each store to be 420)</t>
      </text>
    </comment>
    <comment authorId="0" ref="K93">
      <text>
        <t xml:space="preserve">$235.85 CSI banner split up evenly amongst all 4 stores
$126.67 One Team Mural</t>
      </text>
    </comment>
    <comment authorId="0" ref="K94">
      <text>
        <t xml:space="preserve">$180 Polin
$200 boxes
</t>
      </text>
    </comment>
    <comment authorId="0" ref="C95">
      <text>
        <t xml:space="preserve">$60.75 step and repeat</t>
      </text>
    </comment>
    <comment authorId="0" ref="B103">
      <text>
        <t xml:space="preserve">125 SHEEHY.COM 
125 OTHER DIGITAL 
(1000 FOR CAMPUS TOTAL/4 STORES)</t>
      </text>
    </comment>
    <comment authorId="0" ref="C103">
      <text>
        <t xml:space="preserve">125 SHEEHY.COM 
125 OTHER DIGITAL 
(1000 FOR CAMPUS TOTAL/4 STORES)</t>
      </text>
    </comment>
    <comment authorId="0" ref="D103">
      <text>
        <t xml:space="preserve">100 SHEEHY.COM 
113.63 WJA Sponsorship</t>
      </text>
    </comment>
    <comment authorId="0" ref="E103">
      <text>
        <t xml:space="preserve">125 SHEEHY.COM 
125 OTHER DIGITAL 
(1000 FOR CAMPUS TOTAL/4 STORES)</t>
      </text>
    </comment>
    <comment authorId="0" ref="F103">
      <text>
        <t xml:space="preserve">125 SHEEHY.COM 
125 OTHER DIGITAL 
(1000 FOR CAMPUS TOTAL/4 STORES)</t>
      </text>
    </comment>
    <comment authorId="0" ref="G103">
      <text>
        <t xml:space="preserve">125 SHEEHY.COM 
125 OTHER DIGITAL 
(1000 FOR CAMPUS TOTAL/4 STORES)</t>
      </text>
    </comment>
    <comment authorId="0" ref="H103">
      <text>
        <t xml:space="preserve">125 SHEEHY.COM 
125 OTHER DIGITAL 
(1000 FOR CAMPUS TOTAL/4 STORES)</t>
      </text>
    </comment>
    <comment authorId="0" ref="I103">
      <text>
        <t xml:space="preserve">125 SHEEHY.COM 
125 OTHER DIGITAL 
(1000 FOR CAMPUS TOTAL/4 STORES)</t>
      </text>
    </comment>
    <comment authorId="0" ref="J103">
      <text>
        <t xml:space="preserve">125 SHEEHY.COM 
125 OTHER DIGITAL 
(1000 FOR CAMPUS TOTAL/4 STORES)</t>
      </text>
    </comment>
    <comment authorId="0" ref="K103">
      <text>
        <t xml:space="preserve">125 SHEEHY.COM 
125 OTHER DIGITAL 
(1000 FOR CAMPUS TOTAL/4 STORES)</t>
      </text>
    </comment>
    <comment authorId="0" ref="L103">
      <text>
        <t xml:space="preserve">125 SHEEHY.COM 
125 OTHER DIGITAL 
(1000 FOR CAMPUS TOTAL/4 STORES)</t>
      </text>
    </comment>
    <comment authorId="0" ref="M103">
      <text>
        <t xml:space="preserve">125 SHEEHY.COM 
125 OTHER DIGITAL 
(1000 FOR CAMPUS TOTAL/4 STORES)</t>
      </text>
    </comment>
    <comment authorId="0" ref="B115">
      <text>
        <t xml:space="preserve">$1,295 Easy Care
</t>
      </text>
    </comment>
    <comment authorId="0" ref="C115">
      <text>
        <t xml:space="preserve">$1,295 Easy Care
</t>
      </text>
    </comment>
    <comment authorId="0" ref="D115">
      <text>
        <t xml:space="preserve">$1,295 Easy Care
</t>
      </text>
    </comment>
    <comment authorId="0" ref="E115">
      <text>
        <t xml:space="preserve">$1,295 Easy Care
</t>
      </text>
    </comment>
    <comment authorId="0" ref="F115">
      <text>
        <t xml:space="preserve">$1,295 Easy Care
</t>
      </text>
    </comment>
    <comment authorId="0" ref="G115">
      <text>
        <t xml:space="preserve">$1,295 Easy Care
</t>
      </text>
    </comment>
    <comment authorId="0" ref="H115">
      <text>
        <t xml:space="preserve">$1,295 Easy Care
</t>
      </text>
    </comment>
    <comment authorId="0" ref="I115">
      <text>
        <t xml:space="preserve">$1,295 Easy Care
</t>
      </text>
    </comment>
    <comment authorId="0" ref="J115">
      <text>
        <t xml:space="preserve">$1,295 Easy Care
</t>
      </text>
    </comment>
    <comment authorId="0" ref="K115">
      <text>
        <t xml:space="preserve">$1,295 Easy Care
</t>
      </text>
    </comment>
    <comment authorId="0" ref="L115">
      <text>
        <t xml:space="preserve">$1,295 Easy Care
</t>
      </text>
    </comment>
    <comment authorId="0" ref="M115">
      <text>
        <t xml:space="preserve">$1,295 Easy Care
</t>
      </text>
    </comment>
    <comment authorId="0" ref="B117">
      <text>
        <t xml:space="preserve">$660.24 EasyCare quarterly mailer</t>
      </text>
    </comment>
    <comment authorId="0" ref="E117">
      <text>
        <t xml:space="preserve">$660.24 EasyCare quarterly mailer</t>
      </text>
    </comment>
    <comment authorId="0" ref="G117">
      <text>
        <t xml:space="preserve">195 easycare mailer
</t>
      </text>
    </comment>
    <comment authorId="0" ref="H117">
      <text>
        <t xml:space="preserve">$660.24 EasyCare quarterly mailer</t>
      </text>
    </comment>
    <comment authorId="0" ref="B118">
      <text>
        <t xml:space="preserve">500 purecars fixed ops through mazda digital + $200 fee 
116 collision center SEM mgmt fee
666 collision SEM spend
</t>
      </text>
    </comment>
    <comment authorId="0" ref="C118">
      <text>
        <t xml:space="preserve">500 purecars fixed ops through mazda digital + $200 fee 
116 collision center SEM mgmt fee
666 collision SEM spend
</t>
      </text>
    </comment>
    <comment authorId="0" ref="D118">
      <text>
        <t xml:space="preserve">500 purecars fixed ops through mazda digital + $200 fee 
116 collision center SEM mgmt fee
666 collision SEM spend
</t>
      </text>
    </comment>
    <comment authorId="0" ref="E118">
      <text>
        <t xml:space="preserve">500 purecars fixed ops through mazda digital + $200 fee 
116 collision center SEM mgmt fee
666 collision SEM spend
</t>
      </text>
    </comment>
    <comment authorId="0" ref="F118">
      <text>
        <t xml:space="preserve">500 purecars fixed ops through mazda digital + $200 fee 
116 collision center SEM mgmt fee
666 collision SEM spend
</t>
      </text>
    </comment>
    <comment authorId="0" ref="G118">
      <text>
        <t xml:space="preserve">500 purecars fixed ops through mazda digital + $200 fee 
116 collision center SEM mgmt fee
666 collision SEM spend
</t>
      </text>
    </comment>
    <comment authorId="0" ref="H118">
      <text>
        <t xml:space="preserve">500 purecars fixed ops through mazda digital + $200 fee 
116 collision center SEM mgmt fee
666 collision SEM spend
</t>
      </text>
    </comment>
    <comment authorId="0" ref="I118">
      <text>
        <t xml:space="preserve">500 purecars fixed ops through mazda digital + $200 fee 
116 collision center SEM mgmt fee
666 collision SEM spend
</t>
      </text>
    </comment>
    <comment authorId="0" ref="J118">
      <text>
        <t xml:space="preserve">500 purecars fixed ops through mazda digital + $200 fee 
116 collision center SEM mgmt fee
666 collision SEM spend
</t>
      </text>
    </comment>
    <comment authorId="0" ref="K118">
      <text>
        <t xml:space="preserve">500 purecars fixed ops through mazda digital + $200 fee 
116 collision center SEM mgmt fee
666 collision SEM spend
</t>
      </text>
    </comment>
    <comment authorId="0" ref="L118">
      <text>
        <t xml:space="preserve">500 purecars fixed ops through mazda digital + $200 fee 
116 collision center SEM mgmt fee
666 collision SEM spend
</t>
      </text>
    </comment>
    <comment authorId="0" ref="M118">
      <text>
        <t xml:space="preserve">500 purecars fixed ops through mazda digital + $200 fee 
116 collision center SEM mgmt fee
666 collision SEM spend
</t>
      </text>
    </comment>
    <comment authorId="0" ref="B120">
      <text>
        <t xml:space="preserve">$1295 regular Xtime
$455 Engage Bundle (added in November 2019)</t>
      </text>
    </comment>
    <comment authorId="0" ref="C120">
      <text>
        <t xml:space="preserve">$1295 regular Xtime
$455 Engage Bundle (added in November 2019)</t>
      </text>
    </comment>
    <comment authorId="0" ref="D120">
      <text>
        <t xml:space="preserve">$1295 regular Xtime
$455 Engage Bundle (added in November 2019)</t>
      </text>
    </comment>
    <comment authorId="0" ref="E120">
      <text>
        <t xml:space="preserve">$1295 regular Xtime
$455 Engage Bundle (added in November 2019)</t>
      </text>
    </comment>
    <comment authorId="0" ref="F120">
      <text>
        <t xml:space="preserve">$1295 regular Xtime
$455 Engage Bundle (added in November 2019)</t>
      </text>
    </comment>
    <comment authorId="0" ref="G120">
      <text>
        <t xml:space="preserve">$1295 regular Xtime
$455 Engage Bundle (added in November 2019)</t>
      </text>
    </comment>
    <comment authorId="0" ref="H120">
      <text>
        <t xml:space="preserve">$1295 regular Xtime
$455 Engage Bundle (added in November 2019)</t>
      </text>
    </comment>
    <comment authorId="0" ref="I120">
      <text>
        <t xml:space="preserve">$1295 regular Xtime
$455 Engage Bundle (added in November 2019)</t>
      </text>
    </comment>
    <comment authorId="0" ref="J120">
      <text>
        <t xml:space="preserve">$1295 regular Xtime
$455 Engage Bundle (added in November 2019)</t>
      </text>
    </comment>
    <comment authorId="0" ref="K120">
      <text>
        <t xml:space="preserve">$1295 regular Xtime
$455 Engage Bundle (added in November 2019)</t>
      </text>
    </comment>
    <comment authorId="0" ref="L120">
      <text>
        <t xml:space="preserve">$1295 regular Xtime
$455 Engage Bundle (added in November 2019)</t>
      </text>
    </comment>
    <comment authorId="0" ref="M120">
      <text>
        <t xml:space="preserve">$1295 regular Xtime
$455 Engage Bundle (added in November 2019)</t>
      </text>
    </comment>
  </commentList>
</comments>
</file>

<file path=xl/comments2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9">
      <text>
        <t xml:space="preserve">($5750 total invoice for 16 DC stores split over 2 mos ea. ) </t>
      </text>
    </comment>
    <comment authorId="0" ref="C19">
      <text>
        <t xml:space="preserve">($5750 total invoice for 16 DC stores split over 2 mos ea. ) </t>
      </text>
    </comment>
    <comment authorId="0" ref="B34">
      <text>
        <t xml:space="preserve">$1163 Buick GMC website
$124.75 collision center website (1/4 of the charge--splitting up $499 charge to all 4 stores)
$425 AAG (SEO)</t>
      </text>
    </comment>
    <comment authorId="0" ref="C34">
      <text>
        <t xml:space="preserve">$1163 Buick GMC website
$124.75 collision center website (1/4 of the charge--splitting up $499 charge to all 4 stores)
$425 AAG (SEO)</t>
      </text>
    </comment>
    <comment authorId="0" ref="D34">
      <text>
        <t xml:space="preserve">$1163 Buick GMC website
$124.75 collision center website (1/4 of the charge--splitting up $499 charge to all 4 stores)
$425 AAG (SEO)</t>
      </text>
    </comment>
    <comment authorId="0" ref="E34">
      <text>
        <t xml:space="preserve">$1163 Buick GMC website
$124.75 collision center website (1/4 of the charge--splitting up $499 charge to all 4 stores)
$425 AAG (SEO)</t>
      </text>
    </comment>
    <comment authorId="0" ref="F34">
      <text>
        <t xml:space="preserve">$1163 Buick GMC website
$224.5 collision center website w/SEO now included (1/4 of the charge--splitting up $898 charge to all 4 stores)
$425 AAG (SEO)</t>
      </text>
    </comment>
    <comment authorId="0" ref="G34">
      <text>
        <t xml:space="preserve">$1163 Buick GMC website
$224.5 collision center website w/SEO now included (1/4 of the charge--splitting up $898 charge to all 4 stores)
$425 AAG (SEO)</t>
      </text>
    </comment>
    <comment authorId="0" ref="H34">
      <text>
        <t xml:space="preserve">$1163 Buick GMC website
$224.5 collision center website w/SEO now included (1/4 of the charge--splitting up $898 charge to all 4 stores)
$425 AAG (SEO)</t>
      </text>
    </comment>
    <comment authorId="0" ref="I34">
      <text>
        <t xml:space="preserve">$1163 Buick GMC website
$224.5 collision center website w/SEO now included (1/4 of the charge--splitting up $898 charge to all 4 stores)
$425 AAG (SEO)</t>
      </text>
    </comment>
    <comment authorId="0" ref="J34">
      <text>
        <t xml:space="preserve">$1163 Buick GMC website
$224.5 collision center website w/SEO now included (1/4 of the charge--splitting up $898 charge to all 4 stores)
$425 AAG (SEO)</t>
      </text>
    </comment>
    <comment authorId="0" ref="K34">
      <text>
        <t xml:space="preserve">$1163 Buick GMC website
$224.5 collision center website w/SEO now included (1/4 of the charge--splitting up $898 charge to all 4 stores)
$425 AAG (SEO)</t>
      </text>
    </comment>
    <comment authorId="0" ref="L34">
      <text>
        <t xml:space="preserve">$1163 Buick GMC website
$224.5 collision center website w/SEO now included (1/4 of the charge--splitting up $898 charge to all 4 stores)
$425 AAG (SEO)</t>
      </text>
    </comment>
    <comment authorId="0" ref="M34">
      <text>
        <t xml:space="preserve">$1163 Buick GMC website
$224.5 collision center website w/SEO now included (1/4 of the charge--splitting up $898 charge to all 4 stores)
$425 AAG (SEO)</t>
      </text>
    </comment>
    <comment authorId="0" ref="B42">
      <text>
        <t xml:space="preserve">365 for campus
91.25 per roof</t>
      </text>
    </comment>
    <comment authorId="0" ref="C42">
      <text>
        <t xml:space="preserve">365 for campus
91.25 per roof</t>
      </text>
    </comment>
    <comment authorId="0" ref="D42">
      <text>
        <t xml:space="preserve">365 for campus
91.25 per roof</t>
      </text>
    </comment>
    <comment authorId="0" ref="E42">
      <text>
        <t xml:space="preserve">365 for campus
91.25 per roof</t>
      </text>
    </comment>
    <comment authorId="0" ref="F42">
      <text>
        <t xml:space="preserve">365 for campus
91.25 per roof</t>
      </text>
    </comment>
    <comment authorId="0" ref="G42">
      <text>
        <t xml:space="preserve">365 for campus
91.25 per roof</t>
      </text>
    </comment>
    <comment authorId="0" ref="H42">
      <text>
        <t xml:space="preserve">365 for campus
91.25 per roof</t>
      </text>
    </comment>
    <comment authorId="0" ref="I42">
      <text>
        <t xml:space="preserve">365 for campus
91.25 per roof</t>
      </text>
    </comment>
    <comment authorId="0" ref="J42">
      <text>
        <t xml:space="preserve">365 for campus
91.25 per roof</t>
      </text>
    </comment>
    <comment authorId="0" ref="K42">
      <text>
        <t xml:space="preserve">365 for campus
91.25 per roof</t>
      </text>
    </comment>
    <comment authorId="0" ref="L42">
      <text>
        <t xml:space="preserve">365 for campus
91.25 per roof</t>
      </text>
    </comment>
    <comment authorId="0" ref="M42">
      <text>
        <t xml:space="preserve">365 for campus
91.25 per roof</t>
      </text>
    </comment>
    <comment authorId="0" ref="B43">
      <text>
        <t xml:space="preserve">new rate for HG group is $1449; splitting it 4 ways</t>
      </text>
    </comment>
    <comment authorId="0" ref="C43">
      <text>
        <t xml:space="preserve">new rate for HG group is $1449; splitting it 4 ways</t>
      </text>
    </comment>
    <comment authorId="0" ref="D43">
      <text>
        <t xml:space="preserve">new rate for HG group is $1449; splitting it 4 ways</t>
      </text>
    </comment>
    <comment authorId="0" ref="E43">
      <text>
        <t xml:space="preserve">new rate for HG group is $1449; splitting it 4 ways</t>
      </text>
    </comment>
    <comment authorId="0" ref="F43">
      <text>
        <t xml:space="preserve">new rate for HG group is $1449; splitting it 4 ways</t>
      </text>
    </comment>
    <comment authorId="0" ref="G43">
      <text>
        <t xml:space="preserve">new rate for HG group is $1449; splitting it 4 ways</t>
      </text>
    </comment>
    <comment authorId="0" ref="H43">
      <text>
        <t xml:space="preserve">new rate for HG group is $1449; splitting it 4 ways</t>
      </text>
    </comment>
    <comment authorId="0" ref="I43">
      <text>
        <t xml:space="preserve">new rate for HG group is $1449; splitting it 4 ways</t>
      </text>
    </comment>
    <comment authorId="0" ref="J43">
      <text>
        <t xml:space="preserve">new rate for HG group is $1449; splitting it 4 ways</t>
      </text>
    </comment>
    <comment authorId="0" ref="K43">
      <text>
        <t xml:space="preserve">new rate for HG group is $1449; splitting it 4 ways</t>
      </text>
    </comment>
    <comment authorId="0" ref="L43">
      <text>
        <t xml:space="preserve">new rate for HG group is $1449; splitting it 4 ways</t>
      </text>
    </comment>
    <comment authorId="0" ref="M43">
      <text>
        <t xml:space="preserve">new rate for HG group is $1449; splitting it 4 ways</t>
      </text>
    </comment>
    <comment authorId="0" ref="B44">
      <text>
        <t xml:space="preserve">199 finance driver billed through dealertrack</t>
      </text>
    </comment>
    <comment authorId="0" ref="C44">
      <text>
        <t xml:space="preserve">199 finance driver billed through dealertrack</t>
      </text>
    </comment>
    <comment authorId="0" ref="D44">
      <text>
        <t xml:space="preserve">199 finance driver billed through dealertrack</t>
      </text>
    </comment>
    <comment authorId="0" ref="E44">
      <text>
        <t xml:space="preserve">199 finance driver billed through dealertrack</t>
      </text>
    </comment>
    <comment authorId="0" ref="F44">
      <text>
        <t xml:space="preserve">199 finance driver billed through dealertrack</t>
      </text>
    </comment>
    <comment authorId="0" ref="G44">
      <text>
        <t xml:space="preserve">199 finance driver billed through dealertrack</t>
      </text>
    </comment>
    <comment authorId="0" ref="H44">
      <text>
        <t xml:space="preserve">199 finance driver billed through dealertrack</t>
      </text>
    </comment>
    <comment authorId="0" ref="I44">
      <text>
        <t xml:space="preserve">199 finance driver billed through dealertrack</t>
      </text>
    </comment>
    <comment authorId="0" ref="J44">
      <text>
        <t xml:space="preserve">199 finance driver billed through dealertrack</t>
      </text>
    </comment>
    <comment authorId="0" ref="K44">
      <text>
        <t xml:space="preserve">199 finance driver billed through dealertrack</t>
      </text>
    </comment>
    <comment authorId="0" ref="L44">
      <text>
        <t xml:space="preserve">199 finance driver billed through dealertrack</t>
      </text>
    </comment>
    <comment authorId="0" ref="M44">
      <text>
        <t xml:space="preserve">199 finance driver billed through dealertrack</t>
      </text>
    </comment>
    <comment authorId="0" ref="B45">
      <text>
        <t xml:space="preserve">45 Yelp 
97.5 Group Reputation.com (billed by Vinco)
99 reputation.com (OEM parts statement)</t>
      </text>
    </comment>
    <comment authorId="0" ref="C45">
      <text>
        <t xml:space="preserve">45 Yelp 
97.5 Group Reputation.com (billed by Vinco)
99 reputation.com (OEM parts statement)</t>
      </text>
    </comment>
    <comment authorId="0" ref="D45">
      <text>
        <t xml:space="preserve">45 Yelp 
97.5 Group Reputation.com (billed by Vinco)
99 reputation.com (OEM parts statement)</t>
      </text>
    </comment>
    <comment authorId="0" ref="E45">
      <text>
        <t xml:space="preserve">45 Yelp 
97.5 Group Reputation.com (billed by Vinco)
99 reputation.com (OEM parts statement)</t>
      </text>
    </comment>
    <comment authorId="0" ref="F45">
      <text>
        <t xml:space="preserve">45 Yelp 
97.5 Group Reputation.com (billed by Vinco)
99 reputation.com (OEM parts statement)</t>
      </text>
    </comment>
    <comment authorId="0" ref="G45">
      <text>
        <t xml:space="preserve">45 Yelp 
97.5 Group Reputation.com (billed by Vinco)
99 reputation.com (OEM parts statement)</t>
      </text>
    </comment>
    <comment authorId="0" ref="H45">
      <text>
        <t xml:space="preserve">45 Yelp 
97.5 Group Reputation.com (billed by Vinco)
99 reputation.com (OEM parts statement)</t>
      </text>
    </comment>
    <comment authorId="0" ref="I45">
      <text>
        <t xml:space="preserve">45 Yelp 
97.5 Group Reputation.com (billed by Vinco)
99 reputation.com (OEM parts statement)</t>
      </text>
    </comment>
    <comment authorId="0" ref="J45">
      <text>
        <t xml:space="preserve">45 Yelp 
97.5 Group Reputation.com (billed by Vinco)
99 reputation.com (OEM parts statement)</t>
      </text>
    </comment>
    <comment authorId="0" ref="K45">
      <text>
        <t xml:space="preserve">45 Yelp 
97.5 Group Reputation.com (billed by Vinco)
99 reputation.com (OEM parts statement)</t>
      </text>
    </comment>
    <comment authorId="0" ref="L45">
      <text>
        <t xml:space="preserve">45 Yelp 
97.5 Group Reputation.com (billed by Vinco)
99 reputation.com (OEM parts statement)</t>
      </text>
    </comment>
    <comment authorId="0" ref="M45">
      <text>
        <t xml:space="preserve">45 Yelp 
97.5 Group Reputation.com (billed by Vinco)
99 reputation.com (OEM parts statement)</t>
      </text>
    </comment>
    <comment authorId="0" ref="B47">
      <text>
        <t xml:space="preserve">212.50 alli social media/online rep
(850 total for hagerstown)
</t>
      </text>
    </comment>
    <comment authorId="0" ref="C47">
      <text>
        <t xml:space="preserve">212.50 alli social media/online rep
(850 total for hagerstown)
</t>
      </text>
    </comment>
    <comment authorId="0" ref="D47">
      <text>
        <t xml:space="preserve">212.50 alli social media/online rep
(850 total for hagerstown)
</t>
      </text>
    </comment>
    <comment authorId="0" ref="E47">
      <text>
        <t xml:space="preserve">212.50 alli social media/online rep
(850 total for hagerstown)
</t>
      </text>
    </comment>
    <comment authorId="0" ref="F47">
      <text>
        <t xml:space="preserve">212.50 alli social media/online rep
(850 total for hagerstown)
</t>
      </text>
    </comment>
    <comment authorId="0" ref="G47">
      <text>
        <t xml:space="preserve">212.50 alli social media/online rep
(850 total for hagerstown)
</t>
      </text>
    </comment>
    <comment authorId="0" ref="H47">
      <text>
        <t xml:space="preserve">212.50 alli social media/online rep
(850 total for hagerstown)
</t>
      </text>
    </comment>
    <comment authorId="0" ref="I47">
      <text>
        <t xml:space="preserve">212.50 alli social media/online rep
(850 total for hagerstown)
</t>
      </text>
    </comment>
    <comment authorId="0" ref="J47">
      <text>
        <t xml:space="preserve">212.50 alli social media/online rep
(850 total for hagerstown)
</t>
      </text>
    </comment>
    <comment authorId="0" ref="K47">
      <text>
        <t xml:space="preserve">212.50 alli social media/online rep
(850 total for hagerstown)
</t>
      </text>
    </comment>
    <comment authorId="0" ref="L47">
      <text>
        <t xml:space="preserve">212.50 alli social media/online rep
(850 total for hagerstown)
</t>
      </text>
    </comment>
    <comment authorId="0" ref="M47">
      <text>
        <t xml:space="preserve">212.50 alli social media/online rep
(850 total for hagerstown)
</t>
      </text>
    </comment>
    <comment authorId="0" ref="B48">
      <text>
        <t xml:space="preserve">55.66 Sheehy.com
$350.33 PERQ child site</t>
      </text>
    </comment>
    <comment authorId="0" ref="C48">
      <text>
        <t xml:space="preserve">55.66 Sheehy.com
$350.33 PERQ child site</t>
      </text>
    </comment>
    <comment authorId="0" ref="D48">
      <text>
        <t xml:space="preserve">55.66 Sheehy.com
$350.33 PERQ child site</t>
      </text>
    </comment>
    <comment authorId="0" ref="E48">
      <text>
        <t xml:space="preserve">55.66 Sheehy.com
$350.33 PERQ child site</t>
      </text>
    </comment>
    <comment authorId="0" ref="F48">
      <text>
        <t xml:space="preserve">55.66 Sheehy.com
$350.33 PERQ child site</t>
      </text>
    </comment>
    <comment authorId="0" ref="G48">
      <text>
        <t xml:space="preserve">55.66 Sheehy.com
$350.33 PERQ child site</t>
      </text>
    </comment>
    <comment authorId="0" ref="H48">
      <text>
        <t xml:space="preserve">55.66 Sheehy.com
$350.33 PERQ child site</t>
      </text>
    </comment>
    <comment authorId="0" ref="I48">
      <text>
        <t xml:space="preserve">55.66 Sheehy.com
$350.33 PERQ child site</t>
      </text>
    </comment>
    <comment authorId="0" ref="J48">
      <text>
        <t xml:space="preserve">55.66 Sheehy.com
$350.33 PERQ child site</t>
      </text>
    </comment>
    <comment authorId="0" ref="K48">
      <text>
        <t xml:space="preserve">55.66 Sheehy.com
$350.33 PERQ child site</t>
      </text>
    </comment>
    <comment authorId="0" ref="L48">
      <text>
        <t xml:space="preserve">55.66 Sheehy.com
$350.33 PERQ child site</t>
      </text>
    </comment>
    <comment authorId="0" ref="M48">
      <text>
        <t xml:space="preserve">55.66 Sheehy.com
$350.33 PERQ child site</t>
      </text>
    </comment>
    <comment authorId="0" ref="B55">
      <text>
        <t xml:space="preserve">1,075per store @ 30mi
(4300 total for campus -- includes trade/reach and subscription)</t>
      </text>
    </comment>
    <comment authorId="0" ref="C55">
      <text>
        <t xml:space="preserve">1050 per store @ 30mi
(4200 total for campus)</t>
      </text>
    </comment>
    <comment authorId="0" ref="D55">
      <text>
        <t xml:space="preserve">1050 per store @ 30mi
(4200 total for campus)</t>
      </text>
    </comment>
    <comment authorId="0" ref="E55">
      <text>
        <t xml:space="preserve">1050 per store @ 30mi
(4200 total for campus)</t>
      </text>
    </comment>
    <comment authorId="0" ref="F55">
      <text>
        <t xml:space="preserve">1050 per store @ 30mi
(4200 total for campus)</t>
      </text>
    </comment>
    <comment authorId="0" ref="G55">
      <text>
        <t xml:space="preserve">1050 per store @ 30mi
(4200 total for campus)</t>
      </text>
    </comment>
    <comment authorId="0" ref="H55">
      <text>
        <t xml:space="preserve">950 per store @ 30mi
(3800 total for campus -- includes trade/reach and subscription)</t>
      </text>
    </comment>
    <comment authorId="0" ref="I55">
      <text>
        <t xml:space="preserve">1,075per store @ 30mi
(4300 total for campus -- includes trade/reach and subscription)</t>
      </text>
    </comment>
    <comment authorId="0" ref="J55">
      <text>
        <t xml:space="preserve">1,075per store @ 30mi
(4300 total for campus -- includes trade/reach and subscription)</t>
      </text>
    </comment>
    <comment authorId="0" ref="K55">
      <text>
        <t xml:space="preserve">1,075per store @ 30mi
(4300 total for campus -- includes trade/reach and subscription)</t>
      </text>
    </comment>
    <comment authorId="0" ref="L55">
      <text>
        <t xml:space="preserve">1,075per store @ 30mi
(4300 total for campus -- includes trade/reach and subscription)</t>
      </text>
    </comment>
    <comment authorId="0" ref="M55">
      <text>
        <t xml:space="preserve">1,075per store @ 30mi
(4300 total for campus -- includes trade/reach and subscription)</t>
      </text>
    </comment>
    <comment authorId="0" ref="B56">
      <text>
        <t xml:space="preserve">297.50 purecars mgmt fee</t>
      </text>
    </comment>
    <comment authorId="0" ref="C56">
      <text>
        <t xml:space="preserve">297.50 purecars mgmt fee</t>
      </text>
    </comment>
    <comment authorId="0" ref="D56">
      <text>
        <t xml:space="preserve">297.50 purecars mgmt fee</t>
      </text>
    </comment>
    <comment authorId="0" ref="E56">
      <text>
        <t xml:space="preserve">297.50 purecars mgmt fee</t>
      </text>
    </comment>
    <comment authorId="0" ref="F56">
      <text>
        <t xml:space="preserve">297.50 purecars mgmt fee</t>
      </text>
    </comment>
    <comment authorId="0" ref="G56">
      <text>
        <t xml:space="preserve">297.50 purecars mgmt fee</t>
      </text>
    </comment>
    <comment authorId="0" ref="H56">
      <text>
        <t xml:space="preserve">297.50 purecars mgmt fee</t>
      </text>
    </comment>
    <comment authorId="0" ref="I56">
      <text>
        <t xml:space="preserve">297.50 purecars mgmt fee</t>
      </text>
    </comment>
    <comment authorId="0" ref="J56">
      <text>
        <t xml:space="preserve">297.50 purecars mgmt fee</t>
      </text>
    </comment>
    <comment authorId="0" ref="K56">
      <text>
        <t xml:space="preserve">297.50 purecars mgmt fee</t>
      </text>
    </comment>
    <comment authorId="0" ref="L56">
      <text>
        <t xml:space="preserve">297.50 purecars mgmt fee</t>
      </text>
    </comment>
    <comment authorId="0" ref="M56">
      <text>
        <t xml:space="preserve">297.50 purecars mgmt fee</t>
      </text>
    </comment>
    <comment authorId="0" ref="B59">
      <text>
        <t xml:space="preserve">312.50 NEW
312.50 USED
625 STORE
2500 CAMPUS
tbd</t>
      </text>
    </comment>
    <comment authorId="0" ref="C59">
      <text>
        <t xml:space="preserve">312.50 NEW
312.50 USED
625 STORE
2500 CAMPUS
tbd</t>
      </text>
    </comment>
    <comment authorId="0" ref="D59">
      <text>
        <t xml:space="preserve">312.50 NEW
312.50 USED
625 STORE
2500 CAMPUS
tbd</t>
      </text>
    </comment>
    <comment authorId="0" ref="E59">
      <text>
        <t xml:space="preserve">312.50 NEW
312.50 USED
625 STORE
2500 CAMPUS
tbd</t>
      </text>
    </comment>
    <comment authorId="0" ref="F59">
      <text>
        <t xml:space="preserve">312.50 NEW
312.50 USED
625 STORE
2500 CAMPUS
tbd</t>
      </text>
    </comment>
    <comment authorId="0" ref="G59">
      <text>
        <t xml:space="preserve">312.50 NEW
312.50 USED
625 STORE
2500 CAMPUS
tbd</t>
      </text>
    </comment>
    <comment authorId="0" ref="H59">
      <text>
        <t xml:space="preserve">312.50 NEW
312.50 USED
625 STORE
2500 CAMPUS
tbd</t>
      </text>
    </comment>
    <comment authorId="0" ref="I59">
      <text>
        <t xml:space="preserve">312.50 NEW
312.50 USED
625 STORE
2500 CAMPUS
tbd</t>
      </text>
    </comment>
    <comment authorId="0" ref="J59">
      <text>
        <t xml:space="preserve">312.50 NEW
312.50 USED
625 STORE
2500 CAMPUS
tbd</t>
      </text>
    </comment>
    <comment authorId="0" ref="K59">
      <text>
        <t xml:space="preserve">312.50 NEW
312.50 USED
625 STORE
2500 CAMPUS
tbd</t>
      </text>
    </comment>
    <comment authorId="0" ref="L59">
      <text>
        <t xml:space="preserve">312.50 NEW
312.50 USED
625 STORE
2500 CAMPUS
tbd</t>
      </text>
    </comment>
    <comment authorId="0" ref="M59">
      <text>
        <t xml:space="preserve">312.50 NEW
312.50 USED
625 STORE
2500 CAMPUS
tbd</t>
      </text>
    </comment>
    <comment authorId="0" ref="B63">
      <text>
        <t xml:space="preserve">2900
+500 starting in dec. 2021</t>
      </text>
    </comment>
    <comment authorId="0" ref="C63">
      <text>
        <t xml:space="preserve">2900
+500 starting in dec. 2021</t>
      </text>
    </comment>
    <comment authorId="0" ref="D63">
      <text>
        <t xml:space="preserve">2900
+500 starting in dec. 2021</t>
      </text>
    </comment>
    <comment authorId="0" ref="E63">
      <text>
        <t xml:space="preserve">2900
+500 starting in dec. 2021</t>
      </text>
    </comment>
    <comment authorId="0" ref="F63">
      <text>
        <t xml:space="preserve">2900
+500 starting in dec. 2021</t>
      </text>
    </comment>
    <comment authorId="0" ref="G63">
      <text>
        <t xml:space="preserve">2900
+500 starting in dec. 2021</t>
      </text>
    </comment>
    <comment authorId="0" ref="H63">
      <text>
        <t xml:space="preserve">2900
+500 starting in dec. 2021</t>
      </text>
    </comment>
    <comment authorId="0" ref="I63">
      <text>
        <t xml:space="preserve">2900
+500 starting in dec. 2021</t>
      </text>
    </comment>
    <comment authorId="0" ref="J63">
      <text>
        <t xml:space="preserve">2900
+500 starting in dec. 2021</t>
      </text>
    </comment>
    <comment authorId="0" ref="K63">
      <text>
        <t xml:space="preserve">2900
+500 starting in dec. 2021</t>
      </text>
    </comment>
    <comment authorId="0" ref="L63">
      <text>
        <t xml:space="preserve">2900
+500 starting in dec. 2021</t>
      </text>
    </comment>
    <comment authorId="0" ref="M63">
      <text>
        <t xml:space="preserve">2900
+500 starting in dec. 2021</t>
      </text>
    </comment>
    <comment authorId="0" ref="B74">
      <text>
        <t xml:space="preserve">312.50 NEW
312.50 USED
625 STORE
2500 CAMPUS
tbd</t>
      </text>
    </comment>
    <comment authorId="0" ref="C74">
      <text>
        <t xml:space="preserve">312.50 NEW
312.50 USED
625 STORE
2500 CAMPUS
tbd</t>
      </text>
    </comment>
    <comment authorId="0" ref="D74">
      <text>
        <t xml:space="preserve">312.50 NEW
312.50 USED
625 STORE
2500 CAMPUS
tbd</t>
      </text>
    </comment>
    <comment authorId="0" ref="E74">
      <text>
        <t xml:space="preserve">312.50 NEW
312.50 USED
625 STORE
2500 CAMPUS
tbd</t>
      </text>
    </comment>
    <comment authorId="0" ref="F74">
      <text>
        <t xml:space="preserve">312.50 NEW
312.50 USED
625 STORE
2500 CAMPUS
tbd</t>
      </text>
    </comment>
    <comment authorId="0" ref="G74">
      <text>
        <t xml:space="preserve">312.50 NEW
312.50 USED
625 STORE
2500 CAMPUS
tbd</t>
      </text>
    </comment>
    <comment authorId="0" ref="H74">
      <text>
        <t xml:space="preserve">312.50 NEW
312.50 USED
625 STORE
2500 CAMPUS
tbd</t>
      </text>
    </comment>
    <comment authorId="0" ref="I74">
      <text>
        <t xml:space="preserve">312.50 NEW
312.50 USED
625 STORE
2500 CAMPUS
tbd</t>
      </text>
    </comment>
    <comment authorId="0" ref="J74">
      <text>
        <t xml:space="preserve">312.50 NEW
312.50 USED
625 STORE
2500 CAMPUS
tbd</t>
      </text>
    </comment>
    <comment authorId="0" ref="K74">
      <text>
        <t xml:space="preserve">312.50 NEW
312.50 USED
625 STORE
2500 CAMPUS
tbd</t>
      </text>
    </comment>
    <comment authorId="0" ref="L74">
      <text>
        <t xml:space="preserve">312.50 NEW
312.50 USED
625 STORE
2500 CAMPUS
tbd</t>
      </text>
    </comment>
    <comment authorId="0" ref="M74">
      <text>
        <t xml:space="preserve">312.50 NEW
312.50 USED
625 STORE
2500 CAMPUS
tbd</t>
      </text>
    </comment>
    <comment authorId="0" ref="C79">
      <text>
        <t xml:space="preserve">1,087.83 (split evenly across all 4 stores) KBB ICO</t>
      </text>
    </comment>
    <comment authorId="0" ref="D79">
      <text>
        <t xml:space="preserve">1,087.83 (split evenly across all 4 stores) KBB ICO</t>
      </text>
    </comment>
    <comment authorId="0" ref="E79">
      <text>
        <t xml:space="preserve">1,087.83 (split evenly across all 4 stores) KBB ICO</t>
      </text>
    </comment>
    <comment authorId="0" ref="F79">
      <text>
        <t xml:space="preserve">1,087.83 (split evenly across all 4 stores) KBB ICO</t>
      </text>
    </comment>
    <comment authorId="0" ref="G79">
      <text>
        <t xml:space="preserve">1,087.83 (split evenly across all 4 stores) KBB ICO</t>
      </text>
    </comment>
    <comment authorId="0" ref="H79">
      <text>
        <t xml:space="preserve">1,087.83 (split evenly across all 4 stores) KBB ICO</t>
      </text>
    </comment>
    <comment authorId="0" ref="I79">
      <text>
        <t xml:space="preserve">1,087.83 (split evenly across all 4 stores) KBB ICO</t>
      </text>
    </comment>
    <comment authorId="0" ref="J79">
      <text>
        <t xml:space="preserve">1,087.83 (split evenly across all 4 stores) KBB ICO</t>
      </text>
    </comment>
    <comment authorId="0" ref="K79">
      <text>
        <t xml:space="preserve">1,087.83 (split evenly across all 4 stores) KBB ICO</t>
      </text>
    </comment>
    <comment authorId="0" ref="L79">
      <text>
        <t xml:space="preserve">1,087.83 (split evenly across all 4 stores) KBB ICO</t>
      </text>
    </comment>
    <comment authorId="0" ref="M79">
      <text>
        <t xml:space="preserve">1,087.83 (split evenly across all 4 stores) KBB ICO</t>
      </text>
    </comment>
    <comment authorId="0" ref="B80">
      <text>
        <t xml:space="preserve">250 Cargurus (1000 for group) </t>
      </text>
    </comment>
    <comment authorId="0" ref="C80">
      <text>
        <t xml:space="preserve">250 Cargurus (1000 for group) </t>
      </text>
    </comment>
    <comment authorId="0" ref="D80">
      <text>
        <t xml:space="preserve">250 Cargurus (1000 for group) </t>
      </text>
    </comment>
    <comment authorId="0" ref="E80">
      <text>
        <t xml:space="preserve">250 Cargurus (1000 for group) </t>
      </text>
    </comment>
    <comment authorId="0" ref="F80">
      <text>
        <t xml:space="preserve">250 Cargurus (1000 for group) </t>
      </text>
    </comment>
    <comment authorId="0" ref="G80">
      <text>
        <t xml:space="preserve">250 Cargurus (1000 for group) </t>
      </text>
    </comment>
    <comment authorId="0" ref="H80">
      <text>
        <t xml:space="preserve">250 Cargurus (1000 for group) </t>
      </text>
    </comment>
    <comment authorId="0" ref="I80">
      <text>
        <t xml:space="preserve">250 Cargurus (1000 for group) </t>
      </text>
    </comment>
    <comment authorId="0" ref="J80">
      <text>
        <t xml:space="preserve">250 Cargurus (1000 for group) </t>
      </text>
    </comment>
    <comment authorId="0" ref="K80">
      <text>
        <t xml:space="preserve">250 Cargurus (1000 for group) </t>
      </text>
    </comment>
    <comment authorId="0" ref="L80">
      <text>
        <t xml:space="preserve">250 Cargurus (1000 for group) </t>
      </text>
    </comment>
    <comment authorId="0" ref="M80">
      <text>
        <t xml:space="preserve">250 Cargurus (1000 for group) </t>
      </text>
    </comment>
    <comment authorId="0" ref="B86">
      <text>
        <t xml:space="preserve">1680 (for campus, divide by 4 for each store to be 420)</t>
      </text>
    </comment>
    <comment authorId="0" ref="C86">
      <text>
        <t xml:space="preserve">1680 (for campus, divide by 4 for each store to be 420)</t>
      </text>
    </comment>
    <comment authorId="0" ref="D86">
      <text>
        <t xml:space="preserve">1680 (for campus, divide by 4 for each store to be 420)</t>
      </text>
    </comment>
    <comment authorId="0" ref="E86">
      <text>
        <t xml:space="preserve">1680 (for campus, divide by 4 for each store to be 420)</t>
      </text>
    </comment>
    <comment authorId="0" ref="F86">
      <text>
        <t xml:space="preserve">1680 (for campus, divide by 4 for each store to be 420)</t>
      </text>
    </comment>
    <comment authorId="0" ref="G86">
      <text>
        <t xml:space="preserve">1680 (for campus, divide by 4 for each store to be 420)</t>
      </text>
    </comment>
    <comment authorId="0" ref="H86">
      <text>
        <t xml:space="preserve">1680 (for campus, divide by 4 for each store to be 420)</t>
      </text>
    </comment>
    <comment authorId="0" ref="I86">
      <text>
        <t xml:space="preserve">1680 (for campus, divide by 4 for each store to be 420)</t>
      </text>
    </comment>
    <comment authorId="0" ref="J86">
      <text>
        <t xml:space="preserve">1680 (for campus, divide by 4 for each store to be 420)</t>
      </text>
    </comment>
    <comment authorId="0" ref="K86">
      <text>
        <t xml:space="preserve">1680 (for campus, divide by 4 for each store to be 420)</t>
      </text>
    </comment>
    <comment authorId="0" ref="L86">
      <text>
        <t xml:space="preserve">1680 (for campus, divide by 4 for each store to be 420)</t>
      </text>
    </comment>
    <comment authorId="0" ref="M86">
      <text>
        <t xml:space="preserve">1680 (for campus, divide by 4 for each store to be 420)</t>
      </text>
    </comment>
    <comment authorId="0" ref="K93">
      <text>
        <t xml:space="preserve">$235.85 CSI banner split up evenly amongst all 4 stores
$126.67 One Team Mural</t>
      </text>
    </comment>
    <comment authorId="0" ref="K94">
      <text>
        <t xml:space="preserve">$180 Polin
$200 boxes
</t>
      </text>
    </comment>
    <comment authorId="0" ref="C95">
      <text>
        <t xml:space="preserve">$60.75 step and repeat</t>
      </text>
    </comment>
    <comment authorId="0" ref="B103">
      <text>
        <t xml:space="preserve">125 SHEEHY.COM 
125 OTHER DIGITAL 
(1000 FOR CAMPUS TOTAL/4 STORES)</t>
      </text>
    </comment>
    <comment authorId="0" ref="C103">
      <text>
        <t xml:space="preserve">125 SHEEHY.COM 
125 OTHER DIGITAL 
(1000 FOR CAMPUS TOTAL/4 STORES)</t>
      </text>
    </comment>
    <comment authorId="0" ref="D103">
      <text>
        <t xml:space="preserve">100 SHEEHY.COM 
113.63 WJA Sponsorship</t>
      </text>
    </comment>
    <comment authorId="0" ref="E103">
      <text>
        <t xml:space="preserve">125 SHEEHY.COM 
125 OTHER DIGITAL 
(1000 FOR CAMPUS TOTAL/4 STORES)</t>
      </text>
    </comment>
    <comment authorId="0" ref="F103">
      <text>
        <t xml:space="preserve">125 SHEEHY.COM 
125 OTHER DIGITAL 
(1000 FOR CAMPUS TOTAL/4 STORES)</t>
      </text>
    </comment>
    <comment authorId="0" ref="G103">
      <text>
        <t xml:space="preserve">125 SHEEHY.COM 
125 OTHER DIGITAL 
(1000 FOR CAMPUS TOTAL/4 STORES)</t>
      </text>
    </comment>
    <comment authorId="0" ref="H103">
      <text>
        <t xml:space="preserve">125 SHEEHY.COM 
125 OTHER DIGITAL 
(1000 FOR CAMPUS TOTAL/4 STORES)</t>
      </text>
    </comment>
    <comment authorId="0" ref="I103">
      <text>
        <t xml:space="preserve">125 SHEEHY.COM 
125 OTHER DIGITAL 
(1000 FOR CAMPUS TOTAL/4 STORES)</t>
      </text>
    </comment>
    <comment authorId="0" ref="J103">
      <text>
        <t xml:space="preserve">125 SHEEHY.COM 
125 OTHER DIGITAL 
(1000 FOR CAMPUS TOTAL/4 STORES)</t>
      </text>
    </comment>
    <comment authorId="0" ref="K103">
      <text>
        <t xml:space="preserve">125 SHEEHY.COM 
125 OTHER DIGITAL 
(1000 FOR CAMPUS TOTAL/4 STORES)</t>
      </text>
    </comment>
    <comment authorId="0" ref="L103">
      <text>
        <t xml:space="preserve">125 SHEEHY.COM 
125 OTHER DIGITAL 
(1000 FOR CAMPUS TOTAL/4 STORES)</t>
      </text>
    </comment>
    <comment authorId="0" ref="M103">
      <text>
        <t xml:space="preserve">125 SHEEHY.COM 
125 OTHER DIGITAL 
(1000 FOR CAMPUS TOTAL/4 STORES)</t>
      </text>
    </comment>
    <comment authorId="0" ref="B115">
      <text>
        <t xml:space="preserve">$1,295 Easy Care
</t>
      </text>
    </comment>
    <comment authorId="0" ref="C115">
      <text>
        <t xml:space="preserve">$1,295 Easy Care
</t>
      </text>
    </comment>
    <comment authorId="0" ref="D115">
      <text>
        <t xml:space="preserve">$1,295 Easy Care
</t>
      </text>
    </comment>
    <comment authorId="0" ref="E115">
      <text>
        <t xml:space="preserve">$1,295 Easy Care
</t>
      </text>
    </comment>
    <comment authorId="0" ref="F115">
      <text>
        <t xml:space="preserve">$1,295 Easy Care
</t>
      </text>
    </comment>
    <comment authorId="0" ref="G115">
      <text>
        <t xml:space="preserve">$1,295 Easy Care
</t>
      </text>
    </comment>
    <comment authorId="0" ref="H115">
      <text>
        <t xml:space="preserve">$1,295 Easy Care
</t>
      </text>
    </comment>
    <comment authorId="0" ref="I115">
      <text>
        <t xml:space="preserve">$1,295 Easy Care
</t>
      </text>
    </comment>
    <comment authorId="0" ref="J115">
      <text>
        <t xml:space="preserve">$1,295 Easy Care
</t>
      </text>
    </comment>
    <comment authorId="0" ref="K115">
      <text>
        <t xml:space="preserve">$1,295 Easy Care
</t>
      </text>
    </comment>
    <comment authorId="0" ref="L115">
      <text>
        <t xml:space="preserve">$1,295 Easy Care
</t>
      </text>
    </comment>
    <comment authorId="0" ref="M115">
      <text>
        <t xml:space="preserve">$1,295 Easy Care
</t>
      </text>
    </comment>
    <comment authorId="0" ref="B117">
      <text>
        <t xml:space="preserve">850 trigger mail
</t>
      </text>
    </comment>
    <comment authorId="0" ref="C117">
      <text>
        <t xml:space="preserve">850 trigger mail
</t>
      </text>
    </comment>
    <comment authorId="0" ref="D117">
      <text>
        <t xml:space="preserve">850 trigger mail
</t>
      </text>
    </comment>
    <comment authorId="0" ref="E117">
      <text>
        <t xml:space="preserve">850 trigger mail
</t>
      </text>
    </comment>
    <comment authorId="0" ref="F117">
      <text>
        <t xml:space="preserve">850 trigger mail
</t>
      </text>
    </comment>
    <comment authorId="0" ref="G117">
      <text>
        <t xml:space="preserve">850 trigger mail
</t>
      </text>
    </comment>
    <comment authorId="0" ref="H117">
      <text>
        <t xml:space="preserve">850 trigger mail
</t>
      </text>
    </comment>
    <comment authorId="0" ref="I117">
      <text>
        <t xml:space="preserve">850 trigger mail
</t>
      </text>
    </comment>
    <comment authorId="0" ref="J117">
      <text>
        <t xml:space="preserve">850 trigger mail
</t>
      </text>
    </comment>
    <comment authorId="0" ref="K117">
      <text>
        <t xml:space="preserve">850 trigger mail
1,167.84 recovery mailer</t>
      </text>
    </comment>
    <comment authorId="0" ref="L117">
      <text>
        <t xml:space="preserve">850 trigger mail
</t>
      </text>
    </comment>
    <comment authorId="0" ref="M117">
      <text>
        <t xml:space="preserve">850 trigger mail
</t>
      </text>
    </comment>
    <comment authorId="0" ref="B118">
      <text>
        <t xml:space="preserve">500 fixed ops sem spend
87.50 mgmt fee 
</t>
      </text>
    </comment>
    <comment authorId="0" ref="C118">
      <text>
        <t xml:space="preserve">500 fixed ops sem spend
87.50 mgmt fee 
</t>
      </text>
    </comment>
    <comment authorId="0" ref="D118">
      <text>
        <t xml:space="preserve">500 fixed ops sem spend
87.50 mgmt fee 
</t>
      </text>
    </comment>
    <comment authorId="0" ref="E118">
      <text>
        <t xml:space="preserve">500 fixed ops sem spend
87.50 mgmt fee 
</t>
      </text>
    </comment>
    <comment authorId="0" ref="F118">
      <text>
        <t xml:space="preserve">500 fixed ops sem spend
87.50 mgmt fee 
</t>
      </text>
    </comment>
    <comment authorId="0" ref="G118">
      <text>
        <t xml:space="preserve">500 fixed ops sem spend
87.50 mgmt fee 
</t>
      </text>
    </comment>
    <comment authorId="0" ref="H118">
      <text>
        <t xml:space="preserve">500 fixed ops sem spend
87.50 mgmt fee 
</t>
      </text>
    </comment>
    <comment authorId="0" ref="I118">
      <text>
        <t xml:space="preserve">500 fixed ops sem spend
87.50 mgmt fee 
</t>
      </text>
    </comment>
    <comment authorId="0" ref="J118">
      <text>
        <t xml:space="preserve">500 fixed ops sem spend
87.50 mgmt fee 
</t>
      </text>
    </comment>
    <comment authorId="0" ref="K118">
      <text>
        <t xml:space="preserve">500 fixed ops sem spend
87.50 mgmt fee 
</t>
      </text>
    </comment>
    <comment authorId="0" ref="L118">
      <text>
        <t xml:space="preserve">500 fixed ops sem spend
87.50 mgmt fee 
</t>
      </text>
    </comment>
    <comment authorId="0" ref="M118">
      <text>
        <t xml:space="preserve">500 fixed ops sem spend
87.50 mgmt fee 
</t>
      </text>
    </comment>
  </commentList>
</comments>
</file>

<file path=xl/comments2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9">
      <text>
        <t xml:space="preserve">($5750 total invoice for 16 DC stores split over 2 mos ea. ) </t>
      </text>
    </comment>
    <comment authorId="0" ref="C19">
      <text>
        <t xml:space="preserve">($5750 total invoice for 16 DC stores split over 2 mos ea. ) </t>
      </text>
    </comment>
    <comment authorId="0" ref="B34">
      <text>
        <t xml:space="preserve">$499 Collision Center
$1,700 AAG
$5,562 Website</t>
      </text>
    </comment>
    <comment authorId="0" ref="C34">
      <text>
        <t xml:space="preserve">$499 Collision Center
$1,700 AAG
$5,562 Website</t>
      </text>
    </comment>
    <comment authorId="0" ref="D34">
      <text>
        <t xml:space="preserve">$499 Collision Center
$1,700 AAG
$5,562 Website</t>
      </text>
    </comment>
    <comment authorId="0" ref="E34">
      <text>
        <t xml:space="preserve">$499 Collision Center
$1,700 AAG
$5,562 Website</t>
      </text>
    </comment>
    <comment authorId="0" ref="F34">
      <text>
        <t xml:space="preserve">$499 Collision Center
$1,700 AAG
$5,562 Website</t>
      </text>
    </comment>
    <comment authorId="0" ref="G34">
      <text>
        <t xml:space="preserve">$499 Collision Center
$1,700 AAG
$5,562 Website</t>
      </text>
    </comment>
    <comment authorId="0" ref="H34">
      <text>
        <t xml:space="preserve">$499 Collision Center
$1,700 AAG
$5,562 Website</t>
      </text>
    </comment>
    <comment authorId="0" ref="I34">
      <text>
        <t xml:space="preserve">$499 Collision Center
$1,700 AAG
$5,562 Website</t>
      </text>
    </comment>
    <comment authorId="0" ref="J34">
      <text>
        <t xml:space="preserve">$499 Collision Center
$1,700 AAG
$5,562 Website</t>
      </text>
    </comment>
    <comment authorId="0" ref="K34">
      <text>
        <t xml:space="preserve">$499 Collision Center
$1,700 AAG
$5,562 Website</t>
      </text>
    </comment>
    <comment authorId="0" ref="L34">
      <text>
        <t xml:space="preserve">$499 Collision Center
$1,700 AAG
$5,562 Website</t>
      </text>
    </comment>
    <comment authorId="0" ref="M34">
      <text>
        <t xml:space="preserve">$499 Collision Center
$1,700 AAG
$5,562 Website</t>
      </text>
    </comment>
    <comment authorId="0" ref="B47">
      <text>
        <t xml:space="preserve">$850 Alli social media/online rep for whole group</t>
      </text>
    </comment>
    <comment authorId="0" ref="C47">
      <text>
        <t xml:space="preserve">$850 Alli social media/online rep for whole group</t>
      </text>
    </comment>
    <comment authorId="0" ref="D47">
      <text>
        <t xml:space="preserve">$850 Alli social media/online rep for whole group</t>
      </text>
    </comment>
    <comment authorId="0" ref="E47">
      <text>
        <t xml:space="preserve">$850 Alli social media/online rep for whole group</t>
      </text>
    </comment>
    <comment authorId="0" ref="F47">
      <text>
        <t xml:space="preserve">$850 Alli social media/online rep for whole group</t>
      </text>
    </comment>
    <comment authorId="0" ref="G47">
      <text>
        <t xml:space="preserve">$850 Alli social media/online rep for whole group</t>
      </text>
    </comment>
    <comment authorId="0" ref="H47">
      <text>
        <t xml:space="preserve">$850 Alli social media/online rep for whole group</t>
      </text>
    </comment>
    <comment authorId="0" ref="I47">
      <text>
        <t xml:space="preserve">$850 Alli social media/online rep for whole group</t>
      </text>
    </comment>
    <comment authorId="0" ref="J47">
      <text>
        <t xml:space="preserve">$850 Alli social media/online rep for whole group</t>
      </text>
    </comment>
    <comment authorId="0" ref="K47">
      <text>
        <t xml:space="preserve">$850 Alli social media/online rep for whole group</t>
      </text>
    </comment>
    <comment authorId="0" ref="L47">
      <text>
        <t xml:space="preserve">$850 Alli social media/online rep for whole group</t>
      </text>
    </comment>
    <comment authorId="0" ref="M47">
      <text>
        <t xml:space="preserve">$850 Alli social media/online rep for whole group</t>
      </text>
    </comment>
    <comment authorId="0" ref="B54">
      <text>
        <t xml:space="preserve">$2,100 Subaru
$0 Mazda
$0 Buick GMC
$0 VW</t>
      </text>
    </comment>
    <comment authorId="0" ref="C54">
      <text>
        <t xml:space="preserve">$2,100 Subaru
$0 Mazda
$0 Buick GMC
$0 VW</t>
      </text>
    </comment>
    <comment authorId="0" ref="D54">
      <text>
        <t xml:space="preserve">$2,100 Subaru
$0 Mazda
$0 Buick GMC
$0 VW</t>
      </text>
    </comment>
    <comment authorId="0" ref="E54">
      <text>
        <t xml:space="preserve">$2,100 Subaru
$0 Mazda
$0 Buick GMC
$0 VW</t>
      </text>
    </comment>
    <comment authorId="0" ref="F54">
      <text>
        <t xml:space="preserve">$2,100 Subaru
$0 Mazda
$0 Buick GMC
$0 VW</t>
      </text>
    </comment>
    <comment authorId="0" ref="G54">
      <text>
        <t xml:space="preserve">$2,100 Subaru
$0 Mazda
$0 Buick GMC
$0 VW</t>
      </text>
    </comment>
    <comment authorId="0" ref="H54">
      <text>
        <t xml:space="preserve">$2,100 Subaru
$0 Mazda
$0 Buick GMC
$0 VW</t>
      </text>
    </comment>
    <comment authorId="0" ref="I54">
      <text>
        <t xml:space="preserve">$2,100 Subaru
$0 Mazda
$0 Buick GMC
$0 VW</t>
      </text>
    </comment>
    <comment authorId="0" ref="J54">
      <text>
        <t xml:space="preserve">$2,100 Subaru
$0 Mazda
$0 Buick GMC
$0 VW</t>
      </text>
    </comment>
    <comment authorId="0" ref="K54">
      <text>
        <t xml:space="preserve">$2,100 Subaru
$0 Mazda
$0 Buick GMC
$0 VW</t>
      </text>
    </comment>
    <comment authorId="0" ref="L54">
      <text>
        <t xml:space="preserve">$2,100 Subaru
$0 Mazda
$0 Buick GMC
$0 VW</t>
      </text>
    </comment>
    <comment authorId="0" ref="M54">
      <text>
        <t xml:space="preserve">$2,100 Subaru
$0 Mazda
$0 Buick GMC
$0 VW</t>
      </text>
    </comment>
  </commentList>
</comments>
</file>

<file path=xl/comments2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9">
      <text>
        <t xml:space="preserve">($5750 total invoice for 16 DC stores split over 2 mos ea. ) </t>
      </text>
    </comment>
    <comment authorId="0" ref="C19">
      <text>
        <t xml:space="preserve">($5750 total invoice for 16 DC stores split over 2 mos ea. ) </t>
      </text>
    </comment>
    <comment authorId="0" ref="B34">
      <text>
        <t xml:space="preserve">$1500 Buick GMC website (billed to parts statement)
$425 AAG (SEO)</t>
      </text>
    </comment>
    <comment authorId="0" ref="C34">
      <text>
        <t xml:space="preserve">$1500 Buick GMC website (billed to parts statement)
$425 AAG (SEO)</t>
      </text>
    </comment>
    <comment authorId="0" ref="D34">
      <text>
        <t xml:space="preserve">$1500 Buick GMC website (billed to parts statement)
$425 AAG (SEO)</t>
      </text>
    </comment>
    <comment authorId="0" ref="E34">
      <text>
        <t xml:space="preserve">$1500 Buick GMC website (billed to parts statement)
$425 AAG (SEO)</t>
      </text>
    </comment>
    <comment authorId="0" ref="F34">
      <text>
        <t xml:space="preserve">$1500 Buick GMC website (billed to parts statement)
$425 AAG (SEO)</t>
      </text>
    </comment>
    <comment authorId="0" ref="G34">
      <text>
        <t xml:space="preserve">$1500 Buick GMC website (billed to parts statement)
$425 AAG (SEO)</t>
      </text>
    </comment>
    <comment authorId="0" ref="H34">
      <text>
        <t xml:space="preserve">$1500 Buick GMC website (billed to parts statement)
$425 AAG (SEO)</t>
      </text>
    </comment>
    <comment authorId="0" ref="I34">
      <text>
        <t xml:space="preserve">$1500 Buick GMC website (billed to parts statement)
$425 AAG (SEO)</t>
      </text>
    </comment>
    <comment authorId="0" ref="J34">
      <text>
        <t xml:space="preserve">$1500 Buick GMC website (billed to parts statement)
$425 AAG (SEO)</t>
      </text>
    </comment>
    <comment authorId="0" ref="K34">
      <text>
        <t xml:space="preserve">$1500 Buick GMC website (billed to parts statement)
$425 AAG (SEO)</t>
      </text>
    </comment>
    <comment authorId="0" ref="L34">
      <text>
        <t xml:space="preserve">$1500 Buick GMC website (billed to parts statement)
$425 AAG (SEO)</t>
      </text>
    </comment>
    <comment authorId="0" ref="M34">
      <text>
        <t xml:space="preserve">$1500 Buick GMC website (billed to parts statement)
$425 AAG (SEO)</t>
      </text>
    </comment>
    <comment authorId="0" ref="B44">
      <text>
        <t xml:space="preserve">199 finance driver billed through dealertrack</t>
      </text>
    </comment>
    <comment authorId="0" ref="C44">
      <text>
        <t xml:space="preserve">199 finance driver billed through dealertrack</t>
      </text>
    </comment>
    <comment authorId="0" ref="D44">
      <text>
        <t xml:space="preserve">199 finance driver billed through dealertrack</t>
      </text>
    </comment>
    <comment authorId="0" ref="E44">
      <text>
        <t xml:space="preserve">199 finance driver billed through dealertrack</t>
      </text>
    </comment>
    <comment authorId="0" ref="F44">
      <text>
        <t xml:space="preserve">199 finance driver billed through dealertrack</t>
      </text>
    </comment>
    <comment authorId="0" ref="G44">
      <text>
        <t xml:space="preserve">199 finance driver billed through dealertrack</t>
      </text>
    </comment>
    <comment authorId="0" ref="H44">
      <text>
        <t xml:space="preserve">199 finance driver billed through dealertrack</t>
      </text>
    </comment>
    <comment authorId="0" ref="I44">
      <text>
        <t xml:space="preserve">199 finance driver billed through dealertrack</t>
      </text>
    </comment>
    <comment authorId="0" ref="J44">
      <text>
        <t xml:space="preserve">199 finance driver billed through dealertrack</t>
      </text>
    </comment>
    <comment authorId="0" ref="K44">
      <text>
        <t xml:space="preserve">199 finance driver billed through dealertrack</t>
      </text>
    </comment>
    <comment authorId="0" ref="L44">
      <text>
        <t xml:space="preserve">199 finance driver billed through dealertrack</t>
      </text>
    </comment>
    <comment authorId="0" ref="M44">
      <text>
        <t xml:space="preserve">199 finance driver billed through dealertrack</t>
      </text>
    </comment>
    <comment authorId="0" ref="B45">
      <text>
        <t xml:space="preserve">45 Yelp 
97.5 Group Reputation.com (billed by Vinco)</t>
      </text>
    </comment>
    <comment authorId="0" ref="C45">
      <text>
        <t xml:space="preserve">45 Yelp 
97.5 Group Reputation.com (billed by Vinco)</t>
      </text>
    </comment>
    <comment authorId="0" ref="D45">
      <text>
        <t xml:space="preserve">45 Yelp 
97.5 Group Reputation.com (billed by Vinco)</t>
      </text>
    </comment>
    <comment authorId="0" ref="E45">
      <text>
        <t xml:space="preserve">45 Yelp 
97.5 Group Reputation.com (billed by Vinco)</t>
      </text>
    </comment>
    <comment authorId="0" ref="F45">
      <text>
        <t xml:space="preserve">45 Yelp 
97.5 Group Reputation.com (billed by Vinco)</t>
      </text>
    </comment>
    <comment authorId="0" ref="G45">
      <text>
        <t xml:space="preserve">45 Yelp 
97.5 Group Reputation.com (billed by Vinco)</t>
      </text>
    </comment>
    <comment authorId="0" ref="H45">
      <text>
        <t xml:space="preserve">45 Yelp 
97.5 Group Reputation.com (billed by Vinco)</t>
      </text>
    </comment>
    <comment authorId="0" ref="I45">
      <text>
        <t xml:space="preserve">45 Yelp 
97.5 Group Reputation.com (billed by Vinco)</t>
      </text>
    </comment>
    <comment authorId="0" ref="J45">
      <text>
        <t xml:space="preserve">45 Yelp 
97.5 Group Reputation.com (billed by Vinco)</t>
      </text>
    </comment>
    <comment authorId="0" ref="K45">
      <text>
        <t xml:space="preserve">45 Yelp 
97.5 Group Reputation.com (billed by Vinco)</t>
      </text>
    </comment>
    <comment authorId="0" ref="L45">
      <text>
        <t xml:space="preserve">45 Yelp 
97.5 Group Reputation.com (billed by Vinco)</t>
      </text>
    </comment>
    <comment authorId="0" ref="M45">
      <text>
        <t xml:space="preserve">45 Yelp 
97.5 Group Reputation.com (billed by Vinco)</t>
      </text>
    </comment>
    <comment authorId="0" ref="B47">
      <text>
        <t xml:space="preserve">$850 Alli management
750 mgmt
1750
</t>
      </text>
    </comment>
    <comment authorId="0" ref="C47">
      <text>
        <t xml:space="preserve">$850 Alli management
750 mgmt
1750
</t>
      </text>
    </comment>
    <comment authorId="0" ref="D47">
      <text>
        <t xml:space="preserve">$850 Alli management
750 mgmt
1750
</t>
      </text>
    </comment>
    <comment authorId="0" ref="E47">
      <text>
        <t xml:space="preserve">$850 Alli management
750 mgmt
1750
</t>
      </text>
    </comment>
    <comment authorId="0" ref="F47">
      <text>
        <t xml:space="preserve">$850 Alli management
750 mgmt
1750
</t>
      </text>
    </comment>
    <comment authorId="0" ref="G47">
      <text>
        <t xml:space="preserve">$850 Alli management
750 mgmt
1750
</t>
      </text>
    </comment>
    <comment authorId="0" ref="H47">
      <text>
        <t xml:space="preserve">$850 Alli management
750 mgmt
1750
</t>
      </text>
    </comment>
    <comment authorId="0" ref="I47">
      <text>
        <t xml:space="preserve">$850 Alli management
750 mgmt
1750
</t>
      </text>
    </comment>
    <comment authorId="0" ref="J47">
      <text>
        <t xml:space="preserve">$850 Alli management
750 mgmt
1750
</t>
      </text>
    </comment>
    <comment authorId="0" ref="K47">
      <text>
        <t xml:space="preserve">$850 Alli management
750 mgmt
1750
</t>
      </text>
    </comment>
    <comment authorId="0" ref="L47">
      <text>
        <t xml:space="preserve">$850 Alli management
750 mgmt
1750
</t>
      </text>
    </comment>
    <comment authorId="0" ref="M47">
      <text>
        <t xml:space="preserve">$850 Alli management
750 mgmt
1750
</t>
      </text>
    </comment>
    <comment authorId="0" ref="B48">
      <text>
        <t xml:space="preserve">55.66 Sheehy.com
$249 PERQ child site
$80 Sheehy Buys Cars</t>
      </text>
    </comment>
    <comment authorId="0" ref="C48">
      <text>
        <t xml:space="preserve">55.66 Sheehy.com
$249 PERQ child site
$80 Sheehy Buys Cars</t>
      </text>
    </comment>
    <comment authorId="0" ref="D48">
      <text>
        <t xml:space="preserve">55.66 Sheehy.com
$249 PERQ child site
$80 Sheehy Buys Cars</t>
      </text>
    </comment>
    <comment authorId="0" ref="E48">
      <text>
        <t xml:space="preserve">55.66 Sheehy.com
$249 PERQ child site
$80 Sheehy Buys Cars</t>
      </text>
    </comment>
    <comment authorId="0" ref="F48">
      <text>
        <t xml:space="preserve">55.66 Sheehy.com
$249 PERQ child site
$80 Sheehy Buys Cars</t>
      </text>
    </comment>
    <comment authorId="0" ref="G48">
      <text>
        <t xml:space="preserve">55.66 Sheehy.com
$249 PERQ child site
$80 Sheehy Buys Cars</t>
      </text>
    </comment>
    <comment authorId="0" ref="H48">
      <text>
        <t xml:space="preserve">55.66 Sheehy.com
$249 PERQ child site
$80 Sheehy Buys Cars</t>
      </text>
    </comment>
    <comment authorId="0" ref="I48">
      <text>
        <t xml:space="preserve">55.66 Sheehy.com
$249 PERQ child site
$80 Sheehy Buys Cars</t>
      </text>
    </comment>
    <comment authorId="0" ref="J48">
      <text>
        <t xml:space="preserve">55.66 Sheehy.com
$249 PERQ child site
$80 Sheehy Buys Cars</t>
      </text>
    </comment>
    <comment authorId="0" ref="K48">
      <text>
        <t xml:space="preserve">55.66 Sheehy.com
$249 PERQ child site
$80 Sheehy Buys Cars</t>
      </text>
    </comment>
    <comment authorId="0" ref="L48">
      <text>
        <t xml:space="preserve">55.66 Sheehy.com
$249 PERQ child site
$80 Sheehy Buys Cars</t>
      </text>
    </comment>
    <comment authorId="0" ref="M48">
      <text>
        <t xml:space="preserve">55.66 Sheehy.com
$249 PERQ child site
$80 Sheehy Buys Cars</t>
      </text>
    </comment>
    <comment authorId="0" ref="C55">
      <text>
        <t xml:space="preserve">1900  per store 
(3800 total for campus)</t>
      </text>
    </comment>
    <comment authorId="0" ref="D55">
      <text>
        <t xml:space="preserve">1900  per store 
(3800 total for campus)</t>
      </text>
    </comment>
    <comment authorId="0" ref="E55">
      <text>
        <t xml:space="preserve">1900  per store 
(3800 total for campus)</t>
      </text>
    </comment>
    <comment authorId="0" ref="F55">
      <text>
        <t xml:space="preserve">1900  per store 
(3800 total for campus)</t>
      </text>
    </comment>
    <comment authorId="0" ref="G55">
      <text>
        <t xml:space="preserve">1900  per store 
(3800 total for campus)</t>
      </text>
    </comment>
    <comment authorId="0" ref="H55">
      <text>
        <t xml:space="preserve">1900  per store 
(3800 total for campus)</t>
      </text>
    </comment>
    <comment authorId="0" ref="I55">
      <text>
        <t xml:space="preserve">1900  per store 
(3800 total for campus)</t>
      </text>
    </comment>
    <comment authorId="0" ref="J55">
      <text>
        <t xml:space="preserve">1900  per store 
(3800 total for campus)</t>
      </text>
    </comment>
    <comment authorId="0" ref="K55">
      <text>
        <t xml:space="preserve">1900  per store 
(3800 total for campus)</t>
      </text>
    </comment>
    <comment authorId="0" ref="L55">
      <text>
        <t xml:space="preserve">1900  per store 
(3800 total for campus)</t>
      </text>
    </comment>
    <comment authorId="0" ref="M55">
      <text>
        <t xml:space="preserve">1900  per store 
(3800 total for campus)</t>
      </text>
    </comment>
    <comment authorId="0" ref="B56">
      <text>
        <t xml:space="preserve">399 Trade tool with Purecars
351 mgmt fee
57 Data Management fee</t>
      </text>
    </comment>
    <comment authorId="0" ref="C56">
      <text>
        <t xml:space="preserve">399 Trade tool with Purecars
351 mgmt fee
57 Data Management fee</t>
      </text>
    </comment>
    <comment authorId="0" ref="D56">
      <text>
        <t xml:space="preserve">399 Trade tool with Purecars
351 mgmt fee
57 Data Management fee</t>
      </text>
    </comment>
    <comment authorId="0" ref="E56">
      <text>
        <t xml:space="preserve">399 Trade tool with Purecars
351 mgmt fee
57 Data Management fee</t>
      </text>
    </comment>
    <comment authorId="0" ref="F56">
      <text>
        <t xml:space="preserve">399 Trade tool with Purecars
351 mgmt fee
57 Data Management fee</t>
      </text>
    </comment>
    <comment authorId="0" ref="G56">
      <text>
        <t xml:space="preserve">399 Trade tool with Purecars
351 mgmt fee
57 Data Management fee</t>
      </text>
    </comment>
    <comment authorId="0" ref="H56">
      <text>
        <t xml:space="preserve">399 Trade tool with Purecars
351 mgmt fee
57 Data Management fee</t>
      </text>
    </comment>
    <comment authorId="0" ref="I56">
      <text>
        <t xml:space="preserve">399 Trade tool with Purecars
351 mgmt fee
57 Data Management fee</t>
      </text>
    </comment>
    <comment authorId="0" ref="J56">
      <text>
        <t xml:space="preserve">399 Trade tool with Purecars
351 mgmt fee
57 Data Management fee</t>
      </text>
    </comment>
    <comment authorId="0" ref="K56">
      <text>
        <t xml:space="preserve">399 Trade tool with Purecars
351 mgmt fee
57 Data Management fee</t>
      </text>
    </comment>
    <comment authorId="0" ref="L56">
      <text>
        <t xml:space="preserve">399 Trade tool with Purecars
351 mgmt fee
57 Data Management fee</t>
      </text>
    </comment>
    <comment authorId="0" ref="M56">
      <text>
        <t xml:space="preserve">399 Trade tool with Purecars
351 mgmt fee
57 Data Management fee</t>
      </text>
    </comment>
    <comment authorId="0" ref="B59">
      <text>
        <t xml:space="preserve">553.75 NEW
553.75 USED
1,107.5 TOTAL (split between 2 stores -- total is $2215)</t>
      </text>
    </comment>
    <comment authorId="0" ref="C59">
      <text>
        <t xml:space="preserve">553.75 NEW
553.75 USED
1,107.5 TOTAL (split between 2 stores -- total is $2215)</t>
      </text>
    </comment>
    <comment authorId="0" ref="D59">
      <text>
        <t xml:space="preserve">553.75 NEW
553.75 USED
1,107.5 TOTAL (split between 2 stores -- total is $2215)</t>
      </text>
    </comment>
    <comment authorId="0" ref="E59">
      <text>
        <t xml:space="preserve">553.75 NEW
553.75 USED
1,107.5 TOTAL (split between 2 stores -- total is $2215)</t>
      </text>
    </comment>
    <comment authorId="0" ref="F59">
      <text>
        <t xml:space="preserve">553.75 NEW
553.75 USED
1,107.5 TOTAL (split between 2 stores -- total is $2215)</t>
      </text>
    </comment>
    <comment authorId="0" ref="G59">
      <text>
        <t xml:space="preserve">553.75 NEW
553.75 USED
1,107.5 TOTAL (split between 2 stores -- total is $2215)</t>
      </text>
    </comment>
    <comment authorId="0" ref="H59">
      <text>
        <t xml:space="preserve">553.75 NEW
553.75 USED
1,107.5 TOTAL (split between 2 stores -- total is $2215)</t>
      </text>
    </comment>
    <comment authorId="0" ref="I59">
      <text>
        <t xml:space="preserve">553.75 NEW
553.75 USED
1,107.5 TOTAL (split between 2 stores -- total is $2215)</t>
      </text>
    </comment>
    <comment authorId="0" ref="J59">
      <text>
        <t xml:space="preserve">553.75 NEW
553.75 USED
1,107.5 TOTAL (split between 2 stores -- total is $2215)</t>
      </text>
    </comment>
    <comment authorId="0" ref="K59">
      <text>
        <t xml:space="preserve">553.75 NEW
553.75 USED
1,107.5 TOTAL (split between 2 stores -- total is $2215)</t>
      </text>
    </comment>
    <comment authorId="0" ref="L59">
      <text>
        <t xml:space="preserve">553.75 NEW
553.75 USED
1,107.5 TOTAL (split between 2 stores -- total is $2215)</t>
      </text>
    </comment>
    <comment authorId="0" ref="M59">
      <text>
        <t xml:space="preserve">553.75 NEW
553.75 USED
1,107.5 TOTAL (split between 2 stores -- total is $2215)</t>
      </text>
    </comment>
    <comment authorId="0" ref="B63">
      <text>
        <t xml:space="preserve">2500</t>
      </text>
    </comment>
    <comment authorId="0" ref="C63">
      <text>
        <t xml:space="preserve">2500</t>
      </text>
    </comment>
    <comment authorId="0" ref="D63">
      <text>
        <t xml:space="preserve">2500</t>
      </text>
    </comment>
    <comment authorId="0" ref="E63">
      <text>
        <t xml:space="preserve">2500</t>
      </text>
    </comment>
    <comment authorId="0" ref="F63">
      <text>
        <t xml:space="preserve">2500</t>
      </text>
    </comment>
    <comment authorId="0" ref="G63">
      <text>
        <t xml:space="preserve">2500</t>
      </text>
    </comment>
    <comment authorId="0" ref="H63">
      <text>
        <t xml:space="preserve">2500</t>
      </text>
    </comment>
    <comment authorId="0" ref="I63">
      <text>
        <t xml:space="preserve">2500</t>
      </text>
    </comment>
    <comment authorId="0" ref="J63">
      <text>
        <t xml:space="preserve">2500</t>
      </text>
    </comment>
    <comment authorId="0" ref="K63">
      <text>
        <t xml:space="preserve">2500</t>
      </text>
    </comment>
    <comment authorId="0" ref="L63">
      <text>
        <t xml:space="preserve">2500</t>
      </text>
    </comment>
    <comment authorId="0" ref="M63">
      <text>
        <t xml:space="preserve">2500</t>
      </text>
    </comment>
    <comment authorId="0" ref="B74">
      <text>
        <t xml:space="preserve">553.75 NEW
553.75 USED
1,107.5 TOTAL (split between 2 stores -- total is $2215)</t>
      </text>
    </comment>
    <comment authorId="0" ref="C74">
      <text>
        <t xml:space="preserve">553.75 NEW
553.75 USED
1,107.5 TOTAL (split between 2 stores -- total is $2215)</t>
      </text>
    </comment>
    <comment authorId="0" ref="D74">
      <text>
        <t xml:space="preserve">553.75 NEW
553.75 USED
1,107.5 TOTAL (split between 2 stores -- total is $2215)</t>
      </text>
    </comment>
    <comment authorId="0" ref="E74">
      <text>
        <t xml:space="preserve">553.75 NEW
553.75 USED
1,107.5 TOTAL (split between 2 stores -- total is $2215)</t>
      </text>
    </comment>
    <comment authorId="0" ref="F74">
      <text>
        <t xml:space="preserve">553.75 NEW
553.75 USED
1,107.5 TOTAL (split between 2 stores -- total is $2215)</t>
      </text>
    </comment>
    <comment authorId="0" ref="G74">
      <text>
        <t xml:space="preserve">553.75 NEW
553.75 USED
1,107.5 TOTAL (split between 2 stores -- total is $2215)</t>
      </text>
    </comment>
    <comment authorId="0" ref="H74">
      <text>
        <t xml:space="preserve">553.75 NEW
553.75 USED
1,107.5 TOTAL (split between 2 stores -- total is $2215)</t>
      </text>
    </comment>
    <comment authorId="0" ref="I74">
      <text>
        <t xml:space="preserve">553.75 NEW
553.75 USED
1,107.5 TOTAL (split between 2 stores -- total is $2215)</t>
      </text>
    </comment>
    <comment authorId="0" ref="J74">
      <text>
        <t xml:space="preserve">553.75 NEW
553.75 USED
1,107.5 TOTAL (split between 2 stores -- total is $2215)</t>
      </text>
    </comment>
    <comment authorId="0" ref="K74">
      <text>
        <t xml:space="preserve">553.75 NEW
553.75 USED
1,107.5 TOTAL (split between 2 stores -- total is $2215)</t>
      </text>
    </comment>
    <comment authorId="0" ref="L74">
      <text>
        <t xml:space="preserve">553.75 NEW
553.75 USED
1,107.5 TOTAL (split between 2 stores -- total is $2215)</t>
      </text>
    </comment>
    <comment authorId="0" ref="M74">
      <text>
        <t xml:space="preserve">553.75 NEW
553.75 USED
1,107.5 TOTAL (split between 2 stores -- total is $2215)</t>
      </text>
    </comment>
    <comment authorId="0" ref="B80">
      <text>
        <t xml:space="preserve">$1800 (total -- featured priority); split 2 ways</t>
      </text>
    </comment>
    <comment authorId="0" ref="C80">
      <text>
        <t xml:space="preserve">$1800 (total -- featured priority); split 2 ways</t>
      </text>
    </comment>
    <comment authorId="0" ref="D80">
      <text>
        <t xml:space="preserve">$1800 (total -- featured priority); split 2 ways</t>
      </text>
    </comment>
    <comment authorId="0" ref="E80">
      <text>
        <t xml:space="preserve">$1800 (total -- featured priority); split 2 ways</t>
      </text>
    </comment>
    <comment authorId="0" ref="F80">
      <text>
        <t xml:space="preserve">$1800 (total -- featured priority); split 2 ways</t>
      </text>
    </comment>
    <comment authorId="0" ref="G80">
      <text>
        <t xml:space="preserve">$1800 (total -- featured priority); split 2 ways</t>
      </text>
    </comment>
    <comment authorId="0" ref="H80">
      <text>
        <t xml:space="preserve">$1800 (total -- featured priority); split 2 ways</t>
      </text>
    </comment>
    <comment authorId="0" ref="I80">
      <text>
        <t xml:space="preserve">$1800 (total -- featured priority); split 2 ways</t>
      </text>
    </comment>
    <comment authorId="0" ref="J80">
      <text>
        <t xml:space="preserve">$1800 (total -- featured priority); split 2 ways</t>
      </text>
    </comment>
    <comment authorId="0" ref="K80">
      <text>
        <t xml:space="preserve">$1800 (total -- featured priority); split 2 ways</t>
      </text>
    </comment>
    <comment authorId="0" ref="L80">
      <text>
        <t xml:space="preserve">$1800 (total -- featured priority); split 2 ways</t>
      </text>
    </comment>
    <comment authorId="0" ref="M80">
      <text>
        <t xml:space="preserve">$1800 (total -- featured priority); split 2 ways</t>
      </text>
    </comment>
    <comment authorId="0" ref="B103">
      <text>
        <t xml:space="preserve">$200 Other Group Digital </t>
      </text>
    </comment>
    <comment authorId="0" ref="C103">
      <text>
        <t xml:space="preserve">$200 Other Group Digital </t>
      </text>
    </comment>
    <comment authorId="0" ref="D103">
      <text>
        <t xml:space="preserve">$200 Other Group Digital </t>
      </text>
    </comment>
    <comment authorId="0" ref="E103">
      <text>
        <t xml:space="preserve">$200 Other Group Digital </t>
      </text>
    </comment>
    <comment authorId="0" ref="F103">
      <text>
        <t xml:space="preserve">$200 Other Group Digital </t>
      </text>
    </comment>
    <comment authorId="0" ref="G103">
      <text>
        <t xml:space="preserve">$200 Other Group Digital </t>
      </text>
    </comment>
    <comment authorId="0" ref="H103">
      <text>
        <t xml:space="preserve">$200 Other Group Digital </t>
      </text>
    </comment>
    <comment authorId="0" ref="I103">
      <text>
        <t xml:space="preserve">$200 Other Group Digital </t>
      </text>
    </comment>
    <comment authorId="0" ref="J103">
      <text>
        <t xml:space="preserve">$200 Other Group Digital </t>
      </text>
    </comment>
    <comment authorId="0" ref="K103">
      <text>
        <t xml:space="preserve">$200 Other Group Digital </t>
      </text>
    </comment>
    <comment authorId="0" ref="L103">
      <text>
        <t xml:space="preserve">$200 Other Group Digital </t>
      </text>
    </comment>
    <comment authorId="0" ref="M103">
      <text>
        <t xml:space="preserve">$200 Other Group Digital </t>
      </text>
    </comment>
    <comment authorId="0" ref="B115">
      <text>
        <t xml:space="preserve">$1,295 Easy Care
</t>
      </text>
    </comment>
    <comment authorId="0" ref="C115">
      <text>
        <t xml:space="preserve">$1,295 Easy Care
</t>
      </text>
    </comment>
    <comment authorId="0" ref="D115">
      <text>
        <t xml:space="preserve">$1,295 Easy Care
</t>
      </text>
    </comment>
    <comment authorId="0" ref="E115">
      <text>
        <t xml:space="preserve">$1,295 Easy Care
</t>
      </text>
    </comment>
    <comment authorId="0" ref="F115">
      <text>
        <t xml:space="preserve">$1,295 Easy Care
</t>
      </text>
    </comment>
    <comment authorId="0" ref="G115">
      <text>
        <t xml:space="preserve">$1,295 Easy Care
</t>
      </text>
    </comment>
    <comment authorId="0" ref="H115">
      <text>
        <t xml:space="preserve">$1,295 Easy Care
</t>
      </text>
    </comment>
    <comment authorId="0" ref="I115">
      <text>
        <t xml:space="preserve">$1,295 Easy Care
</t>
      </text>
    </comment>
    <comment authorId="0" ref="J115">
      <text>
        <t xml:space="preserve">$1,295 Easy Care
</t>
      </text>
    </comment>
    <comment authorId="0" ref="K115">
      <text>
        <t xml:space="preserve">$1,295 Easy Care
</t>
      </text>
    </comment>
    <comment authorId="0" ref="L115">
      <text>
        <t xml:space="preserve">$1,295 Easy Care
</t>
      </text>
    </comment>
    <comment authorId="0" ref="M115">
      <text>
        <t xml:space="preserve">$1,295 Easy Care
</t>
      </text>
    </comment>
    <comment authorId="0" ref="B116">
      <text>
        <t xml:space="preserve">799 base CSSR charge
+ Variable mail spend (est. $1000)
$0.06/email ; $0.71/service mailer 
grand opening campaign</t>
      </text>
    </comment>
    <comment authorId="0" ref="C116">
      <text>
        <t xml:space="preserve">799 base CSSR charge
+ Variable mail spend (est. $1000)
$0.06/email ; $0.71/service mailer </t>
      </text>
    </comment>
    <comment authorId="0" ref="D116">
      <text>
        <t xml:space="preserve">799 base CSSR charge
+ Variable mail spend (est. $1000)
$0.06/email ; $0.71/service mailer </t>
      </text>
    </comment>
    <comment authorId="0" ref="E116">
      <text>
        <t xml:space="preserve">799 base CSSR charge
+ Variable mail spend (est. $1000)
$0.06/email ; $0.71/service mailer </t>
      </text>
    </comment>
    <comment authorId="0" ref="F116">
      <text>
        <t xml:space="preserve">799 base CSSR charge
+ Variable mail spend (est. $1000)
$0.06/email ; $0.71/service mailer </t>
      </text>
    </comment>
    <comment authorId="0" ref="G116">
      <text>
        <t xml:space="preserve">799 base CSSR charge
+ Variable mail spend (est. $1000)
$0.06/email ; $0.71/service mailer </t>
      </text>
    </comment>
    <comment authorId="0" ref="H116">
      <text>
        <t xml:space="preserve">799 base CSSR charge
+ Variable mail spend (est. $1000)
$0.06/email ; $0.71/service mailer </t>
      </text>
    </comment>
    <comment authorId="0" ref="I116">
      <text>
        <t xml:space="preserve">799 base CSSR charge
+ Variable mail spend (est. $1000)
$0.06/email ; $0.71/service mailer </t>
      </text>
    </comment>
    <comment authorId="0" ref="J116">
      <text>
        <t xml:space="preserve">799 base CSSR charge
+ Variable mail spend (est. $1000)
$0.06/email ; $0.71/service mailer </t>
      </text>
    </comment>
    <comment authorId="0" ref="K116">
      <text>
        <t xml:space="preserve">799 base CSSR charge
+ Variable mail spend (est. $1000)
$0.06/email ; $0.71/service mailer </t>
      </text>
    </comment>
    <comment authorId="0" ref="L116">
      <text>
        <t xml:space="preserve">799 base CSSR charge
+ Variable mail spend (est. $1000)
$0.06/email ; $0.71/service mailer </t>
      </text>
    </comment>
    <comment authorId="0" ref="M116">
      <text>
        <t xml:space="preserve">799 base CSSR charge
+ Variable mail spend (est. $1000)
$0.06/email ; $0.71/service mailer </t>
      </text>
    </comment>
    <comment authorId="0" ref="B117">
      <text>
        <t xml:space="preserve">850 trigger mail
</t>
      </text>
    </comment>
    <comment authorId="0" ref="C117">
      <text>
        <t xml:space="preserve">850 trigger mail
</t>
      </text>
    </comment>
    <comment authorId="0" ref="D117">
      <text>
        <t xml:space="preserve">850 trigger mail
</t>
      </text>
    </comment>
    <comment authorId="0" ref="E117">
      <text>
        <t xml:space="preserve">250 trigger mail
$1924.08 car care campaign through epsilon (charged on parts statement)
</t>
      </text>
    </comment>
    <comment authorId="0" ref="F117">
      <text>
        <t xml:space="preserve">850 trigger mail
</t>
      </text>
    </comment>
    <comment authorId="0" ref="G117">
      <text>
        <t xml:space="preserve">250 trigger mail
$1924.08 car care campaign through epsilon (charged on parts statement)
</t>
      </text>
    </comment>
    <comment authorId="0" ref="H117">
      <text>
        <t xml:space="preserve">850 trigger mail
</t>
      </text>
    </comment>
    <comment authorId="0" ref="I117">
      <text>
        <t xml:space="preserve">250 trigger mail
$1924.08 car care campaign through epsilon (charged on parts statement)
</t>
      </text>
    </comment>
    <comment authorId="0" ref="J117">
      <text>
        <t xml:space="preserve">850 trigger mail
</t>
      </text>
    </comment>
    <comment authorId="0" ref="K117">
      <text>
        <t xml:space="preserve">250 trigger mail
$1924.08 car care campaign through epsilon (charged on parts statement)
</t>
      </text>
    </comment>
    <comment authorId="0" ref="L117">
      <text>
        <t xml:space="preserve">850 trigger mail
</t>
      </text>
    </comment>
    <comment authorId="0" ref="M117">
      <text>
        <t xml:space="preserve">250 trigger mail
$1924.08 car care campaign through epsilon (charged on parts statement)
</t>
      </text>
    </comment>
  </commentList>
</comments>
</file>

<file path=xl/comments2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4">
      <text>
        <t xml:space="preserve">1900 website
61.9 sheehy.com portal site
850 AAG (SEO)
+199 for DDC optimization</t>
      </text>
    </comment>
    <comment authorId="0" ref="C34">
      <text>
        <t xml:space="preserve">1900 website
61.9 sheehy.com portal site
850 AAG (SEO)
+199 for DDC optimization</t>
      </text>
    </comment>
    <comment authorId="0" ref="D34">
      <text>
        <t xml:space="preserve">1900 website
61.9 sheehy.com portal site
850 AAG (SEO)
+199 for DDC optimization</t>
      </text>
    </comment>
    <comment authorId="0" ref="E34">
      <text>
        <t xml:space="preserve">1900 website
61.9 sheehy.com portal site
850 AAG (SEO)
+199 for DDC optimization</t>
      </text>
    </comment>
    <comment authorId="0" ref="F34">
      <text>
        <t xml:space="preserve">1900 website
61.9 sheehy.com portal site
850 AAG (SEO)
+199 for DDC optimization</t>
      </text>
    </comment>
    <comment authorId="0" ref="G34">
      <text>
        <t xml:space="preserve">1900 website
61.9 sheehy.com portal site
850 AAG (SEO)
+199 for DDC optimization</t>
      </text>
    </comment>
    <comment authorId="0" ref="H34">
      <text>
        <t xml:space="preserve">1900 website
61.9 sheehy.com portal site
850 AAG (SEO)
+199 for DDC optimization</t>
      </text>
    </comment>
    <comment authorId="0" ref="I34">
      <text>
        <t xml:space="preserve">1900 website
61.9 sheehy.com portal site
850 AAG (SEO)
+199 for DDC optimization</t>
      </text>
    </comment>
    <comment authorId="0" ref="J34">
      <text>
        <t xml:space="preserve">1900 website
61.9 sheehy.com portal site
850 AAG (SEO)
+199 for DDC optimization</t>
      </text>
    </comment>
    <comment authorId="0" ref="K34">
      <text>
        <t xml:space="preserve">1900 website
61.9 sheehy.com portal site
850 AAG (SEO)
+199 for DDC optimization</t>
      </text>
    </comment>
    <comment authorId="0" ref="L34">
      <text>
        <t xml:space="preserve">1900 website
61.9 sheehy.com portal site
850 AAG (SEO)
+199 for DDC optimization</t>
      </text>
    </comment>
    <comment authorId="0" ref="M34">
      <text>
        <t xml:space="preserve">1900 website
61.9 sheehy.com portal site
850 AAG (SEO)
+199 for DDC optimization</t>
      </text>
    </comment>
    <comment authorId="0" ref="B44">
      <text>
        <t xml:space="preserve">$189 DDC Finance Driver (through parts statement)</t>
      </text>
    </comment>
    <comment authorId="0" ref="C44">
      <text>
        <t xml:space="preserve">$189 DDC Finance Driver (through parts statement)</t>
      </text>
    </comment>
    <comment authorId="0" ref="D44">
      <text>
        <t xml:space="preserve">$189 DDC Finance Driver (through parts statement)</t>
      </text>
    </comment>
    <comment authorId="0" ref="E44">
      <text>
        <t xml:space="preserve">$189 DDC Finance Driver (through parts statement)</t>
      </text>
    </comment>
    <comment authorId="0" ref="F44">
      <text>
        <t xml:space="preserve">$189 DDC Finance Driver (through parts statement)</t>
      </text>
    </comment>
    <comment authorId="0" ref="G44">
      <text>
        <t xml:space="preserve">$189 DDC Finance Driver (through parts statement)</t>
      </text>
    </comment>
    <comment authorId="0" ref="H44">
      <text>
        <t xml:space="preserve">$189 DDC Finance Driver (through parts statement)</t>
      </text>
    </comment>
    <comment authorId="0" ref="I44">
      <text>
        <t xml:space="preserve">$189 DDC Finance Driver (through parts statement)</t>
      </text>
    </comment>
    <comment authorId="0" ref="J44">
      <text>
        <t xml:space="preserve">$189 DDC Finance Driver (through parts statement)</t>
      </text>
    </comment>
    <comment authorId="0" ref="K44">
      <text>
        <t xml:space="preserve">$189 DDC Finance Driver (through parts statement)</t>
      </text>
    </comment>
    <comment authorId="0" ref="L44">
      <text>
        <t xml:space="preserve">$189 DDC Finance Driver (through parts statement)</t>
      </text>
    </comment>
    <comment authorId="0" ref="M44">
      <text>
        <t xml:space="preserve">$189 DDC Finance Driver (through parts statement)</t>
      </text>
    </comment>
    <comment authorId="0" ref="B45">
      <text>
        <t xml:space="preserve">45 Yelp 
55.12 Reputation.com</t>
      </text>
    </comment>
    <comment authorId="0" ref="C45">
      <text>
        <t xml:space="preserve">45 Yelp 
55.12 Reputation.com</t>
      </text>
    </comment>
    <comment authorId="0" ref="D45">
      <text>
        <t xml:space="preserve">45 Yelp 
55.12 Reputation.com</t>
      </text>
    </comment>
    <comment authorId="0" ref="E45">
      <text>
        <t xml:space="preserve">45 Yelp 
55.12 Reputation.com</t>
      </text>
    </comment>
    <comment authorId="0" ref="F45">
      <text>
        <t xml:space="preserve">45 Yelp 
55.12 Reputation.com</t>
      </text>
    </comment>
    <comment authorId="0" ref="G45">
      <text>
        <t xml:space="preserve">45 Yelp 
55.12 Reputation.com</t>
      </text>
    </comment>
    <comment authorId="0" ref="H45">
      <text>
        <t xml:space="preserve">45 Yelp 
55.12 Reputation.com</t>
      </text>
    </comment>
    <comment authorId="0" ref="I45">
      <text>
        <t xml:space="preserve">45 Yelp 
55.12 Reputation.com</t>
      </text>
    </comment>
    <comment authorId="0" ref="J45">
      <text>
        <t xml:space="preserve">45 Yelp 
55.12 Reputation.com</t>
      </text>
    </comment>
    <comment authorId="0" ref="K45">
      <text>
        <t xml:space="preserve">45 Yelp 
55.12 Reputation.com</t>
      </text>
    </comment>
    <comment authorId="0" ref="L45">
      <text>
        <t xml:space="preserve">45 Yelp 
55.12 Reputation.com</t>
      </text>
    </comment>
    <comment authorId="0" ref="M45">
      <text>
        <t xml:space="preserve">45 Yelp 
55.12 Reputation.com</t>
      </text>
    </comment>
    <comment authorId="0" ref="B47">
      <text>
        <t xml:space="preserve">850 Alli
+50 Alli boosted campaigns
1750 ALS
750 ASL MGMT
</t>
      </text>
    </comment>
    <comment authorId="0" ref="C47">
      <text>
        <t xml:space="preserve">850 Alli
+50 Alli boosted campaigns
1750 ALS
750 ASL MGMT
</t>
      </text>
    </comment>
    <comment authorId="0" ref="D47">
      <text>
        <t xml:space="preserve">850 Alli
+50 Alli boosted campaigns
1750 ALS
750 ASL MGMT
</t>
      </text>
    </comment>
    <comment authorId="0" ref="E47">
      <text>
        <t xml:space="preserve">850 Alli
+50 Alli boosted campaigns
1750 ALS
750 ASL MGMT
</t>
      </text>
    </comment>
    <comment authorId="0" ref="F47">
      <text>
        <t xml:space="preserve">850 Alli
+50 Alli boosted campaigns
1750 ALS
750 ASL MGMT
</t>
      </text>
    </comment>
    <comment authorId="0" ref="G47">
      <text>
        <t xml:space="preserve">850 Alli
+50 Alli boosted campaigns
1750 ALS
750 ASL MGMT
</t>
      </text>
    </comment>
    <comment authorId="0" ref="H47">
      <text>
        <t xml:space="preserve">850 Alli
+50 Alli boosted campaigns
1750 ALS
750 ASL MGMT
</t>
      </text>
    </comment>
    <comment authorId="0" ref="I47">
      <text>
        <t xml:space="preserve">850 Alli
+50 Alli boosted campaigns
1750 ALS
750 ASL MGMT
</t>
      </text>
    </comment>
    <comment authorId="0" ref="J47">
      <text>
        <t xml:space="preserve">850 Alli
+50 Alli boosted campaigns
1750 ALS
750 ASL MGMT
</t>
      </text>
    </comment>
    <comment authorId="0" ref="K47">
      <text>
        <t xml:space="preserve">850 Alli
+50 Alli boosted campaigns
1750 ALS
750 ASL MGMT
</t>
      </text>
    </comment>
    <comment authorId="0" ref="L47">
      <text>
        <t xml:space="preserve">850 Alli
+50 Alli boosted campaigns
1750 ALS
750 ASL MGMT
</t>
      </text>
    </comment>
    <comment authorId="0" ref="M47">
      <text>
        <t xml:space="preserve">850 Alli
+50 Alli boosted campaigns
1750 ALS
750 ASL MGMT
</t>
      </text>
    </comment>
    <comment authorId="0" ref="B48">
      <text>
        <t xml:space="preserve">55.66 Sheehy.com
$449 trade pending trade tool
80 we buy cars</t>
      </text>
    </comment>
    <comment authorId="0" ref="C48">
      <text>
        <t xml:space="preserve">55.66 Sheehy.com
$449 trade pending trade tool
80 we buy cars</t>
      </text>
    </comment>
    <comment authorId="0" ref="D48">
      <text>
        <t xml:space="preserve">55.66 Sheehy.com
$449 trade pending trade tool
80 we buy cars</t>
      </text>
    </comment>
    <comment authorId="0" ref="E48">
      <text>
        <t xml:space="preserve">55.66 Sheehy.com
$449 trade pending trade tool
80 we buy cars</t>
      </text>
    </comment>
    <comment authorId="0" ref="F48">
      <text>
        <t xml:space="preserve">55.66 Sheehy.com
$449 trade pending trade tool
80 we buy cars</t>
      </text>
    </comment>
    <comment authorId="0" ref="G48">
      <text>
        <t xml:space="preserve">55.66 Sheehy.com
$449 trade pending trade tool
80 we buy cars</t>
      </text>
    </comment>
    <comment authorId="0" ref="H48">
      <text>
        <t xml:space="preserve">55.66 Sheehy.com
$449 trade pending trade tool
80 we buy cars</t>
      </text>
    </comment>
    <comment authorId="0" ref="I48">
      <text>
        <t xml:space="preserve">55.66 Sheehy.com
$449 trade pending trade tool
80 we buy cars</t>
      </text>
    </comment>
    <comment authorId="0" ref="J48">
      <text>
        <t xml:space="preserve">55.66 Sheehy.com
$449 trade pending trade tool
80 we buy cars</t>
      </text>
    </comment>
    <comment authorId="0" ref="K48">
      <text>
        <t xml:space="preserve">55.66 Sheehy.com
$449 trade pending trade tool
80 we buy cars</t>
      </text>
    </comment>
    <comment authorId="0" ref="L48">
      <text>
        <t xml:space="preserve">55.66 Sheehy.com
$449 trade pending trade tool
80 we buy cars</t>
      </text>
    </comment>
    <comment authorId="0" ref="M48">
      <text>
        <t xml:space="preserve">55.66 Sheehy.com
$449 trade pending trade tool
80 we buy cars</t>
      </text>
    </comment>
    <comment authorId="0" ref="C55">
      <text>
        <t xml:space="preserve">1900  per store 
(3800 total for campus)</t>
      </text>
    </comment>
    <comment authorId="0" ref="D55">
      <text>
        <t xml:space="preserve">1900  per store 
(3800 total for campus)</t>
      </text>
    </comment>
    <comment authorId="0" ref="E55">
      <text>
        <t xml:space="preserve">1900  per store 
(3800 total for campus)</t>
      </text>
    </comment>
    <comment authorId="0" ref="F55">
      <text>
        <t xml:space="preserve">1900  per store 
(3800 total for campus)</t>
      </text>
    </comment>
    <comment authorId="0" ref="G55">
      <text>
        <t xml:space="preserve">1900  per store 
(3800 total for campus)</t>
      </text>
    </comment>
    <comment authorId="0" ref="H55">
      <text>
        <t xml:space="preserve">1900  per store 
(3800 total for campus)</t>
      </text>
    </comment>
    <comment authorId="0" ref="I55">
      <text>
        <t xml:space="preserve">1900  per store 
(3800 total for campus)</t>
      </text>
    </comment>
    <comment authorId="0" ref="J55">
      <text>
        <t xml:space="preserve">1900  per store 
(3800 total for campus)</t>
      </text>
    </comment>
    <comment authorId="0" ref="K55">
      <text>
        <t xml:space="preserve">1900  per store 
(3800 total for campus)</t>
      </text>
    </comment>
    <comment authorId="0" ref="L55">
      <text>
        <t xml:space="preserve">1900  per store 
(3800 total for campus)</t>
      </text>
    </comment>
    <comment authorId="0" ref="M55">
      <text>
        <t xml:space="preserve">1900  per store 
(3800 total for campus)</t>
      </text>
    </comment>
    <comment authorId="0" ref="B56">
      <text>
        <t xml:space="preserve">399 Trade tool with Purecars
351 mgmt fee
57 Data Management fee</t>
      </text>
    </comment>
    <comment authorId="0" ref="C56">
      <text>
        <t xml:space="preserve">399 Trade tool with Purecars
351 mgmt fee
57 Data Management fee</t>
      </text>
    </comment>
    <comment authorId="0" ref="D56">
      <text>
        <t xml:space="preserve">399 Trade tool with Purecars
351 mgmt fee
57 Data Management fee</t>
      </text>
    </comment>
    <comment authorId="0" ref="E56">
      <text>
        <t xml:space="preserve">399 Trade tool with Purecars
351 mgmt fee
57 Data Management fee</t>
      </text>
    </comment>
    <comment authorId="0" ref="F56">
      <text>
        <t xml:space="preserve">399 Trade tool with Purecars
351 mgmt fee
57 Data Management fee</t>
      </text>
    </comment>
    <comment authorId="0" ref="G56">
      <text>
        <t xml:space="preserve">399 Trade tool with Purecars
351 mgmt fee
57 Data Management fee</t>
      </text>
    </comment>
    <comment authorId="0" ref="H56">
      <text>
        <t xml:space="preserve">399 Trade tool with Purecars
351 mgmt fee
57 Data Management fee</t>
      </text>
    </comment>
    <comment authorId="0" ref="I56">
      <text>
        <t xml:space="preserve">399 Trade tool with Purecars
351 mgmt fee
57 Data Management fee</t>
      </text>
    </comment>
    <comment authorId="0" ref="J56">
      <text>
        <t xml:space="preserve">399 Trade tool with Purecars
351 mgmt fee
57 Data Management fee</t>
      </text>
    </comment>
    <comment authorId="0" ref="K56">
      <text>
        <t xml:space="preserve">399 Trade tool with Purecars
351 mgmt fee
57 Data Management fee</t>
      </text>
    </comment>
    <comment authorId="0" ref="L56">
      <text>
        <t xml:space="preserve">399 Trade tool with Purecars
351 mgmt fee
57 Data Management fee</t>
      </text>
    </comment>
    <comment authorId="0" ref="M56">
      <text>
        <t xml:space="preserve">399 Trade tool with Purecars
351 mgmt fee
57 Data Management fee</t>
      </text>
    </comment>
    <comment authorId="0" ref="B59">
      <text>
        <t xml:space="preserve">553.75 NEW
553.75 USED
1,107.5 TOTAL (split between 2 stores -- total is $2215)</t>
      </text>
    </comment>
    <comment authorId="0" ref="C59">
      <text>
        <t xml:space="preserve">553.75 NEW
553.75 USED
1,107.5 TOTAL (split between 2 stores -- total is $2215)</t>
      </text>
    </comment>
    <comment authorId="0" ref="D59">
      <text>
        <t xml:space="preserve">553.75 NEW
553.75 USED
1,107.5 TOTAL (split between 2 stores -- total is $2215)</t>
      </text>
    </comment>
    <comment authorId="0" ref="E59">
      <text>
        <t xml:space="preserve">553.75 NEW
553.75 USED
1,107.5 TOTAL (split between 2 stores -- total is $2215)</t>
      </text>
    </comment>
    <comment authorId="0" ref="F59">
      <text>
        <t xml:space="preserve">553.75 NEW
553.75 USED
1,107.5 TOTAL (split between 2 stores -- total is $2215)</t>
      </text>
    </comment>
    <comment authorId="0" ref="G59">
      <text>
        <t xml:space="preserve">553.75 NEW
553.75 USED
1,107.5 TOTAL (split between 2 stores -- total is $2215)</t>
      </text>
    </comment>
    <comment authorId="0" ref="H59">
      <text>
        <t xml:space="preserve">553.75 NEW
553.75 USED
1,107.5 TOTAL (split between 2 stores -- total is $2215)</t>
      </text>
    </comment>
    <comment authorId="0" ref="I59">
      <text>
        <t xml:space="preserve">553.75 NEW
553.75 USED
1,107.5 TOTAL (split between 2 stores -- total is $2215)</t>
      </text>
    </comment>
    <comment authorId="0" ref="J59">
      <text>
        <t xml:space="preserve">553.75 NEW
553.75 USED
1,107.5 TOTAL (split between 2 stores -- total is $2215)</t>
      </text>
    </comment>
    <comment authorId="0" ref="K59">
      <text>
        <t xml:space="preserve">553.75 NEW
553.75 USED
1,107.5 TOTAL (split between 2 stores -- total is $2215)</t>
      </text>
    </comment>
    <comment authorId="0" ref="L59">
      <text>
        <t xml:space="preserve">553.75 NEW
553.75 USED
1,107.5 TOTAL (split between 2 stores -- total is $2215)</t>
      </text>
    </comment>
    <comment authorId="0" ref="M59">
      <text>
        <t xml:space="preserve">553.75 NEW
553.75 USED
1,107.5 TOTAL (split between 2 stores -- total is $2215)</t>
      </text>
    </comment>
    <comment authorId="0" ref="B63">
      <text>
        <t xml:space="preserve">20930</t>
      </text>
    </comment>
    <comment authorId="0" ref="C63">
      <text>
        <t xml:space="preserve">20930</t>
      </text>
    </comment>
    <comment authorId="0" ref="D63">
      <text>
        <t xml:space="preserve">20930</t>
      </text>
    </comment>
    <comment authorId="0" ref="E63">
      <text>
        <t xml:space="preserve">20930</t>
      </text>
    </comment>
    <comment authorId="0" ref="F63">
      <text>
        <t xml:space="preserve">20930</t>
      </text>
    </comment>
    <comment authorId="0" ref="G63">
      <text>
        <t xml:space="preserve">20930</t>
      </text>
    </comment>
    <comment authorId="0" ref="H63">
      <text>
        <t xml:space="preserve">20930</t>
      </text>
    </comment>
    <comment authorId="0" ref="I63">
      <text>
        <t xml:space="preserve">20930</t>
      </text>
    </comment>
    <comment authorId="0" ref="J63">
      <text>
        <t xml:space="preserve">20930</t>
      </text>
    </comment>
    <comment authorId="0" ref="K63">
      <text>
        <t xml:space="preserve">20930</t>
      </text>
    </comment>
    <comment authorId="0" ref="L63">
      <text>
        <t xml:space="preserve">20930</t>
      </text>
    </comment>
    <comment authorId="0" ref="M63">
      <text>
        <t xml:space="preserve">20930</t>
      </text>
    </comment>
    <comment authorId="0" ref="B72">
      <text>
        <t xml:space="preserve">TBD
</t>
      </text>
    </comment>
    <comment authorId="0" ref="C72">
      <text>
        <t xml:space="preserve">TBD
</t>
      </text>
    </comment>
    <comment authorId="0" ref="D72">
      <text>
        <t xml:space="preserve">TBD
</t>
      </text>
    </comment>
    <comment authorId="0" ref="E72">
      <text>
        <t xml:space="preserve">TBD
</t>
      </text>
    </comment>
    <comment authorId="0" ref="F72">
      <text>
        <t xml:space="preserve">TBD
</t>
      </text>
    </comment>
    <comment authorId="0" ref="G72">
      <text>
        <t xml:space="preserve">TBD
</t>
      </text>
    </comment>
    <comment authorId="0" ref="H72">
      <text>
        <t xml:space="preserve">TBD
</t>
      </text>
    </comment>
    <comment authorId="0" ref="I72">
      <text>
        <t xml:space="preserve">TBD
</t>
      </text>
    </comment>
    <comment authorId="0" ref="J72">
      <text>
        <t xml:space="preserve">TBD
</t>
      </text>
    </comment>
    <comment authorId="0" ref="K72">
      <text>
        <t xml:space="preserve">TBD
</t>
      </text>
    </comment>
    <comment authorId="0" ref="L72">
      <text>
        <t xml:space="preserve">TBD
</t>
      </text>
    </comment>
    <comment authorId="0" ref="M72">
      <text>
        <t xml:space="preserve">TBD
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B74">
      <text>
        <t xml:space="preserve">553.75 NEW
553.75 USED
1,107.5 TOTAL (split between 2 stores -- total is $2215)</t>
      </text>
    </comment>
    <comment authorId="0" ref="C74">
      <text>
        <t xml:space="preserve">553.75 NEW
553.75 USED
1,107.5 TOTAL (split between 2 stores -- total is $2215)</t>
      </text>
    </comment>
    <comment authorId="0" ref="D74">
      <text>
        <t xml:space="preserve">553.75 NEW
553.75 USED
1,107.5 TOTAL (split between 2 stores -- total is $2215)</t>
      </text>
    </comment>
    <comment authorId="0" ref="E74">
      <text>
        <t xml:space="preserve">553.75 NEW
553.75 USED
1,107.5 TOTAL (split between 2 stores -- total is $2215)</t>
      </text>
    </comment>
    <comment authorId="0" ref="F74">
      <text>
        <t xml:space="preserve">553.75 NEW
553.75 USED
1,107.5 TOTAL (split between 2 stores -- total is $2215)</t>
      </text>
    </comment>
    <comment authorId="0" ref="G74">
      <text>
        <t xml:space="preserve">553.75 NEW
553.75 USED
1,107.5 TOTAL (split between 2 stores -- total is $2215)</t>
      </text>
    </comment>
    <comment authorId="0" ref="H74">
      <text>
        <t xml:space="preserve">553.75 NEW
553.75 USED
1,107.5 TOTAL (split between 2 stores -- total is $2215)</t>
      </text>
    </comment>
    <comment authorId="0" ref="I74">
      <text>
        <t xml:space="preserve">553.75 NEW
553.75 USED
1,107.5 TOTAL (split between 2 stores -- total is $2215)</t>
      </text>
    </comment>
    <comment authorId="0" ref="J74">
      <text>
        <t xml:space="preserve">553.75 NEW
553.75 USED
1,107.5 TOTAL (split between 2 stores -- total is $2215)</t>
      </text>
    </comment>
    <comment authorId="0" ref="K74">
      <text>
        <t xml:space="preserve">553.75 NEW
553.75 USED
1,107.5 TOTAL (split between 2 stores -- total is $2215)</t>
      </text>
    </comment>
    <comment authorId="0" ref="L74">
      <text>
        <t xml:space="preserve">553.75 NEW
553.75 USED
1,107.5 TOTAL (split between 2 stores -- total is $2215)</t>
      </text>
    </comment>
    <comment authorId="0" ref="M74">
      <text>
        <t xml:space="preserve">553.75 NEW
553.75 USED
1,107.5 TOTAL (split between 2 stores -- total is $2215)</t>
      </text>
    </comment>
    <comment authorId="0" ref="B80">
      <text>
        <t xml:space="preserve">$1800 (total -- featured priority); split 2 ways</t>
      </text>
    </comment>
    <comment authorId="0" ref="C80">
      <text>
        <t xml:space="preserve">$1800 (total -- featured priority); split 2 ways</t>
      </text>
    </comment>
    <comment authorId="0" ref="D80">
      <text>
        <t xml:space="preserve">$1800 (total -- featured priority); split 2 ways</t>
      </text>
    </comment>
    <comment authorId="0" ref="E80">
      <text>
        <t xml:space="preserve">$1800 (total -- featured priority); split 2 ways</t>
      </text>
    </comment>
    <comment authorId="0" ref="F80">
      <text>
        <t xml:space="preserve">$1800 (total -- featured priority); split 2 ways</t>
      </text>
    </comment>
    <comment authorId="0" ref="G80">
      <text>
        <t xml:space="preserve">$1800 (total -- featured priority); split 2 ways</t>
      </text>
    </comment>
    <comment authorId="0" ref="H80">
      <text>
        <t xml:space="preserve">$1800 (total -- featured priority); split 2 ways</t>
      </text>
    </comment>
    <comment authorId="0" ref="I80">
      <text>
        <t xml:space="preserve">$1800 (total -- featured priority); split 2 ways</t>
      </text>
    </comment>
    <comment authorId="0" ref="J80">
      <text>
        <t xml:space="preserve">$1800 (total -- featured priority); split 2 ways</t>
      </text>
    </comment>
    <comment authorId="0" ref="K80">
      <text>
        <t xml:space="preserve">$1800 (total -- featured priority); split 2 ways</t>
      </text>
    </comment>
    <comment authorId="0" ref="L80">
      <text>
        <t xml:space="preserve">$1800 (total -- featured priority); split 2 ways</t>
      </text>
    </comment>
    <comment authorId="0" ref="M80">
      <text>
        <t xml:space="preserve">$1800 (total -- featured priority); split 2 ways</t>
      </text>
    </comment>
    <comment authorId="0" ref="B81">
      <text>
        <t xml:space="preserve">
</t>
      </text>
    </comment>
    <comment authorId="0" ref="C81">
      <text>
        <t xml:space="preserve">
</t>
      </text>
    </comment>
    <comment authorId="0" ref="D81">
      <text>
        <t xml:space="preserve">
</t>
      </text>
    </comment>
    <comment authorId="0" ref="E81">
      <text>
        <t xml:space="preserve">
</t>
      </text>
    </comment>
    <comment authorId="0" ref="F81">
      <text>
        <t xml:space="preserve">
</t>
      </text>
    </comment>
    <comment authorId="0" ref="G81">
      <text>
        <t xml:space="preserve">
</t>
      </text>
    </comment>
    <comment authorId="0" ref="H81">
      <text>
        <t xml:space="preserve">
</t>
      </text>
    </comment>
    <comment authorId="0" ref="I81">
      <text>
        <t xml:space="preserve">
</t>
      </text>
    </comment>
    <comment authorId="0" ref="J81">
      <text>
        <t xml:space="preserve">
</t>
      </text>
    </comment>
    <comment authorId="0" ref="K81">
      <text>
        <t xml:space="preserve">
</t>
      </text>
    </comment>
    <comment authorId="0" ref="L81">
      <text>
        <t xml:space="preserve">
</t>
      </text>
    </comment>
    <comment authorId="0" ref="M81">
      <text>
        <t xml:space="preserve">
</t>
      </text>
    </comment>
    <comment authorId="0" ref="K93">
      <text>
        <t xml:space="preserve">$12,912.74 grand opening signage</t>
      </text>
    </comment>
    <comment authorId="0" ref="K94">
      <text>
        <t xml:space="preserve">$180 Polin
$200 boxes
</t>
      </text>
    </comment>
    <comment authorId="0" ref="B103">
      <text>
        <t xml:space="preserve">$200 Other Group Digital </t>
      </text>
    </comment>
    <comment authorId="0" ref="C103">
      <text>
        <t xml:space="preserve">$200 Other Group Digital </t>
      </text>
    </comment>
    <comment authorId="0" ref="D103">
      <text>
        <t xml:space="preserve">$200 Other Group Digital </t>
      </text>
    </comment>
    <comment authorId="0" ref="E103">
      <text>
        <t xml:space="preserve">$200 Other Group Digital </t>
      </text>
    </comment>
    <comment authorId="0" ref="F103">
      <text>
        <t xml:space="preserve">$200 Other Group Digital </t>
      </text>
    </comment>
    <comment authorId="0" ref="G103">
      <text>
        <t xml:space="preserve">$200 Other Group Digital </t>
      </text>
    </comment>
    <comment authorId="0" ref="H103">
      <text>
        <t xml:space="preserve">$200 Other Group Digital </t>
      </text>
    </comment>
    <comment authorId="0" ref="I103">
      <text>
        <t xml:space="preserve">$200 Other Group Digital </t>
      </text>
    </comment>
    <comment authorId="0" ref="J103">
      <text>
        <t xml:space="preserve">$200 Other Group Digital </t>
      </text>
    </comment>
    <comment authorId="0" ref="K103">
      <text>
        <t xml:space="preserve">$200 Other Group Digital </t>
      </text>
    </comment>
    <comment authorId="0" ref="L103">
      <text>
        <t xml:space="preserve">$200 Other Group Digital </t>
      </text>
    </comment>
    <comment authorId="0" ref="M103">
      <text>
        <t xml:space="preserve">$200 Other Group Digital </t>
      </text>
    </comment>
    <comment authorId="0" ref="B108">
      <text>
        <t xml:space="preserve">based on 2017 reimbursements</t>
      </text>
    </comment>
    <comment authorId="0" ref="C108">
      <text>
        <t xml:space="preserve">based on 2017 reimbursements</t>
      </text>
    </comment>
    <comment authorId="0" ref="D108">
      <text>
        <t xml:space="preserve">based on 2017 reimbursements</t>
      </text>
    </comment>
    <comment authorId="0" ref="E108">
      <text>
        <t xml:space="preserve">based on 2017 reimbursements</t>
      </text>
    </comment>
    <comment authorId="0" ref="F108">
      <text>
        <t xml:space="preserve">based on 2017 reimbursements</t>
      </text>
    </comment>
    <comment authorId="0" ref="G108">
      <text>
        <t xml:space="preserve">based on 2017 reimbursements</t>
      </text>
    </comment>
    <comment authorId="0" ref="H108">
      <text>
        <t xml:space="preserve">based on 2017 reimbursements</t>
      </text>
    </comment>
    <comment authorId="0" ref="I108">
      <text>
        <t xml:space="preserve">based on 2017 reimbursements</t>
      </text>
    </comment>
    <comment authorId="0" ref="J108">
      <text>
        <t xml:space="preserve">based on 2017 reimbursements</t>
      </text>
    </comment>
    <comment authorId="0" ref="K108">
      <text>
        <t xml:space="preserve">based on 2017 reimbursements </t>
      </text>
    </comment>
    <comment authorId="0" ref="L108">
      <text>
        <t xml:space="preserve">based on 2017 reimbursements </t>
      </text>
    </comment>
    <comment authorId="0" ref="M108">
      <text>
        <t xml:space="preserve">based on 2017 reimbursements </t>
      </text>
    </comment>
    <comment authorId="0" ref="B115">
      <text>
        <t xml:space="preserve">$395 Easy Care
</t>
      </text>
    </comment>
    <comment authorId="0" ref="C115">
      <text>
        <t xml:space="preserve">$395 Easy Care
</t>
      </text>
    </comment>
    <comment authorId="0" ref="D115">
      <text>
        <t xml:space="preserve">$395 Easy Care
</t>
      </text>
    </comment>
    <comment authorId="0" ref="E115">
      <text>
        <t xml:space="preserve">$395 Easy Care
</t>
      </text>
    </comment>
    <comment authorId="0" ref="F115">
      <text>
        <t xml:space="preserve">$395 Easy Care
</t>
      </text>
    </comment>
    <comment authorId="0" ref="G115">
      <text>
        <t xml:space="preserve">$395 Easy Care
</t>
      </text>
    </comment>
    <comment authorId="0" ref="H115">
      <text>
        <t xml:space="preserve">$395 Easy Care
</t>
      </text>
    </comment>
    <comment authorId="0" ref="I115">
      <text>
        <t xml:space="preserve">$395 Easy Care
</t>
      </text>
    </comment>
    <comment authorId="0" ref="J115">
      <text>
        <t xml:space="preserve">$395 Easy Care
</t>
      </text>
    </comment>
    <comment authorId="0" ref="K115">
      <text>
        <t xml:space="preserve">$395 Easy Care
</t>
      </text>
    </comment>
    <comment authorId="0" ref="L115">
      <text>
        <t xml:space="preserve">$395 Easy Care
</t>
      </text>
    </comment>
    <comment authorId="0" ref="M115">
      <text>
        <t xml:space="preserve">$395 Easy Care
</t>
      </text>
    </comment>
    <comment authorId="0" ref="B116">
      <text>
        <t xml:space="preserve">$299 parts store
300 open recall campaign Care Connect (pre-SAF- auto submitted)</t>
      </text>
    </comment>
    <comment authorId="0" ref="C116">
      <text>
        <t xml:space="preserve">$299 parts store
300 open recall campaign Care Connect (pre-SAF- auto submitted)</t>
      </text>
    </comment>
    <comment authorId="0" ref="D116">
      <text>
        <t xml:space="preserve">$299 parts store
300 open recall campaign Care Connect (pre-SAF- auto submitted)</t>
      </text>
    </comment>
    <comment authorId="0" ref="E116">
      <text>
        <t xml:space="preserve">$299 parts store
300 open recall campaign Care Connect (pre-SAF- auto submitted)</t>
      </text>
    </comment>
    <comment authorId="0" ref="F116">
      <text>
        <t xml:space="preserve">$299 parts store
300 open recall campaign Care Connect (pre-SAF- auto submitted)</t>
      </text>
    </comment>
    <comment authorId="0" ref="G116">
      <text>
        <t xml:space="preserve">$299 parts store
300 open recall campaign Care Connect (pre-SAF- auto submitted)</t>
      </text>
    </comment>
    <comment authorId="0" ref="H116">
      <text>
        <t xml:space="preserve">$299 parts store
300 open recall campaign Care Connect (pre-SAF- auto submitted)</t>
      </text>
    </comment>
    <comment authorId="0" ref="I116">
      <text>
        <t xml:space="preserve">$299 parts store
300 open recall campaign Care Connect (pre-SAF- auto submitted)</t>
      </text>
    </comment>
    <comment authorId="0" ref="J116">
      <text>
        <t xml:space="preserve">$299 parts store
300 open recall campaign Care Connect (pre-SAF- auto submitted)</t>
      </text>
    </comment>
    <comment authorId="0" ref="K116">
      <text>
        <t xml:space="preserve">$299 parts store
300 open recall campaign Care Connect (pre-SAF- auto submitted)</t>
      </text>
    </comment>
    <comment authorId="0" ref="L116">
      <text>
        <t xml:space="preserve">$299 parts store
300 open recall campaign Care Connect (pre-SAF- auto submitted)</t>
      </text>
    </comment>
    <comment authorId="0" ref="M116">
      <text>
        <t xml:space="preserve">$299 parts store
300 open recall campaign Care Connect (pre-SAF- auto submitted)</t>
      </text>
    </comment>
    <comment authorId="0" ref="B118">
      <text>
        <t xml:space="preserve">0
</t>
      </text>
    </comment>
    <comment authorId="0" ref="C118">
      <text>
        <t xml:space="preserve">0
</t>
      </text>
    </comment>
    <comment authorId="0" ref="D118">
      <text>
        <t xml:space="preserve">0
</t>
      </text>
    </comment>
    <comment authorId="0" ref="E118">
      <text>
        <t xml:space="preserve">0
</t>
      </text>
    </comment>
    <comment authorId="0" ref="F118">
      <text>
        <t xml:space="preserve">0
</t>
      </text>
    </comment>
    <comment authorId="0" ref="G118">
      <text>
        <t xml:space="preserve">0
</t>
      </text>
    </comment>
    <comment authorId="0" ref="H118">
      <text>
        <t xml:space="preserve">0
</t>
      </text>
    </comment>
    <comment authorId="0" ref="I118">
      <text>
        <t xml:space="preserve">0
</t>
      </text>
    </comment>
    <comment authorId="0" ref="J118">
      <text>
        <t xml:space="preserve">0
</t>
      </text>
    </comment>
    <comment authorId="0" ref="K118">
      <text>
        <t xml:space="preserve">0
</t>
      </text>
    </comment>
    <comment authorId="0" ref="L118">
      <text>
        <t xml:space="preserve">0
</t>
      </text>
    </comment>
    <comment authorId="0" ref="M118">
      <text>
        <t xml:space="preserve">0
</t>
      </text>
    </comment>
  </commentList>
</comments>
</file>

<file path=xl/comments2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5">
      <text>
        <t xml:space="preserve">$45 Yelp</t>
      </text>
    </comment>
    <comment authorId="0" ref="C45">
      <text>
        <t xml:space="preserve">$45 Yelp</t>
      </text>
    </comment>
    <comment authorId="0" ref="D45">
      <text>
        <t xml:space="preserve">$45 Yelp</t>
      </text>
    </comment>
    <comment authorId="0" ref="E45">
      <text>
        <t xml:space="preserve">$45 Yelp</t>
      </text>
    </comment>
    <comment authorId="0" ref="F45">
      <text>
        <t xml:space="preserve">$45 Yelp</t>
      </text>
    </comment>
    <comment authorId="0" ref="G45">
      <text>
        <t xml:space="preserve">$45 Yelp</t>
      </text>
    </comment>
    <comment authorId="0" ref="H45">
      <text>
        <t xml:space="preserve">$45 Yelp</t>
      </text>
    </comment>
    <comment authorId="0" ref="I45">
      <text>
        <t xml:space="preserve">$45 Yelp</t>
      </text>
    </comment>
    <comment authorId="0" ref="J45">
      <text>
        <t xml:space="preserve">$45 Yelp</t>
      </text>
    </comment>
    <comment authorId="0" ref="K45">
      <text>
        <t xml:space="preserve">$45 Yelp</t>
      </text>
    </comment>
    <comment authorId="0" ref="L45">
      <text>
        <t xml:space="preserve">$45 Yelp</t>
      </text>
    </comment>
    <comment authorId="0" ref="M45">
      <text>
        <t xml:space="preserve">$45 Yelp</t>
      </text>
    </comment>
    <comment authorId="0" ref="B47">
      <text>
        <t xml:space="preserve">$150 LotVantage 
1650 Social- TBD</t>
      </text>
    </comment>
    <comment authorId="0" ref="C47">
      <text>
        <t xml:space="preserve">$150 LotVantage 
1500 Social- TBD</t>
      </text>
    </comment>
    <comment authorId="0" ref="D47">
      <text>
        <t xml:space="preserve">$150 LotVantage 
1500 Social- TBD</t>
      </text>
    </comment>
    <comment authorId="0" ref="E47">
      <text>
        <t xml:space="preserve">$150 LotVantage 
1500 Social- TBD</t>
      </text>
    </comment>
    <comment authorId="0" ref="F47">
      <text>
        <t xml:space="preserve">$150 LotVantage 
1500 Social- TBD</t>
      </text>
    </comment>
    <comment authorId="0" ref="G47">
      <text>
        <t xml:space="preserve">$150 LotVantage 
1500 Social- TBD</t>
      </text>
    </comment>
    <comment authorId="0" ref="H47">
      <text>
        <t xml:space="preserve">$150 LotVantage 
1500 Social- TBD</t>
      </text>
    </comment>
    <comment authorId="0" ref="I47">
      <text>
        <t xml:space="preserve">$150 LotVantage 
1500 Social- TBD</t>
      </text>
    </comment>
    <comment authorId="0" ref="J47">
      <text>
        <t xml:space="preserve">$150 LotVantage 
1500 Social- TBD
$100 boosted posts</t>
      </text>
    </comment>
    <comment authorId="0" ref="K47">
      <text>
        <t xml:space="preserve">$150 LotVantage 
1500 Social- TBD
$100 boosted posts</t>
      </text>
    </comment>
    <comment authorId="0" ref="L47">
      <text>
        <t xml:space="preserve">$150 LotVantage 
1500 Social- TBD
$100 boosted posts</t>
      </text>
    </comment>
    <comment authorId="0" ref="M47">
      <text>
        <t xml:space="preserve">$150 LotVantage 
1500 Social- TBD
$100 boosted posts</t>
      </text>
    </comment>
    <comment authorId="0" ref="B73">
      <text>
        <t xml:space="preserve">cancelled - billing ended march</t>
      </text>
    </comment>
    <comment authorId="0" ref="C73">
      <text>
        <t xml:space="preserve">cancelled - billing ended march</t>
      </text>
    </comment>
    <comment authorId="0" ref="D73">
      <text>
        <t xml:space="preserve">cancelled - billing ended march</t>
      </text>
    </comment>
    <comment authorId="0" ref="E73">
      <text>
        <t xml:space="preserve">cancelled - billing ended march</t>
      </text>
    </comment>
    <comment authorId="0" ref="F73">
      <text>
        <t xml:space="preserve">cancelled - billing ended march</t>
      </text>
    </comment>
    <comment authorId="0" ref="G73">
      <text>
        <t xml:space="preserve">cancelled - billing ended march</t>
      </text>
    </comment>
    <comment authorId="0" ref="H73">
      <text>
        <t xml:space="preserve">cancelled - billing ended march</t>
      </text>
    </comment>
    <comment authorId="0" ref="I73">
      <text>
        <t xml:space="preserve">cancelled - billing ended march</t>
      </text>
    </comment>
    <comment authorId="0" ref="J73">
      <text>
        <t xml:space="preserve">cancelled - billing ended march</t>
      </text>
    </comment>
    <comment authorId="0" ref="K73">
      <text>
        <t xml:space="preserve">cancelled - billing ended march</t>
      </text>
    </comment>
    <comment authorId="0" ref="L73">
      <text>
        <t xml:space="preserve">cancelled - billing ended march</t>
      </text>
    </comment>
    <comment authorId="0" ref="M73">
      <text>
        <t xml:space="preserve">cancelled - billing ended march</t>
      </text>
    </comment>
    <comment authorId="0" ref="I93">
      <text>
        <t xml:space="preserve">$362.26 VIP Brochures</t>
      </text>
    </comment>
    <comment authorId="0" ref="J93">
      <text>
        <t xml:space="preserve">$200 winter storage foam core poster</t>
      </text>
    </comment>
    <comment authorId="0" ref="K94">
      <text>
        <t xml:space="preserve">$180 Polin
$200 boxes</t>
      </text>
    </comment>
    <comment authorId="0" ref="K95">
      <text>
        <t xml:space="preserve">$180 Polin
$200 boxes
</t>
      </text>
    </comment>
    <comment authorId="0" ref="B99">
      <text>
        <t xml:space="preserve">Hog Chapter Monthly Meeting Supplies;Darrel Green</t>
      </text>
    </comment>
    <comment authorId="0" ref="C99">
      <text>
        <t xml:space="preserve">Hog Chapter Monthly Meeting Supplies;Darrel Green</t>
      </text>
    </comment>
    <comment authorId="0" ref="D99">
      <text>
        <t xml:space="preserve">Hog Chapter Monthly Meeting Supplies;Darrel Green</t>
      </text>
    </comment>
    <comment authorId="0" ref="E99">
      <text>
        <t xml:space="preserve">Hog Chapter Monthly Meeting Supplies;DEMO DAY;</t>
      </text>
    </comment>
    <comment authorId="0" ref="F99">
      <text>
        <t xml:space="preserve">ROP Expenses</t>
      </text>
    </comment>
    <comment authorId="0" ref="G99">
      <text>
        <t xml:space="preserve">Hog Chapter Monthly Meeting CANCELED, BUSTED KNUCKLES CANCELED Supplies;</t>
      </text>
    </comment>
    <comment authorId="0" ref="H99">
      <text>
        <t xml:space="preserve">Hog Chapter Monthly Meeting Supplies; Bike Night Supplies;</t>
      </text>
    </comment>
    <comment authorId="0" ref="I99">
      <text>
        <t xml:space="preserve">Hog Chapter Monthly Meeting Supplies, and Food Trucks)</t>
      </text>
    </comment>
    <comment authorId="0" ref="J99">
      <text>
        <t xml:space="preserve">Hog Chapter Monthly Meeting Supplies; Bike Night Supplies;</t>
      </text>
    </comment>
    <comment authorId="0" ref="K99">
      <text>
        <t xml:space="preserve">Hog Chapter Monthly Meeting Supplies; $200
JumpStart Trainer; $5200 for BUSTED KNUCKLES STUNT TEAM; $500 Demo Day</t>
      </text>
    </comment>
    <comment authorId="0" ref="L99">
      <text>
        <t xml:space="preserve">Hog Chapter Monthly Meeting Supplies</t>
      </text>
    </comment>
    <comment authorId="0" ref="M99">
      <text>
        <t xml:space="preserve">Hog Chapter Monthly Meeting Supplies</t>
      </text>
    </comment>
    <comment authorId="0" ref="M102">
      <text>
        <t xml:space="preserve">Hog Chapter Monthly Meeting Supplies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9">
      <text>
        <t xml:space="preserve">($5750 total invoice for 16 DC stores split over 2 mos ea. ) </t>
      </text>
    </comment>
    <comment authorId="0" ref="C19">
      <text>
        <t xml:space="preserve">($5750 total invoice for 16 DC stores split over 2 mos ea. ) </t>
      </text>
    </comment>
    <comment authorId="0" ref="B34">
      <text>
        <t xml:space="preserve">1199 fd website
349 dms integration
850 AAG 
61.90 sheehy.com portal site</t>
      </text>
    </comment>
    <comment authorId="0" ref="C34">
      <text>
        <t xml:space="preserve">1199 fd website
349 dms integration
850 AAG 
61.90 sheehy.com portal site</t>
      </text>
    </comment>
    <comment authorId="0" ref="D34">
      <text>
        <t xml:space="preserve">1199 fd website
349 dms integration
850 AAG 
61.90 sheehy.com portal site</t>
      </text>
    </comment>
    <comment authorId="0" ref="E34">
      <text>
        <t xml:space="preserve">1199 fd website
349 dms integration
850 AAG 
61.90 sheehy.com portal site</t>
      </text>
    </comment>
    <comment authorId="0" ref="F34">
      <text>
        <t xml:space="preserve">1199 fd website
349 dms integration
850 AAG 
61.90 sheehy.com portal site</t>
      </text>
    </comment>
    <comment authorId="0" ref="G34">
      <text>
        <t xml:space="preserve">1199 fd website
349 dms integration
850 AAG 
61.90 sheehy.com portal site</t>
      </text>
    </comment>
    <comment authorId="0" ref="H34">
      <text>
        <t xml:space="preserve">1199 fd website
349 dms integration
850 AAG 
61.90 sheehy.com portal site</t>
      </text>
    </comment>
    <comment authorId="0" ref="I34">
      <text>
        <t xml:space="preserve">1199 fd website
349 dms integration
850 AAG 
61.90 sheehy.com portal site</t>
      </text>
    </comment>
    <comment authorId="0" ref="J34">
      <text>
        <t xml:space="preserve">1199 fd website
349 dms integration
850 AAG 
61.90 sheehy.com portal site</t>
      </text>
    </comment>
    <comment authorId="0" ref="K34">
      <text>
        <t xml:space="preserve">1199 fd website
349 dms integration
850 AAG 
61.90 sheehy.com portal site</t>
      </text>
    </comment>
    <comment authorId="0" ref="L34">
      <text>
        <t xml:space="preserve">1199 fd website
349 dms integration
850 AAG 
61.90 sheehy.com portal site</t>
      </text>
    </comment>
    <comment authorId="0" ref="M34">
      <text>
        <t xml:space="preserve">1199 fd website
349 dms integration
850 AAG 
61.90 sheehy.com portal site</t>
      </text>
    </comment>
    <comment authorId="0" ref="C38">
      <text>
        <t xml:space="preserve">cancellation submitted 2/6</t>
      </text>
    </comment>
    <comment authorId="0" ref="D38">
      <text>
        <t xml:space="preserve">cancellation submitted 2/6</t>
      </text>
    </comment>
    <comment authorId="0" ref="B42">
      <text>
        <t xml:space="preserve">365 switched to car chat 24
</t>
      </text>
    </comment>
    <comment authorId="0" ref="C42">
      <text>
        <t xml:space="preserve">365 switched to car chat 24
</t>
      </text>
    </comment>
    <comment authorId="0" ref="D42">
      <text>
        <t xml:space="preserve">365 switched to car chat 24
</t>
      </text>
    </comment>
    <comment authorId="0" ref="E42">
      <text>
        <t xml:space="preserve">365 switched to car chat 24
</t>
      </text>
    </comment>
    <comment authorId="0" ref="F42">
      <text>
        <t xml:space="preserve">365 switched to car chat 24
</t>
      </text>
    </comment>
    <comment authorId="0" ref="G42">
      <text>
        <t xml:space="preserve">365 switched to car chat 24
</t>
      </text>
    </comment>
    <comment authorId="0" ref="H42">
      <text>
        <t xml:space="preserve">365 switched to car chat 24
</t>
      </text>
    </comment>
    <comment authorId="0" ref="I42">
      <text>
        <t xml:space="preserve">365 switched to car chat 24
</t>
      </text>
    </comment>
    <comment authorId="0" ref="J42">
      <text>
        <t xml:space="preserve">365 switched to car chat 24
</t>
      </text>
    </comment>
    <comment authorId="0" ref="K42">
      <text>
        <t xml:space="preserve">365 switched to car chat 24
</t>
      </text>
    </comment>
    <comment authorId="0" ref="L42">
      <text>
        <t xml:space="preserve">365 switched to car chat 24
</t>
      </text>
    </comment>
    <comment authorId="0" ref="M42">
      <text>
        <t xml:space="preserve">365 switched to car chat 24
</t>
      </text>
    </comment>
    <comment authorId="0" ref="B44">
      <text>
        <t xml:space="preserve">259 Finance Driver</t>
      </text>
    </comment>
    <comment authorId="0" ref="C44">
      <text>
        <t xml:space="preserve">259 Finance Driver</t>
      </text>
    </comment>
    <comment authorId="0" ref="D44">
      <text>
        <t xml:space="preserve">259 Finance Driver</t>
      </text>
    </comment>
    <comment authorId="0" ref="E44">
      <text>
        <t xml:space="preserve">259 Finance Driver</t>
      </text>
    </comment>
    <comment authorId="0" ref="F44">
      <text>
        <t xml:space="preserve">259 Finance Driver</t>
      </text>
    </comment>
    <comment authorId="0" ref="G44">
      <text>
        <t xml:space="preserve">259 Finance Driver</t>
      </text>
    </comment>
    <comment authorId="0" ref="H44">
      <text>
        <t xml:space="preserve">259 Finance Driver</t>
      </text>
    </comment>
    <comment authorId="0" ref="I44">
      <text>
        <t xml:space="preserve">259 Finance Driver</t>
      </text>
    </comment>
    <comment authorId="0" ref="J44">
      <text>
        <t xml:space="preserve">259 Finance Driver</t>
      </text>
    </comment>
    <comment authorId="0" ref="K44">
      <text>
        <t xml:space="preserve">259 Finance Driver</t>
      </text>
    </comment>
    <comment authorId="0" ref="L44">
      <text>
        <t xml:space="preserve">259 Finance Driver</t>
      </text>
    </comment>
    <comment authorId="0" ref="M44">
      <text>
        <t xml:space="preserve">259 Finance Driver</t>
      </text>
    </comment>
    <comment authorId="0" ref="B45">
      <text>
        <t xml:space="preserve">45 Yelp 
97.5 Reputation.com
448 podium</t>
      </text>
    </comment>
    <comment authorId="0" ref="C45">
      <text>
        <t xml:space="preserve">45 Yelp 
226.23 Yext</t>
      </text>
    </comment>
    <comment authorId="0" ref="D45">
      <text>
        <t xml:space="preserve">45 Yelp 
226.23 Yext</t>
      </text>
    </comment>
    <comment authorId="0" ref="E45">
      <text>
        <t xml:space="preserve">45 Yelp 
</t>
      </text>
    </comment>
    <comment authorId="0" ref="F45">
      <text>
        <t xml:space="preserve">45 Yelp 
</t>
      </text>
    </comment>
    <comment authorId="0" ref="G45">
      <text>
        <t xml:space="preserve">45 Yelp 
</t>
      </text>
    </comment>
    <comment authorId="0" ref="H45">
      <text>
        <t xml:space="preserve">45 Yelp 
</t>
      </text>
    </comment>
    <comment authorId="0" ref="I45">
      <text>
        <t xml:space="preserve">45 Yelp 
</t>
      </text>
    </comment>
    <comment authorId="0" ref="J45">
      <text>
        <t xml:space="preserve">45 Yelp 
</t>
      </text>
    </comment>
    <comment authorId="0" ref="K45">
      <text>
        <t xml:space="preserve">45 Yelp 
</t>
      </text>
    </comment>
    <comment authorId="0" ref="L45">
      <text>
        <t xml:space="preserve">45 Yelp 
</t>
      </text>
    </comment>
    <comment authorId="0" ref="M45">
      <text>
        <t xml:space="preserve">45 Yelp 
</t>
      </text>
    </comment>
    <comment authorId="0" ref="B46">
      <text>
        <t xml:space="preserve">203 Certified Essentials
100 Conquest Ad</t>
      </text>
    </comment>
    <comment authorId="0" ref="C46">
      <text>
        <t xml:space="preserve">203 Certified Essentials
100 Conquest Ad</t>
      </text>
    </comment>
    <comment authorId="0" ref="D46">
      <text>
        <t xml:space="preserve">203 Certified Essentials
100 Conquest Ad</t>
      </text>
    </comment>
    <comment authorId="0" ref="E46">
      <text>
        <t xml:space="preserve">203 Certified Essentials
100 Conquest Ad</t>
      </text>
    </comment>
    <comment authorId="0" ref="F46">
      <text>
        <t xml:space="preserve">203 Certified Essentials
100 Conquest Ad</t>
      </text>
    </comment>
    <comment authorId="0" ref="G46">
      <text>
        <t xml:space="preserve">203 Certified Essentials
100 Conquest Ad</t>
      </text>
    </comment>
    <comment authorId="0" ref="H46">
      <text>
        <t xml:space="preserve">203 Certified Essentials
100 Conquest Ad</t>
      </text>
    </comment>
    <comment authorId="0" ref="I46">
      <text>
        <t xml:space="preserve">203 Certified Essentials
100 Conquest Ad</t>
      </text>
    </comment>
    <comment authorId="0" ref="J46">
      <text>
        <t xml:space="preserve">203 Certified Essentials
100 Conquest Ad</t>
      </text>
    </comment>
    <comment authorId="0" ref="K46">
      <text>
        <t xml:space="preserve">203 Certified Essentials
100 Conquest Ad</t>
      </text>
    </comment>
    <comment authorId="0" ref="L46">
      <text>
        <t xml:space="preserve">203 Certified Essentials
100 Conquest Ad</t>
      </text>
    </comment>
    <comment authorId="0" ref="M46">
      <text>
        <t xml:space="preserve">203 Certified Essentials
100 Conquest Ad</t>
      </text>
    </comment>
    <comment authorId="0" ref="B47">
      <text>
        <t xml:space="preserve">850 alli
30 Alli boosted
750 mgmt
3250 spend
</t>
      </text>
    </comment>
    <comment authorId="0" ref="C47">
      <text>
        <t xml:space="preserve">850 alli
30 Alli boosted
750 mgmt
3250 spend
</t>
      </text>
    </comment>
    <comment authorId="0" ref="D47">
      <text>
        <t xml:space="preserve">850 alli
30 Alli boosted
750 mgmt
3250 spend
</t>
      </text>
    </comment>
    <comment authorId="0" ref="E47">
      <text>
        <t xml:space="preserve">850 alli
30 Alli boosted
750 mgmt
3250 spend
</t>
      </text>
    </comment>
    <comment authorId="0" ref="F47">
      <text>
        <t xml:space="preserve">850 alli
30 Alli boosted
750 mgmt
3250 spend
</t>
      </text>
    </comment>
    <comment authorId="0" ref="G47">
      <text>
        <t xml:space="preserve">850 alli
30 Alli boosted
750 mgmt
3250 spend
</t>
      </text>
    </comment>
    <comment authorId="0" ref="H47">
      <text>
        <t xml:space="preserve">850 alli
30 Alli boosted
750 mgmt
3250 spend
</t>
      </text>
    </comment>
    <comment authorId="0" ref="I47">
      <text>
        <t xml:space="preserve">850 alli
30 Alli boosted
750 mgmt
3250 spend
</t>
      </text>
    </comment>
    <comment authorId="0" ref="J47">
      <text>
        <t xml:space="preserve">850 alli
30 Alli boosted
750 mgmt
3250 spend
</t>
      </text>
    </comment>
    <comment authorId="0" ref="K47">
      <text>
        <t xml:space="preserve">850 alli
30 Alli boosted
750 mgmt
3250 spend
</t>
      </text>
    </comment>
    <comment authorId="0" ref="L47">
      <text>
        <t xml:space="preserve">850 alli
30 Alli boosted
750 mgmt
3250 spend
</t>
      </text>
    </comment>
    <comment authorId="0" ref="M47">
      <text>
        <t xml:space="preserve">850 alli
30 Alli boosted
750 mgmt
3250 spend
</t>
      </text>
    </comment>
    <comment authorId="0" ref="B48">
      <text>
        <t xml:space="preserve">299 Edmunds
129.95 Sheehy.com</t>
      </text>
    </comment>
    <comment authorId="0" ref="C48">
      <text>
        <t xml:space="preserve">299 Edmunds
129.95 Sheehy.com</t>
      </text>
    </comment>
    <comment authorId="0" ref="D48">
      <text>
        <t xml:space="preserve">299 Edmunds
129.95 Sheehy.com</t>
      </text>
    </comment>
    <comment authorId="0" ref="E48">
      <text>
        <t xml:space="preserve">299 Edmunds
129.95 Sheehy.com</t>
      </text>
    </comment>
    <comment authorId="0" ref="F48">
      <text>
        <t xml:space="preserve">299 Edmunds
129.95 Sheehy.com</t>
      </text>
    </comment>
    <comment authorId="0" ref="G48">
      <text>
        <t xml:space="preserve">299 Edmunds
129.95 Sheehy.com</t>
      </text>
    </comment>
    <comment authorId="0" ref="H48">
      <text>
        <t xml:space="preserve">299 Edmunds
129.95 Sheehy.com</t>
      </text>
    </comment>
    <comment authorId="0" ref="I48">
      <text>
        <t xml:space="preserve">299 Edmunds
129.95 Sheehy.com</t>
      </text>
    </comment>
    <comment authorId="0" ref="J48">
      <text>
        <t xml:space="preserve">299 Edmunds
129.95 Sheehy.com</t>
      </text>
    </comment>
    <comment authorId="0" ref="K48">
      <text>
        <t xml:space="preserve">299 Edmunds
129.95 Sheehy.com</t>
      </text>
    </comment>
    <comment authorId="0" ref="L48">
      <text>
        <t xml:space="preserve">299 Edmunds
129.95 Sheehy.com</t>
      </text>
    </comment>
    <comment authorId="0" ref="M48">
      <text>
        <t xml:space="preserve">299 Edmunds
129.95 Sheehy.com</t>
      </text>
    </comment>
    <comment authorId="0" ref="B55">
      <text>
        <t xml:space="preserve">2000 truecar @ 20 mi radius
</t>
      </text>
    </comment>
    <comment authorId="0" ref="C55">
      <text>
        <t xml:space="preserve">1600 truecar
</t>
      </text>
    </comment>
    <comment authorId="0" ref="D55">
      <text>
        <t xml:space="preserve">1600 truecar
</t>
      </text>
    </comment>
    <comment authorId="0" ref="E55">
      <text>
        <t xml:space="preserve">1600 truecar
</t>
      </text>
    </comment>
    <comment authorId="0" ref="F55">
      <text>
        <t xml:space="preserve">1600 truecar
</t>
      </text>
    </comment>
    <comment authorId="0" ref="G55">
      <text>
        <t xml:space="preserve">1600 truecar
</t>
      </text>
    </comment>
    <comment authorId="0" ref="H55">
      <text>
        <t xml:space="preserve">1600 truecar
</t>
      </text>
    </comment>
    <comment authorId="0" ref="I55">
      <text>
        <t xml:space="preserve">1600 truecar
</t>
      </text>
    </comment>
    <comment authorId="0" ref="J55">
      <text>
        <t xml:space="preserve">1600 truecar
</t>
      </text>
    </comment>
    <comment authorId="0" ref="K55">
      <text>
        <t xml:space="preserve">1600 truecar
</t>
      </text>
    </comment>
    <comment authorId="0" ref="L55">
      <text>
        <t xml:space="preserve">1600 truecar
</t>
      </text>
    </comment>
    <comment authorId="0" ref="M55">
      <text>
        <t xml:space="preserve">1600 truecar
</t>
      </text>
    </comment>
    <comment authorId="0" ref="B56">
      <text>
        <t xml:space="preserve">399 Trade tool with Purecars
351 mgmt fee
57 Data Management fee</t>
      </text>
    </comment>
    <comment authorId="0" ref="C56">
      <text>
        <t xml:space="preserve">399 Trade tool with Purecars
351 mgmt fee
57 Data Management fee</t>
      </text>
    </comment>
    <comment authorId="0" ref="D56">
      <text>
        <t xml:space="preserve">399 Trade tool with Purecars
351 mgmt fee
57 Data Management fee</t>
      </text>
    </comment>
    <comment authorId="0" ref="E56">
      <text>
        <t xml:space="preserve">399 Trade tool with Purecars
351 mgmt fee
57 Data Management fee</t>
      </text>
    </comment>
    <comment authorId="0" ref="F56">
      <text>
        <t xml:space="preserve">399 Trade tool with Purecars
351 mgmt fee
57 Data Management fee</t>
      </text>
    </comment>
    <comment authorId="0" ref="G56">
      <text>
        <t xml:space="preserve">399 Trade tool with Purecars
351 mgmt fee
57 Data Management fee</t>
      </text>
    </comment>
    <comment authorId="0" ref="H56">
      <text>
        <t xml:space="preserve">399 Trade tool with Purecars
351 mgmt fee
57 Data Management fee</t>
      </text>
    </comment>
    <comment authorId="0" ref="I56">
      <text>
        <t xml:space="preserve">399 Trade tool with Purecars
351 mgmt fee
57 Data Management fee</t>
      </text>
    </comment>
    <comment authorId="0" ref="J56">
      <text>
        <t xml:space="preserve">399 Trade tool with Purecars
351 mgmt fee
57 Data Management fee</t>
      </text>
    </comment>
    <comment authorId="0" ref="K56">
      <text>
        <t xml:space="preserve">399 Trade tool with Purecars
351 mgmt fee
57 Data Management fee</t>
      </text>
    </comment>
    <comment authorId="0" ref="L56">
      <text>
        <t xml:space="preserve">399 Trade tool with Purecars
351 mgmt fee
57 Data Management fee</t>
      </text>
    </comment>
    <comment authorId="0" ref="M56">
      <text>
        <t xml:space="preserve">399 Trade tool with Purecars
351 mgmt fee
57 Data Management fee</t>
      </text>
    </comment>
    <comment authorId="0" ref="B59">
      <text>
        <t xml:space="preserve">1000 NEW
1000 USED
2000 TOTAL</t>
      </text>
    </comment>
    <comment authorId="0" ref="B62">
      <text>
        <t xml:space="preserve">100 new
100 used 
(premium listings)</t>
      </text>
    </comment>
    <comment authorId="0" ref="C62">
      <text>
        <t xml:space="preserve">100 new
100 used 
(premium listings)</t>
      </text>
    </comment>
    <comment authorId="0" ref="D62">
      <text>
        <t xml:space="preserve">100 new
100 used 
(premium listings)</t>
      </text>
    </comment>
    <comment authorId="0" ref="E62">
      <text>
        <t xml:space="preserve">100 new
100 used 
(premium listings)</t>
      </text>
    </comment>
    <comment authorId="0" ref="F62">
      <text>
        <t xml:space="preserve">100 new
100 used 
(premium listings)</t>
      </text>
    </comment>
    <comment authorId="0" ref="G62">
      <text>
        <t xml:space="preserve">100 new
100 used 
(premium listings)</t>
      </text>
    </comment>
    <comment authorId="0" ref="H62">
      <text>
        <t xml:space="preserve">100 new
100 used 
(premium listings)</t>
      </text>
    </comment>
    <comment authorId="0" ref="I62">
      <text>
        <t xml:space="preserve">100 new
100 used 
(premium listings)</t>
      </text>
    </comment>
    <comment authorId="0" ref="J62">
      <text>
        <t xml:space="preserve">100 new
100 used 
(premium listings)</t>
      </text>
    </comment>
    <comment authorId="0" ref="K62">
      <text>
        <t xml:space="preserve">100 new
100 used 
(premium listings)</t>
      </text>
    </comment>
    <comment authorId="0" ref="L62">
      <text>
        <t xml:space="preserve">100 new
100 used 
(premium listings)</t>
      </text>
    </comment>
    <comment authorId="0" ref="M62">
      <text>
        <t xml:space="preserve">100 new
100 used 
(premium listings)</t>
      </text>
    </comment>
    <comment authorId="0" ref="B63">
      <text>
        <t xml:space="preserve">8000 new
+2600</t>
      </text>
    </comment>
    <comment authorId="0" ref="C63">
      <text>
        <t xml:space="preserve">10600 new
</t>
      </text>
    </comment>
    <comment authorId="0" ref="D63">
      <text>
        <t xml:space="preserve">10600 new
</t>
      </text>
    </comment>
    <comment authorId="0" ref="E63">
      <text>
        <t xml:space="preserve">10600 new
</t>
      </text>
    </comment>
    <comment authorId="0" ref="F63">
      <text>
        <t xml:space="preserve">10600 new
</t>
      </text>
    </comment>
    <comment authorId="0" ref="G63">
      <text>
        <t xml:space="preserve">10600 new
</t>
      </text>
    </comment>
    <comment authorId="0" ref="H63">
      <text>
        <t xml:space="preserve">10600 new
</t>
      </text>
    </comment>
    <comment authorId="0" ref="I63">
      <text>
        <t xml:space="preserve">10600 new
</t>
      </text>
    </comment>
    <comment authorId="0" ref="J63">
      <text>
        <t xml:space="preserve">10600 new
</t>
      </text>
    </comment>
    <comment authorId="0" ref="K63">
      <text>
        <t xml:space="preserve">10600 new
</t>
      </text>
    </comment>
    <comment authorId="0" ref="L63">
      <text>
        <t xml:space="preserve">10600 new
</t>
      </text>
    </comment>
    <comment authorId="0" ref="M63">
      <text>
        <t xml:space="preserve">10600 new
</t>
      </text>
    </comment>
    <comment authorId="0" ref="B64">
      <text>
        <t xml:space="preserve">$699.30 commercial truck trader
$595 Work Truck Solutions</t>
      </text>
    </comment>
    <comment authorId="0" ref="C64">
      <text>
        <t xml:space="preserve">$699.30 commercial truck trader
$595 Work Truck Solutions</t>
      </text>
    </comment>
    <comment authorId="0" ref="D64">
      <text>
        <t xml:space="preserve">$978 commercial truck trader
$595 Work Truck Solutions</t>
      </text>
    </comment>
    <comment authorId="0" ref="E64">
      <text>
        <t xml:space="preserve">$978 commercial truck trader
$595 Work Truck Solutions</t>
      </text>
    </comment>
    <comment authorId="0" ref="F64">
      <text>
        <t xml:space="preserve">$978 commercial truck trader
$595 Work Truck Solutions</t>
      </text>
    </comment>
    <comment authorId="0" ref="G64">
      <text>
        <t xml:space="preserve">$978 commercial truck trader
$595 Work Truck Solutions</t>
      </text>
    </comment>
    <comment authorId="0" ref="H64">
      <text>
        <t xml:space="preserve">$978 commercial truck trader
$595 Work Truck Solutions</t>
      </text>
    </comment>
    <comment authorId="0" ref="I64">
      <text>
        <t xml:space="preserve">$978 commercial truck trader
$595 Work Truck Solutions</t>
      </text>
    </comment>
    <comment authorId="0" ref="J64">
      <text>
        <t xml:space="preserve">$978 commercial truck trader
$595 Work Truck Solutions</t>
      </text>
    </comment>
    <comment authorId="0" ref="K64">
      <text>
        <t xml:space="preserve">$978 commercial truck trader
$595 Work Truck Solutions</t>
      </text>
    </comment>
    <comment authorId="0" ref="L64">
      <text>
        <t xml:space="preserve">$978 commercial truck trader
$595 Work Truck Solutions</t>
      </text>
    </comment>
    <comment authorId="0" ref="M64">
      <text>
        <t xml:space="preserve">$978 commercial truck trader
$595 Work Truck Solutions</t>
      </text>
    </comment>
    <comment authorId="0" ref="B72">
      <text>
        <t xml:space="preserve">TBD
</t>
      </text>
    </comment>
    <comment authorId="0" ref="C72">
      <text>
        <t xml:space="preserve">TBD
</t>
      </text>
    </comment>
    <comment authorId="0" ref="D72">
      <text>
        <t xml:space="preserve">TBD
</t>
      </text>
    </comment>
    <comment authorId="0" ref="E72">
      <text>
        <t xml:space="preserve">TBD
</t>
      </text>
    </comment>
    <comment authorId="0" ref="F72">
      <text>
        <t xml:space="preserve">TBD
</t>
      </text>
    </comment>
    <comment authorId="0" ref="G72">
      <text>
        <t xml:space="preserve">TBD
</t>
      </text>
    </comment>
    <comment authorId="0" ref="H72">
      <text>
        <t xml:space="preserve">TBD
</t>
      </text>
    </comment>
    <comment authorId="0" ref="I72">
      <text>
        <t xml:space="preserve">TBD
</t>
      </text>
    </comment>
    <comment authorId="0" ref="J72">
      <text>
        <t xml:space="preserve">TBD
</t>
      </text>
    </comment>
    <comment authorId="0" ref="K72">
      <text>
        <t xml:space="preserve">TBD
</t>
      </text>
    </comment>
    <comment authorId="0" ref="L72">
      <text>
        <t xml:space="preserve">TBD
</t>
      </text>
    </comment>
    <comment authorId="0" ref="M72">
      <text>
        <t xml:space="preserve">TBD
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B74">
      <text>
        <t xml:space="preserve">1000 NEW
1000 USED
2000 TOTAL</t>
      </text>
    </comment>
    <comment authorId="0" ref="B77">
      <text>
        <t xml:space="preserve">100 new
100 used 
(premium listings)</t>
      </text>
    </comment>
    <comment authorId="0" ref="C77">
      <text>
        <t xml:space="preserve">100 new
100 used 
(premium listings)</t>
      </text>
    </comment>
    <comment authorId="0" ref="D77">
      <text>
        <t xml:space="preserve">100 new
100 used 
(premium listings)</t>
      </text>
    </comment>
    <comment authorId="0" ref="E77">
      <text>
        <t xml:space="preserve">100 new
100 used 
(premium listings)</t>
      </text>
    </comment>
    <comment authorId="0" ref="F77">
      <text>
        <t xml:space="preserve">100 new
100 used 
(premium listings)</t>
      </text>
    </comment>
    <comment authorId="0" ref="G77">
      <text>
        <t xml:space="preserve">100 new
100 used 
(premium listings)</t>
      </text>
    </comment>
    <comment authorId="0" ref="H77">
      <text>
        <t xml:space="preserve">100 new
100 used 
(premium listings)</t>
      </text>
    </comment>
    <comment authorId="0" ref="I77">
      <text>
        <t xml:space="preserve">100 new
100 used 
(premium listings)</t>
      </text>
    </comment>
    <comment authorId="0" ref="J77">
      <text>
        <t xml:space="preserve">100 new
100 used 
(premium listings)</t>
      </text>
    </comment>
    <comment authorId="0" ref="K77">
      <text>
        <t xml:space="preserve">100 new
100 used 
(premium listings)</t>
      </text>
    </comment>
    <comment authorId="0" ref="L77">
      <text>
        <t xml:space="preserve">100 new
100 used 
(premium listings)</t>
      </text>
    </comment>
    <comment authorId="0" ref="M77">
      <text>
        <t xml:space="preserve">100 new
100 used 
(premium listings)</t>
      </text>
    </comment>
    <comment authorId="0" ref="B80">
      <text>
        <t xml:space="preserve">1600 enhanced</t>
      </text>
    </comment>
    <comment authorId="0" ref="C80">
      <text>
        <t xml:space="preserve">1600 enhanced</t>
      </text>
    </comment>
    <comment authorId="0" ref="D80">
      <text>
        <t xml:space="preserve">1600 enhanced</t>
      </text>
    </comment>
    <comment authorId="0" ref="E80">
      <text>
        <t xml:space="preserve">1600 enhanced</t>
      </text>
    </comment>
    <comment authorId="0" ref="F80">
      <text>
        <t xml:space="preserve">1600 enhanced</t>
      </text>
    </comment>
    <comment authorId="0" ref="G80">
      <text>
        <t xml:space="preserve">1600 enhanced</t>
      </text>
    </comment>
    <comment authorId="0" ref="H80">
      <text>
        <t xml:space="preserve">1600 enhanced</t>
      </text>
    </comment>
    <comment authorId="0" ref="I80">
      <text>
        <t xml:space="preserve">1600 enhanced</t>
      </text>
    </comment>
    <comment authorId="0" ref="J80">
      <text>
        <t xml:space="preserve">1600 enhanced</t>
      </text>
    </comment>
    <comment authorId="0" ref="K80">
      <text>
        <t xml:space="preserve">1600 enhanced</t>
      </text>
    </comment>
    <comment authorId="0" ref="L80">
      <text>
        <t xml:space="preserve">1600 enhanced</t>
      </text>
    </comment>
    <comment authorId="0" ref="M80">
      <text>
        <t xml:space="preserve">1600 enhanced</t>
      </text>
    </comment>
    <comment authorId="0" ref="B81">
      <text>
        <t xml:space="preserve">0 paused used</t>
      </text>
    </comment>
    <comment authorId="0" ref="C81">
      <text>
        <t xml:space="preserve">0 paused used</t>
      </text>
    </comment>
    <comment authorId="0" ref="D81">
      <text>
        <t xml:space="preserve">0 paused used</t>
      </text>
    </comment>
    <comment authorId="0" ref="E81">
      <text>
        <t xml:space="preserve">0 paused used</t>
      </text>
    </comment>
    <comment authorId="0" ref="F81">
      <text>
        <t xml:space="preserve">0 paused used</t>
      </text>
    </comment>
    <comment authorId="0" ref="G81">
      <text>
        <t xml:space="preserve">0 paused used</t>
      </text>
    </comment>
    <comment authorId="0" ref="H81">
      <text>
        <t xml:space="preserve">0 paused used</t>
      </text>
    </comment>
    <comment authorId="0" ref="I81">
      <text>
        <t xml:space="preserve">0 paused used</t>
      </text>
    </comment>
    <comment authorId="0" ref="J81">
      <text>
        <t xml:space="preserve">0 paused used</t>
      </text>
    </comment>
    <comment authorId="0" ref="K81">
      <text>
        <t xml:space="preserve">0 paused used</t>
      </text>
    </comment>
    <comment authorId="0" ref="L81">
      <text>
        <t xml:space="preserve">0 paused used</t>
      </text>
    </comment>
    <comment authorId="0" ref="M81">
      <text>
        <t xml:space="preserve">0 paused used</t>
      </text>
    </comment>
    <comment authorId="0" ref="C93">
      <text>
        <t xml:space="preserve">$14,355 Grand Opening Signage
</t>
      </text>
    </comment>
    <comment authorId="0" ref="K94">
      <text>
        <t xml:space="preserve">$180 Polin
$200 boxes
</t>
      </text>
    </comment>
    <comment authorId="0" ref="B103">
      <text>
        <t xml:space="preserve">$500 Other Group Digital </t>
      </text>
    </comment>
    <comment authorId="0" ref="C103">
      <text>
        <t xml:space="preserve">$500 Other Group Digital </t>
      </text>
    </comment>
    <comment authorId="0" ref="D103">
      <text>
        <t xml:space="preserve">$500 Other Group Digital </t>
      </text>
    </comment>
    <comment authorId="0" ref="E103">
      <text>
        <t xml:space="preserve">$500 Other Group Digital </t>
      </text>
    </comment>
    <comment authorId="0" ref="F103">
      <text>
        <t xml:space="preserve">$500 Other Group Digital </t>
      </text>
    </comment>
    <comment authorId="0" ref="G103">
      <text>
        <t xml:space="preserve">$500 Other Group Digital </t>
      </text>
    </comment>
    <comment authorId="0" ref="H103">
      <text>
        <t xml:space="preserve">$500 Other Group Digital </t>
      </text>
    </comment>
    <comment authorId="0" ref="I103">
      <text>
        <t xml:space="preserve">$500 Other Group Digital </t>
      </text>
    </comment>
    <comment authorId="0" ref="J103">
      <text>
        <t xml:space="preserve">$500 Other Group Digital </t>
      </text>
    </comment>
    <comment authorId="0" ref="K103">
      <text>
        <t xml:space="preserve">$500 Other Group Digital </t>
      </text>
    </comment>
    <comment authorId="0" ref="L103">
      <text>
        <t xml:space="preserve">$500 Other Group Digital </t>
      </text>
    </comment>
    <comment authorId="0" ref="M103">
      <text>
        <t xml:space="preserve">$500 Other Group Digital </t>
      </text>
    </comment>
    <comment authorId="0" ref="B108">
      <text>
        <t xml:space="preserve">based off 2017 reimbursement</t>
      </text>
    </comment>
    <comment authorId="0" ref="C108">
      <text>
        <t xml:space="preserve">based off 2017 reimbursement</t>
      </text>
    </comment>
    <comment authorId="0" ref="D108">
      <text>
        <t xml:space="preserve">based off 2017 reimbursement</t>
      </text>
    </comment>
    <comment authorId="0" ref="E108">
      <text>
        <t xml:space="preserve">based off 2017 reimbursement</t>
      </text>
    </comment>
    <comment authorId="0" ref="F108">
      <text>
        <t xml:space="preserve">based off 2017 reimbursement</t>
      </text>
    </comment>
    <comment authorId="0" ref="G108">
      <text>
        <t xml:space="preserve">based off 2017 reimbursement</t>
      </text>
    </comment>
    <comment authorId="0" ref="H108">
      <text>
        <t xml:space="preserve">based off 2017 reimbursement</t>
      </text>
    </comment>
    <comment authorId="0" ref="I108">
      <text>
        <t xml:space="preserve">based off 2017 reimbursement</t>
      </text>
    </comment>
    <comment authorId="0" ref="J108">
      <text>
        <t xml:space="preserve">based off 2017 reimbursement</t>
      </text>
    </comment>
    <comment authorId="0" ref="K108">
      <text>
        <t xml:space="preserve">based off 2017 reimbursement</t>
      </text>
    </comment>
    <comment authorId="0" ref="L108">
      <text>
        <t xml:space="preserve">based off 2017 reimbursement</t>
      </text>
    </comment>
    <comment authorId="0" ref="M108">
      <text>
        <t xml:space="preserve">based off 2017 reimbursement</t>
      </text>
    </comment>
    <comment authorId="0" ref="B115">
      <text>
        <t xml:space="preserve">$1,495 Easy Care
</t>
      </text>
    </comment>
    <comment authorId="0" ref="C115">
      <text>
        <t xml:space="preserve">$1,495 Easy Care
</t>
      </text>
    </comment>
    <comment authorId="0" ref="D115">
      <text>
        <t xml:space="preserve">$1,495 Easy Care
</t>
      </text>
    </comment>
    <comment authorId="0" ref="E115">
      <text>
        <t xml:space="preserve">$1,495 Easy Care
</t>
      </text>
    </comment>
    <comment authorId="0" ref="F115">
      <text>
        <t xml:space="preserve">$1,495 Easy Care
</t>
      </text>
    </comment>
    <comment authorId="0" ref="G115">
      <text>
        <t xml:space="preserve">$1,495 Easy Care
</t>
      </text>
    </comment>
    <comment authorId="0" ref="H115">
      <text>
        <t xml:space="preserve">$1,495 Easy Care
</t>
      </text>
    </comment>
    <comment authorId="0" ref="I115">
      <text>
        <t xml:space="preserve">$1,495 Easy Care
</t>
      </text>
    </comment>
    <comment authorId="0" ref="J115">
      <text>
        <t xml:space="preserve">$1,495 Easy Care
</t>
      </text>
    </comment>
    <comment authorId="0" ref="K115">
      <text>
        <t xml:space="preserve">$1,495 Easy Care
</t>
      </text>
    </comment>
    <comment authorId="0" ref="L115">
      <text>
        <t xml:space="preserve">$1,495 Easy Care
</t>
      </text>
    </comment>
    <comment authorId="0" ref="M115">
      <text>
        <t xml:space="preserve">$1,495 Easy Care
</t>
      </text>
    </comment>
    <comment authorId="0" ref="B117">
      <text>
        <t xml:space="preserve">1450 trigger mail
</t>
      </text>
    </comment>
    <comment authorId="0" ref="C117">
      <text>
        <t xml:space="preserve">1450 trigger mail
</t>
      </text>
    </comment>
    <comment authorId="0" ref="D117">
      <text>
        <t xml:space="preserve">1450 trigger mail
</t>
      </text>
    </comment>
    <comment authorId="0" ref="E117">
      <text>
        <t xml:space="preserve">1450 trigger mail
</t>
      </text>
    </comment>
    <comment authorId="0" ref="F117">
      <text>
        <t xml:space="preserve">1450 trigger mail
</t>
      </text>
    </comment>
    <comment authorId="0" ref="G117">
      <text>
        <t xml:space="preserve">1450 trigger mail
</t>
      </text>
    </comment>
    <comment authorId="0" ref="H117">
      <text>
        <t xml:space="preserve">1450 trigger mail
</t>
      </text>
    </comment>
    <comment authorId="0" ref="I117">
      <text>
        <t xml:space="preserve">1450 trigger mail
</t>
      </text>
    </comment>
    <comment authorId="0" ref="J117">
      <text>
        <t xml:space="preserve">1450 trigger mail
</t>
      </text>
    </comment>
    <comment authorId="0" ref="K117">
      <text>
        <t xml:space="preserve">1450 trigger mail
</t>
      </text>
    </comment>
    <comment authorId="0" ref="L117">
      <text>
        <t xml:space="preserve">1450 trigger mail
</t>
      </text>
    </comment>
    <comment authorId="0" ref="M117">
      <text>
        <t xml:space="preserve">1450 trigger mail
</t>
      </text>
    </comment>
  </commentList>
</comments>
</file>

<file path=xl/comments3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">
      <text>
        <t xml:space="preserve">Eastern Shore Golf mag
</t>
      </text>
    </comment>
    <comment authorId="0" ref="B34">
      <text>
        <t xml:space="preserve">3600 DealerOn
61.9 sheehy.com portal site</t>
      </text>
    </comment>
    <comment authorId="0" ref="C34">
      <text>
        <t xml:space="preserve">3600 DealerOn
61.9 sheehy.com portal site</t>
      </text>
    </comment>
    <comment authorId="0" ref="D34">
      <text>
        <t xml:space="preserve">3600 DealerOn
61.9 sheehy.com portal site</t>
      </text>
    </comment>
    <comment authorId="0" ref="E34">
      <text>
        <t xml:space="preserve">3600 DealerOn (15% off)
61.9 sheehy.com portal site</t>
      </text>
    </comment>
    <comment authorId="0" ref="F34">
      <text>
        <t xml:space="preserve">3600 DealerOn
61.9 sheehy.com portal site</t>
      </text>
    </comment>
    <comment authorId="0" ref="G34">
      <text>
        <t xml:space="preserve">3600 DealerOn
61.9 sheehy.com portal site</t>
      </text>
    </comment>
    <comment authorId="0" ref="H34">
      <text>
        <t xml:space="preserve">3600 DealerOn
61.9 sheehy.com portal site</t>
      </text>
    </comment>
    <comment authorId="0" ref="I34">
      <text>
        <t xml:space="preserve">3600 DealerOn
61.9 sheehy.com portal site</t>
      </text>
    </comment>
    <comment authorId="0" ref="J34">
      <text>
        <t xml:space="preserve">3600 DealerOn
61.9 sheehy.com portal site</t>
      </text>
    </comment>
    <comment authorId="0" ref="K34">
      <text>
        <t xml:space="preserve">3600 DealerOn
61.9 sheehy.com portal site</t>
      </text>
    </comment>
    <comment authorId="0" ref="L34">
      <text>
        <t xml:space="preserve">3600 DealerOn
61.9 sheehy.com portal site</t>
      </text>
    </comment>
    <comment authorId="0" ref="M34">
      <text>
        <t xml:space="preserve">3600 DealerOn
61.9 sheehy.com portal site</t>
      </text>
    </comment>
    <comment authorId="0" ref="B45">
      <text>
        <t xml:space="preserve">97.5 Reputation.com</t>
      </text>
    </comment>
    <comment authorId="0" ref="C45">
      <text>
        <t xml:space="preserve">97.5 Reputation.com</t>
      </text>
    </comment>
    <comment authorId="0" ref="D45">
      <text>
        <t xml:space="preserve">97.5 Reputation.com</t>
      </text>
    </comment>
    <comment authorId="0" ref="E45">
      <text>
        <t xml:space="preserve">97.5 Reputation.com</t>
      </text>
    </comment>
    <comment authorId="0" ref="F45">
      <text>
        <t xml:space="preserve">97.5 Reputation.com</t>
      </text>
    </comment>
    <comment authorId="0" ref="G45">
      <text>
        <t xml:space="preserve">97.5 Reputation.com</t>
      </text>
    </comment>
    <comment authorId="0" ref="H45">
      <text>
        <t xml:space="preserve">97.5 Reputation.com</t>
      </text>
    </comment>
    <comment authorId="0" ref="I45">
      <text>
        <t xml:space="preserve">97.5 Reputation.com</t>
      </text>
    </comment>
    <comment authorId="0" ref="J45">
      <text>
        <t xml:space="preserve">97.5 Reputation.com</t>
      </text>
    </comment>
    <comment authorId="0" ref="K45">
      <text>
        <t xml:space="preserve">97.5 Reputation.com</t>
      </text>
    </comment>
    <comment authorId="0" ref="L45">
      <text>
        <t xml:space="preserve">97.5 Reputation.com</t>
      </text>
    </comment>
    <comment authorId="0" ref="M45">
      <text>
        <t xml:space="preserve">97.5 Reputation.com</t>
      </text>
    </comment>
    <comment authorId="0" ref="B47">
      <text>
        <t xml:space="preserve">1000 alli
2000 als spend
750 als mgmt fee</t>
      </text>
    </comment>
    <comment authorId="0" ref="C47">
      <text>
        <t xml:space="preserve">1000 alli
2000 als spend
750 als mgmt fee</t>
      </text>
    </comment>
    <comment authorId="0" ref="D47">
      <text>
        <t xml:space="preserve">1000 alli
2000 als spend
750 als mgmt fee</t>
      </text>
    </comment>
    <comment authorId="0" ref="E47">
      <text>
        <t xml:space="preserve">1000 alli
2000 als spend
750 als mgmt fee</t>
      </text>
    </comment>
    <comment authorId="0" ref="F47">
      <text>
        <t xml:space="preserve">1000 alli
2000 als spend
750 als mgmt fee</t>
      </text>
    </comment>
    <comment authorId="0" ref="G47">
      <text>
        <t xml:space="preserve">1000 alli
2000 als spend
750 als mgmt fee</t>
      </text>
    </comment>
    <comment authorId="0" ref="H47">
      <text>
        <t xml:space="preserve">1000 alli
2000 als spend
750 als mgmt fee</t>
      </text>
    </comment>
    <comment authorId="0" ref="I47">
      <text>
        <t xml:space="preserve">1000 alli
2000 als spend
750 als mgmt fee</t>
      </text>
    </comment>
    <comment authorId="0" ref="J47">
      <text>
        <t xml:space="preserve">1000 alli
2000 als spend
750 als mgmt fee</t>
      </text>
    </comment>
    <comment authorId="0" ref="K47">
      <text>
        <t xml:space="preserve">1000 alli
2000 als spend
750 als mgmt fee</t>
      </text>
    </comment>
    <comment authorId="0" ref="L47">
      <text>
        <t xml:space="preserve">1000 alli
2000 als spend
750 als mgmt fee</t>
      </text>
    </comment>
    <comment authorId="0" ref="M47">
      <text>
        <t xml:space="preserve">1000 alli
2000 als spend
750 als mgmt fee</t>
      </text>
    </comment>
    <comment authorId="0" ref="B48">
      <text>
        <t xml:space="preserve">$101.33 PERQ child site
$55.64 sheehy.com
80 we buy cars</t>
      </text>
    </comment>
    <comment authorId="0" ref="C48">
      <text>
        <t xml:space="preserve">$101.33 PERQ child site
$55.64 sheehy.com
80 we buy cars</t>
      </text>
    </comment>
    <comment authorId="0" ref="D48">
      <text>
        <t xml:space="preserve">$101.33 PERQ child site
$55.64 sheehy.com
80 we buy cars</t>
      </text>
    </comment>
    <comment authorId="0" ref="E48">
      <text>
        <t xml:space="preserve">$101.33 PERQ child site
$55.64 sheehy.com
80 we buy cars</t>
      </text>
    </comment>
    <comment authorId="0" ref="F48">
      <text>
        <t xml:space="preserve">$101.33 PERQ child site
$55.64 sheehy.com
80 we buy cars</t>
      </text>
    </comment>
    <comment authorId="0" ref="G48">
      <text>
        <t xml:space="preserve">$101.33 PERQ child site
$55.64 sheehy.com
80 we buy cars</t>
      </text>
    </comment>
    <comment authorId="0" ref="H48">
      <text>
        <t xml:space="preserve">$101.33 PERQ child site
$55.64 sheehy.com
80 we buy cars</t>
      </text>
    </comment>
    <comment authorId="0" ref="I48">
      <text>
        <t xml:space="preserve">$101.33 PERQ child site
$55.64 sheehy.com
80 we buy cars</t>
      </text>
    </comment>
    <comment authorId="0" ref="J48">
      <text>
        <t xml:space="preserve">$101.33 PERQ child site
$55.64 sheehy.com
80 we buy cars</t>
      </text>
    </comment>
    <comment authorId="0" ref="K48">
      <text>
        <t xml:space="preserve">$101.33 PERQ child site
$55.64 sheehy.com
80 we buy cars</t>
      </text>
    </comment>
    <comment authorId="0" ref="L48">
      <text>
        <t xml:space="preserve">$101.33 PERQ child site
$55.64 sheehy.com
80 we buy cars</t>
      </text>
    </comment>
    <comment authorId="0" ref="M48">
      <text>
        <t xml:space="preserve">$101.33 PERQ child site
$55.64 sheehy.com
80 we buy cars</t>
      </text>
    </comment>
    <comment authorId="0" ref="B50">
      <text>
        <t xml:space="preserve">$1520 for CDK
</t>
      </text>
    </comment>
    <comment authorId="0" ref="C50">
      <text>
        <t xml:space="preserve">$1520 for CDK
</t>
      </text>
    </comment>
    <comment authorId="0" ref="D50">
      <text>
        <t xml:space="preserve">$1520 for CDK
</t>
      </text>
    </comment>
    <comment authorId="0" ref="E50">
      <text>
        <t xml:space="preserve">$1520 for CDK
</t>
      </text>
    </comment>
    <comment authorId="0" ref="F50">
      <text>
        <t xml:space="preserve">$1520 for CDK
</t>
      </text>
    </comment>
    <comment authorId="0" ref="G50">
      <text>
        <t xml:space="preserve">$1520 for CDK
</t>
      </text>
    </comment>
    <comment authorId="0" ref="H50">
      <text>
        <t xml:space="preserve">$1520 for CDK
</t>
      </text>
    </comment>
    <comment authorId="0" ref="I50">
      <text>
        <t xml:space="preserve">$1520 for CDK
</t>
      </text>
    </comment>
    <comment authorId="0" ref="J50">
      <text>
        <t xml:space="preserve">$1520 for CDK
</t>
      </text>
    </comment>
    <comment authorId="0" ref="K50">
      <text>
        <t xml:space="preserve">$1520 for CDK
</t>
      </text>
    </comment>
    <comment authorId="0" ref="L50">
      <text>
        <t xml:space="preserve">$1520 for CDK
</t>
      </text>
    </comment>
    <comment authorId="0" ref="M50">
      <text>
        <t xml:space="preserve">$1520 for CDK
</t>
      </text>
    </comment>
    <comment authorId="0" ref="B72">
      <text>
        <t xml:space="preserve">TBD
</t>
      </text>
    </comment>
    <comment authorId="0" ref="C72">
      <text>
        <t xml:space="preserve">TBD
</t>
      </text>
    </comment>
    <comment authorId="0" ref="D72">
      <text>
        <t xml:space="preserve">TBD
</t>
      </text>
    </comment>
    <comment authorId="0" ref="E72">
      <text>
        <t xml:space="preserve">TBD
</t>
      </text>
    </comment>
    <comment authorId="0" ref="F72">
      <text>
        <t xml:space="preserve">TBD
</t>
      </text>
    </comment>
    <comment authorId="0" ref="G72">
      <text>
        <t xml:space="preserve">TBD
</t>
      </text>
    </comment>
    <comment authorId="0" ref="H72">
      <text>
        <t xml:space="preserve">TBD
</t>
      </text>
    </comment>
    <comment authorId="0" ref="I72">
      <text>
        <t xml:space="preserve">TBD
</t>
      </text>
    </comment>
    <comment authorId="0" ref="J72">
      <text>
        <t xml:space="preserve">TBD
</t>
      </text>
    </comment>
    <comment authorId="0" ref="K72">
      <text>
        <t xml:space="preserve">TBD
</t>
      </text>
    </comment>
    <comment authorId="0" ref="L72">
      <text>
        <t xml:space="preserve">TBD
</t>
      </text>
    </comment>
    <comment authorId="0" ref="M72">
      <text>
        <t xml:space="preserve">TBD
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E74">
      <text>
        <t xml:space="preserve">suspended for april</t>
      </text>
    </comment>
    <comment authorId="0" ref="F74">
      <text>
        <t xml:space="preserve">TBD</t>
      </text>
    </comment>
    <comment authorId="0" ref="G74">
      <text>
        <t xml:space="preserve">TBD</t>
      </text>
    </comment>
    <comment authorId="0" ref="H74">
      <text>
        <t xml:space="preserve">TBD</t>
      </text>
    </comment>
    <comment authorId="0" ref="I74">
      <text>
        <t xml:space="preserve">TBD</t>
      </text>
    </comment>
    <comment authorId="0" ref="J74">
      <text>
        <t xml:space="preserve">TBD</t>
      </text>
    </comment>
    <comment authorId="0" ref="K74">
      <text>
        <t xml:space="preserve">TBD</t>
      </text>
    </comment>
    <comment authorId="0" ref="L74">
      <text>
        <t xml:space="preserve">TBD</t>
      </text>
    </comment>
    <comment authorId="0" ref="M74">
      <text>
        <t xml:space="preserve">TBD</t>
      </text>
    </comment>
    <comment authorId="0" ref="B80">
      <text>
        <t xml:space="preserve">2350 ENHANCED</t>
      </text>
    </comment>
    <comment authorId="0" ref="C80">
      <text>
        <t xml:space="preserve">2350 ENHANCED</t>
      </text>
    </comment>
    <comment authorId="0" ref="D80">
      <text>
        <t xml:space="preserve">2350 ENHANCED</t>
      </text>
    </comment>
    <comment authorId="0" ref="E80">
      <text>
        <t xml:space="preserve">2350 ENHANCED</t>
      </text>
    </comment>
    <comment authorId="0" ref="F80">
      <text>
        <t xml:space="preserve">2350 ENHANCED</t>
      </text>
    </comment>
    <comment authorId="0" ref="G80">
      <text>
        <t xml:space="preserve">2350 ENHANCED W/ 5% DISCOUNT JUNE &amp; JULY AT 2232.50</t>
      </text>
    </comment>
    <comment authorId="0" ref="H80">
      <text>
        <t xml:space="preserve">2350 ENHANCED W/ 5% DISCOUNT JUNE &amp; JULY AT 2232.50</t>
      </text>
    </comment>
    <comment authorId="0" ref="I80">
      <text>
        <t xml:space="preserve">2350 ENHANCED</t>
      </text>
    </comment>
    <comment authorId="0" ref="J80">
      <text>
        <t xml:space="preserve">2350 ENHANCED</t>
      </text>
    </comment>
    <comment authorId="0" ref="K80">
      <text>
        <t xml:space="preserve">2350 ENHANCED</t>
      </text>
    </comment>
    <comment authorId="0" ref="L80">
      <text>
        <t xml:space="preserve">2350 ENHANCED</t>
      </text>
    </comment>
    <comment authorId="0" ref="M80">
      <text>
        <t xml:space="preserve">2350 ENHANCED</t>
      </text>
    </comment>
    <comment authorId="0" ref="B100">
      <text>
        <t xml:space="preserve">Heels &amp; Wheels</t>
      </text>
    </comment>
    <comment authorId="0" ref="F100">
      <text>
        <t xml:space="preserve">Heels &amp; Wheels</t>
      </text>
    </comment>
    <comment authorId="0" ref="B103">
      <text>
        <t xml:space="preserve">5000 STORE
</t>
      </text>
    </comment>
    <comment authorId="0" ref="C103">
      <text>
        <t xml:space="preserve">5000 STORE
</t>
      </text>
    </comment>
    <comment authorId="0" ref="D103">
      <text>
        <t xml:space="preserve">5000 STORE
1000 SHEEHY.COM PREOWNED SEM</t>
      </text>
    </comment>
    <comment authorId="0" ref="E103">
      <text>
        <t xml:space="preserve">5000 STORE
1000 SHEEHY.COM PREOWNED SEM</t>
      </text>
    </comment>
    <comment authorId="0" ref="F103">
      <text>
        <t xml:space="preserve">5000 STORE
1000 SHEEHY.COM PREOWNED SEM</t>
      </text>
    </comment>
    <comment authorId="0" ref="G103">
      <text>
        <t xml:space="preserve">5000 STORE
1000 SHEEHY.COM PREOWNED SEM</t>
      </text>
    </comment>
    <comment authorId="0" ref="H103">
      <text>
        <t xml:space="preserve">5000 STORE
1000 SHEEHY.COM PREOWNED SEM</t>
      </text>
    </comment>
    <comment authorId="0" ref="I103">
      <text>
        <t xml:space="preserve">5000 STORE
1000 SHEEHY.COM PREOWNED SEM</t>
      </text>
    </comment>
    <comment authorId="0" ref="J103">
      <text>
        <t xml:space="preserve">5000 STORE
1000 SHEEHY.COM PREOWNED SEM</t>
      </text>
    </comment>
    <comment authorId="0" ref="K103">
      <text>
        <t xml:space="preserve">5000 STORE
1000 SHEEHY.COM PREOWNED SEM</t>
      </text>
    </comment>
    <comment authorId="0" ref="L103">
      <text>
        <t xml:space="preserve">5000 STORE
1000 SHEEHY.COM PREOWNED SEM</t>
      </text>
    </comment>
    <comment authorId="0" ref="M103">
      <text>
        <t xml:space="preserve">5000 STORE
1000 SHEEHY.COM PREOWNED SEM</t>
      </text>
    </comment>
    <comment authorId="0" ref="B115">
      <text>
        <t xml:space="preserve">$1,195 Easy Care
</t>
      </text>
    </comment>
    <comment authorId="0" ref="C115">
      <text>
        <t xml:space="preserve">$1,195 Easy Care
</t>
      </text>
    </comment>
    <comment authorId="0" ref="D115">
      <text>
        <t xml:space="preserve">$1,195 Easy Care
</t>
      </text>
    </comment>
    <comment authorId="0" ref="E115">
      <text>
        <t xml:space="preserve">$1,195 Easy Care
</t>
      </text>
    </comment>
    <comment authorId="0" ref="F115">
      <text>
        <t xml:space="preserve">$1,195 Easy Care
</t>
      </text>
    </comment>
    <comment authorId="0" ref="G115">
      <text>
        <t xml:space="preserve">$1,195 Easy Care
</t>
      </text>
    </comment>
    <comment authorId="0" ref="H115">
      <text>
        <t xml:space="preserve">$1,195 Easy Care
</t>
      </text>
    </comment>
    <comment authorId="0" ref="I115">
      <text>
        <t xml:space="preserve">$1,195 Easy Care
</t>
      </text>
    </comment>
    <comment authorId="0" ref="J115">
      <text>
        <t xml:space="preserve">$1,195 Easy Care
</t>
      </text>
    </comment>
    <comment authorId="0" ref="K115">
      <text>
        <t xml:space="preserve">$1,195 Easy Care
</t>
      </text>
    </comment>
    <comment authorId="0" ref="L115">
      <text>
        <t xml:space="preserve">$1,195 Easy Care
</t>
      </text>
    </comment>
    <comment authorId="0" ref="M115">
      <text>
        <t xml:space="preserve">$1,195 Easy Care
</t>
      </text>
    </comment>
    <comment authorId="0" ref="B117">
      <text>
        <t xml:space="preserve">Automotive Mastermind
</t>
      </text>
    </comment>
    <comment authorId="0" ref="C117">
      <text>
        <t xml:space="preserve">Automotive Mastermind
</t>
      </text>
    </comment>
    <comment authorId="0" ref="D117">
      <text>
        <t xml:space="preserve">Automotive Mastermind
</t>
      </text>
    </comment>
    <comment authorId="0" ref="E117">
      <text>
        <t xml:space="preserve">Automotive Mastermind
</t>
      </text>
    </comment>
    <comment authorId="0" ref="F117">
      <text>
        <t xml:space="preserve">Automotive Mastermind
</t>
      </text>
    </comment>
    <comment authorId="0" ref="G117">
      <text>
        <t xml:space="preserve">Automotive Mastermind
</t>
      </text>
    </comment>
    <comment authorId="0" ref="H117">
      <text>
        <t xml:space="preserve">Automotive Mastermind
</t>
      </text>
    </comment>
    <comment authorId="0" ref="I117">
      <text>
        <t xml:space="preserve">Automotive Mastermind
</t>
      </text>
    </comment>
    <comment authorId="0" ref="J117">
      <text>
        <t xml:space="preserve">Automotive Mastermind
</t>
      </text>
    </comment>
    <comment authorId="0" ref="K117">
      <text>
        <t xml:space="preserve">Automotive Mastermind
</t>
      </text>
    </comment>
    <comment authorId="0" ref="L117">
      <text>
        <t xml:space="preserve">Automotive Mastermind
</t>
      </text>
    </comment>
    <comment authorId="0" ref="M117">
      <text>
        <t xml:space="preserve">Automotive Mastermind
</t>
      </text>
    </comment>
  </commentList>
</comments>
</file>

<file path=xl/comments3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9">
      <text>
        <t xml:space="preserve">Planned: 112853
</t>
      </text>
    </comment>
    <comment authorId="0" ref="T39">
      <text>
        <t xml:space="preserve">Planned: 112853
</t>
      </text>
    </comment>
    <comment authorId="0" ref="X39">
      <text>
        <t xml:space="preserve">Planned: 112853
</t>
      </text>
    </comment>
    <comment authorId="0" ref="AB39">
      <text>
        <t xml:space="preserve">Planned: 131321
</t>
      </text>
    </comment>
    <comment authorId="0" ref="AF39">
      <text>
        <t xml:space="preserve">Planned $112853
</t>
      </text>
    </comment>
    <comment authorId="0" ref="AJ39">
      <text>
        <t xml:space="preserve">Planned: 112853
reduce to: 84000
</t>
      </text>
    </comment>
    <comment authorId="0" ref="AN39">
      <text>
        <t xml:space="preserve">Planned: 112853
reduce to: 84000
</t>
      </text>
    </comment>
    <comment authorId="0" ref="AR39">
      <text>
        <t xml:space="preserve">Planned: 112853
reduce to: 84000
</t>
      </text>
    </comment>
    <comment authorId="0" ref="AV39">
      <text>
        <t xml:space="preserve">Planned: 112853
reduce to: 84000
</t>
      </text>
    </comment>
    <comment authorId="0" ref="AZ39">
      <text>
        <t xml:space="preserve">Planned: 112853
reduce to: 84000
</t>
      </text>
    </comment>
    <comment authorId="0" ref="BD39">
      <text>
        <t xml:space="preserve">Planned= 84000
</t>
      </text>
    </comment>
    <comment authorId="0" ref="BH39">
      <text>
        <t xml:space="preserve">Planned= 84000
</t>
      </text>
    </comment>
    <comment authorId="0" ref="A41">
      <text>
        <t xml:space="preserve">Marlow Heights numbers are in the Jan, Feb and March sales columns. Laurel's numbers are in the Jun-Dec columns</t>
      </text>
    </comment>
    <comment authorId="0" ref="P63">
      <text>
        <t xml:space="preserve">Planned: 31019 CAPS
actual: 24561
(more weight in Feb)</t>
      </text>
    </comment>
    <comment authorId="0" ref="T63">
      <text>
        <t xml:space="preserve">Planned: 23000 TBD</t>
      </text>
    </comment>
    <comment authorId="0" ref="X63">
      <text>
        <t xml:space="preserve">Planned: 33,986 CAPS</t>
      </text>
    </comment>
    <comment authorId="0" ref="AB63">
      <text>
        <t xml:space="preserve">Planned: 0</t>
      </text>
    </comment>
    <comment authorId="0" ref="AF63">
      <text>
        <t xml:space="preserve">Planned: 30844 CAPS
+19040 caps playoffs </t>
      </text>
    </comment>
    <comment authorId="0" ref="AN63">
      <text>
        <t xml:space="preserve">PLACEHOLDER  </t>
      </text>
    </comment>
    <comment authorId="0" ref="AR63">
      <text>
        <t xml:space="preserve">PLACEHOLDER  </t>
      </text>
    </comment>
    <comment authorId="0" ref="AV63">
      <text>
        <t xml:space="preserve">PLACEHOLDER  </t>
      </text>
    </comment>
    <comment authorId="0" ref="AZ63">
      <text>
        <t xml:space="preserve">should we put placeholder for caps oct-dec?</t>
      </text>
    </comment>
    <comment authorId="0" ref="BD63">
      <text>
        <t xml:space="preserve">39080 Caps</t>
      </text>
    </comment>
    <comment authorId="0" ref="BH63">
      <text>
        <t xml:space="preserve">caps</t>
      </text>
    </comment>
    <comment authorId="0" ref="A65">
      <text>
        <t xml:space="preserve">Marlow Heights numbers are in the Jan, Feb and March sales columns. Laurel's numbers are in the Jun-Dec columns</t>
      </text>
    </comment>
    <comment authorId="0" ref="P87">
      <text>
        <t xml:space="preserve">8760 PVOD
2856 ACR
</t>
      </text>
    </comment>
    <comment authorId="0" ref="T87">
      <text>
        <t xml:space="preserve">8760 PVOD
2856 ACR
</t>
      </text>
    </comment>
    <comment authorId="0" ref="X87">
      <text>
        <t xml:space="preserve">8760 PVOD
2856 ACR
</t>
      </text>
    </comment>
    <comment authorId="0" ref="AB87">
      <text>
        <t xml:space="preserve">8760 PVOD
2856 ACR
</t>
      </text>
    </comment>
    <comment authorId="0" ref="AF87">
      <text>
        <t xml:space="preserve">8760 PVOD
2856 ACR
</t>
      </text>
    </comment>
    <comment authorId="0" ref="AJ87">
      <text>
        <t xml:space="preserve">8760 PVOD
2856 ACR
</t>
      </text>
    </comment>
    <comment authorId="0" ref="AN87">
      <text>
        <t xml:space="preserve">8760 PVOD
2856 ACR
</t>
      </text>
    </comment>
    <comment authorId="0" ref="AR87">
      <text>
        <t xml:space="preserve">8760 PVOD
2856 ACR
</t>
      </text>
    </comment>
    <comment authorId="0" ref="AV87">
      <text>
        <t xml:space="preserve">6250
714
</t>
      </text>
    </comment>
    <comment authorId="0" ref="AZ87">
      <text>
        <t xml:space="preserve">6250
714
</t>
      </text>
    </comment>
    <comment authorId="0" ref="BD87">
      <text>
        <t xml:space="preserve">8760 PVOD
2856 ACR
</t>
      </text>
    </comment>
    <comment authorId="0" ref="BH87">
      <text>
        <t xml:space="preserve">8760 PVOD
2856 ACR
</t>
      </text>
    </comment>
    <comment authorId="0" ref="A89">
      <text>
        <t xml:space="preserve">Marlow Heights numbers are in the Jan, Feb and March sales columns. Laurel's numbers are in the Jun-Dec columns</t>
      </text>
    </comment>
    <comment authorId="0" ref="X109">
      <text>
        <t xml:space="preserve">move mechanicsville budget to row 108
</t>
      </text>
    </comment>
    <comment authorId="0" ref="AB109">
      <text>
        <t xml:space="preserve">WRIC 6410
WRLH 1360
WTVR 3650
WWBT 7180
</t>
      </text>
    </comment>
    <comment authorId="0" ref="AF109">
      <text>
        <t xml:space="preserve">15974 WRIC
5345 WRLH
9124 WTVR
725 WUPV
3405 WWBT
</t>
      </text>
    </comment>
    <comment authorId="0" ref="AF118">
      <text>
        <t xml:space="preserve">planned spend $22,427</t>
      </text>
    </comment>
    <comment authorId="0" ref="AB127">
      <text>
        <t xml:space="preserve">1340 WRIC
1910 WRLH
1970 WTVR
270 WUPV
4560 WWBT
</t>
      </text>
    </comment>
    <comment authorId="0" ref="AJ127">
      <text>
        <t xml:space="preserve">Budgeted: $10,089
Actual: $8,885.01</t>
      </text>
    </comment>
    <comment authorId="0" ref="P135">
      <text>
        <t xml:space="preserve">Planned: 16477
</t>
      </text>
    </comment>
    <comment authorId="0" ref="T135">
      <text>
        <t xml:space="preserve">Planned: 16477
</t>
      </text>
    </comment>
    <comment authorId="0" ref="X135">
      <text>
        <t xml:space="preserve">Planned: 16477
</t>
      </text>
    </comment>
    <comment authorId="0" ref="AB135">
      <text>
        <t xml:space="preserve">Planned: 16477
</t>
      </text>
    </comment>
    <comment authorId="0" ref="AF135">
      <text>
        <t xml:space="preserve">Planned: 16477
</t>
      </text>
    </comment>
    <comment authorId="0" ref="AJ135">
      <text>
        <t xml:space="preserve">Planned: 16477
</t>
      </text>
    </comment>
    <comment authorId="0" ref="AN135">
      <text>
        <t xml:space="preserve">Planned: 16477
</t>
      </text>
    </comment>
    <comment authorId="0" ref="AR135">
      <text>
        <t xml:space="preserve">16477 broadcast</t>
      </text>
    </comment>
    <comment authorId="0" ref="AV135">
      <text>
        <t xml:space="preserve">5370</t>
      </text>
    </comment>
    <comment authorId="0" ref="AZ135">
      <text>
        <t xml:space="preserve">5400 broadcast</t>
      </text>
    </comment>
    <comment authorId="0" ref="BD135">
      <text>
        <t xml:space="preserve">5400 broadcast</t>
      </text>
    </comment>
    <comment authorId="0" ref="BH135">
      <text>
        <t xml:space="preserve">23538 broadcast</t>
      </text>
    </comment>
    <comment authorId="0" ref="P144">
      <text>
        <t xml:space="preserve">Planned: $13593
</t>
      </text>
    </comment>
    <comment authorId="0" ref="T144">
      <text>
        <t xml:space="preserve">Planned: $13593
</t>
      </text>
    </comment>
    <comment authorId="0" ref="X144">
      <text>
        <t xml:space="preserve">Planned: $13593
</t>
      </text>
    </comment>
    <comment authorId="0" ref="AB144">
      <text>
        <t xml:space="preserve">Planned: $13593
</t>
      </text>
    </comment>
    <comment authorId="0" ref="AF144">
      <text>
        <t xml:space="preserve">Planned: $11500
</t>
      </text>
    </comment>
    <comment authorId="0" ref="AJ144">
      <text>
        <t xml:space="preserve">Planned: $11500- reduced to 0
</t>
      </text>
    </comment>
    <comment authorId="0" ref="AN144">
      <text>
        <t xml:space="preserve">Planned: $11500
</t>
      </text>
    </comment>
    <comment authorId="0" ref="AR144">
      <text>
        <t xml:space="preserve">13593
</t>
      </text>
    </comment>
    <comment authorId="0" ref="AV144">
      <text>
        <t xml:space="preserve">Planned: $13593
</t>
      </text>
    </comment>
    <comment authorId="0" ref="AZ144">
      <text>
        <t xml:space="preserve">18068
</t>
      </text>
    </comment>
    <comment authorId="0" ref="BD144">
      <text>
        <t xml:space="preserve">18068
</t>
      </text>
    </comment>
    <comment authorId="0" ref="BH144">
      <text>
        <t xml:space="preserve">18068
</t>
      </text>
    </comment>
    <comment authorId="0" ref="AB152">
      <text>
        <t xml:space="preserve">1340 WRIC
1910 WRLH
1970 WTVR
270 WUPV
4560 WWBT
</t>
      </text>
    </comment>
    <comment authorId="0" ref="AJ152">
      <text>
        <t xml:space="preserve">Budgeted: $4,333.33
Actual: </t>
      </text>
    </comment>
    <comment authorId="0" ref="P185">
      <text>
        <t xml:space="preserve">Planned: 
14205 pvod
2856 ACR
</t>
      </text>
    </comment>
    <comment authorId="0" ref="T185">
      <text>
        <t xml:space="preserve">Planned: 
14205 pvod
2856 ACR
</t>
      </text>
    </comment>
    <comment authorId="0" ref="X185">
      <text>
        <t xml:space="preserve">Planned: 
14205 pvod
2856 ACR
</t>
      </text>
    </comment>
    <comment authorId="0" ref="AB185">
      <text>
        <t xml:space="preserve">Planned: 
14205 pvod
2856 ACR
</t>
      </text>
    </comment>
    <comment authorId="0" ref="AF185">
      <text>
        <t xml:space="preserve">Planned: 
9167
2856
</t>
      </text>
    </comment>
    <comment authorId="0" ref="AJ185">
      <text>
        <t xml:space="preserve">Planned: 
9167
2856
</t>
      </text>
    </comment>
    <comment authorId="0" ref="AN185">
      <text>
        <t xml:space="preserve">Planned: 
9167
</t>
      </text>
    </comment>
    <comment authorId="0" ref="AR185">
      <text>
        <t xml:space="preserve">14205 pvod
2856 acr</t>
      </text>
    </comment>
    <comment authorId="0" ref="BD185">
      <text>
        <t xml:space="preserve">14205 pvod
2856 acr</t>
      </text>
    </comment>
    <comment authorId="0" ref="BH185">
      <text>
        <t xml:space="preserve">14205 pvod
2856 acr</t>
      </text>
    </comment>
    <comment authorId="0" ref="P218">
      <text>
        <t xml:space="preserve">18545 cable </t>
      </text>
    </comment>
    <comment authorId="0" ref="T218">
      <text>
        <t xml:space="preserve">18545 cable </t>
      </text>
    </comment>
    <comment authorId="0" ref="X218">
      <text>
        <t xml:space="preserve">18545 cable </t>
      </text>
    </comment>
    <comment authorId="0" ref="AB218">
      <text>
        <t xml:space="preserve">18545 cable </t>
      </text>
    </comment>
    <comment authorId="0" ref="AF218">
      <text>
        <t xml:space="preserve">21544 cable</t>
      </text>
    </comment>
    <comment authorId="0" ref="AJ218">
      <text>
        <t xml:space="preserve">18545 cable</t>
      </text>
    </comment>
    <comment authorId="0" ref="AN218">
      <text>
        <t xml:space="preserve">18545 cable</t>
      </text>
    </comment>
    <comment authorId="0" ref="AR218">
      <text>
        <t xml:space="preserve">18545 cable</t>
      </text>
    </comment>
    <comment authorId="0" ref="AV218">
      <text>
        <t xml:space="preserve">3386 cable</t>
      </text>
    </comment>
    <comment authorId="0" ref="AZ218">
      <text>
        <t xml:space="preserve">21544 cable</t>
      </text>
    </comment>
    <comment authorId="0" ref="BD218">
      <text>
        <t xml:space="preserve">21544 cable</t>
      </text>
    </comment>
    <comment authorId="0" ref="BH218">
      <text>
        <t xml:space="preserve">21544 cable</t>
      </text>
    </comment>
    <comment authorId="0" ref="P226">
      <text>
        <t xml:space="preserve">9372 PVOD
952 ACR</t>
      </text>
    </comment>
    <comment authorId="0" ref="T226">
      <text>
        <t xml:space="preserve">9372 PVOD
952 ACR</t>
      </text>
    </comment>
    <comment authorId="0" ref="X226">
      <text>
        <t xml:space="preserve">9372 PVOD
952 ACR</t>
      </text>
    </comment>
    <comment authorId="0" ref="AB226">
      <text>
        <t xml:space="preserve">9372 PVOD
952 ACR</t>
      </text>
    </comment>
    <comment authorId="0" ref="AF226">
      <text>
        <t xml:space="preserve">10800 PVOD
1904ACR
</t>
      </text>
    </comment>
    <comment authorId="0" ref="AJ226">
      <text>
        <t xml:space="preserve">10800 PVOD
1904ACR
</t>
      </text>
    </comment>
    <comment authorId="0" ref="AN226">
      <text>
        <t xml:space="preserve">9372 PVOD
</t>
      </text>
    </comment>
    <comment authorId="0" ref="AR226">
      <text>
        <t xml:space="preserve">9372 PVOD
</t>
      </text>
    </comment>
    <comment authorId="0" ref="AV226">
      <text>
        <t xml:space="preserve">2343
238</t>
      </text>
    </comment>
    <comment authorId="0" ref="AZ226">
      <text>
        <t xml:space="preserve">2343
238</t>
      </text>
    </comment>
    <comment authorId="0" ref="BD226">
      <text>
        <t xml:space="preserve">2350 PVOD
250 ACR</t>
      </text>
    </comment>
    <comment authorId="0" ref="BH226">
      <text>
        <t xml:space="preserve">2350 PVOD
250 ACR</t>
      </text>
    </comment>
    <comment authorId="0" ref="P250">
      <text>
        <t xml:space="preserve">12850 cable</t>
      </text>
    </comment>
    <comment authorId="0" ref="T250">
      <text>
        <t xml:space="preserve">12850 cable</t>
      </text>
    </comment>
    <comment authorId="0" ref="X250">
      <text>
        <t xml:space="preserve">22500 cable</t>
      </text>
    </comment>
    <comment authorId="0" ref="AB250">
      <text>
        <t xml:space="preserve">15750 cable
</t>
      </text>
    </comment>
    <comment authorId="0" ref="AF250">
      <text>
        <t xml:space="preserve">12850 cable
</t>
      </text>
    </comment>
    <comment authorId="0" ref="AJ250">
      <text>
        <t xml:space="preserve">12850 cable
</t>
      </text>
    </comment>
    <comment authorId="0" ref="AN250">
      <text>
        <t xml:space="preserve">12850 cable
</t>
      </text>
    </comment>
    <comment authorId="0" ref="AR250">
      <text>
        <t xml:space="preserve">12850 cable
</t>
      </text>
    </comment>
    <comment authorId="0" ref="AV250">
      <text>
        <t xml:space="preserve">3938 cable</t>
      </text>
    </comment>
    <comment authorId="0" ref="AZ250">
      <text>
        <t xml:space="preserve">4000 cable</t>
      </text>
    </comment>
    <comment authorId="0" ref="BD250">
      <text>
        <t xml:space="preserve">22,500 cable</t>
      </text>
    </comment>
    <comment authorId="0" ref="BH250">
      <text>
        <t xml:space="preserve">22,500 cable</t>
      </text>
    </comment>
    <comment authorId="0" ref="T304">
      <text>
        <t xml:space="preserve">reduced to 10k per store request in february</t>
      </text>
    </comment>
    <comment authorId="0" ref="X304">
      <text>
        <t xml:space="preserve">reduced to 10k per store request in march</t>
      </text>
    </comment>
    <comment authorId="0" ref="P305">
      <text>
        <t xml:space="preserve">7,500 cable
0 PVOD</t>
      </text>
    </comment>
    <comment authorId="0" ref="T305">
      <text>
        <t xml:space="preserve">7,500 cable
0 PVOD</t>
      </text>
    </comment>
    <comment authorId="0" ref="X305">
      <text>
        <t xml:space="preserve">7,500 cable
0 PVOD</t>
      </text>
    </comment>
    <comment authorId="0" ref="AB305">
      <text>
        <t xml:space="preserve">14,250 cable
2,000 PVOD</t>
      </text>
    </comment>
    <comment authorId="0" ref="AF305">
      <text>
        <t xml:space="preserve">15,467 cable
3,000 PVOD</t>
      </text>
    </comment>
    <comment authorId="0" ref="AJ305">
      <text>
        <t xml:space="preserve">15,467 cable
3,000 PVOD</t>
      </text>
    </comment>
    <comment authorId="0" ref="AN305">
      <text>
        <t xml:space="preserve">14,250 cable
2,000 PVOD</t>
      </text>
    </comment>
    <comment authorId="0" ref="AR305">
      <text>
        <t xml:space="preserve">12,117 cable
0 PVOD
</t>
      </text>
    </comment>
    <comment authorId="0" ref="AV305">
      <text>
        <t xml:space="preserve">14,250 CABLE
2,000 PVOD
</t>
      </text>
    </comment>
    <comment authorId="0" ref="AZ305">
      <text>
        <t xml:space="preserve">14,250 CABLE
2,000 PVOD
</t>
      </text>
    </comment>
    <comment authorId="0" ref="BD305">
      <text>
        <t xml:space="preserve">15,467 cable
3,000 PVOD
</t>
      </text>
    </comment>
    <comment authorId="0" ref="BH305">
      <text>
        <t xml:space="preserve">15,467 cable
3,000 PVOD
</t>
      </text>
    </comment>
    <comment authorId="0" ref="P310">
      <text>
        <t xml:space="preserve">$200 suspended in January, resumes in February</t>
      </text>
    </comment>
    <comment authorId="0" ref="T310">
      <text>
        <t xml:space="preserve">cancelled February spend due to weather and store concerns
</t>
      </text>
    </comment>
    <comment authorId="0" ref="X310">
      <text>
        <t xml:space="preserve">cancelled March  spend due to weather and store concerns
</t>
      </text>
    </comment>
    <comment authorId="0" ref="AB310">
      <text>
        <t xml:space="preserve">$200 suspended in January, resumes in February</t>
      </text>
    </comment>
    <comment authorId="0" ref="AF310">
      <text>
        <t xml:space="preserve">$200 suspended in January, resumes in February</t>
      </text>
    </comment>
    <comment authorId="0" ref="AJ310">
      <text>
        <t xml:space="preserve">$200 suspended in January, resumes in February</t>
      </text>
    </comment>
    <comment authorId="0" ref="AN310">
      <text>
        <t xml:space="preserve">$200 suspended in January, resumes in February</t>
      </text>
    </comment>
    <comment authorId="0" ref="AR310">
      <text>
        <t xml:space="preserve">$200 suspended in January, resumes in February</t>
      </text>
    </comment>
    <comment authorId="0" ref="AV310">
      <text>
        <t xml:space="preserve">$200 suspended in January, resumes in February</t>
      </text>
    </comment>
    <comment authorId="0" ref="AZ310">
      <text>
        <t xml:space="preserve">$200 suspended in January, resumes in February</t>
      </text>
    </comment>
    <comment authorId="0" ref="BD310">
      <text>
        <t xml:space="preserve">$200 suspended in January, resumes in February</t>
      </text>
    </comment>
    <comment authorId="0" ref="BH310">
      <text>
        <t xml:space="preserve">$200 suspended in January, resumes in February</t>
      </text>
    </comment>
    <comment authorId="0" ref="P315">
      <text>
        <t xml:space="preserve">10000 - general market
1000 - hispanic
</t>
      </text>
    </comment>
    <comment authorId="0" ref="T315">
      <text>
        <t xml:space="preserve">10000 - general market
1000 - hispanic
</t>
      </text>
    </comment>
    <comment authorId="0" ref="X315">
      <text>
        <t xml:space="preserve">10000 - general market
1000 - hispanic
</t>
      </text>
    </comment>
    <comment authorId="0" ref="AB315">
      <text>
        <t xml:space="preserve">7,500 - general market
1,500 - hispanic
</t>
      </text>
    </comment>
    <comment authorId="0" ref="AF315">
      <text>
        <t xml:space="preserve">10000 - general market
2000 - hispanic
</t>
      </text>
    </comment>
    <comment authorId="0" ref="AJ315">
      <text>
        <t xml:space="preserve">10000 - general market
2000 - hispanic
</t>
      </text>
    </comment>
    <comment authorId="0" ref="AN315">
      <text>
        <t xml:space="preserve">5,000 general market
1,000 hispanic</t>
      </text>
    </comment>
    <comment authorId="0" ref="AR315">
      <text>
        <t xml:space="preserve">5,000 general market
1,000 hispanic</t>
      </text>
    </comment>
    <comment authorId="0" ref="AV315">
      <text>
        <t xml:space="preserve">7,500 general market
1,500 hispanic</t>
      </text>
    </comment>
    <comment authorId="0" ref="AZ315">
      <text>
        <t xml:space="preserve">7,500 general market
1,500 hispanic</t>
      </text>
    </comment>
    <comment authorId="0" ref="BD315">
      <text>
        <t xml:space="preserve">7,500 general market
1,500 hispanic</t>
      </text>
    </comment>
    <comment authorId="0" ref="BH315">
      <text>
        <t xml:space="preserve">10000 - general market
2000 - hispanic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2000 GA PREROLL</t>
      </text>
    </comment>
    <comment authorId="0" ref="C9">
      <text>
        <t xml:space="preserve">2000 GA PREROLL</t>
      </text>
    </comment>
    <comment authorId="0" ref="D9">
      <text>
        <t xml:space="preserve">2000 ga preroll only</t>
      </text>
    </comment>
    <comment authorId="0" ref="E9">
      <text>
        <t xml:space="preserve">2000 preroll GA only starting 3/1</t>
      </text>
    </comment>
    <comment authorId="0" ref="F9">
      <text>
        <t xml:space="preserve">2000 preroll GA only starting 3/1</t>
      </text>
    </comment>
    <comment authorId="0" ref="G9">
      <text>
        <t xml:space="preserve">2000 preroll GA only starting 3/1</t>
      </text>
    </comment>
    <comment authorId="0" ref="H9">
      <text>
        <t xml:space="preserve">2000 preroll GA only starting 3/1</t>
      </text>
    </comment>
    <comment authorId="0" ref="I9">
      <text>
        <t xml:space="preserve">2000 preroll GA only starting 3/1</t>
      </text>
    </comment>
    <comment authorId="0" ref="J9">
      <text>
        <t xml:space="preserve">2000 preroll GA only starting 3/1</t>
      </text>
    </comment>
    <comment authorId="0" ref="K9">
      <text>
        <t xml:space="preserve">2000 preroll GA only starting 3/1</t>
      </text>
    </comment>
    <comment authorId="0" ref="L9">
      <text>
        <t xml:space="preserve">2000 preroll GA only starting 3/1</t>
      </text>
    </comment>
    <comment authorId="0" ref="M9">
      <text>
        <t xml:space="preserve">2000 preroll GA only starting 3/1</t>
      </text>
    </comment>
    <comment authorId="0" ref="B19">
      <text>
        <t xml:space="preserve">($5750 total invoice for 16 DC stores split over 2 mos ea. ) </t>
      </text>
    </comment>
    <comment authorId="0" ref="C19">
      <text>
        <t xml:space="preserve">($5750 total invoice for 16 DC stores split over 2 mos ea. ) </t>
      </text>
    </comment>
    <comment authorId="0" ref="C23">
      <text>
        <t xml:space="preserve">$10,081 Ford mailer
$1,100.5 Lincoln mailer</t>
      </text>
    </comment>
    <comment authorId="0" ref="D23">
      <text>
        <t xml:space="preserve">$10,081 Ford mailer
$1,100.5 Lincoln mailer</t>
      </text>
    </comment>
    <comment authorId="0" ref="F23">
      <text>
        <t xml:space="preserve">$6000 Ford mailer
$3000 Lincoln mailer</t>
      </text>
    </comment>
    <comment authorId="0" ref="G23">
      <text>
        <t xml:space="preserve">6530 ford
500 lincoln</t>
      </text>
    </comment>
    <comment authorId="0" ref="B34">
      <text>
        <t xml:space="preserve">1999 fd website
349 dms integration
850 AAG 
61.90 sheehy.com portal site</t>
      </text>
    </comment>
    <comment authorId="0" ref="C34">
      <text>
        <t xml:space="preserve">1999 fd website
349 dms integration
850 AAG 
61.90 sheehy.com portal site</t>
      </text>
    </comment>
    <comment authorId="0" ref="D34">
      <text>
        <t xml:space="preserve">1999 fd website
349 dms integration
850 AAG 
61.90 sheehy.com portal site</t>
      </text>
    </comment>
    <comment authorId="0" ref="E34">
      <text>
        <t xml:space="preserve">1999 fd website
349 dms integration
850 AAG 
61.90 sheehy.com portal site</t>
      </text>
    </comment>
    <comment authorId="0" ref="F34">
      <text>
        <t xml:space="preserve">1999 fd website
349 dms integration
850 AAG 
61.90 sheehy.com portal site</t>
      </text>
    </comment>
    <comment authorId="0" ref="G34">
      <text>
        <t xml:space="preserve">1999 fd website
349 dms integration
850 AAG 
61.90 sheehy.com portal site</t>
      </text>
    </comment>
    <comment authorId="0" ref="H34">
      <text>
        <t xml:space="preserve">1999 fd website
349 dms integration
850 AAG 
61.90 sheehy.com portal site</t>
      </text>
    </comment>
    <comment authorId="0" ref="I34">
      <text>
        <t xml:space="preserve">1999 fd website
349 dms integration
850 AAG 
61.90 sheehy.com portal site</t>
      </text>
    </comment>
    <comment authorId="0" ref="J34">
      <text>
        <t xml:space="preserve">1999 fd website
349 dms integration
850 AAG 
61.90 sheehy.com portal site</t>
      </text>
    </comment>
    <comment authorId="0" ref="K34">
      <text>
        <t xml:space="preserve">1999 fd website
349 dms integration
850 AAG 
61.90 sheehy.com portal site</t>
      </text>
    </comment>
    <comment authorId="0" ref="L34">
      <text>
        <t xml:space="preserve">1999 fd website
349 dms integration
850 AAG 
61.90 sheehy.com portal site</t>
      </text>
    </comment>
    <comment authorId="0" ref="M34">
      <text>
        <t xml:space="preserve">1999 fd website
349 dms integration
850 AAG 
61.90 sheehy.com portal site</t>
      </text>
    </comment>
    <comment authorId="0" ref="B42">
      <text>
        <t xml:space="preserve">365 switched to car chat 24
</t>
      </text>
    </comment>
    <comment authorId="0" ref="C42">
      <text>
        <t xml:space="preserve">365 switched to car chat 24
</t>
      </text>
    </comment>
    <comment authorId="0" ref="D42">
      <text>
        <t xml:space="preserve">365 switched to car chat 24
</t>
      </text>
    </comment>
    <comment authorId="0" ref="E42">
      <text>
        <t xml:space="preserve">365 switched to car chat 24
</t>
      </text>
    </comment>
    <comment authorId="0" ref="F42">
      <text>
        <t xml:space="preserve">365 switched to car chat 24
</t>
      </text>
    </comment>
    <comment authorId="0" ref="G42">
      <text>
        <t xml:space="preserve">365 switched to car chat 24
</t>
      </text>
    </comment>
    <comment authorId="0" ref="H42">
      <text>
        <t xml:space="preserve">365 switched to car chat 24
</t>
      </text>
    </comment>
    <comment authorId="0" ref="I42">
      <text>
        <t xml:space="preserve">365 switched to car chat 24
</t>
      </text>
    </comment>
    <comment authorId="0" ref="J42">
      <text>
        <t xml:space="preserve">365 switched to car chat 24
</t>
      </text>
    </comment>
    <comment authorId="0" ref="K42">
      <text>
        <t xml:space="preserve">365 switched to car chat 24
</t>
      </text>
    </comment>
    <comment authorId="0" ref="L42">
      <text>
        <t xml:space="preserve">365 switched to car chat 24
</t>
      </text>
    </comment>
    <comment authorId="0" ref="M42">
      <text>
        <t xml:space="preserve">365 switched to car chat 24
</t>
      </text>
    </comment>
    <comment authorId="0" ref="B44">
      <text>
        <t xml:space="preserve">259 finance driver
$259 finance driver Lincoln site</t>
      </text>
    </comment>
    <comment authorId="0" ref="C44">
      <text>
        <t xml:space="preserve">259 finance driver
$259 finance driver Lincoln site</t>
      </text>
    </comment>
    <comment authorId="0" ref="D44">
      <text>
        <t xml:space="preserve">259 finance driver
$259 finance driver Lincoln site</t>
      </text>
    </comment>
    <comment authorId="0" ref="E44">
      <text>
        <t xml:space="preserve">259 finance driver
$259 finance driver Lincoln site</t>
      </text>
    </comment>
    <comment authorId="0" ref="F44">
      <text>
        <t xml:space="preserve">259 finance driver
$259 finance driver Lincoln site</t>
      </text>
    </comment>
    <comment authorId="0" ref="G44">
      <text>
        <t xml:space="preserve">259 finance driver
$259 finance driver Lincoln site</t>
      </text>
    </comment>
    <comment authorId="0" ref="H44">
      <text>
        <t xml:space="preserve">259 finance driver
$259 finance driver Lincoln site</t>
      </text>
    </comment>
    <comment authorId="0" ref="I44">
      <text>
        <t xml:space="preserve">259 finance driver
$259 finance driver Lincoln site</t>
      </text>
    </comment>
    <comment authorId="0" ref="J44">
      <text>
        <t xml:space="preserve">259 finance driver
$259 finance driver Lincoln site</t>
      </text>
    </comment>
    <comment authorId="0" ref="K44">
      <text>
        <t xml:space="preserve">259 finance driver
$259 finance driver Lincoln site</t>
      </text>
    </comment>
    <comment authorId="0" ref="L44">
      <text>
        <t xml:space="preserve">259 finance driver
$259 finance driver Lincoln site</t>
      </text>
    </comment>
    <comment authorId="0" ref="M44">
      <text>
        <t xml:space="preserve">259 finance driver
$259 finance driver Lincoln site</t>
      </text>
    </comment>
    <comment authorId="0" ref="B45">
      <text>
        <t xml:space="preserve">45 Yelp 
97.5 Reputation.com</t>
      </text>
    </comment>
    <comment authorId="0" ref="C45">
      <text>
        <t xml:space="preserve">45 Yelp 
97.5 Reputation.com</t>
      </text>
    </comment>
    <comment authorId="0" ref="D45">
      <text>
        <t xml:space="preserve">45 Yelp 
97.5 Reputation.com</t>
      </text>
    </comment>
    <comment authorId="0" ref="E45">
      <text>
        <t xml:space="preserve">45 Yelp 
97.5 Reputation.com</t>
      </text>
    </comment>
    <comment authorId="0" ref="F45">
      <text>
        <t xml:space="preserve">45 Yelp 
97.5 Reputation.com</t>
      </text>
    </comment>
    <comment authorId="0" ref="G45">
      <text>
        <t xml:space="preserve">45 Yelp 
97.5 Reputation.com</t>
      </text>
    </comment>
    <comment authorId="0" ref="H45">
      <text>
        <t xml:space="preserve">45 Yelp 
97.5 Reputation.com</t>
      </text>
    </comment>
    <comment authorId="0" ref="I45">
      <text>
        <t xml:space="preserve">45 Yelp 
97.5 Reputation.com</t>
      </text>
    </comment>
    <comment authorId="0" ref="J45">
      <text>
        <t xml:space="preserve">45 Yelp 
97.5 Reputation.com</t>
      </text>
    </comment>
    <comment authorId="0" ref="K45">
      <text>
        <t xml:space="preserve">45 Yelp 
97.5 Reputation.com</t>
      </text>
    </comment>
    <comment authorId="0" ref="L45">
      <text>
        <t xml:space="preserve">45 Yelp 
97.5 Reputation.com</t>
      </text>
    </comment>
    <comment authorId="0" ref="M45">
      <text>
        <t xml:space="preserve">45 Yelp 
97.5 Reputation.com</t>
      </text>
    </comment>
    <comment authorId="0" ref="E46">
      <text>
        <t xml:space="preserve">cancelled 3/16</t>
      </text>
    </comment>
    <comment authorId="0" ref="B47">
      <text>
        <t xml:space="preserve">$850- Alli Mgmt fee 
$30 Alli boosted
$750 ALS mgmt fee
$1250 FB spend 
</t>
      </text>
    </comment>
    <comment authorId="0" ref="C47">
      <text>
        <t xml:space="preserve">$850- Alli Mgmt fee 
$30 Alli boosted
$750 ALS mgmt fee
$1250 FB spend 
</t>
      </text>
    </comment>
    <comment authorId="0" ref="D47">
      <text>
        <t xml:space="preserve">$850- Alli Mgmt fee 
$30 Alli boosted
$750 ALS mgmt fee
$1250 FB spend 
</t>
      </text>
    </comment>
    <comment authorId="0" ref="E47">
      <text>
        <t xml:space="preserve">$850- Alli Mgmt fee 
$30 Alli boosted
$750 ALS mgmt fee
$1250 FB spend 
</t>
      </text>
    </comment>
    <comment authorId="0" ref="F47">
      <text>
        <t xml:space="preserve">$850- Alli Mgmt fee 
$30 Alli boosted
$750 ALS mgmt fee
$1250 FB spend 
</t>
      </text>
    </comment>
    <comment authorId="0" ref="G47">
      <text>
        <t xml:space="preserve">$850- Alli Mgmt fee 
$30 Alli boosted
$750 ALS mgmt fee
$1250 FB spend 
</t>
      </text>
    </comment>
    <comment authorId="0" ref="H47">
      <text>
        <t xml:space="preserve">$850- Alli Mgmt fee 
$30 Alli boosted
$750 ALS mgmt fee
$1250 FB spend 
</t>
      </text>
    </comment>
    <comment authorId="0" ref="I47">
      <text>
        <t xml:space="preserve">$850- Alli Mgmt fee 
$30 Alli boosted
$750 ALS mgmt fee
$1250 FB spend 
</t>
      </text>
    </comment>
    <comment authorId="0" ref="J47">
      <text>
        <t xml:space="preserve">$850- Alli Mgmt fee 
$30 Alli boosted
$750 ALS mgmt fee
$1250 FB spend 
</t>
      </text>
    </comment>
    <comment authorId="0" ref="K47">
      <text>
        <t xml:space="preserve">$850- Alli Mgmt fee 
$30 Alli boosted
$750 ALS mgmt fee
$1250 FB spend 
</t>
      </text>
    </comment>
    <comment authorId="0" ref="L47">
      <text>
        <t xml:space="preserve">$850- Alli Mgmt fee 
$30 Alli boosted
$750 ALS mgmt fee
$1250 FB spend 
</t>
      </text>
    </comment>
    <comment authorId="0" ref="M47">
      <text>
        <t xml:space="preserve">$850- Alli Mgmt fee 
$30 Alli boosted
$750 ALS mgmt fee
$1250 FB spend 
</t>
      </text>
    </comment>
    <comment authorId="0" ref="B48">
      <text>
        <t xml:space="preserve">55.66 Sheehy.com
$350.33 PERQ child site
80 we buy cars</t>
      </text>
    </comment>
    <comment authorId="0" ref="C48">
      <text>
        <t xml:space="preserve">55.66 Sheehy.com
$350.33 PERQ child site
80 we buy cars</t>
      </text>
    </comment>
    <comment authorId="0" ref="D48">
      <text>
        <t xml:space="preserve">55.66 Sheehy.com
$350.33 PERQ child site
80 we buy cars</t>
      </text>
    </comment>
    <comment authorId="0" ref="E48">
      <text>
        <t xml:space="preserve">55.66 Sheehy.com
$350.33 PERQ child site
80 we buy cars</t>
      </text>
    </comment>
    <comment authorId="0" ref="F48">
      <text>
        <t xml:space="preserve">55.66 Sheehy.com
$350.33 PERQ child site
80 we buy cars</t>
      </text>
    </comment>
    <comment authorId="0" ref="G48">
      <text>
        <t xml:space="preserve">55.66 Sheehy.com
$350.33 PERQ child site
80 we buy cars</t>
      </text>
    </comment>
    <comment authorId="0" ref="H48">
      <text>
        <t xml:space="preserve">55.66 Sheehy.com
$350.33 PERQ child site
80 we buy cars</t>
      </text>
    </comment>
    <comment authorId="0" ref="I48">
      <text>
        <t xml:space="preserve">55.66 Sheehy.com
$350.33 PERQ child site
80 we buy cars</t>
      </text>
    </comment>
    <comment authorId="0" ref="J48">
      <text>
        <t xml:space="preserve">55.66 Sheehy.com
$350.33 PERQ child site
80 we buy cars</t>
      </text>
    </comment>
    <comment authorId="0" ref="K48">
      <text>
        <t xml:space="preserve">55.66 Sheehy.com
$350.33 PERQ child site
80 we buy cars</t>
      </text>
    </comment>
    <comment authorId="0" ref="L48">
      <text>
        <t xml:space="preserve">55.66 Sheehy.com
$350.33 PERQ child site
80 we buy cars</t>
      </text>
    </comment>
    <comment authorId="0" ref="M48">
      <text>
        <t xml:space="preserve">55.66 Sheehy.com
$350.33 PERQ child site
80 we buy cars</t>
      </text>
    </comment>
    <comment authorId="0" ref="B55">
      <text>
        <t xml:space="preserve">includes reach/trade and subscription</t>
      </text>
    </comment>
    <comment authorId="0" ref="C55">
      <text>
        <t xml:space="preserve">includes reach/trade and subscription</t>
      </text>
    </comment>
    <comment authorId="0" ref="D55">
      <text>
        <t xml:space="preserve">includes reach/trade and subscription</t>
      </text>
    </comment>
    <comment authorId="0" ref="E55">
      <text>
        <t xml:space="preserve">includes reach/trade and subscription</t>
      </text>
    </comment>
    <comment authorId="0" ref="F55">
      <text>
        <t xml:space="preserve">includes reach/trade and subscription</t>
      </text>
    </comment>
    <comment authorId="0" ref="G55">
      <text>
        <t xml:space="preserve">includes reach/trade and subscription</t>
      </text>
    </comment>
    <comment authorId="0" ref="H55">
      <text>
        <t xml:space="preserve">includes reach/trade and subscription</t>
      </text>
    </comment>
    <comment authorId="0" ref="I55">
      <text>
        <t xml:space="preserve">includes reach/trade and subscription</t>
      </text>
    </comment>
    <comment authorId="0" ref="J55">
      <text>
        <t xml:space="preserve">includes reach/trade and subscription</t>
      </text>
    </comment>
    <comment authorId="0" ref="K55">
      <text>
        <t xml:space="preserve">includes reach/trade and subscription</t>
      </text>
    </comment>
    <comment authorId="0" ref="L55">
      <text>
        <t xml:space="preserve">includes reach/trade and subscription</t>
      </text>
    </comment>
    <comment authorId="0" ref="M55">
      <text>
        <t xml:space="preserve">includes reach/trade and subscription</t>
      </text>
    </comment>
    <comment authorId="0" ref="B56">
      <text>
        <t xml:space="preserve">399 VYT Lincoln
399 VYT Ford
351 MGMT Fee Lincoln
351 MGMT Fee Ford
57 Data Management fee Ford
57 Data Management fee Lincoln</t>
      </text>
    </comment>
    <comment authorId="0" ref="C56">
      <text>
        <t xml:space="preserve">399 VYT Lincoln
399 VYT Ford
351 MGMT Fee Lincoln
351 MGMT Fee Ford
57 Data Management fee Ford
57 Data Management fee Lincoln</t>
      </text>
    </comment>
    <comment authorId="0" ref="D56">
      <text>
        <t xml:space="preserve">399 VYT Lincoln
399 VYT Ford
351 MGMT Fee Lincoln
351 MGMT Fee Ford
57 Data Management fee Ford
57 Data Management fee Lincoln</t>
      </text>
    </comment>
    <comment authorId="0" ref="E56">
      <text>
        <t xml:space="preserve">399 VYT Lincoln
399 VYT Ford
351 MGMT Fee Lincoln
351 MGMT Fee Ford
57 Data Management fee Ford
57 Data Management fee Lincoln</t>
      </text>
    </comment>
    <comment authorId="0" ref="F56">
      <text>
        <t xml:space="preserve">399 VYT Lincoln
399 VYT Ford
351 MGMT Fee Lincoln
351 MGMT Fee Ford
57 Data Management fee Ford
57 Data Management fee Lincoln</t>
      </text>
    </comment>
    <comment authorId="0" ref="G56">
      <text>
        <t xml:space="preserve">399 VYT Lincoln
399 VYT Ford
351 MGMT Fee Lincoln
351 MGMT Fee Ford
57 Data Management fee Ford
57 Data Management fee Lincoln</t>
      </text>
    </comment>
    <comment authorId="0" ref="H56">
      <text>
        <t xml:space="preserve">399 VYT Lincoln
399 VYT Ford
351 MGMT Fee Lincoln
351 MGMT Fee Ford
57 Data Management fee Ford
57 Data Management fee Lincoln</t>
      </text>
    </comment>
    <comment authorId="0" ref="I56">
      <text>
        <t xml:space="preserve">399 VYT Lincoln
399 VYT Ford
351 MGMT Fee Lincoln
351 MGMT Fee Ford
57 Data Management fee Ford
57 Data Management fee Lincoln</t>
      </text>
    </comment>
    <comment authorId="0" ref="J56">
      <text>
        <t xml:space="preserve">399 VYT Lincoln
399 VYT Ford
351 MGMT Fee Lincoln
351 MGMT Fee Ford
57 Data Management fee Ford
57 Data Management fee Lincoln</t>
      </text>
    </comment>
    <comment authorId="0" ref="K56">
      <text>
        <t xml:space="preserve">399 VYT Lincoln
399 VYT Ford
351 MGMT Fee Lincoln
351 MGMT Fee Ford
57 Data Management fee Ford
57 Data Management fee Lincoln</t>
      </text>
    </comment>
    <comment authorId="0" ref="L56">
      <text>
        <t xml:space="preserve">399 VYT Lincoln
399 VYT Ford
351 MGMT Fee Lincoln
351 MGMT Fee Ford
57 Data Management fee Ford
57 Data Management fee Lincoln</t>
      </text>
    </comment>
    <comment authorId="0" ref="M56">
      <text>
        <t xml:space="preserve">399 VYT Lincoln
399 VYT Ford
351 MGMT Fee Lincoln
351 MGMT Fee Ford
57 Data Management fee Ford
57 Data Management fee Lincoln</t>
      </text>
    </comment>
    <comment authorId="0" ref="B59">
      <text>
        <t xml:space="preserve">1250 NEW
1250 USED
2500 TOTAL</t>
      </text>
    </comment>
    <comment authorId="0" ref="C59">
      <text>
        <t xml:space="preserve">1250 NEW
1250 USED
2500 TOTAL</t>
      </text>
    </comment>
    <comment authorId="0" ref="D59">
      <text>
        <t xml:space="preserve">1250 NEW
1250 USED
2500 TOTAL</t>
      </text>
    </comment>
    <comment authorId="0" ref="E59">
      <text>
        <t xml:space="preserve">1250 NEW
1250 USED
2500 TOTAL</t>
      </text>
    </comment>
    <comment authorId="0" ref="F59">
      <text>
        <t xml:space="preserve">1250 NEW
1250 USED
2500 TOTAL</t>
      </text>
    </comment>
    <comment authorId="0" ref="G59">
      <text>
        <t xml:space="preserve">1250 NEW
1250 USED
2500 TOTAL</t>
      </text>
    </comment>
    <comment authorId="0" ref="H59">
      <text>
        <t xml:space="preserve">1250 NEW
1250 USED
2500 TOTAL</t>
      </text>
    </comment>
    <comment authorId="0" ref="I59">
      <text>
        <t xml:space="preserve">1250 NEW
1250 USED
2500 TOTAL</t>
      </text>
    </comment>
    <comment authorId="0" ref="J59">
      <text>
        <t xml:space="preserve">1250 NEW
1250 USED
2500 TOTAL</t>
      </text>
    </comment>
    <comment authorId="0" ref="K59">
      <text>
        <t xml:space="preserve">1250 NEW
1250 USED
2500 TOTAL</t>
      </text>
    </comment>
    <comment authorId="0" ref="L59">
      <text>
        <t xml:space="preserve">1250 NEW
1250 USED
2500 TOTAL</t>
      </text>
    </comment>
    <comment authorId="0" ref="M59">
      <text>
        <t xml:space="preserve">1250 NEW
1250 USED
2500 TOTAL</t>
      </text>
    </comment>
    <comment authorId="0" ref="B63">
      <text>
        <t xml:space="preserve">total 
11500 new ford (effective May 1)
+2,000 new Ford starting dec. 2021
1000 lincoln
500 fixed ops</t>
      </text>
    </comment>
    <comment authorId="0" ref="C63">
      <text>
        <t xml:space="preserve">total 
11500 new ford (effective May 1)
+2,000 new Ford starting dec. 2021
1000 lincoln
500 fixed ops</t>
      </text>
    </comment>
    <comment authorId="0" ref="D63">
      <text>
        <t xml:space="preserve">total 
11500 new ford (effective May 1)
+2,000 new Ford starting dec. 2021
1000 lincoln
500 fixed ops</t>
      </text>
    </comment>
    <comment authorId="0" ref="E63">
      <text>
        <t xml:space="preserve">total 
11500 new ford (effective May 1)
+2,000 new Ford starting dec. 2021
1000 lincoln
500 fixed ops</t>
      </text>
    </comment>
    <comment authorId="0" ref="F63">
      <text>
        <t xml:space="preserve">total 
11500 new ford (effective May 1)
+2,000 new Ford starting dec. 2021
1000 lincoln
500 fixed ops</t>
      </text>
    </comment>
    <comment authorId="0" ref="G63">
      <text>
        <t xml:space="preserve">total 
11500 new ford (effective May 1)
+2,000 new Ford starting dec. 2021
1000 lincoln
500 fixed ops</t>
      </text>
    </comment>
    <comment authorId="0" ref="H63">
      <text>
        <t xml:space="preserve">total 
11500 new ford (effective May 1)
+2,000 new Ford starting dec. 2021
1000 lincoln
500 fixed ops</t>
      </text>
    </comment>
    <comment authorId="0" ref="I63">
      <text>
        <t xml:space="preserve">total 
11500 new ford (effective May 1)
+2,000 new Ford starting dec. 2021
1000 lincoln
500 fixed ops</t>
      </text>
    </comment>
    <comment authorId="0" ref="J63">
      <text>
        <t xml:space="preserve">total 
11500 new ford (effective May 1)
+2,000 new Ford starting dec. 2021
1000 lincoln
500 fixed ops</t>
      </text>
    </comment>
    <comment authorId="0" ref="K63">
      <text>
        <t xml:space="preserve">total 
11500 new ford (effective May 1)
+2,000 new Ford starting dec. 2021
1000 lincoln
500 fixed ops</t>
      </text>
    </comment>
    <comment authorId="0" ref="L63">
      <text>
        <t xml:space="preserve">total 
11500 new ford (effective May 1)
+2,000 new Ford starting dec. 2021
1000 lincoln
500 fixed ops</t>
      </text>
    </comment>
    <comment authorId="0" ref="M63">
      <text>
        <t xml:space="preserve">total 
11500 new ford (effective May 1)
+2,000 new Ford starting dec. 2021
1000 lincoln
500 fixed ops</t>
      </text>
    </comment>
    <comment authorId="0" ref="B64">
      <text>
        <t xml:space="preserve">$1692.90 Truck Trader
$595 Work Trucks Solutions</t>
      </text>
    </comment>
    <comment authorId="0" ref="C64">
      <text>
        <t xml:space="preserve">$1692.90 Truck Trader
$595 Work Trucks Solutions</t>
      </text>
    </comment>
    <comment authorId="0" ref="D64">
      <text>
        <t xml:space="preserve">$1692.90 Truck Trader
$595 Work Trucks Solutions</t>
      </text>
    </comment>
    <comment authorId="0" ref="E64">
      <text>
        <t xml:space="preserve">$1692.90 Truck Trader
$595 Work Trucks Solutions</t>
      </text>
    </comment>
    <comment authorId="0" ref="F64">
      <text>
        <t xml:space="preserve">$1692.90 Truck Trader
$595 Work Trucks Solutions</t>
      </text>
    </comment>
    <comment authorId="0" ref="G64">
      <text>
        <t xml:space="preserve">$1692.90 Truck Trader
$595 Work Trucks Solutions</t>
      </text>
    </comment>
    <comment authorId="0" ref="H64">
      <text>
        <t xml:space="preserve">$1692.90 Truck Trader
$595 Work Trucks Solutions</t>
      </text>
    </comment>
    <comment authorId="0" ref="I64">
      <text>
        <t xml:space="preserve">$1692.90 Truck Trader
$595 Work Trucks Solutions</t>
      </text>
    </comment>
    <comment authorId="0" ref="J64">
      <text>
        <t xml:space="preserve">$1692.90 Truck Trader
$595 Work Trucks Solutions</t>
      </text>
    </comment>
    <comment authorId="0" ref="K64">
      <text>
        <t xml:space="preserve">$1692.90 Truck Trader
$595 Work Trucks Solutions</t>
      </text>
    </comment>
    <comment authorId="0" ref="L64">
      <text>
        <t xml:space="preserve">$1692.90 Truck Trader
$595 Work Trucks Solutions</t>
      </text>
    </comment>
    <comment authorId="0" ref="M64">
      <text>
        <t xml:space="preserve">$1692.90 Truck Trader
$595 Work Trucks Solutions</t>
      </text>
    </comment>
    <comment authorId="0" ref="B72">
      <text>
        <t xml:space="preserve">TBD
</t>
      </text>
    </comment>
    <comment authorId="0" ref="C72">
      <text>
        <t xml:space="preserve">TBD
</t>
      </text>
    </comment>
    <comment authorId="0" ref="D72">
      <text>
        <t xml:space="preserve">TBD
</t>
      </text>
    </comment>
    <comment authorId="0" ref="E72">
      <text>
        <t xml:space="preserve">TBD
</t>
      </text>
    </comment>
    <comment authorId="0" ref="F72">
      <text>
        <t xml:space="preserve">TBD
</t>
      </text>
    </comment>
    <comment authorId="0" ref="G72">
      <text>
        <t xml:space="preserve">TBD
</t>
      </text>
    </comment>
    <comment authorId="0" ref="H72">
      <text>
        <t xml:space="preserve">TBD
</t>
      </text>
    </comment>
    <comment authorId="0" ref="I72">
      <text>
        <t xml:space="preserve">TBD
</t>
      </text>
    </comment>
    <comment authorId="0" ref="J72">
      <text>
        <t xml:space="preserve">TBD
</t>
      </text>
    </comment>
    <comment authorId="0" ref="K72">
      <text>
        <t xml:space="preserve">TBD
</t>
      </text>
    </comment>
    <comment authorId="0" ref="L72">
      <text>
        <t xml:space="preserve">TBD
</t>
      </text>
    </comment>
    <comment authorId="0" ref="M72">
      <text>
        <t xml:space="preserve">TBD
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B74">
      <text>
        <t xml:space="preserve">1250 NEW
1250 USED
2500 TOTAL</t>
      </text>
    </comment>
    <comment authorId="0" ref="C74">
      <text>
        <t xml:space="preserve">1250 NEW
1250 USED
2500 TOTAL</t>
      </text>
    </comment>
    <comment authorId="0" ref="D74">
      <text>
        <t xml:space="preserve">1250 NEW
1250 USED
2500 TOTAL</t>
      </text>
    </comment>
    <comment authorId="0" ref="E74">
      <text>
        <t xml:space="preserve">1250 NEW
1250 USED
2500 TOTAL</t>
      </text>
    </comment>
    <comment authorId="0" ref="F74">
      <text>
        <t xml:space="preserve">1250 NEW
1250 USED
2500 TOTAL</t>
      </text>
    </comment>
    <comment authorId="0" ref="G74">
      <text>
        <t xml:space="preserve">1250 NEW
1250 USED
2500 TOTAL</t>
      </text>
    </comment>
    <comment authorId="0" ref="H74">
      <text>
        <t xml:space="preserve">1250 NEW
1250 USED
2500 TOTAL</t>
      </text>
    </comment>
    <comment authorId="0" ref="I74">
      <text>
        <t xml:space="preserve">1250 NEW
1250 USED
2500 TOTAL</t>
      </text>
    </comment>
    <comment authorId="0" ref="J74">
      <text>
        <t xml:space="preserve">1250 NEW
1250 USED
2500 TOTAL</t>
      </text>
    </comment>
    <comment authorId="0" ref="K74">
      <text>
        <t xml:space="preserve">1250 NEW
1250 USED
2500 TOTAL</t>
      </text>
    </comment>
    <comment authorId="0" ref="L74">
      <text>
        <t xml:space="preserve">1250 NEW
1250 USED
2500 TOTAL</t>
      </text>
    </comment>
    <comment authorId="0" ref="M74">
      <text>
        <t xml:space="preserve">1250 NEW
1250 USED
2500 TOTAL</t>
      </text>
    </comment>
    <comment authorId="0" ref="B80">
      <text>
        <t xml:space="preserve">1900 enhanced  </t>
      </text>
    </comment>
    <comment authorId="0" ref="C80">
      <text>
        <t xml:space="preserve">1900 enhanced  </t>
      </text>
    </comment>
    <comment authorId="0" ref="D80">
      <text>
        <t xml:space="preserve">1900 enhanced  </t>
      </text>
    </comment>
    <comment authorId="0" ref="E80">
      <text>
        <t xml:space="preserve">1900 enhanced  </t>
      </text>
    </comment>
    <comment authorId="0" ref="F80">
      <text>
        <t xml:space="preserve">1900 enhanced  </t>
      </text>
    </comment>
    <comment authorId="0" ref="G80">
      <text>
        <t xml:space="preserve">1900 enhanced  W/ 5% DISCOUNT JUNE &amp; JULY AT $1805</t>
      </text>
    </comment>
    <comment authorId="0" ref="H80">
      <text>
        <t xml:space="preserve">1900 enhanced  W/ 5% DISCOUNT JUNE &amp; JULY AT $1805</t>
      </text>
    </comment>
    <comment authorId="0" ref="I80">
      <text>
        <t xml:space="preserve">1900 enhanced  </t>
      </text>
    </comment>
    <comment authorId="0" ref="J80">
      <text>
        <t xml:space="preserve">1900 enhanced  </t>
      </text>
    </comment>
    <comment authorId="0" ref="K80">
      <text>
        <t xml:space="preserve">1900 enhanced  </t>
      </text>
    </comment>
    <comment authorId="0" ref="L80">
      <text>
        <t xml:space="preserve">1900 enhanced  </t>
      </text>
    </comment>
    <comment authorId="0" ref="M80">
      <text>
        <t xml:space="preserve">1900 enhanced  </t>
      </text>
    </comment>
    <comment authorId="0" ref="B93">
      <text>
        <t xml:space="preserve">$2,650 collision center sign</t>
      </text>
    </comment>
    <comment authorId="0" ref="K93">
      <text>
        <t xml:space="preserve">$300 Gentle Giants step and repeat banner</t>
      </text>
    </comment>
    <comment authorId="0" ref="K94">
      <text>
        <t xml:space="preserve">$180 Polin
$200 boxes
</t>
      </text>
    </comment>
    <comment authorId="0" ref="B103">
      <text>
        <t xml:space="preserve">$500 Other Group Digital </t>
      </text>
    </comment>
    <comment authorId="0" ref="C103">
      <text>
        <t xml:space="preserve">$500 Other Group Digital </t>
      </text>
    </comment>
    <comment authorId="0" ref="D103">
      <text>
        <t xml:space="preserve">$200 Other Group Digital 
$113.63 WJA sponsorship</t>
      </text>
    </comment>
    <comment authorId="0" ref="E103">
      <text>
        <t xml:space="preserve">$500 Other Group Digital </t>
      </text>
    </comment>
    <comment authorId="0" ref="F103">
      <text>
        <t xml:space="preserve">$500 Other Group Digital </t>
      </text>
    </comment>
    <comment authorId="0" ref="G103">
      <text>
        <t xml:space="preserve">$605 Other Group Digital </t>
      </text>
    </comment>
    <comment authorId="0" ref="H103">
      <text>
        <t xml:space="preserve">$605 Other Group Digital </t>
      </text>
    </comment>
    <comment authorId="0" ref="I103">
      <text>
        <t xml:space="preserve">$500 Other Group Digital </t>
      </text>
    </comment>
    <comment authorId="0" ref="J103">
      <text>
        <t xml:space="preserve">$500 Other Group Digital </t>
      </text>
    </comment>
    <comment authorId="0" ref="K103">
      <text>
        <t xml:space="preserve">$500 Other Group Digital </t>
      </text>
    </comment>
    <comment authorId="0" ref="L103">
      <text>
        <t xml:space="preserve">$500 Other Group Digital </t>
      </text>
    </comment>
    <comment authorId="0" ref="M103">
      <text>
        <t xml:space="preserve">$500 Other Group Digital </t>
      </text>
    </comment>
    <comment authorId="0" ref="B108">
      <text>
        <t xml:space="preserve">$5,000 Lincoln co-op
$25,588.63 Ford co-op</t>
      </text>
    </comment>
    <comment authorId="0" ref="C108">
      <text>
        <t xml:space="preserve">$6,000 Lincoln co-op
$16,636.73 Ford co-op</t>
      </text>
    </comment>
    <comment authorId="0" ref="D108">
      <text>
        <t xml:space="preserve">$2,000 Lincoln co-op
$10,041.43 Ford co-op</t>
      </text>
    </comment>
    <comment authorId="0" ref="E108">
      <text>
        <t xml:space="preserve">$5,000 Lincoln co-op
$30,879.55 Ford co-op</t>
      </text>
    </comment>
    <comment authorId="0" ref="F108">
      <text>
        <t xml:space="preserve">$5,500 Lincoln co-op
$16,454.83 Ford co-op</t>
      </text>
    </comment>
    <comment authorId="0" ref="G108">
      <text>
        <t xml:space="preserve">$4,000 Lincoln co-op
$16,533.31 Ford co-op</t>
      </text>
    </comment>
    <comment authorId="0" ref="K108">
      <text>
        <t xml:space="preserve">based off 2017 reimbursement
-$9,662 Ford co-op reimbursement
-$2,598 Lincoln co-op reimbursement</t>
      </text>
    </comment>
    <comment authorId="0" ref="L108">
      <text>
        <t xml:space="preserve">based off 2017 reimbursement
-$9,662 Ford co-op reimbursement
-$2,598 Lincoln co-op reimbursement</t>
      </text>
    </comment>
    <comment authorId="0" ref="M108">
      <text>
        <t xml:space="preserve">based off 2017 reimbursement
-$9,662 Ford co-op reimbursement
-$2,598 Lincoln co-op reimbursement</t>
      </text>
    </comment>
    <comment authorId="0" ref="B115">
      <text>
        <t xml:space="preserve">$1,495 Easy Care
</t>
      </text>
    </comment>
    <comment authorId="0" ref="C115">
      <text>
        <t xml:space="preserve">$1,495 Easy Care
</t>
      </text>
    </comment>
    <comment authorId="0" ref="D115">
      <text>
        <t xml:space="preserve">$1,495 Easy Care
</t>
      </text>
    </comment>
    <comment authorId="0" ref="E115">
      <text>
        <t xml:space="preserve">$1,495 Easy Care
</t>
      </text>
    </comment>
    <comment authorId="0" ref="F115">
      <text>
        <t xml:space="preserve">$1,495 Easy Care
</t>
      </text>
    </comment>
    <comment authorId="0" ref="G115">
      <text>
        <t xml:space="preserve">$1,495 Easy Care
</t>
      </text>
    </comment>
    <comment authorId="0" ref="H115">
      <text>
        <t xml:space="preserve">$1,495 Easy Care
</t>
      </text>
    </comment>
    <comment authorId="0" ref="I115">
      <text>
        <t xml:space="preserve">$1,495 Easy Care
</t>
      </text>
    </comment>
    <comment authorId="0" ref="J115">
      <text>
        <t xml:space="preserve">$1,495 Easy Care
</t>
      </text>
    </comment>
    <comment authorId="0" ref="K115">
      <text>
        <t xml:space="preserve">$1,495 Easy Care
</t>
      </text>
    </comment>
    <comment authorId="0" ref="L115">
      <text>
        <t xml:space="preserve">$1,495 Easy Care
</t>
      </text>
    </comment>
    <comment authorId="0" ref="M115">
      <text>
        <t xml:space="preserve">$1,495 Easy Care
</t>
      </text>
    </comment>
    <comment authorId="0" ref="B117">
      <text>
        <t xml:space="preserve">1750 TRIGGER MAIL
$3,772.70 quarterly mailer</t>
      </text>
    </comment>
    <comment authorId="0" ref="C117">
      <text>
        <t xml:space="preserve">1750 TRIGGER MAIL
</t>
      </text>
    </comment>
    <comment authorId="0" ref="D117">
      <text>
        <t xml:space="preserve">1750 TRIGGER MAIL
</t>
      </text>
    </comment>
    <comment authorId="0" ref="E117">
      <text>
        <t xml:space="preserve">1750 TRIGGER MAIL
$3,772.70 quarterly mailer</t>
      </text>
    </comment>
    <comment authorId="0" ref="F117">
      <text>
        <t xml:space="preserve">1750 TRIGGER MAIL
</t>
      </text>
    </comment>
    <comment authorId="0" ref="G117">
      <text>
        <t xml:space="preserve">1750 TRIGGER MAIL
</t>
      </text>
    </comment>
    <comment authorId="0" ref="H117">
      <text>
        <t xml:space="preserve">1750 TRIGGER MAIL
$3,772.70 quarterly mailer</t>
      </text>
    </comment>
    <comment authorId="0" ref="I117">
      <text>
        <t xml:space="preserve">1750 TRIGGER MAIL
</t>
      </text>
    </comment>
    <comment authorId="0" ref="J117">
      <text>
        <t xml:space="preserve">1750 TRIGGER MAIL
</t>
      </text>
    </comment>
    <comment authorId="0" ref="K117">
      <text>
        <t xml:space="preserve">1750 TRIGGER MAIL
3,888.02 Q3 recovery mailer
</t>
      </text>
    </comment>
    <comment authorId="0" ref="L117">
      <text>
        <t xml:space="preserve">1750 TRIGGER MAIL
</t>
      </text>
    </comment>
    <comment authorId="0" ref="M117">
      <text>
        <t xml:space="preserve">1750 TRIGGER MAIL
</t>
      </text>
    </comment>
    <comment authorId="0" ref="B118">
      <text>
        <t xml:space="preserve">500 fixed ops SEM
</t>
      </text>
    </comment>
    <comment authorId="0" ref="C118">
      <text>
        <t xml:space="preserve">500 fixed ops SEM
</t>
      </text>
    </comment>
    <comment authorId="0" ref="D118">
      <text>
        <t xml:space="preserve">500 fixed ops SEM
</t>
      </text>
    </comment>
    <comment authorId="0" ref="E118">
      <text>
        <t xml:space="preserve">500 fixed ops SEM
</t>
      </text>
    </comment>
    <comment authorId="0" ref="F118">
      <text>
        <t xml:space="preserve">500 fixed ops SEM
</t>
      </text>
    </comment>
    <comment authorId="0" ref="G118">
      <text>
        <t xml:space="preserve">500 fixed ops SEM
</t>
      </text>
    </comment>
    <comment authorId="0" ref="H118">
      <text>
        <t xml:space="preserve">500 fixed ops SEM
</t>
      </text>
    </comment>
    <comment authorId="0" ref="I118">
      <text>
        <t xml:space="preserve">500 fixed ops SEM
</t>
      </text>
    </comment>
    <comment authorId="0" ref="J118">
      <text>
        <t xml:space="preserve">500 fixed ops SEM
</t>
      </text>
    </comment>
    <comment authorId="0" ref="K118">
      <text>
        <t xml:space="preserve">500 fixed ops SEM
</t>
      </text>
    </comment>
    <comment authorId="0" ref="L118">
      <text>
        <t xml:space="preserve">500 fixed ops SEM
</t>
      </text>
    </comment>
    <comment authorId="0" ref="M118">
      <text>
        <t xml:space="preserve">500 fixed ops SEM
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9">
      <text>
        <t xml:space="preserve">($5750 total invoice for 16 DC stores split over 2 mos ea. ) </t>
      </text>
    </comment>
    <comment authorId="0" ref="C19">
      <text>
        <t xml:space="preserve">($5750 total invoice for 16 DC stores split over 2 mos ea. ) </t>
      </text>
    </comment>
    <comment authorId="0" ref="B34">
      <text>
        <t xml:space="preserve">1199 fd website
349 dms integration
850 AAG 
61.90 sheehy.com portal site</t>
      </text>
    </comment>
    <comment authorId="0" ref="C34">
      <text>
        <t xml:space="preserve">1199 fd website
349 dms integration
850 AAG 
61.90 sheehy.com portal site</t>
      </text>
    </comment>
    <comment authorId="0" ref="D34">
      <text>
        <t xml:space="preserve">1199 fd website
349 dms integration
850 AAG 
61.90 sheehy.com portal site</t>
      </text>
    </comment>
    <comment authorId="0" ref="E34">
      <text>
        <t xml:space="preserve">1199 fd website
349 dms integration
850 AAG 
61.90 sheehy.com portal site</t>
      </text>
    </comment>
    <comment authorId="0" ref="F34">
      <text>
        <t xml:space="preserve">1199 fd website
349 dms integration
850 AAG 
61.90 sheehy.com portal site</t>
      </text>
    </comment>
    <comment authorId="0" ref="G34">
      <text>
        <t xml:space="preserve">1199 fd website
349 dms integration
850 AAG 
61.90 sheehy.com portal site</t>
      </text>
    </comment>
    <comment authorId="0" ref="H34">
      <text>
        <t xml:space="preserve">1199 fd website
349 dms integration
850 AAG 
61.90 sheehy.com portal site</t>
      </text>
    </comment>
    <comment authorId="0" ref="I34">
      <text>
        <t xml:space="preserve">1199 fd website
349 dms integration
850 AAG 
61.90 sheehy.com portal site</t>
      </text>
    </comment>
    <comment authorId="0" ref="J34">
      <text>
        <t xml:space="preserve">1199 fd website
349 dms integration
850 AAG 
61.90 sheehy.com portal site</t>
      </text>
    </comment>
    <comment authorId="0" ref="K34">
      <text>
        <t xml:space="preserve">1199 fd website
349 dms integration
850 AAG 
61.90 sheehy.com portal site</t>
      </text>
    </comment>
    <comment authorId="0" ref="L34">
      <text>
        <t xml:space="preserve">1199 fd website
349 dms integration
850 AAG 
61.90 sheehy.com portal site</t>
      </text>
    </comment>
    <comment authorId="0" ref="M34">
      <text>
        <t xml:space="preserve">1199 fd website
349 dms integration
850 AAG 
61.90 sheehy.com portal site</t>
      </text>
    </comment>
    <comment authorId="0" ref="B42">
      <text>
        <t xml:space="preserve">365 switched to car chat 24
</t>
      </text>
    </comment>
    <comment authorId="0" ref="C42">
      <text>
        <t xml:space="preserve">365 switched to car chat 24
</t>
      </text>
    </comment>
    <comment authorId="0" ref="D42">
      <text>
        <t xml:space="preserve">365 switched to car chat 24
</t>
      </text>
    </comment>
    <comment authorId="0" ref="E42">
      <text>
        <t xml:space="preserve">365 switched to car chat 24
</t>
      </text>
    </comment>
    <comment authorId="0" ref="F42">
      <text>
        <t xml:space="preserve">365 switched to car chat 24
</t>
      </text>
    </comment>
    <comment authorId="0" ref="G42">
      <text>
        <t xml:space="preserve">365 switched to car chat 24
</t>
      </text>
    </comment>
    <comment authorId="0" ref="H42">
      <text>
        <t xml:space="preserve">365 switched to car chat 24
</t>
      </text>
    </comment>
    <comment authorId="0" ref="I42">
      <text>
        <t xml:space="preserve">365 switched to car chat 24
</t>
      </text>
    </comment>
    <comment authorId="0" ref="J42">
      <text>
        <t xml:space="preserve">365 switched to car chat 24
</t>
      </text>
    </comment>
    <comment authorId="0" ref="K42">
      <text>
        <t xml:space="preserve">365 switched to car chat 24
</t>
      </text>
    </comment>
    <comment authorId="0" ref="L42">
      <text>
        <t xml:space="preserve">365 switched to car chat 24
</t>
      </text>
    </comment>
    <comment authorId="0" ref="M42">
      <text>
        <t xml:space="preserve">365 switched to car chat 24
</t>
      </text>
    </comment>
    <comment authorId="0" ref="B44">
      <text>
        <t xml:space="preserve">259 Finance Driver</t>
      </text>
    </comment>
    <comment authorId="0" ref="C44">
      <text>
        <t xml:space="preserve">259 Finance Driver</t>
      </text>
    </comment>
    <comment authorId="0" ref="D44">
      <text>
        <t xml:space="preserve">259 Finance Driver</t>
      </text>
    </comment>
    <comment authorId="0" ref="E44">
      <text>
        <t xml:space="preserve">259 Finance Driver</t>
      </text>
    </comment>
    <comment authorId="0" ref="F44">
      <text>
        <t xml:space="preserve">259 Finance Driver</t>
      </text>
    </comment>
    <comment authorId="0" ref="G44">
      <text>
        <t xml:space="preserve">259 Finance Driver</t>
      </text>
    </comment>
    <comment authorId="0" ref="H44">
      <text>
        <t xml:space="preserve">259 Finance Driver</t>
      </text>
    </comment>
    <comment authorId="0" ref="I44">
      <text>
        <t xml:space="preserve">259 Finance Driver</t>
      </text>
    </comment>
    <comment authorId="0" ref="J44">
      <text>
        <t xml:space="preserve">259 Finance Driver</t>
      </text>
    </comment>
    <comment authorId="0" ref="K44">
      <text>
        <t xml:space="preserve">259 Finance Driver</t>
      </text>
    </comment>
    <comment authorId="0" ref="L44">
      <text>
        <t xml:space="preserve">259 Finance Driver</t>
      </text>
    </comment>
    <comment authorId="0" ref="M44">
      <text>
        <t xml:space="preserve">259 Finance Driver</t>
      </text>
    </comment>
    <comment authorId="0" ref="B45">
      <text>
        <t xml:space="preserve">45 Yelp 
97.5 Reputation.com</t>
      </text>
    </comment>
    <comment authorId="0" ref="C45">
      <text>
        <t xml:space="preserve">45 Yelp 
97.5 Reputation.com</t>
      </text>
    </comment>
    <comment authorId="0" ref="D45">
      <text>
        <t xml:space="preserve">45 Yelp 
97.5 Reputation.com</t>
      </text>
    </comment>
    <comment authorId="0" ref="E45">
      <text>
        <t xml:space="preserve">45 Yelp 
97.5 Reputation.com</t>
      </text>
    </comment>
    <comment authorId="0" ref="F45">
      <text>
        <t xml:space="preserve">45 Yelp 
97.5 Reputation.com</t>
      </text>
    </comment>
    <comment authorId="0" ref="G45">
      <text>
        <t xml:space="preserve">45 Yelp 
97.5 Reputation.com</t>
      </text>
    </comment>
    <comment authorId="0" ref="H45">
      <text>
        <t xml:space="preserve">45 Yelp 
97.5 Reputation.com</t>
      </text>
    </comment>
    <comment authorId="0" ref="I45">
      <text>
        <t xml:space="preserve">45 Yelp 
97.5 Reputation.com</t>
      </text>
    </comment>
    <comment authorId="0" ref="J45">
      <text>
        <t xml:space="preserve">45 Yelp 
97.5 Reputation.com</t>
      </text>
    </comment>
    <comment authorId="0" ref="K45">
      <text>
        <t xml:space="preserve">45 Yelp 
97.5 Reputation.com</t>
      </text>
    </comment>
    <comment authorId="0" ref="L45">
      <text>
        <t xml:space="preserve">45 Yelp 
97.5 Reputation.com</t>
      </text>
    </comment>
    <comment authorId="0" ref="M45">
      <text>
        <t xml:space="preserve">45 Yelp 
97.5 Reputation.com</t>
      </text>
    </comment>
    <comment authorId="0" ref="B47">
      <text>
        <t xml:space="preserve">850 alli
+30 alli boosted
+$1500 AutoLeadStar
+$750 AutoLeadStar management fee</t>
      </text>
    </comment>
    <comment authorId="0" ref="C47">
      <text>
        <t xml:space="preserve">850 alli
+30 alli boosted
+$1500 AutoLeadStar
+$750 AutoLeadStar management fee</t>
      </text>
    </comment>
    <comment authorId="0" ref="D47">
      <text>
        <t xml:space="preserve">850 alli
+30 alli boosted
+$1500 AutoLeadStar
+$750 AutoLeadStar management fee</t>
      </text>
    </comment>
    <comment authorId="0" ref="E47">
      <text>
        <t xml:space="preserve">850 alli
+30 alli boosted
+$1500 AutoLeadStar
+$750 AutoLeadStar management fee</t>
      </text>
    </comment>
    <comment authorId="0" ref="F47">
      <text>
        <t xml:space="preserve">850 alli
+30 alli boosted
+$1500 AutoLeadStar
+$750 AutoLeadStar management fee</t>
      </text>
    </comment>
    <comment authorId="0" ref="G47">
      <text>
        <t xml:space="preserve">850 alli
+30 alli boosted
+$1500 AutoLeadStar
+$750 AutoLeadStar management fee</t>
      </text>
    </comment>
    <comment authorId="0" ref="H47">
      <text>
        <t xml:space="preserve">850 alli
+30 alli boosted
+$1500 AutoLeadStar
+$750 AutoLeadStar management fee</t>
      </text>
    </comment>
    <comment authorId="0" ref="I47">
      <text>
        <t xml:space="preserve">850 alli
+30 alli boosted
+$1500 AutoLeadStar
+$750 AutoLeadStar management fee</t>
      </text>
    </comment>
    <comment authorId="0" ref="J47">
      <text>
        <t xml:space="preserve">850 alli
+30 alli boosted
+$1500 AutoLeadStar
+$750 AutoLeadStar management fee</t>
      </text>
    </comment>
    <comment authorId="0" ref="K47">
      <text>
        <t xml:space="preserve">850 alli
+30 alli boosted
+$1500 AutoLeadStar
+$750 AutoLeadStar management fee</t>
      </text>
    </comment>
    <comment authorId="0" ref="L47">
      <text>
        <t xml:space="preserve">850 alli
+30 alli boosted
+$1500 AutoLeadStar
+$750 AutoLeadStar management fee</t>
      </text>
    </comment>
    <comment authorId="0" ref="M47">
      <text>
        <t xml:space="preserve">850 alli
+30 alli boosted
+$1500 AutoLeadStar
+$750 AutoLeadStar management fee</t>
      </text>
    </comment>
    <comment authorId="0" ref="B48">
      <text>
        <t xml:space="preserve">55.66 Sheehy.com
$350.33 PERQ child site
80 we buy cars</t>
      </text>
    </comment>
    <comment authorId="0" ref="C48">
      <text>
        <t xml:space="preserve">55.66 Sheehy.com
$350.33 PERQ child site
80 we buy cars</t>
      </text>
    </comment>
    <comment authorId="0" ref="D48">
      <text>
        <t xml:space="preserve">55.66 Sheehy.com
$350.33 PERQ child site
80 we buy cars</t>
      </text>
    </comment>
    <comment authorId="0" ref="E48">
      <text>
        <t xml:space="preserve">55.66 Sheehy.com
$350.33 PERQ child site
80 we buy cars</t>
      </text>
    </comment>
    <comment authorId="0" ref="F48">
      <text>
        <t xml:space="preserve">55.66 Sheehy.com
$350.33 PERQ child site
80 we buy cars</t>
      </text>
    </comment>
    <comment authorId="0" ref="G48">
      <text>
        <t xml:space="preserve">55.66 Sheehy.com
$350.33 PERQ child site
80 we buy cars</t>
      </text>
    </comment>
    <comment authorId="0" ref="H48">
      <text>
        <t xml:space="preserve">55.66 Sheehy.com
$350.33 PERQ child site
80 we buy cars</t>
      </text>
    </comment>
    <comment authorId="0" ref="I48">
      <text>
        <t xml:space="preserve">55.66 Sheehy.com
$350.33 PERQ child site
80 we buy cars</t>
      </text>
    </comment>
    <comment authorId="0" ref="J48">
      <text>
        <t xml:space="preserve">55.66 Sheehy.com
$350.33 PERQ child site
80 we buy cars</t>
      </text>
    </comment>
    <comment authorId="0" ref="K48">
      <text>
        <t xml:space="preserve">55.66 Sheehy.com
$350.33 PERQ child site
80 we buy cars</t>
      </text>
    </comment>
    <comment authorId="0" ref="L48">
      <text>
        <t xml:space="preserve">55.66 Sheehy.com
$350.33 PERQ child site
80 we buy cars</t>
      </text>
    </comment>
    <comment authorId="0" ref="M48">
      <text>
        <t xml:space="preserve">55.66 Sheehy.com
$350.33 PERQ child site
80 we buy cars</t>
      </text>
    </comment>
    <comment authorId="0" ref="B50">
      <text>
        <t xml:space="preserve">$1695 Roadster charges
$995 Roadster setup charges</t>
      </text>
    </comment>
    <comment authorId="0" ref="B55">
      <text>
        <t xml:space="preserve">includes trade/reach and subscription</t>
      </text>
    </comment>
    <comment authorId="0" ref="C55">
      <text>
        <t xml:space="preserve">5000 truecar @ 15mi</t>
      </text>
    </comment>
    <comment authorId="0" ref="D55">
      <text>
        <t xml:space="preserve">5000 truecar @ 15mi</t>
      </text>
    </comment>
    <comment authorId="0" ref="E55">
      <text>
        <t xml:space="preserve">4500 rate decrease starting Q2</t>
      </text>
    </comment>
    <comment authorId="0" ref="F55">
      <text>
        <t xml:space="preserve">4500 truecar @ 15mi</t>
      </text>
    </comment>
    <comment authorId="0" ref="G55">
      <text>
        <t xml:space="preserve">3500 truecar june rate reduction</t>
      </text>
    </comment>
    <comment authorId="0" ref="H55">
      <text>
        <t xml:space="preserve">includes trade/reach and subscription</t>
      </text>
    </comment>
    <comment authorId="0" ref="I55">
      <text>
        <t xml:space="preserve">includes trade/reach and subscription</t>
      </text>
    </comment>
    <comment authorId="0" ref="J55">
      <text>
        <t xml:space="preserve">includes trade/reach and subscription</t>
      </text>
    </comment>
    <comment authorId="0" ref="K55">
      <text>
        <t xml:space="preserve">includes trade/reach and subscription</t>
      </text>
    </comment>
    <comment authorId="0" ref="L55">
      <text>
        <t xml:space="preserve">includes trade/reach and subscription</t>
      </text>
    </comment>
    <comment authorId="0" ref="M55">
      <text>
        <t xml:space="preserve">includes trade/reach and subscription</t>
      </text>
    </comment>
    <comment authorId="0" ref="B56">
      <text>
        <t xml:space="preserve">399 Trade tool with Purecars
351 mgmt fee
57 Data Management fee</t>
      </text>
    </comment>
    <comment authorId="0" ref="C56">
      <text>
        <t xml:space="preserve">399 Trade tool with Purecars
351 mgmt fee
57 Data Management fee</t>
      </text>
    </comment>
    <comment authorId="0" ref="D56">
      <text>
        <t xml:space="preserve">399 Trade tool with Purecars
351 mgmt fee
57 Data Management fee</t>
      </text>
    </comment>
    <comment authorId="0" ref="E56">
      <text>
        <t xml:space="preserve">399 Trade tool with Purecars
351 mgmt fee
57 Data Management fee</t>
      </text>
    </comment>
    <comment authorId="0" ref="F56">
      <text>
        <t xml:space="preserve">399 Trade tool with Purecars
351 mgmt fee
57 Data Management fee</t>
      </text>
    </comment>
    <comment authorId="0" ref="G56">
      <text>
        <t xml:space="preserve">399 Trade tool with Purecars
351 mgmt fee
57 Data Management fee</t>
      </text>
    </comment>
    <comment authorId="0" ref="H56">
      <text>
        <t xml:space="preserve">399 Trade tool with Purecars
351 mgmt fee
57 Data Management fee</t>
      </text>
    </comment>
    <comment authorId="0" ref="I56">
      <text>
        <t xml:space="preserve">399 Trade tool with Purecars
351 mgmt fee
57 Data Management fee</t>
      </text>
    </comment>
    <comment authorId="0" ref="J56">
      <text>
        <t xml:space="preserve">399 Trade tool with Purecars
351 mgmt fee
57 Data Management fee</t>
      </text>
    </comment>
    <comment authorId="0" ref="K56">
      <text>
        <t xml:space="preserve">399 Trade tool with Purecars
351 mgmt fee
57 Data Management fee</t>
      </text>
    </comment>
    <comment authorId="0" ref="L56">
      <text>
        <t xml:space="preserve">399 Trade tool with Purecars
351 mgmt fee
57 Data Management fee</t>
      </text>
    </comment>
    <comment authorId="0" ref="M56">
      <text>
        <t xml:space="preserve">399 Trade tool with Purecars
351 mgmt fee
57 Data Management fee</t>
      </text>
    </comment>
    <comment authorId="0" ref="B59">
      <text>
        <t xml:space="preserve">1000 NEW
1000 USED
2000 TOTAL</t>
      </text>
    </comment>
    <comment authorId="0" ref="C59">
      <text>
        <t xml:space="preserve">1000 NEW
1000 USED
2000 TOTAL</t>
      </text>
    </comment>
    <comment authorId="0" ref="D59">
      <text>
        <t xml:space="preserve">1000 NEW
1000 USED
2000 TOTAL</t>
      </text>
    </comment>
    <comment authorId="0" ref="E59">
      <text>
        <t xml:space="preserve">1000 NEW
1000 USED
2000 TOTAL</t>
      </text>
    </comment>
    <comment authorId="0" ref="F59">
      <text>
        <t xml:space="preserve">1000 NEW
1000 USED
2000 TOTAL</t>
      </text>
    </comment>
    <comment authorId="0" ref="G59">
      <text>
        <t xml:space="preserve">1000 NEW
1000 USED
2000 TOTAL</t>
      </text>
    </comment>
    <comment authorId="0" ref="H59">
      <text>
        <t xml:space="preserve">1000 NEW
1000 USED
2000 TOTAL</t>
      </text>
    </comment>
    <comment authorId="0" ref="I59">
      <text>
        <t xml:space="preserve">1000 NEW
1000 USED
2000 TOTAL</t>
      </text>
    </comment>
    <comment authorId="0" ref="J59">
      <text>
        <t xml:space="preserve">1000 NEW
1000 USED
2000 TOTAL</t>
      </text>
    </comment>
    <comment authorId="0" ref="K59">
      <text>
        <t xml:space="preserve">1000 NEW
1000 USED
2000 TOTAL</t>
      </text>
    </comment>
    <comment authorId="0" ref="L59">
      <text>
        <t xml:space="preserve">1000 NEW
1000 USED
2000 TOTAL</t>
      </text>
    </comment>
    <comment authorId="0" ref="M59">
      <text>
        <t xml:space="preserve">1000 NEW
1000 USED
2000 TOTAL</t>
      </text>
    </comment>
    <comment authorId="0" ref="B63">
      <text>
        <t xml:space="preserve">9250
(+1650 fixed ops)
</t>
      </text>
    </comment>
    <comment authorId="0" ref="C63">
      <text>
        <t xml:space="preserve">9250
(+1650 fixed ops)
</t>
      </text>
    </comment>
    <comment authorId="0" ref="D63">
      <text>
        <t xml:space="preserve">9250
(+1650 fixed ops)
</t>
      </text>
    </comment>
    <comment authorId="0" ref="E63">
      <text>
        <t xml:space="preserve">9250
(+1650 fixed ops)
</t>
      </text>
    </comment>
    <comment authorId="0" ref="F63">
      <text>
        <t xml:space="preserve">9250
(+1650 fixed ops)
</t>
      </text>
    </comment>
    <comment authorId="0" ref="G63">
      <text>
        <t xml:space="preserve">9250
(+1650 fixed ops)
</t>
      </text>
    </comment>
    <comment authorId="0" ref="H63">
      <text>
        <t xml:space="preserve">9250
(+1650 fixed ops)
</t>
      </text>
    </comment>
    <comment authorId="0" ref="I63">
      <text>
        <t xml:space="preserve">9250
(+1650 fixed ops)
</t>
      </text>
    </comment>
    <comment authorId="0" ref="J63">
      <text>
        <t xml:space="preserve">9250
(+1650 fixed ops)
</t>
      </text>
    </comment>
    <comment authorId="0" ref="K63">
      <text>
        <t xml:space="preserve">9250
(+1650 fixed ops)
</t>
      </text>
    </comment>
    <comment authorId="0" ref="L63">
      <text>
        <t xml:space="preserve">9250
(+1650 fixed ops)
</t>
      </text>
    </comment>
    <comment authorId="0" ref="M63">
      <text>
        <t xml:space="preserve">9250
(+1650 fixed ops)
</t>
      </text>
    </comment>
    <comment authorId="0" ref="B64">
      <text>
        <t xml:space="preserve">$1401 Truck Trader
595 Work Truck Solutions
+$99 WTS Comvoy</t>
      </text>
    </comment>
    <comment authorId="0" ref="C64">
      <text>
        <t xml:space="preserve">$1401 Truck Trader
595 Work Truck Solutions
+$99 WTS Comvoy</t>
      </text>
    </comment>
    <comment authorId="0" ref="D64">
      <text>
        <t xml:space="preserve">$1401 Truck Trader
595 Work Truck Solutions
+$99 WTS Comvoy</t>
      </text>
    </comment>
    <comment authorId="0" ref="E64">
      <text>
        <t xml:space="preserve">$1401 Truck Trader
595 Work Truck Solutions
+$99 WTS Comvoy</t>
      </text>
    </comment>
    <comment authorId="0" ref="F64">
      <text>
        <t xml:space="preserve">$1401 Truck Trader
595 Work Truck Solutions
+$99 WTS Comvoy</t>
      </text>
    </comment>
    <comment authorId="0" ref="G64">
      <text>
        <t xml:space="preserve">$1401 Truck Trader
595 Work Truck Solutions
+$99 WTS Comvoy</t>
      </text>
    </comment>
    <comment authorId="0" ref="H64">
      <text>
        <t xml:space="preserve">$1401 Truck Trader
595 Work Truck Solutions
+$99 WTS Comvoy</t>
      </text>
    </comment>
    <comment authorId="0" ref="I64">
      <text>
        <t xml:space="preserve">$1401 Truck Trader
595 Work Truck Solutions
+$99 WTS Comvoy</t>
      </text>
    </comment>
    <comment authorId="0" ref="J64">
      <text>
        <t xml:space="preserve">$1401 Truck Trader
595 Work Truck Solutions
+$99 WTS Comvoy</t>
      </text>
    </comment>
    <comment authorId="0" ref="K64">
      <text>
        <t xml:space="preserve">$1401 Truck Trader
595 Work Truck Solutions
+$99 WTS Comvoy</t>
      </text>
    </comment>
    <comment authorId="0" ref="L64">
      <text>
        <t xml:space="preserve">$1401 Truck Trader
595 Work Truck Solutions
+$99 WTS Comvoy</t>
      </text>
    </comment>
    <comment authorId="0" ref="M64">
      <text>
        <t xml:space="preserve">$1401 Truck Trader
595 Work Truck Solutions
+$99 WTS Comvoy</t>
      </text>
    </comment>
    <comment authorId="0" ref="B72">
      <text>
        <t xml:space="preserve">TBD
</t>
      </text>
    </comment>
    <comment authorId="0" ref="C72">
      <text>
        <t xml:space="preserve">TBD
</t>
      </text>
    </comment>
    <comment authorId="0" ref="D72">
      <text>
        <t xml:space="preserve">TBD
</t>
      </text>
    </comment>
    <comment authorId="0" ref="E72">
      <text>
        <t xml:space="preserve">TBD
</t>
      </text>
    </comment>
    <comment authorId="0" ref="F72">
      <text>
        <t xml:space="preserve">TBD
</t>
      </text>
    </comment>
    <comment authorId="0" ref="G72">
      <text>
        <t xml:space="preserve">TBD
</t>
      </text>
    </comment>
    <comment authorId="0" ref="H72">
      <text>
        <t xml:space="preserve">TBD
</t>
      </text>
    </comment>
    <comment authorId="0" ref="I72">
      <text>
        <t xml:space="preserve">TBD
</t>
      </text>
    </comment>
    <comment authorId="0" ref="J72">
      <text>
        <t xml:space="preserve">TBD
</t>
      </text>
    </comment>
    <comment authorId="0" ref="K72">
      <text>
        <t xml:space="preserve">TBD
</t>
      </text>
    </comment>
    <comment authorId="0" ref="L72">
      <text>
        <t xml:space="preserve">TBD
</t>
      </text>
    </comment>
    <comment authorId="0" ref="M72">
      <text>
        <t xml:space="preserve">TBD
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B74">
      <text>
        <t xml:space="preserve">1000 NEW
1000 USED
2000 TOTAL</t>
      </text>
    </comment>
    <comment authorId="0" ref="C74">
      <text>
        <t xml:space="preserve">1000 NEW
1000 USED
2000 TOTAL</t>
      </text>
    </comment>
    <comment authorId="0" ref="D74">
      <text>
        <t xml:space="preserve">1000 NEW
1000 USED
2000 TOTAL</t>
      </text>
    </comment>
    <comment authorId="0" ref="E74">
      <text>
        <t xml:space="preserve">1000 NEW
1000 USED
2000 TOTAL</t>
      </text>
    </comment>
    <comment authorId="0" ref="F74">
      <text>
        <t xml:space="preserve">1000 NEW
1000 USED
2000 TOTAL</t>
      </text>
    </comment>
    <comment authorId="0" ref="G74">
      <text>
        <t xml:space="preserve">1000 NEW
1000 USED
2000 TOTAL</t>
      </text>
    </comment>
    <comment authorId="0" ref="H74">
      <text>
        <t xml:space="preserve">1000 NEW
1000 USED
2000 TOTAL</t>
      </text>
    </comment>
    <comment authorId="0" ref="I74">
      <text>
        <t xml:space="preserve">1000 NEW
1000 USED
2000 TOTAL</t>
      </text>
    </comment>
    <comment authorId="0" ref="J74">
      <text>
        <t xml:space="preserve">1000 NEW
1000 USED
2000 TOTAL</t>
      </text>
    </comment>
    <comment authorId="0" ref="K74">
      <text>
        <t xml:space="preserve">1000 NEW
1000 USED
2000 TOTAL</t>
      </text>
    </comment>
    <comment authorId="0" ref="L74">
      <text>
        <t xml:space="preserve">1000 NEW
1000 USED
2000 TOTAL</t>
      </text>
    </comment>
    <comment authorId="0" ref="M74">
      <text>
        <t xml:space="preserve">1000 NEW
1000 USED
2000 TOTAL</t>
      </text>
    </comment>
    <comment authorId="0" ref="B80">
      <text>
        <t xml:space="preserve">$2150 Enhanced </t>
      </text>
    </comment>
    <comment authorId="0" ref="C80">
      <text>
        <t xml:space="preserve">$2150 Enhanced </t>
      </text>
    </comment>
    <comment authorId="0" ref="D80">
      <text>
        <t xml:space="preserve">$2150 Enhanced </t>
      </text>
    </comment>
    <comment authorId="0" ref="E80">
      <text>
        <t xml:space="preserve">$2150 Enhanced </t>
      </text>
    </comment>
    <comment authorId="0" ref="F80">
      <text>
        <t xml:space="preserve">$2150 Enhanced </t>
      </text>
    </comment>
    <comment authorId="0" ref="G80">
      <text>
        <t xml:space="preserve">$2150 Enhanced </t>
      </text>
    </comment>
    <comment authorId="0" ref="H80">
      <text>
        <t xml:space="preserve">$2150 Enhanced </t>
      </text>
    </comment>
    <comment authorId="0" ref="I80">
      <text>
        <t xml:space="preserve">$2150 Enhanced </t>
      </text>
    </comment>
    <comment authorId="0" ref="J80">
      <text>
        <t xml:space="preserve">$2150 Enhanced </t>
      </text>
    </comment>
    <comment authorId="0" ref="K80">
      <text>
        <t xml:space="preserve">$2150 Enhanced </t>
      </text>
    </comment>
    <comment authorId="0" ref="L80">
      <text>
        <t xml:space="preserve">$2150 Enhanced </t>
      </text>
    </comment>
    <comment authorId="0" ref="M80">
      <text>
        <t xml:space="preserve">$2150 Enhanced </t>
      </text>
    </comment>
    <comment authorId="0" ref="K93">
      <text>
        <t xml:space="preserve">$821.50 We Buy Cars service lane banner</t>
      </text>
    </comment>
    <comment authorId="0" ref="K94">
      <text>
        <t xml:space="preserve">$180 Polin
$200 boxes
</t>
      </text>
    </comment>
    <comment authorId="0" ref="B103">
      <text>
        <t xml:space="preserve">$500 Other Group Digital </t>
      </text>
    </comment>
    <comment authorId="0" ref="C103">
      <text>
        <t xml:space="preserve">$500 Other Group Digital </t>
      </text>
    </comment>
    <comment authorId="0" ref="D103">
      <text>
        <t xml:space="preserve">$200 Other Group Digital 
$113.63 WJA sponsorship</t>
      </text>
    </comment>
    <comment authorId="0" ref="E103">
      <text>
        <t xml:space="preserve">$500 Other Group Digital </t>
      </text>
    </comment>
    <comment authorId="0" ref="F103">
      <text>
        <t xml:space="preserve">$500 Other Group Digital </t>
      </text>
    </comment>
    <comment authorId="0" ref="G103">
      <text>
        <t xml:space="preserve">$605 Other Group Digital </t>
      </text>
    </comment>
    <comment authorId="0" ref="H103">
      <text>
        <t xml:space="preserve">$605 Other Group Digital </t>
      </text>
    </comment>
    <comment authorId="0" ref="I103">
      <text>
        <t xml:space="preserve">$500 Other Group Digital </t>
      </text>
    </comment>
    <comment authorId="0" ref="J103">
      <text>
        <t xml:space="preserve">$500 Other Group Digital </t>
      </text>
    </comment>
    <comment authorId="0" ref="K103">
      <text>
        <t xml:space="preserve">$500 Other Group Digital </t>
      </text>
    </comment>
    <comment authorId="0" ref="L103">
      <text>
        <t xml:space="preserve">$500 Other Group Digital </t>
      </text>
    </comment>
    <comment authorId="0" ref="M103">
      <text>
        <t xml:space="preserve">$500 Other Group Digital </t>
      </text>
    </comment>
    <comment authorId="0" ref="B108">
      <text>
        <t xml:space="preserve">based off 2017 reimbursement</t>
      </text>
    </comment>
    <comment authorId="0" ref="C108">
      <text>
        <t xml:space="preserve">based off 2017 reimbursement</t>
      </text>
    </comment>
    <comment authorId="0" ref="D108">
      <text>
        <t xml:space="preserve">based off 2017 reimbursement</t>
      </text>
    </comment>
    <comment authorId="0" ref="E108">
      <text>
        <t xml:space="preserve">based off 2017 reimbursement</t>
      </text>
    </comment>
    <comment authorId="0" ref="F108">
      <text>
        <t xml:space="preserve">based off 2017 reimbursement</t>
      </text>
    </comment>
    <comment authorId="0" ref="G108">
      <text>
        <t xml:space="preserve">based off 2017 reimbursement</t>
      </text>
    </comment>
    <comment authorId="0" ref="H108">
      <text>
        <t xml:space="preserve">based off 2017 reimbursement</t>
      </text>
    </comment>
    <comment authorId="0" ref="I108">
      <text>
        <t xml:space="preserve">based off 2017 reimbursement</t>
      </text>
    </comment>
    <comment authorId="0" ref="J108">
      <text>
        <t xml:space="preserve">based off 2017 reimbursement</t>
      </text>
    </comment>
    <comment authorId="0" ref="K108">
      <text>
        <t xml:space="preserve">based off 2017 reimbursement</t>
      </text>
    </comment>
    <comment authorId="0" ref="L108">
      <text>
        <t xml:space="preserve">based off 2017 reimbursement</t>
      </text>
    </comment>
    <comment authorId="0" ref="M108">
      <text>
        <t xml:space="preserve">based off 2017 reimbursement</t>
      </text>
    </comment>
    <comment authorId="0" ref="B115">
      <text>
        <t xml:space="preserve">$1,295 Easy Care
</t>
      </text>
    </comment>
    <comment authorId="0" ref="C115">
      <text>
        <t xml:space="preserve">$1,295 Easy Care
</t>
      </text>
    </comment>
    <comment authorId="0" ref="D115">
      <text>
        <t xml:space="preserve">$1,295 Easy Care
</t>
      </text>
    </comment>
    <comment authorId="0" ref="E115">
      <text>
        <t xml:space="preserve">$1,295 Easy Care
</t>
      </text>
    </comment>
    <comment authorId="0" ref="F115">
      <text>
        <t xml:space="preserve">$1,295 Easy Care
</t>
      </text>
    </comment>
    <comment authorId="0" ref="G115">
      <text>
        <t xml:space="preserve">$1,295 Easy Care
</t>
      </text>
    </comment>
    <comment authorId="0" ref="H115">
      <text>
        <t xml:space="preserve">$1,295 Easy Care
</t>
      </text>
    </comment>
    <comment authorId="0" ref="I115">
      <text>
        <t xml:space="preserve">$1,295 Easy Care
</t>
      </text>
    </comment>
    <comment authorId="0" ref="J115">
      <text>
        <t xml:space="preserve">$1,295 Easy Care
</t>
      </text>
    </comment>
    <comment authorId="0" ref="K115">
      <text>
        <t xml:space="preserve">$1,295 Easy Care
</t>
      </text>
    </comment>
    <comment authorId="0" ref="L115">
      <text>
        <t xml:space="preserve">$1,295 Easy Care
</t>
      </text>
    </comment>
    <comment authorId="0" ref="M115">
      <text>
        <t xml:space="preserve">$1,295 Easy Care
</t>
      </text>
    </comment>
    <comment authorId="0" ref="B117">
      <text>
        <t xml:space="preserve">1650 trigger mail
$2,300.20 quarterly mailer</t>
      </text>
    </comment>
    <comment authorId="0" ref="C117">
      <text>
        <t xml:space="preserve">1650 trigger mail
</t>
      </text>
    </comment>
    <comment authorId="0" ref="D117">
      <text>
        <t xml:space="preserve">1650 trigger mail
</t>
      </text>
    </comment>
    <comment authorId="0" ref="E117">
      <text>
        <t xml:space="preserve">1650 trigger mail
$2,300.20 quarterly mailer</t>
      </text>
    </comment>
    <comment authorId="0" ref="F117">
      <text>
        <t xml:space="preserve">1650 trigger mail
</t>
      </text>
    </comment>
    <comment authorId="0" ref="G117">
      <text>
        <t xml:space="preserve">1650 trigger mail
</t>
      </text>
    </comment>
    <comment authorId="0" ref="H117">
      <text>
        <t xml:space="preserve">1650 trigger mail
$2,300.20 quarterly mailer</t>
      </text>
    </comment>
    <comment authorId="0" ref="I117">
      <text>
        <t xml:space="preserve">1650 trigger mail
</t>
      </text>
    </comment>
    <comment authorId="0" ref="J117">
      <text>
        <t xml:space="preserve">1650 trigger mail
</t>
      </text>
    </comment>
    <comment authorId="0" ref="K117">
      <text>
        <t xml:space="preserve">1650 trigger mail
2,396.30 Q3 recovery mailer
</t>
      </text>
    </comment>
    <comment authorId="0" ref="L117">
      <text>
        <t xml:space="preserve">1650 trigger mail
</t>
      </text>
    </comment>
    <comment authorId="0" ref="M117">
      <text>
        <t xml:space="preserve">1650 trigger mail
</t>
      </text>
    </comment>
    <comment authorId="0" ref="B118">
      <text>
        <t xml:space="preserve">750 fixed ops
</t>
      </text>
    </comment>
    <comment authorId="0" ref="C118">
      <text>
        <t xml:space="preserve">750 fixed ops
</t>
      </text>
    </comment>
    <comment authorId="0" ref="D118">
      <text>
        <t xml:space="preserve">750 fixed ops
+ 900
</t>
      </text>
    </comment>
    <comment authorId="0" ref="E118">
      <text>
        <t xml:space="preserve">750 fixed ops
</t>
      </text>
    </comment>
    <comment authorId="0" ref="F118">
      <text>
        <t xml:space="preserve">750 fixed ops
</t>
      </text>
    </comment>
    <comment authorId="0" ref="G118">
      <text>
        <t xml:space="preserve">750 fixed ops
</t>
      </text>
    </comment>
    <comment authorId="0" ref="H118">
      <text>
        <t xml:space="preserve">750 fixed ops
</t>
      </text>
    </comment>
    <comment authorId="0" ref="I118">
      <text>
        <t xml:space="preserve">750 fixed ops
</t>
      </text>
    </comment>
    <comment authorId="0" ref="J118">
      <text>
        <t xml:space="preserve">750 fixed ops
</t>
      </text>
    </comment>
    <comment authorId="0" ref="K118">
      <text>
        <t xml:space="preserve">750 fixed ops
</t>
      </text>
    </comment>
    <comment authorId="0" ref="L118">
      <text>
        <t xml:space="preserve">750 fixed ops
</t>
      </text>
    </comment>
    <comment authorId="0" ref="M118">
      <text>
        <t xml:space="preserve">750 fixed ops
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9">
      <text>
        <t xml:space="preserve">($5750 total invoice for 16 DC stores split over 2 mos ea. ) </t>
      </text>
    </comment>
    <comment authorId="0" ref="C19">
      <text>
        <t xml:space="preserve">($5750 total invoice for 16 DC stores split over 2 mos ea. ) </t>
      </text>
    </comment>
    <comment authorId="0" ref="B34">
      <text>
        <t xml:space="preserve">1999 fd website
349 dms integration
850 AAG 
61.90 sheehy.com portal site
799 PERQ</t>
      </text>
    </comment>
    <comment authorId="0" ref="C34">
      <text>
        <t xml:space="preserve">1999 fd website
349 dms integration
850 AAG 
61.90 sheehy.com portal site
799 PERQ</t>
      </text>
    </comment>
    <comment authorId="0" ref="D34">
      <text>
        <t xml:space="preserve">1999 fd website
349 dms integration
850 AAG 
61.90 sheehy.com portal site
799 PERQ</t>
      </text>
    </comment>
    <comment authorId="0" ref="E34">
      <text>
        <t xml:space="preserve">1999 fd website
349 dms integration
850 AAG 
61.90 sheehy.com portal site
799 PERQ</t>
      </text>
    </comment>
    <comment authorId="0" ref="F34">
      <text>
        <t xml:space="preserve">1999 fd website
349 dms integration
850 AAG 
61.90 sheehy.com portal site
799 PERQ</t>
      </text>
    </comment>
    <comment authorId="0" ref="G34">
      <text>
        <t xml:space="preserve">1999 fd website
349 dms integration
850 AAG 
61.90 sheehy.com portal site
799 PERQ</t>
      </text>
    </comment>
    <comment authorId="0" ref="H34">
      <text>
        <t xml:space="preserve">1999 fd website
349 dms integration
850 AAG 
61.90 sheehy.com portal site
799 PERQ</t>
      </text>
    </comment>
    <comment authorId="0" ref="I34">
      <text>
        <t xml:space="preserve">1999 fd website
349 dms integration
850 AAG 
61.90 sheehy.com portal site
799 PERQ</t>
      </text>
    </comment>
    <comment authorId="0" ref="J34">
      <text>
        <t xml:space="preserve">1999 fd website
349 dms integration
850 AAG 
61.90 sheehy.com portal site
799 PERQ</t>
      </text>
    </comment>
    <comment authorId="0" ref="K34">
      <text>
        <t xml:space="preserve">1999 fd website
349 dms integration
850 AAG 
61.90 sheehy.com portal site
799 PERQ</t>
      </text>
    </comment>
    <comment authorId="0" ref="L34">
      <text>
        <t xml:space="preserve">1999 fd website
349 dms integration
850 AAG 
61.90 sheehy.com portal site
799 PERQ</t>
      </text>
    </comment>
    <comment authorId="0" ref="M34">
      <text>
        <t xml:space="preserve">1999 fd website
349 dms integration
850 AAG 
61.90 sheehy.com portal site
799 PERQ</t>
      </text>
    </comment>
    <comment authorId="0" ref="B42">
      <text>
        <t xml:space="preserve">365 switched to car chat 24
</t>
      </text>
    </comment>
    <comment authorId="0" ref="C42">
      <text>
        <t xml:space="preserve">365 switched to car chat 24
</t>
      </text>
    </comment>
    <comment authorId="0" ref="D42">
      <text>
        <t xml:space="preserve">365 switched to car chat 24
</t>
      </text>
    </comment>
    <comment authorId="0" ref="E42">
      <text>
        <t xml:space="preserve">365 switched to car chat 24
</t>
      </text>
    </comment>
    <comment authorId="0" ref="F42">
      <text>
        <t xml:space="preserve">365 switched to car chat 24
</t>
      </text>
    </comment>
    <comment authorId="0" ref="G42">
      <text>
        <t xml:space="preserve">365 switched to car chat 24
</t>
      </text>
    </comment>
    <comment authorId="0" ref="H42">
      <text>
        <t xml:space="preserve">365 switched to car chat 24
</t>
      </text>
    </comment>
    <comment authorId="0" ref="I42">
      <text>
        <t xml:space="preserve">365 switched to car chat 24
</t>
      </text>
    </comment>
    <comment authorId="0" ref="J42">
      <text>
        <t xml:space="preserve">365 switched to car chat 24
</t>
      </text>
    </comment>
    <comment authorId="0" ref="K42">
      <text>
        <t xml:space="preserve">365 switched to car chat 24
</t>
      </text>
    </comment>
    <comment authorId="0" ref="L42">
      <text>
        <t xml:space="preserve">365 switched to car chat 24
</t>
      </text>
    </comment>
    <comment authorId="0" ref="M42">
      <text>
        <t xml:space="preserve">365 switched to car chat 24
</t>
      </text>
    </comment>
    <comment authorId="0" ref="B44">
      <text>
        <t xml:space="preserve">199 eLend</t>
      </text>
    </comment>
    <comment authorId="0" ref="C44">
      <text>
        <t xml:space="preserve">199 eLend</t>
      </text>
    </comment>
    <comment authorId="0" ref="D44">
      <text>
        <t xml:space="preserve">199 eLend</t>
      </text>
    </comment>
    <comment authorId="0" ref="E44">
      <text>
        <t xml:space="preserve">199 eLend</t>
      </text>
    </comment>
    <comment authorId="0" ref="F44">
      <text>
        <t xml:space="preserve">199 eLend</t>
      </text>
    </comment>
    <comment authorId="0" ref="G44">
      <text>
        <t xml:space="preserve">199 eLend</t>
      </text>
    </comment>
    <comment authorId="0" ref="H44">
      <text>
        <t xml:space="preserve">199 eLend</t>
      </text>
    </comment>
    <comment authorId="0" ref="I44">
      <text>
        <t xml:space="preserve">199 eLend</t>
      </text>
    </comment>
    <comment authorId="0" ref="J44">
      <text>
        <t xml:space="preserve">199 eLend</t>
      </text>
    </comment>
    <comment authorId="0" ref="K44">
      <text>
        <t xml:space="preserve">199 eLend</t>
      </text>
    </comment>
    <comment authorId="0" ref="L44">
      <text>
        <t xml:space="preserve">199 eLend</t>
      </text>
    </comment>
    <comment authorId="0" ref="M44">
      <text>
        <t xml:space="preserve">199 eLend</t>
      </text>
    </comment>
    <comment authorId="0" ref="B45">
      <text>
        <t xml:space="preserve">45 Yelp 
97.5 Reputation.com
448 podium</t>
      </text>
    </comment>
    <comment authorId="0" ref="C45">
      <text>
        <t xml:space="preserve">45 Yelp 
97.5 Reputation.com
448 podium</t>
      </text>
    </comment>
    <comment authorId="0" ref="D45">
      <text>
        <t xml:space="preserve">45 Yelp 
97.5 Reputation.com
448 podium</t>
      </text>
    </comment>
    <comment authorId="0" ref="E45">
      <text>
        <t xml:space="preserve">45 Yelp 
97.5 Reputation.com
448 podium</t>
      </text>
    </comment>
    <comment authorId="0" ref="F45">
      <text>
        <t xml:space="preserve">45 Yelp 
97.5 Reputation.com
448 podium</t>
      </text>
    </comment>
    <comment authorId="0" ref="G45">
      <text>
        <t xml:space="preserve">45 Yelp 
97.5 Reputation.com
448 podium</t>
      </text>
    </comment>
    <comment authorId="0" ref="H45">
      <text>
        <t xml:space="preserve">45 Yelp 
97.5 Reputation.com
448 podium</t>
      </text>
    </comment>
    <comment authorId="0" ref="I45">
      <text>
        <t xml:space="preserve">45 Yelp 
97.5 Reputation.com
448 podium</t>
      </text>
    </comment>
    <comment authorId="0" ref="J45">
      <text>
        <t xml:space="preserve">45 Yelp 
97.5 Reputation.com
448 podium</t>
      </text>
    </comment>
    <comment authorId="0" ref="K45">
      <text>
        <t xml:space="preserve">45 Yelp 
97.5 Reputation.com
448 podium</t>
      </text>
    </comment>
    <comment authorId="0" ref="L45">
      <text>
        <t xml:space="preserve">45 Yelp 
97.5 Reputation.com
448 podium</t>
      </text>
    </comment>
    <comment authorId="0" ref="M45">
      <text>
        <t xml:space="preserve">45 Yelp 
97.5 Reputation.com
448 podium</t>
      </text>
    </comment>
    <comment authorId="0" ref="E46">
      <text>
        <t xml:space="preserve">cancelled 3/16</t>
      </text>
    </comment>
    <comment authorId="0" ref="B47">
      <text>
        <t xml:space="preserve">850 Alli
30 Alli boosted
$1500 AutoLeadStar
+750 AutoLeadStar management</t>
      </text>
    </comment>
    <comment authorId="0" ref="C47">
      <text>
        <t xml:space="preserve">850 Alli
30 Alli boosted
$1500 AutoLeadStar
+750 AutoLeadStar management</t>
      </text>
    </comment>
    <comment authorId="0" ref="D47">
      <text>
        <t xml:space="preserve">850 Alli
30 Alli boosted
$1500 AutoLeadStar
+750 AutoLeadStar management</t>
      </text>
    </comment>
    <comment authorId="0" ref="E47">
      <text>
        <t xml:space="preserve">850 Alli
30 Alli boosted
$1500 AutoLeadStar
+750 AutoLeadStar management</t>
      </text>
    </comment>
    <comment authorId="0" ref="F47">
      <text>
        <t xml:space="preserve">850 Alli
30 Alli boosted
$1500 AutoLeadStar
+750 AutoLeadStar management</t>
      </text>
    </comment>
    <comment authorId="0" ref="G47">
      <text>
        <t xml:space="preserve">850 Alli
30 Alli boosted
$1500 AutoLeadStar
+750 AutoLeadStar management</t>
      </text>
    </comment>
    <comment authorId="0" ref="H47">
      <text>
        <t xml:space="preserve">850 Alli
30 Alli boosted
$1500 AutoLeadStar
+750 AutoLeadStar management</t>
      </text>
    </comment>
    <comment authorId="0" ref="I47">
      <text>
        <t xml:space="preserve">850 Alli
30 Alli boosted
$1500 AutoLeadStar
+750 AutoLeadStar management</t>
      </text>
    </comment>
    <comment authorId="0" ref="J47">
      <text>
        <t xml:space="preserve">850 Alli
30 Alli boosted
$1500 AutoLeadStar
+750 AutoLeadStar management</t>
      </text>
    </comment>
    <comment authorId="0" ref="K47">
      <text>
        <t xml:space="preserve">850 Alli
30 Alli boosted
$1500 AutoLeadStar
+750 AutoLeadStar management</t>
      </text>
    </comment>
    <comment authorId="0" ref="L47">
      <text>
        <t xml:space="preserve">850 Alli
30 Alli boosted
$1500 AutoLeadStar
+750 AutoLeadStar management</t>
      </text>
    </comment>
    <comment authorId="0" ref="M47">
      <text>
        <t xml:space="preserve">850 Alli
30 Alli boosted
$1500 AutoLeadStar
+750 AutoLeadStar management</t>
      </text>
    </comment>
    <comment authorId="0" ref="B48">
      <text>
        <t xml:space="preserve">55.66 Sheehy.com
$350.33 PERQ child site
80 we buy cars</t>
      </text>
    </comment>
    <comment authorId="0" ref="C48">
      <text>
        <t xml:space="preserve">55.66 Sheehy.com
$350.33 PERQ child site
80 we buy cars</t>
      </text>
    </comment>
    <comment authorId="0" ref="D48">
      <text>
        <t xml:space="preserve">55.66 Sheehy.com
$350.33 PERQ child site
80 we buy cars</t>
      </text>
    </comment>
    <comment authorId="0" ref="E48">
      <text>
        <t xml:space="preserve">55.66 Sheehy.com
$350.33 PERQ child site
80 we buy cars</t>
      </text>
    </comment>
    <comment authorId="0" ref="F48">
      <text>
        <t xml:space="preserve">55.66 Sheehy.com
$350.33 PERQ child site
80 we buy cars</t>
      </text>
    </comment>
    <comment authorId="0" ref="G48">
      <text>
        <t xml:space="preserve">55.66 Sheehy.com
$350.33 PERQ child site
80 we buy cars</t>
      </text>
    </comment>
    <comment authorId="0" ref="H48">
      <text>
        <t xml:space="preserve">55.66 Sheehy.com
$350.33 PERQ child site
80 we buy cars</t>
      </text>
    </comment>
    <comment authorId="0" ref="I48">
      <text>
        <t xml:space="preserve">55.66 Sheehy.com
$350.33 PERQ child site
80 we buy cars</t>
      </text>
    </comment>
    <comment authorId="0" ref="J48">
      <text>
        <t xml:space="preserve">55.66 Sheehy.com
$350.33 PERQ child site
80 we buy cars</t>
      </text>
    </comment>
    <comment authorId="0" ref="K48">
      <text>
        <t xml:space="preserve">55.66 Sheehy.com
$350.33 PERQ child site
80 we buy cars</t>
      </text>
    </comment>
    <comment authorId="0" ref="L48">
      <text>
        <t xml:space="preserve">55.66 Sheehy.com
$350.33 PERQ child site
80 we buy cars</t>
      </text>
    </comment>
    <comment authorId="0" ref="M48">
      <text>
        <t xml:space="preserve">55.66 Sheehy.com
$350.33 PERQ child site
80 we buy cars</t>
      </text>
    </comment>
    <comment authorId="0" ref="B50">
      <text>
        <t xml:space="preserve">$1695 Roadster charges
$995 Roadster setup charges</t>
      </text>
    </comment>
    <comment authorId="0" ref="C55">
      <text>
        <t xml:space="preserve">includes trade/reach and subscription</t>
      </text>
    </comment>
    <comment authorId="0" ref="D55">
      <text>
        <t xml:space="preserve">includes trade/reach and subscription</t>
      </text>
    </comment>
    <comment authorId="0" ref="E55">
      <text>
        <t xml:space="preserve">includes trade/reach and subscription</t>
      </text>
    </comment>
    <comment authorId="0" ref="F55">
      <text>
        <t xml:space="preserve">includes trade/reach and subscription</t>
      </text>
    </comment>
    <comment authorId="0" ref="G55">
      <text>
        <t xml:space="preserve">includes trade/reach and subscription</t>
      </text>
    </comment>
    <comment authorId="0" ref="H55">
      <text>
        <t xml:space="preserve">includes trade/reach and subscription</t>
      </text>
    </comment>
    <comment authorId="0" ref="I55">
      <text>
        <t xml:space="preserve">includes trade/reach and subscription</t>
      </text>
    </comment>
    <comment authorId="0" ref="J55">
      <text>
        <t xml:space="preserve">includes trade/reach and subscription</t>
      </text>
    </comment>
    <comment authorId="0" ref="K55">
      <text>
        <t xml:space="preserve">includes trade/reach and subscription</t>
      </text>
    </comment>
    <comment authorId="0" ref="L55">
      <text>
        <t xml:space="preserve">includes trade/reach and subscription</t>
      </text>
    </comment>
    <comment authorId="0" ref="M55">
      <text>
        <t xml:space="preserve">includes trade/reach and subscription</t>
      </text>
    </comment>
    <comment authorId="0" ref="B56">
      <text>
        <t xml:space="preserve">399 Trade tool with Purecars
351 mgmt fee
57 Data Management fee</t>
      </text>
    </comment>
    <comment authorId="0" ref="C56">
      <text>
        <t xml:space="preserve">399 Trade tool with Purecars
351 mgmt fee
57 Data Management fee</t>
      </text>
    </comment>
    <comment authorId="0" ref="D56">
      <text>
        <t xml:space="preserve">399 Trade tool with Purecars
351 mgmt fee
57 Data Management fee</t>
      </text>
    </comment>
    <comment authorId="0" ref="E56">
      <text>
        <t xml:space="preserve">399 Trade tool with Purecars
351 mgmt fee
57 Data Management fee</t>
      </text>
    </comment>
    <comment authorId="0" ref="F56">
      <text>
        <t xml:space="preserve">399 Trade tool with Purecars
351 mgmt fee
57 Data Management fee</t>
      </text>
    </comment>
    <comment authorId="0" ref="G56">
      <text>
        <t xml:space="preserve">399 Trade tool with Purecars
351 mgmt fee
57 Data Management fee</t>
      </text>
    </comment>
    <comment authorId="0" ref="H56">
      <text>
        <t xml:space="preserve">399 Trade tool with Purecars
351 mgmt fee
57 Data Management fee</t>
      </text>
    </comment>
    <comment authorId="0" ref="I56">
      <text>
        <t xml:space="preserve">399 Trade tool with Purecars
351 mgmt fee
57 Data Management fee</t>
      </text>
    </comment>
    <comment authorId="0" ref="J56">
      <text>
        <t xml:space="preserve">399 Trade tool with Purecars
351 mgmt fee
57 Data Management fee</t>
      </text>
    </comment>
    <comment authorId="0" ref="K56">
      <text>
        <t xml:space="preserve">399 Trade tool with Purecars
351 mgmt fee
57 Data Management fee</t>
      </text>
    </comment>
    <comment authorId="0" ref="L56">
      <text>
        <t xml:space="preserve">399 Trade tool with Purecars
351 mgmt fee
57 Data Management fee</t>
      </text>
    </comment>
    <comment authorId="0" ref="M56">
      <text>
        <t xml:space="preserve">399 Trade tool with Purecars
351 mgmt fee
57 Data Management fee</t>
      </text>
    </comment>
    <comment authorId="0" ref="B59">
      <text>
        <t xml:space="preserve">1000 NEW
1000 USED
2000 TOTAL</t>
      </text>
    </comment>
    <comment authorId="0" ref="C59">
      <text>
        <t xml:space="preserve">1000 NEW
1000 USED
2000 TOTAL</t>
      </text>
    </comment>
    <comment authorId="0" ref="D59">
      <text>
        <t xml:space="preserve">1000 NEW
1000 USED
2000 TOTAL</t>
      </text>
    </comment>
    <comment authorId="0" ref="E59">
      <text>
        <t xml:space="preserve">1000 NEW
1000 USED
2000 TOTAL</t>
      </text>
    </comment>
    <comment authorId="0" ref="F59">
      <text>
        <t xml:space="preserve">1000 NEW
1000 USED
2000 TOTAL</t>
      </text>
    </comment>
    <comment authorId="0" ref="G59">
      <text>
        <t xml:space="preserve">1000 NEW
1000 USED
2000 TOTAL</t>
      </text>
    </comment>
    <comment authorId="0" ref="H59">
      <text>
        <t xml:space="preserve">1000 NEW
1000 USED
2000 TOTAL</t>
      </text>
    </comment>
    <comment authorId="0" ref="I59">
      <text>
        <t xml:space="preserve">1000 NEW
1000 USED
2000 TOTAL</t>
      </text>
    </comment>
    <comment authorId="0" ref="J59">
      <text>
        <t xml:space="preserve">1000 NEW
1000 USED
2000 TOTAL</t>
      </text>
    </comment>
    <comment authorId="0" ref="K59">
      <text>
        <t xml:space="preserve">1000 NEW
1000 USED
2000 TOTAL</t>
      </text>
    </comment>
    <comment authorId="0" ref="L59">
      <text>
        <t xml:space="preserve">1000 NEW
1000 USED
2000 TOTAL</t>
      </text>
    </comment>
    <comment authorId="0" ref="M59">
      <text>
        <t xml:space="preserve">1000 NEW
1000 USED
2000 TOTAL</t>
      </text>
    </comment>
    <comment authorId="0" ref="B63">
      <text>
        <t xml:space="preserve">5000 monthly spend</t>
      </text>
    </comment>
    <comment authorId="0" ref="C63">
      <text>
        <t xml:space="preserve">5000 monthly spend
+350 starting Feb. 1</t>
      </text>
    </comment>
    <comment authorId="0" ref="D63">
      <text>
        <t xml:space="preserve">5000 monthly spend
+350 starting Feb. 1</t>
      </text>
    </comment>
    <comment authorId="0" ref="E63">
      <text>
        <t xml:space="preserve">5000 monthly spend
+350 starting Feb. 1</t>
      </text>
    </comment>
    <comment authorId="0" ref="F63">
      <text>
        <t xml:space="preserve">5000 monthly spend
+350 starting Feb. 1</t>
      </text>
    </comment>
    <comment authorId="0" ref="G63">
      <text>
        <t xml:space="preserve">5000 monthly spend
+350 starting Feb. 1</t>
      </text>
    </comment>
    <comment authorId="0" ref="H63">
      <text>
        <t xml:space="preserve">5000 monthly spend
+350 starting Feb. 1</t>
      </text>
    </comment>
    <comment authorId="0" ref="I63">
      <text>
        <t xml:space="preserve">5000 monthly spend
+350 starting Feb. 1</t>
      </text>
    </comment>
    <comment authorId="0" ref="J63">
      <text>
        <t xml:space="preserve">5000 monthly spend
+350 starting Feb. 1</t>
      </text>
    </comment>
    <comment authorId="0" ref="K63">
      <text>
        <t xml:space="preserve">5000 monthly spend
+350 starting Feb. 1</t>
      </text>
    </comment>
    <comment authorId="0" ref="L63">
      <text>
        <t xml:space="preserve">5000 monthly spend
+350 starting Feb. 1</t>
      </text>
    </comment>
    <comment authorId="0" ref="M63">
      <text>
        <t xml:space="preserve">5000 monthly spend
+350 starting Feb. 1</t>
      </text>
    </comment>
    <comment authorId="0" ref="B64">
      <text>
        <t xml:space="preserve">1401 commercial truck trader
595 wts 
+$99 WTS Comvoy</t>
      </text>
    </comment>
    <comment authorId="0" ref="C64">
      <text>
        <t xml:space="preserve">1401 commercial truck trader
595 wts 
+$99 WTS Comvoy</t>
      </text>
    </comment>
    <comment authorId="0" ref="D64">
      <text>
        <t xml:space="preserve">1401 commercial truck trader
595 wts 
+$99 WTS Comvoy</t>
      </text>
    </comment>
    <comment authorId="0" ref="E64">
      <text>
        <t xml:space="preserve">1401 commercial truck trader
595 wts 
+$99 WTS Comvoy</t>
      </text>
    </comment>
    <comment authorId="0" ref="F64">
      <text>
        <t xml:space="preserve">1401 commercial truck trader
595 wts 
+$99 WTS Comvoy</t>
      </text>
    </comment>
    <comment authorId="0" ref="G64">
      <text>
        <t xml:space="preserve">1401 commercial truck trader
595 wts 
+$99 WTS Comvoy</t>
      </text>
    </comment>
    <comment authorId="0" ref="H64">
      <text>
        <t xml:space="preserve">1401 commercial truck trader
595 wts 
+$99 WTS Comvoy</t>
      </text>
    </comment>
    <comment authorId="0" ref="I64">
      <text>
        <t xml:space="preserve">1401 commercial truck trader
595 wts 
+$99 WTS Comvoy</t>
      </text>
    </comment>
    <comment authorId="0" ref="J64">
      <text>
        <t xml:space="preserve">1401 commercial truck trader
595 wts 
+$99 WTS Comvoy</t>
      </text>
    </comment>
    <comment authorId="0" ref="K64">
      <text>
        <t xml:space="preserve">1401 commercial truck trader
595 wts 
+$99 WTS Comvoy</t>
      </text>
    </comment>
    <comment authorId="0" ref="L64">
      <text>
        <t xml:space="preserve">1401 commercial truck trader
595 wts 
+$99 WTS Comvoy</t>
      </text>
    </comment>
    <comment authorId="0" ref="M64">
      <text>
        <t xml:space="preserve">1401 commercial truck trader
595 wts 
+$99 WTS Comvoy</t>
      </text>
    </comment>
    <comment authorId="0" ref="B72">
      <text>
        <t xml:space="preserve">TBD
</t>
      </text>
    </comment>
    <comment authorId="0" ref="C72">
      <text>
        <t xml:space="preserve">TBD
</t>
      </text>
    </comment>
    <comment authorId="0" ref="D72">
      <text>
        <t xml:space="preserve">TBD
</t>
      </text>
    </comment>
    <comment authorId="0" ref="E72">
      <text>
        <t xml:space="preserve">TBD
</t>
      </text>
    </comment>
    <comment authorId="0" ref="F72">
      <text>
        <t xml:space="preserve">TBD
</t>
      </text>
    </comment>
    <comment authorId="0" ref="G72">
      <text>
        <t xml:space="preserve">TBD
</t>
      </text>
    </comment>
    <comment authorId="0" ref="H72">
      <text>
        <t xml:space="preserve">TBD
</t>
      </text>
    </comment>
    <comment authorId="0" ref="I72">
      <text>
        <t xml:space="preserve">TBD
</t>
      </text>
    </comment>
    <comment authorId="0" ref="J72">
      <text>
        <t xml:space="preserve">TBD
</t>
      </text>
    </comment>
    <comment authorId="0" ref="K72">
      <text>
        <t xml:space="preserve">TBD
</t>
      </text>
    </comment>
    <comment authorId="0" ref="L72">
      <text>
        <t xml:space="preserve">TBD
</t>
      </text>
    </comment>
    <comment authorId="0" ref="M72">
      <text>
        <t xml:space="preserve">TBD
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B74">
      <text>
        <t xml:space="preserve">1000 NEW
1000 USED
2000 TOTAL</t>
      </text>
    </comment>
    <comment authorId="0" ref="C74">
      <text>
        <t xml:space="preserve">1000 NEW
1000 USED
2000 TOTAL</t>
      </text>
    </comment>
    <comment authorId="0" ref="D74">
      <text>
        <t xml:space="preserve">1000 NEW
1000 USED
2000 TOTAL</t>
      </text>
    </comment>
    <comment authorId="0" ref="E74">
      <text>
        <t xml:space="preserve">1000 NEW
1000 USED
2000 TOTAL</t>
      </text>
    </comment>
    <comment authorId="0" ref="F74">
      <text>
        <t xml:space="preserve">1000 NEW
1000 USED
2000 TOTAL</t>
      </text>
    </comment>
    <comment authorId="0" ref="G74">
      <text>
        <t xml:space="preserve">1000 NEW
1000 USED
2000 TOTAL</t>
      </text>
    </comment>
    <comment authorId="0" ref="H74">
      <text>
        <t xml:space="preserve">1000 NEW
1000 USED
2000 TOTAL</t>
      </text>
    </comment>
    <comment authorId="0" ref="I74">
      <text>
        <t xml:space="preserve">1000 NEW
1000 USED
2000 TOTAL</t>
      </text>
    </comment>
    <comment authorId="0" ref="J74">
      <text>
        <t xml:space="preserve">1000 NEW
1000 USED
2000 TOTAL</t>
      </text>
    </comment>
    <comment authorId="0" ref="K74">
      <text>
        <t xml:space="preserve">1000 NEW
1000 USED
2000 TOTAL</t>
      </text>
    </comment>
    <comment authorId="0" ref="L74">
      <text>
        <t xml:space="preserve">1000 NEW
1000 USED
2000 TOTAL</t>
      </text>
    </comment>
    <comment authorId="0" ref="M74">
      <text>
        <t xml:space="preserve">1000 NEW
1000 USED
2000 TOTAL</t>
      </text>
    </comment>
    <comment authorId="0" ref="B80">
      <text>
        <t xml:space="preserve">$2,150 Enhanced</t>
      </text>
    </comment>
    <comment authorId="0" ref="C80">
      <text>
        <t xml:space="preserve">$2,150 Enhanced</t>
      </text>
    </comment>
    <comment authorId="0" ref="D80">
      <text>
        <t xml:space="preserve">$2,150 Enhanced</t>
      </text>
    </comment>
    <comment authorId="0" ref="E80">
      <text>
        <t xml:space="preserve">$2,150 Enhanced</t>
      </text>
    </comment>
    <comment authorId="0" ref="F80">
      <text>
        <t xml:space="preserve">$2,150 Enhanced</t>
      </text>
    </comment>
    <comment authorId="0" ref="G80">
      <text>
        <t xml:space="preserve">$2,150 Enhanced W/ 5% DISCOUNT JUNE &amp; JULY AT $2042.50</t>
      </text>
    </comment>
    <comment authorId="0" ref="H80">
      <text>
        <t xml:space="preserve">$2,150 Enhanced W/ 5% DISCOUNT JUNE &amp; JULY AT $2042.50</t>
      </text>
    </comment>
    <comment authorId="0" ref="I80">
      <text>
        <t xml:space="preserve">$2,150 Enhanced</t>
      </text>
    </comment>
    <comment authorId="0" ref="J80">
      <text>
        <t xml:space="preserve">$2,150 Enhanced</t>
      </text>
    </comment>
    <comment authorId="0" ref="K80">
      <text>
        <t xml:space="preserve">$2,150 Enhanced</t>
      </text>
    </comment>
    <comment authorId="0" ref="L80">
      <text>
        <t xml:space="preserve">$2,150 Enhanced</t>
      </text>
    </comment>
    <comment authorId="0" ref="M80">
      <text>
        <t xml:space="preserve">$2,150 Enhanced</t>
      </text>
    </comment>
    <comment authorId="0" ref="K94">
      <text>
        <t xml:space="preserve">$180 Polin
$200 boxes
</t>
      </text>
    </comment>
    <comment authorId="0" ref="B103">
      <text>
        <t xml:space="preserve">$500 Other Group Digital </t>
      </text>
    </comment>
    <comment authorId="0" ref="C103">
      <text>
        <t xml:space="preserve">$500 Other Group Digital </t>
      </text>
    </comment>
    <comment authorId="0" ref="D103">
      <text>
        <t xml:space="preserve">$200 Other Group Digital 
$113.63 WJA sponsorship</t>
      </text>
    </comment>
    <comment authorId="0" ref="E103">
      <text>
        <t xml:space="preserve">$500 Other Group Digital </t>
      </text>
    </comment>
    <comment authorId="0" ref="F103">
      <text>
        <t xml:space="preserve">$500 Other Group Digital </t>
      </text>
    </comment>
    <comment authorId="0" ref="G103">
      <text>
        <t xml:space="preserve">$605 Other Group Digital </t>
      </text>
    </comment>
    <comment authorId="0" ref="H103">
      <text>
        <t xml:space="preserve">$605 Other Group Digital </t>
      </text>
    </comment>
    <comment authorId="0" ref="I103">
      <text>
        <t xml:space="preserve">$500 Other Group Digital </t>
      </text>
    </comment>
    <comment authorId="0" ref="J103">
      <text>
        <t xml:space="preserve">$500 Other Group Digital </t>
      </text>
    </comment>
    <comment authorId="0" ref="K103">
      <text>
        <t xml:space="preserve">$500 Other Group Digital </t>
      </text>
    </comment>
    <comment authorId="0" ref="L103">
      <text>
        <t xml:space="preserve">$500 Other Group Digital </t>
      </text>
    </comment>
    <comment authorId="0" ref="M103">
      <text>
        <t xml:space="preserve">$500 Other Group Digital </t>
      </text>
    </comment>
    <comment authorId="0" ref="B108">
      <text>
        <t xml:space="preserve">based on 2017 reimbursements</t>
      </text>
    </comment>
    <comment authorId="0" ref="C108">
      <text>
        <t xml:space="preserve">based on 2017 reimbursements</t>
      </text>
    </comment>
    <comment authorId="0" ref="D108">
      <text>
        <t xml:space="preserve">based on 2017 reimbursements</t>
      </text>
    </comment>
    <comment authorId="0" ref="E108">
      <text>
        <t xml:space="preserve">based on 2017 reimbursements</t>
      </text>
    </comment>
    <comment authorId="0" ref="F108">
      <text>
        <t xml:space="preserve">based on 2017 reimbursements</t>
      </text>
    </comment>
    <comment authorId="0" ref="G108">
      <text>
        <t xml:space="preserve">based on 2017 reimbursements</t>
      </text>
    </comment>
    <comment authorId="0" ref="H108">
      <text>
        <t xml:space="preserve">based on 2017 reimbursements</t>
      </text>
    </comment>
    <comment authorId="0" ref="I108">
      <text>
        <t xml:space="preserve">based on 2017 reimbursements</t>
      </text>
    </comment>
    <comment authorId="0" ref="J108">
      <text>
        <t xml:space="preserve">based on 2017 reimbursements</t>
      </text>
    </comment>
    <comment authorId="0" ref="K108">
      <text>
        <t xml:space="preserve">based on 2017 reimbursements</t>
      </text>
    </comment>
    <comment authorId="0" ref="L108">
      <text>
        <t xml:space="preserve">based on 2017 reimbursements</t>
      </text>
    </comment>
    <comment authorId="0" ref="M108">
      <text>
        <t xml:space="preserve">based on 2017 reimbursements</t>
      </text>
    </comment>
    <comment authorId="0" ref="B115">
      <text>
        <t xml:space="preserve">$1,295 Easy Care
</t>
      </text>
    </comment>
    <comment authorId="0" ref="C115">
      <text>
        <t xml:space="preserve">$1,295 Easy Care
</t>
      </text>
    </comment>
    <comment authorId="0" ref="D115">
      <text>
        <t xml:space="preserve">$1,295 Easy Care
</t>
      </text>
    </comment>
    <comment authorId="0" ref="E115">
      <text>
        <t xml:space="preserve">$1,295 Easy Care
</t>
      </text>
    </comment>
    <comment authorId="0" ref="F115">
      <text>
        <t xml:space="preserve">$1,295 Easy Care
</t>
      </text>
    </comment>
    <comment authorId="0" ref="G115">
      <text>
        <t xml:space="preserve">$1,295 Easy Care
</t>
      </text>
    </comment>
    <comment authorId="0" ref="H115">
      <text>
        <t xml:space="preserve">$1,295 Easy Care
</t>
      </text>
    </comment>
    <comment authorId="0" ref="I115">
      <text>
        <t xml:space="preserve">$1,295 Easy Care
</t>
      </text>
    </comment>
    <comment authorId="0" ref="J115">
      <text>
        <t xml:space="preserve">$1,295 Easy Care
</t>
      </text>
    </comment>
    <comment authorId="0" ref="K115">
      <text>
        <t xml:space="preserve">$1,295 Easy Care
</t>
      </text>
    </comment>
    <comment authorId="0" ref="L115">
      <text>
        <t xml:space="preserve">$1,295 Easy Care
</t>
      </text>
    </comment>
    <comment authorId="0" ref="M115">
      <text>
        <t xml:space="preserve">$1,295 Easy Care
</t>
      </text>
    </comment>
    <comment authorId="0" ref="B117">
      <text>
        <t xml:space="preserve">$1,799.86 quarterly mailer
1150 trigger mail</t>
      </text>
    </comment>
    <comment authorId="0" ref="E117">
      <text>
        <t xml:space="preserve">$1,799.86 quarterly mailer
1150 trigger mail</t>
      </text>
    </comment>
    <comment authorId="0" ref="H117">
      <text>
        <t xml:space="preserve">$1,799.86 quarterly mailer
1150 trigger mail</t>
      </text>
    </comment>
    <comment authorId="0" ref="B118">
      <text>
        <t xml:space="preserve">suspended april 
NOW: 700
WAS: 1000 fixed ops SEM with purecars
</t>
      </text>
    </comment>
    <comment authorId="0" ref="C118">
      <text>
        <t xml:space="preserve">suspended april 
NOW: 700
WAS: 1000 fixed ops SEM with purecars
</t>
      </text>
    </comment>
    <comment authorId="0" ref="D118">
      <text>
        <t xml:space="preserve">suspended april 
NOW: 700
WAS: 1000 fixed ops SEM with purecars
</t>
      </text>
    </comment>
    <comment authorId="0" ref="E118">
      <text>
        <t xml:space="preserve">suspended april 
NOW: 700
WAS: 1000 fixed ops SEM with purecars
</t>
      </text>
    </comment>
    <comment authorId="0" ref="F118">
      <text>
        <t xml:space="preserve">suspended april 
NOW: 700
WAS: 1000 fixed ops SEM with purecars
</t>
      </text>
    </comment>
    <comment authorId="0" ref="G118">
      <text>
        <t xml:space="preserve">suspended april 
NOW: 700
WAS: 1000 fixed ops SEM with purecars
</t>
      </text>
    </comment>
    <comment authorId="0" ref="H118">
      <text>
        <t xml:space="preserve">suspended april 
NOW: 700
WAS: 1000 fixed ops SEM with purecars
</t>
      </text>
    </comment>
    <comment authorId="0" ref="I118">
      <text>
        <t xml:space="preserve">suspended april 
NOW: 700
WAS: 1000 fixed ops SEM with purecars
</t>
      </text>
    </comment>
    <comment authorId="0" ref="J118">
      <text>
        <t xml:space="preserve">suspended april 
NOW: 700
WAS: 1000 fixed ops SEM with purecars
</t>
      </text>
    </comment>
    <comment authorId="0" ref="K118">
      <text>
        <t xml:space="preserve">suspended april 
NOW: 700
WAS: 1000 fixed ops SEM with purecars
</t>
      </text>
    </comment>
    <comment authorId="0" ref="L118">
      <text>
        <t xml:space="preserve">suspended april 
NOW: 700
WAS: 1000 fixed ops SEM with purecars
</t>
      </text>
    </comment>
    <comment authorId="0" ref="M118">
      <text>
        <t xml:space="preserve">suspended april 
NOW: 700
WAS: 1000 fixed ops SEM with purecars
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0">
      <text>
        <t xml:space="preserve">$10000 AbraCadabra</t>
      </text>
    </comment>
    <comment authorId="0" ref="G10">
      <text>
        <t xml:space="preserve">Last modified: Fri Apr 08 2022 12:43:19 GMT-0400 (Eastern Daylight Time)</t>
      </text>
    </comment>
    <comment authorId="0" ref="B19">
      <text>
        <t xml:space="preserve">($5750 total invoice for 16 DC stores split over 2 mos ea. ) </t>
      </text>
    </comment>
    <comment authorId="0" ref="C19">
      <text>
        <t xml:space="preserve">($5750 total invoice for 16 DC stores split over 2 mos ea. ) </t>
      </text>
    </comment>
    <comment authorId="0" ref="C23">
      <text>
        <t xml:space="preserve">9281.96 mail
2000 outbound bdc (shaun added)</t>
      </text>
    </comment>
    <comment authorId="0" ref="D23">
      <text>
        <t xml:space="preserve">9281.96 mail
2000 outbound bdc (shaun added)</t>
      </text>
    </comment>
    <comment authorId="0" ref="B34">
      <text>
        <t xml:space="preserve">$1300 DealerFire
$850 asdf
$850 AAG (SEO)</t>
      </text>
    </comment>
    <comment authorId="0" ref="C34">
      <text>
        <t xml:space="preserve">$1300 DealerFire
$$850 AAG (SEO)
$850 AAG (SEO)
</t>
      </text>
    </comment>
    <comment authorId="0" ref="D34">
      <text>
        <t xml:space="preserve">$1300 DealerFire
$$850 AAG (SEO)
$850 AAG (SEO)
</t>
      </text>
    </comment>
    <comment authorId="0" ref="E34">
      <text>
        <t xml:space="preserve">$1300 DealerFire
$$850 AAG (SEO)
$850 AAG (SEO)
</t>
      </text>
    </comment>
    <comment authorId="0" ref="F34">
      <text>
        <t xml:space="preserve">$1300 DealerFire
$$850 AAG (SEO)
$850 AAG (SEO)
</t>
      </text>
    </comment>
    <comment authorId="0" ref="G34">
      <text>
        <t xml:space="preserve">$1300 DealerFire
$$850 AAG (SEO)
$850 AAG (SEO)
</t>
      </text>
    </comment>
    <comment authorId="0" ref="H34">
      <text>
        <t xml:space="preserve">$1300 DealerFire
$$850 AAG (SEO)
$850 AAG (SEO)
</t>
      </text>
    </comment>
    <comment authorId="0" ref="I34">
      <text>
        <t xml:space="preserve">$1300 DealerFire
$$850 AAG (SEO)
$850 AAG (SEO)
</t>
      </text>
    </comment>
    <comment authorId="0" ref="J34">
      <text>
        <t xml:space="preserve">$1300 DealerFire
$$850 AAG (SEO)
$850 AAG (SEO)
</t>
      </text>
    </comment>
    <comment authorId="0" ref="K34">
      <text>
        <t xml:space="preserve">$1300 DealerFire
$$850 AAG (SEO)
$850 AAG (SEO)
</t>
      </text>
    </comment>
    <comment authorId="0" ref="L34">
      <text>
        <t xml:space="preserve">$1300 DealerFire
$$$850 AAG (SEO)
$$850 AAG (SEO)
</t>
      </text>
    </comment>
    <comment authorId="0" ref="M34">
      <text>
        <t xml:space="preserve">$1300 DealerFire
$$850 AAG (SEO)
$850 AAG (SEO)
</t>
      </text>
    </comment>
    <comment authorId="0" ref="D36">
      <text>
        <t xml:space="preserve">$1333</t>
      </text>
    </comment>
    <comment authorId="0" ref="G37">
      <text>
        <t xml:space="preserve">$123 testNewLead</t>
      </text>
    </comment>
    <comment authorId="0" ref="B41">
      <text>
        <t xml:space="preserve">$1200 New Cars
$1200 Used Cars</t>
      </text>
    </comment>
    <comment authorId="0" ref="B42">
      <text>
        <t xml:space="preserve">365 switched to car chat 24
</t>
      </text>
    </comment>
    <comment authorId="0" ref="C42">
      <text>
        <t xml:space="preserve">365 switched to car chat 24
</t>
      </text>
    </comment>
    <comment authorId="0" ref="D42">
      <text>
        <t xml:space="preserve">365 switched to car chat 24
</t>
      </text>
    </comment>
    <comment authorId="0" ref="E42">
      <text>
        <t xml:space="preserve">365 switched to car chat 24
</t>
      </text>
    </comment>
    <comment authorId="0" ref="F42">
      <text>
        <t xml:space="preserve">365 switched to car chat 24
</t>
      </text>
    </comment>
    <comment authorId="0" ref="G42">
      <text>
        <t xml:space="preserve">365 switched to car chat 24
</t>
      </text>
    </comment>
    <comment authorId="0" ref="H42">
      <text>
        <t xml:space="preserve">365 switched to car chat 24
</t>
      </text>
    </comment>
    <comment authorId="0" ref="I42">
      <text>
        <t xml:space="preserve">365 switched to car chat 24
</t>
      </text>
    </comment>
    <comment authorId="0" ref="J42">
      <text>
        <t xml:space="preserve">365 switched to car chat 24
</t>
      </text>
    </comment>
    <comment authorId="0" ref="K42">
      <text>
        <t xml:space="preserve">365 switched to car chat 24
</t>
      </text>
    </comment>
    <comment authorId="0" ref="L42">
      <text>
        <t xml:space="preserve">365 switched to car chat 24
</t>
      </text>
    </comment>
    <comment authorId="0" ref="M42">
      <text>
        <t xml:space="preserve">365 switched to car chat 24
</t>
      </text>
    </comment>
    <comment authorId="0" ref="B43">
      <text>
        <t xml:space="preserve">1247 CallRevu
first 30 days free (Jan?)
</t>
      </text>
    </comment>
    <comment authorId="0" ref="C43">
      <text>
        <t xml:space="preserve">1247 callrevu
</t>
      </text>
    </comment>
    <comment authorId="0" ref="D43">
      <text>
        <t xml:space="preserve">1247 callrevu
</t>
      </text>
    </comment>
    <comment authorId="0" ref="E43">
      <text>
        <t xml:space="preserve">1247 callrevu
</t>
      </text>
    </comment>
    <comment authorId="0" ref="F43">
      <text>
        <t xml:space="preserve">1247 callrevu
</t>
      </text>
    </comment>
    <comment authorId="0" ref="G43">
      <text>
        <t xml:space="preserve">1247 callrevu
</t>
      </text>
    </comment>
    <comment authorId="0" ref="H43">
      <text>
        <t xml:space="preserve">1247 callrevu
</t>
      </text>
    </comment>
    <comment authorId="0" ref="I43">
      <text>
        <t xml:space="preserve">1247 callrevu
</t>
      </text>
    </comment>
    <comment authorId="0" ref="J43">
      <text>
        <t xml:space="preserve">1247 callrevu
</t>
      </text>
    </comment>
    <comment authorId="0" ref="K43">
      <text>
        <t xml:space="preserve">1247 callrevu
</t>
      </text>
    </comment>
    <comment authorId="0" ref="L43">
      <text>
        <t xml:space="preserve">1247 callrevu
</t>
      </text>
    </comment>
    <comment authorId="0" ref="M43">
      <text>
        <t xml:space="preserve">1247 callrevu
</t>
      </text>
    </comment>
    <comment authorId="0" ref="B44">
      <text>
        <t xml:space="preserve">249 Finance Driver package off-platform</t>
      </text>
    </comment>
    <comment authorId="0" ref="C44">
      <text>
        <t xml:space="preserve">249 Finance Driver package off-platform</t>
      </text>
    </comment>
    <comment authorId="0" ref="D44">
      <text>
        <t xml:space="preserve">249 Finance Driver package off-platform</t>
      </text>
    </comment>
    <comment authorId="0" ref="E44">
      <text>
        <t xml:space="preserve">249 Finance Driver package off-platform</t>
      </text>
    </comment>
    <comment authorId="0" ref="F44">
      <text>
        <t xml:space="preserve">249 Finance Driver package off-platform</t>
      </text>
    </comment>
    <comment authorId="0" ref="G44">
      <text>
        <t xml:space="preserve">249 Finance Driver package off-platform</t>
      </text>
    </comment>
    <comment authorId="0" ref="H44">
      <text>
        <t xml:space="preserve">249 Finance Driver package off-platform</t>
      </text>
    </comment>
    <comment authorId="0" ref="I44">
      <text>
        <t xml:space="preserve">249 Finance Driver package off-platform</t>
      </text>
    </comment>
    <comment authorId="0" ref="J44">
      <text>
        <t xml:space="preserve">249 Finance Driver package off-platform</t>
      </text>
    </comment>
    <comment authorId="0" ref="K44">
      <text>
        <t xml:space="preserve">249 Finance Driver package off-platform</t>
      </text>
    </comment>
    <comment authorId="0" ref="L44">
      <text>
        <t xml:space="preserve">249 Finance Driver package off-platform</t>
      </text>
    </comment>
    <comment authorId="0" ref="M44">
      <text>
        <t xml:space="preserve">249 Finance Driver package off-platform</t>
      </text>
    </comment>
    <comment authorId="0" ref="B45">
      <text>
        <t xml:space="preserve">45 Yelp 
97.5 Reputation.com</t>
      </text>
    </comment>
    <comment authorId="0" ref="C45">
      <text>
        <t xml:space="preserve">45 Yelp 
97.5 Reputation.com</t>
      </text>
    </comment>
    <comment authorId="0" ref="D45">
      <text>
        <t xml:space="preserve">45 Yelp 
97.5 Reputation.com</t>
      </text>
    </comment>
    <comment authorId="0" ref="E45">
      <text>
        <t xml:space="preserve">45 Yelp 
97.5 Reputation.com</t>
      </text>
    </comment>
    <comment authorId="0" ref="F45">
      <text>
        <t xml:space="preserve">$45 Yelp 
$97.5 Reputation.com</t>
      </text>
    </comment>
    <comment authorId="0" ref="G45">
      <text>
        <t xml:space="preserve">45 Yelp 
97.5 Reputation.com</t>
      </text>
    </comment>
    <comment authorId="0" ref="H45">
      <text>
        <t xml:space="preserve">45 Yelp 
97.5 Reputation.com</t>
      </text>
    </comment>
    <comment authorId="0" ref="I45">
      <text>
        <t xml:space="preserve">45 Yelp 
97.5 Reputation.com</t>
      </text>
    </comment>
    <comment authorId="0" ref="J45">
      <text>
        <t xml:space="preserve">45 Yelp 
97.5 Reputation.com</t>
      </text>
    </comment>
    <comment authorId="0" ref="K45">
      <text>
        <t xml:space="preserve">45 Yelp 
97.5 Reputation.com</t>
      </text>
    </comment>
    <comment authorId="0" ref="L45">
      <text>
        <t xml:space="preserve">45 Yelp 
97.5 Reputation.com</t>
      </text>
    </comment>
    <comment authorId="0" ref="M45">
      <text>
        <t xml:space="preserve">45 Yelp 
97.5 Reputation.com</t>
      </text>
    </comment>
    <comment authorId="0" ref="E46">
      <text>
        <t xml:space="preserve">cancelled 3/16</t>
      </text>
    </comment>
    <comment authorId="0" ref="B47">
      <text>
        <t xml:space="preserve">850 Alli
30 Paid Alli
L2T cancelled
$750 social/CRM link fee 
$2500 ad spend on facebook
</t>
      </text>
    </comment>
    <comment authorId="0" ref="C47">
      <text>
        <t xml:space="preserve">850 Alli
30 Paid Alli
L2T cancelled
$750 social/CRM link fee 
$2500 ad spend on facebook
</t>
      </text>
    </comment>
    <comment authorId="0" ref="D47">
      <text>
        <t xml:space="preserve">850 Alli
30 Paid Alli
L2T cancelled
$750 social/CRM link fee 
$2500 ad spend on facebook
</t>
      </text>
    </comment>
    <comment authorId="0" ref="E47">
      <text>
        <t xml:space="preserve">850 Alli
30 Paid Alli
L2T cancelled
$750 social/CRM link fee 
$2500 ad spend on facebook
</t>
      </text>
    </comment>
    <comment authorId="0" ref="F47">
      <text>
        <t xml:space="preserve">850 Alli
30 Paid Alli
L2T cancelled
$750 social/CRM link fee 
$2500 ad spend on facebook
</t>
      </text>
    </comment>
    <comment authorId="0" ref="G47">
      <text>
        <t xml:space="preserve">$850 Alli
$30 Paid Alli
L2T cancelled
750 social/CRM link fee 
2500 ad spend on facebook
</t>
      </text>
    </comment>
    <comment authorId="0" ref="H47">
      <text>
        <t xml:space="preserve">850 Alli
30 Paid Alli
L2T cancelled
$750 social/CRM link fee 
$2500 ad spend on facebook
</t>
      </text>
    </comment>
    <comment authorId="0" ref="I47">
      <text>
        <t xml:space="preserve">850 Alli
30 Paid Alli
L2T cancelled
$750 social/CRM link fee 
$2500 ad spend on facebook
</t>
      </text>
    </comment>
    <comment authorId="0" ref="J47">
      <text>
        <t xml:space="preserve">850 Alli
30 Paid Alli
L2T cancelled
$750 social/CRM link fee 
$2500 ad spend on facebook
</t>
      </text>
    </comment>
    <comment authorId="0" ref="K47">
      <text>
        <t xml:space="preserve">850 Alli
30 Paid Alli
L2T cancelled
$750 social/CRM link fee 
$2500 ad spend on facebook
</t>
      </text>
    </comment>
    <comment authorId="0" ref="L47">
      <text>
        <t xml:space="preserve">850 Alli
30 Paid Alli
L2T cancelled
$750 social/CRM link fee 
$2500 ad spend on facebook
</t>
      </text>
    </comment>
    <comment authorId="0" ref="M47">
      <text>
        <t xml:space="preserve">850 Alli
30 Paid Alli
L2T cancelled
$750 social/CRM link fee 
$2500 ad spend on facebook
</t>
      </text>
    </comment>
    <comment authorId="0" ref="B49">
      <text>
        <t xml:space="preserve">55.66 Sheehy.com
$350.33 PERQ child site
80 we buy cars</t>
      </text>
    </comment>
    <comment authorId="0" ref="C49">
      <text>
        <t xml:space="preserve">55.66 Sheehy.com
$350.33 PERQ child site
80 we buy cars</t>
      </text>
    </comment>
    <comment authorId="0" ref="D49">
      <text>
        <t xml:space="preserve">55.66 Sheehy.com
$350.33 PERQ child site
80 we buy cars</t>
      </text>
    </comment>
    <comment authorId="0" ref="E49">
      <text>
        <t xml:space="preserve">55.66 Sheehy.com
$350.33 PERQ child site
80 we buy cars</t>
      </text>
    </comment>
    <comment authorId="0" ref="F49">
      <text>
        <t xml:space="preserve">55.66 Sheehy.com
$350.33 PERQ child site
80 we buy cars</t>
      </text>
    </comment>
    <comment authorId="0" ref="G49">
      <text>
        <t xml:space="preserve">55.66 Sheehy.com
$350.33 PERQ child site
80 we buy cars</t>
      </text>
    </comment>
    <comment authorId="0" ref="H49">
      <text>
        <t xml:space="preserve">55.66 Sheehy.com
$350.33 PERQ child site
80 we buy cars</t>
      </text>
    </comment>
    <comment authorId="0" ref="I49">
      <text>
        <t xml:space="preserve">55.66 Sheehy.com
$350.33 PERQ child site
80 we buy cars</t>
      </text>
    </comment>
    <comment authorId="0" ref="J49">
      <text>
        <t xml:space="preserve">55.66 Sheehy.com
$350.33 PERQ child site
80 we buy cars</t>
      </text>
    </comment>
    <comment authorId="0" ref="K49">
      <text>
        <t xml:space="preserve">55.66 Sheehy.com
$350.33 PERQ child site
80 we buy cars</t>
      </text>
    </comment>
    <comment authorId="0" ref="L49">
      <text>
        <t xml:space="preserve">55.66 Sheehy.com
$350.33 PERQ child site
80 we buy cars</t>
      </text>
    </comment>
    <comment authorId="0" ref="M49">
      <text>
        <t xml:space="preserve">55.66 Sheehy.com
$350.33 PERQ child site
80 we buy cars</t>
      </text>
    </comment>
    <comment authorId="0" ref="B55">
      <text>
        <t xml:space="preserve">Nissan OEM EOM Email program
Capped at $1000
Billed to parts statement </t>
      </text>
    </comment>
    <comment authorId="0" ref="C55">
      <text>
        <t xml:space="preserve">pres day email with oem </t>
      </text>
    </comment>
    <comment authorId="0" ref="E55">
      <text>
        <t xml:space="preserve">Nissan OEM EOM Email program
Capped at $1000
Billed to parts statement </t>
      </text>
    </comment>
    <comment authorId="0" ref="G55">
      <text>
        <t xml:space="preserve">$600 private offer digital plus up billed on OEM parts statement in June</t>
      </text>
    </comment>
    <comment authorId="0" ref="H55">
      <text>
        <t xml:space="preserve">Nissan OEM EOM Email program
Capped at $1000
Billed to parts statement </t>
      </text>
    </comment>
    <comment authorId="0" ref="K55">
      <text>
        <t xml:space="preserve">Nissan OEM EOM Email program
Capped at $1000
Billed to parts statement </t>
      </text>
    </comment>
    <comment authorId="0" ref="B56">
      <text>
        <t xml:space="preserve">includes trade/reach and subscription</t>
      </text>
    </comment>
    <comment authorId="0" ref="C56">
      <text>
        <t xml:space="preserve">includes trade/reach and subscription</t>
      </text>
    </comment>
    <comment authorId="0" ref="D56">
      <text>
        <t xml:space="preserve">includes trade/reach and subscription</t>
      </text>
    </comment>
    <comment authorId="0" ref="E56">
      <text>
        <t xml:space="preserve">includes trade/reach and subscription</t>
      </text>
    </comment>
    <comment authorId="0" ref="F56">
      <text>
        <t xml:space="preserve">includes trade/reach and subscription</t>
      </text>
    </comment>
    <comment authorId="0" ref="G56">
      <text>
        <t xml:space="preserve">includes trade/reach and subscription</t>
      </text>
    </comment>
    <comment authorId="0" ref="H56">
      <text>
        <t xml:space="preserve">includes trade/reach and subscription</t>
      </text>
    </comment>
    <comment authorId="0" ref="I56">
      <text>
        <t xml:space="preserve">includes trade/reach and subscription</t>
      </text>
    </comment>
    <comment authorId="0" ref="J56">
      <text>
        <t xml:space="preserve">includes trade/reach and subscription</t>
      </text>
    </comment>
    <comment authorId="0" ref="K56">
      <text>
        <t xml:space="preserve">includes trade/reach and subscription</t>
      </text>
    </comment>
    <comment authorId="0" ref="L56">
      <text>
        <t xml:space="preserve">includes trade/reach and subscription</t>
      </text>
    </comment>
    <comment authorId="0" ref="M56">
      <text>
        <t xml:space="preserve">includes trade/reach and subscription</t>
      </text>
    </comment>
    <comment authorId="0" ref="B57">
      <text>
        <t xml:space="preserve">399 Trade tool with Purecars
351 mgmt fee
57 Data Management fee</t>
      </text>
    </comment>
    <comment authorId="0" ref="C57">
      <text>
        <t xml:space="preserve">399 Trade tool with Purecars
351 mgmt fee
57 Data Management fee</t>
      </text>
    </comment>
    <comment authorId="0" ref="D57">
      <text>
        <t xml:space="preserve">399 Trade tool with Purecars
351 mgmt fee
57 Data Management fee</t>
      </text>
    </comment>
    <comment authorId="0" ref="E57">
      <text>
        <t xml:space="preserve">399 Trade tool with Purecars
351 mgmt fee
57 Data Management fee</t>
      </text>
    </comment>
    <comment authorId="0" ref="F57">
      <text>
        <t xml:space="preserve">399 Trade tool with Purecars
351 mgmt fee
57 Data Management fee</t>
      </text>
    </comment>
    <comment authorId="0" ref="G57">
      <text>
        <t xml:space="preserve">399 Trade tool with Purecars
351 mgmt fee
57 Data Management fee</t>
      </text>
    </comment>
    <comment authorId="0" ref="H57">
      <text>
        <t xml:space="preserve">399 Trade tool with Purecars
351 mgmt fee
57 Data Management fee</t>
      </text>
    </comment>
    <comment authorId="0" ref="I57">
      <text>
        <t xml:space="preserve">399 Trade tool with Purecars
351 mgmt fee
57 Data Management fee</t>
      </text>
    </comment>
    <comment authorId="0" ref="J57">
      <text>
        <t xml:space="preserve">399 Trade tool with Purecars
351 mgmt fee
57 Data Management fee</t>
      </text>
    </comment>
    <comment authorId="0" ref="K57">
      <text>
        <t xml:space="preserve">399 Trade tool with Purecars
351 mgmt fee
57 Data Management fee</t>
      </text>
    </comment>
    <comment authorId="0" ref="L57">
      <text>
        <t xml:space="preserve">399 Trade tool with Purecars
351 mgmt fee
57 Data Management fee</t>
      </text>
    </comment>
    <comment authorId="0" ref="M57">
      <text>
        <t xml:space="preserve">399 Trade tool with Purecars
351 mgmt fee
57 Data Management fee</t>
      </text>
    </comment>
    <comment authorId="0" ref="B60">
      <text>
        <t xml:space="preserve">1100 NEW
1100 USED
2200 TOTAL</t>
      </text>
    </comment>
    <comment authorId="0" ref="C60">
      <text>
        <t xml:space="preserve">1100 NEW
1100 USED
2200 TOTAL</t>
      </text>
    </comment>
    <comment authorId="0" ref="D60">
      <text>
        <t xml:space="preserve">1100 NEW
1100 USED
2200 TOTAL</t>
      </text>
    </comment>
    <comment authorId="0" ref="E60">
      <text>
        <t xml:space="preserve">1100 NEW
1100 USED
2200 TOTAL</t>
      </text>
    </comment>
    <comment authorId="0" ref="F60">
      <text>
        <t xml:space="preserve">1100 NEW
1100 USED
2200 TOTAL</t>
      </text>
    </comment>
    <comment authorId="0" ref="G60">
      <text>
        <t xml:space="preserve">1100 NEW
1100 USED
2200 TOTAL</t>
      </text>
    </comment>
    <comment authorId="0" ref="H60">
      <text>
        <t xml:space="preserve">1100 NEW
1100 USED
2200 TOTAL</t>
      </text>
    </comment>
    <comment authorId="0" ref="I60">
      <text>
        <t xml:space="preserve">1100 NEW
1100 USED
2200 TOTAL</t>
      </text>
    </comment>
    <comment authorId="0" ref="J60">
      <text>
        <t xml:space="preserve">1100 NEW
1100 USED
2200 TOTAL</t>
      </text>
    </comment>
    <comment authorId="0" ref="K60">
      <text>
        <t xml:space="preserve">1100 NEW
1100 USED
2200 TOTAL</t>
      </text>
    </comment>
    <comment authorId="0" ref="L60">
      <text>
        <t xml:space="preserve">1100 NEW
1100 USED
2200 TOTAL</t>
      </text>
    </comment>
    <comment authorId="0" ref="M60">
      <text>
        <t xml:space="preserve">1100 NEW
1100 USED
2200 TOTAL</t>
      </text>
    </comment>
    <comment authorId="0" ref="B64">
      <text>
        <t xml:space="preserve">16350 new
</t>
      </text>
    </comment>
    <comment authorId="0" ref="C64">
      <text>
        <t xml:space="preserve">16350 new
</t>
      </text>
    </comment>
    <comment authorId="0" ref="D64">
      <text>
        <t xml:space="preserve">16350 new
</t>
      </text>
    </comment>
    <comment authorId="0" ref="E64">
      <text>
        <t xml:space="preserve">16350 new
</t>
      </text>
    </comment>
    <comment authorId="0" ref="F64">
      <text>
        <t xml:space="preserve">16350 new
</t>
      </text>
    </comment>
    <comment authorId="0" ref="G64">
      <text>
        <t xml:space="preserve">16350 new
</t>
      </text>
    </comment>
    <comment authorId="0" ref="H64">
      <text>
        <t xml:space="preserve">16350 new
</t>
      </text>
    </comment>
    <comment authorId="0" ref="I64">
      <text>
        <t xml:space="preserve">16350 new
</t>
      </text>
    </comment>
    <comment authorId="0" ref="J64">
      <text>
        <t xml:space="preserve">16350 new
</t>
      </text>
    </comment>
    <comment authorId="0" ref="K64">
      <text>
        <t xml:space="preserve">16350 new
</t>
      </text>
    </comment>
    <comment authorId="0" ref="L64">
      <text>
        <t xml:space="preserve">16350 new
</t>
      </text>
    </comment>
    <comment authorId="0" ref="M64">
      <text>
        <t xml:space="preserve">16350 new
</t>
      </text>
    </comment>
    <comment authorId="0" ref="B65">
      <text>
        <t xml:space="preserve">595 Work Truck Solutions</t>
      </text>
    </comment>
    <comment authorId="0" ref="C65">
      <text>
        <t xml:space="preserve">595 Work Truck Solutions</t>
      </text>
    </comment>
    <comment authorId="0" ref="D65">
      <text>
        <t xml:space="preserve">595 Work Truck Solutions</t>
      </text>
    </comment>
    <comment authorId="0" ref="E65">
      <text>
        <t xml:space="preserve">595 Work Truck Solutions</t>
      </text>
    </comment>
    <comment authorId="0" ref="F65">
      <text>
        <t xml:space="preserve">595 Work Truck Solutions</t>
      </text>
    </comment>
    <comment authorId="0" ref="G65">
      <text>
        <t xml:space="preserve">595 Work Truck Solutions</t>
      </text>
    </comment>
    <comment authorId="0" ref="H65">
      <text>
        <t xml:space="preserve">595 Work Truck Solutions</t>
      </text>
    </comment>
    <comment authorId="0" ref="I65">
      <text>
        <t xml:space="preserve">595 Work Truck Solutions</t>
      </text>
    </comment>
    <comment authorId="0" ref="J65">
      <text>
        <t xml:space="preserve">595 Work Truck Solutions</t>
      </text>
    </comment>
    <comment authorId="0" ref="K65">
      <text>
        <t xml:space="preserve">595 Work Truck Solutions</t>
      </text>
    </comment>
    <comment authorId="0" ref="L65">
      <text>
        <t xml:space="preserve">595 Work Truck Solutions</t>
      </text>
    </comment>
    <comment authorId="0" ref="M65">
      <text>
        <t xml:space="preserve">595 Work Truck Solutions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B74">
      <text>
        <t xml:space="preserve">TBD
</t>
      </text>
    </comment>
    <comment authorId="0" ref="C74">
      <text>
        <t xml:space="preserve">TBD
</t>
      </text>
    </comment>
    <comment authorId="0" ref="D74">
      <text>
        <t xml:space="preserve">TBD
</t>
      </text>
    </comment>
    <comment authorId="0" ref="E74">
      <text>
        <t xml:space="preserve">TBD
</t>
      </text>
    </comment>
    <comment authorId="0" ref="F74">
      <text>
        <t xml:space="preserve">TBD
</t>
      </text>
    </comment>
    <comment authorId="0" ref="G74">
      <text>
        <t xml:space="preserve">TBD
</t>
      </text>
    </comment>
    <comment authorId="0" ref="H74">
      <text>
        <t xml:space="preserve">TBD
</t>
      </text>
    </comment>
    <comment authorId="0" ref="I74">
      <text>
        <t xml:space="preserve">TBD
</t>
      </text>
    </comment>
    <comment authorId="0" ref="J74">
      <text>
        <t xml:space="preserve">TBD
</t>
      </text>
    </comment>
    <comment authorId="0" ref="K74">
      <text>
        <t xml:space="preserve">TBD
</t>
      </text>
    </comment>
    <comment authorId="0" ref="L74">
      <text>
        <t xml:space="preserve">TBD
</t>
      </text>
    </comment>
    <comment authorId="0" ref="M74">
      <text>
        <t xml:space="preserve">TBD
</t>
      </text>
    </comment>
    <comment authorId="0" ref="B75">
      <text>
        <t xml:space="preserve">1100 NEW
1100 USED
2200 TOTAL</t>
      </text>
    </comment>
    <comment authorId="0" ref="C75">
      <text>
        <t xml:space="preserve">1100 NEW
1100 USED
2200 TOTAL</t>
      </text>
    </comment>
    <comment authorId="0" ref="D75">
      <text>
        <t xml:space="preserve">1100 NEW
1100 USED
2200 TOTAL</t>
      </text>
    </comment>
    <comment authorId="0" ref="E75">
      <text>
        <t xml:space="preserve">1100 NEW
1100 USED
2200 TOTAL</t>
      </text>
    </comment>
    <comment authorId="0" ref="F75">
      <text>
        <t xml:space="preserve">1100 NEW
1100 USED
2200 TOTAL</t>
      </text>
    </comment>
    <comment authorId="0" ref="G75">
      <text>
        <t xml:space="preserve">1100 NEW
1100 USED
2200 TOTAL</t>
      </text>
    </comment>
    <comment authorId="0" ref="H75">
      <text>
        <t xml:space="preserve">1100 NEW
1100 USED
2200 TOTAL</t>
      </text>
    </comment>
    <comment authorId="0" ref="I75">
      <text>
        <t xml:space="preserve">1100 NEW
1100 USED
2200 TOTAL</t>
      </text>
    </comment>
    <comment authorId="0" ref="J75">
      <text>
        <t xml:space="preserve">1100 NEW
1100 USED
2200 TOTAL</t>
      </text>
    </comment>
    <comment authorId="0" ref="K75">
      <text>
        <t xml:space="preserve">1100 NEW
1100 USED
2200 TOTAL</t>
      </text>
    </comment>
    <comment authorId="0" ref="L75">
      <text>
        <t xml:space="preserve">1100 NEW
1100 USED
2200 TOTAL</t>
      </text>
    </comment>
    <comment authorId="0" ref="M75">
      <text>
        <t xml:space="preserve">1100 NEW
1100 USED
2200 TOTAL</t>
      </text>
    </comment>
    <comment authorId="0" ref="B81">
      <text>
        <t xml:space="preserve">$2350 Enhanced </t>
      </text>
    </comment>
    <comment authorId="0" ref="C81">
      <text>
        <t xml:space="preserve">$2350 Enhanced </t>
      </text>
    </comment>
    <comment authorId="0" ref="D81">
      <text>
        <t xml:space="preserve">$2350 Enhanced </t>
      </text>
    </comment>
    <comment authorId="0" ref="E81">
      <text>
        <t xml:space="preserve">$2350 Enhanced </t>
      </text>
    </comment>
    <comment authorId="0" ref="F81">
      <text>
        <t xml:space="preserve">$2350 Enhanced </t>
      </text>
    </comment>
    <comment authorId="0" ref="G81">
      <text>
        <t xml:space="preserve">$2350 Enhanced </t>
      </text>
    </comment>
    <comment authorId="0" ref="H81">
      <text>
        <t xml:space="preserve">$2350 Enhanced </t>
      </text>
    </comment>
    <comment authorId="0" ref="I81">
      <text>
        <t xml:space="preserve">$2350 Enhanced </t>
      </text>
    </comment>
    <comment authorId="0" ref="J81">
      <text>
        <t xml:space="preserve">$2350 Enhanced </t>
      </text>
    </comment>
    <comment authorId="0" ref="K81">
      <text>
        <t xml:space="preserve">$2350 Enhanced </t>
      </text>
    </comment>
    <comment authorId="0" ref="L81">
      <text>
        <t xml:space="preserve">$2350 Enhanced </t>
      </text>
    </comment>
    <comment authorId="0" ref="M81">
      <text>
        <t xml:space="preserve">$2350 Enhanced </t>
      </text>
    </comment>
    <comment authorId="0" ref="C94">
      <text>
        <t xml:space="preserve">$280 review cards (includes estimated shipping/taxes)</t>
      </text>
    </comment>
    <comment authorId="0" ref="K95">
      <text>
        <t xml:space="preserve">$180 Polin
$200 boxes
</t>
      </text>
    </comment>
    <comment authorId="0" ref="B104">
      <text>
        <t xml:space="preserve">$500 Other Group Digital </t>
      </text>
    </comment>
    <comment authorId="0" ref="C104">
      <text>
        <t xml:space="preserve">$500 Other Group Digital </t>
      </text>
    </comment>
    <comment authorId="0" ref="D104">
      <text>
        <t xml:space="preserve">$200 Other Group Digital 
$113.63 WJA sponsorship</t>
      </text>
    </comment>
    <comment authorId="0" ref="E104">
      <text>
        <t xml:space="preserve">$500 Other Group Digital </t>
      </text>
    </comment>
    <comment authorId="0" ref="F104">
      <text>
        <t xml:space="preserve">$500 Other Group Digital </t>
      </text>
    </comment>
    <comment authorId="0" ref="G104">
      <text>
        <t xml:space="preserve">$605 Other Group Digital </t>
      </text>
    </comment>
    <comment authorId="0" ref="H104">
      <text>
        <t xml:space="preserve">$605 Other Group Digital </t>
      </text>
    </comment>
    <comment authorId="0" ref="I104">
      <text>
        <t xml:space="preserve">$500 Other Group Digital </t>
      </text>
    </comment>
    <comment authorId="0" ref="J104">
      <text>
        <t xml:space="preserve">$500 Other Group Digital </t>
      </text>
    </comment>
    <comment authorId="0" ref="K104">
      <text>
        <t xml:space="preserve">$500 Other Group Digital </t>
      </text>
    </comment>
    <comment authorId="0" ref="L104">
      <text>
        <t xml:space="preserve">$500 Other Group Digital </t>
      </text>
    </comment>
    <comment authorId="0" ref="M104">
      <text>
        <t xml:space="preserve">$500 Other Group Digital </t>
      </text>
    </comment>
    <comment authorId="0" ref="B116">
      <text>
        <t xml:space="preserve">$1,095 Easy Care
</t>
      </text>
    </comment>
    <comment authorId="0" ref="C116">
      <text>
        <t xml:space="preserve">$1,095 Easy Care
</t>
      </text>
    </comment>
    <comment authorId="0" ref="D116">
      <text>
        <t xml:space="preserve">$1,095 Easy Care
</t>
      </text>
    </comment>
    <comment authorId="0" ref="E116">
      <text>
        <t xml:space="preserve">$1,095 Easy Care
</t>
      </text>
    </comment>
    <comment authorId="0" ref="F116">
      <text>
        <t xml:space="preserve">$1,095 Easy Care
</t>
      </text>
    </comment>
    <comment authorId="0" ref="G116">
      <text>
        <t xml:space="preserve">$1,095 Easy Care
</t>
      </text>
    </comment>
    <comment authorId="0" ref="H116">
      <text>
        <t xml:space="preserve">$1,095 Easy Care
</t>
      </text>
    </comment>
    <comment authorId="0" ref="I116">
      <text>
        <t xml:space="preserve">$1,095 Easy Care
</t>
      </text>
    </comment>
    <comment authorId="0" ref="J116">
      <text>
        <t xml:space="preserve">$1,095 Easy Care
</t>
      </text>
    </comment>
    <comment authorId="0" ref="K116">
      <text>
        <t xml:space="preserve">$1,095 Easy Care
</t>
      </text>
    </comment>
    <comment authorId="0" ref="L116">
      <text>
        <t xml:space="preserve">$1,095 Easy Care
</t>
      </text>
    </comment>
    <comment authorId="0" ref="M116">
      <text>
        <t xml:space="preserve">$1,095 Easy Care
</t>
      </text>
    </comment>
    <comment authorId="0" ref="B118">
      <text>
        <t xml:space="preserve">$2,130.32 quarterly mailer
950 trigger mail</t>
      </text>
    </comment>
    <comment authorId="0" ref="E118">
      <text>
        <t xml:space="preserve">$2,130.32 quarterly mailer
950 trigger mail</t>
      </text>
    </comment>
    <comment authorId="0" ref="H118">
      <text>
        <t xml:space="preserve">$2,130.32 quarterly mailer
950 trigger mail</t>
      </text>
    </comment>
    <comment authorId="0" ref="B119">
      <text>
        <t xml:space="preserve">1400 fixed ops sem
</t>
      </text>
    </comment>
    <comment authorId="0" ref="C119">
      <text>
        <t xml:space="preserve">1400 fixed ops sem
</t>
      </text>
    </comment>
    <comment authorId="0" ref="D119">
      <text>
        <t xml:space="preserve">1400 fixed ops sem
</t>
      </text>
    </comment>
    <comment authorId="0" ref="E119">
      <text>
        <t xml:space="preserve">1400 fixed ops sem
</t>
      </text>
    </comment>
    <comment authorId="0" ref="F119">
      <text>
        <t xml:space="preserve">1400 fixed ops sem
</t>
      </text>
    </comment>
    <comment authorId="0" ref="G119">
      <text>
        <t xml:space="preserve">1400 fixed ops sem
</t>
      </text>
    </comment>
    <comment authorId="0" ref="H119">
      <text>
        <t xml:space="preserve">1400 fixed ops sem
</t>
      </text>
    </comment>
    <comment authorId="0" ref="I119">
      <text>
        <t xml:space="preserve">1400 fixed ops sem
</t>
      </text>
    </comment>
    <comment authorId="0" ref="J119">
      <text>
        <t xml:space="preserve">1400 fixed ops sem
</t>
      </text>
    </comment>
    <comment authorId="0" ref="K119">
      <text>
        <t xml:space="preserve">1400 fixed ops sem
</t>
      </text>
    </comment>
    <comment authorId="0" ref="L119">
      <text>
        <t xml:space="preserve">1400 fixed ops sem
</t>
      </text>
    </comment>
    <comment authorId="0" ref="M119">
      <text>
        <t xml:space="preserve">1400 fixed ops sem
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4">
      <text>
        <t xml:space="preserve">1300 website- reduced to $850
61.9 sheehy.com portal site</t>
      </text>
    </comment>
    <comment authorId="0" ref="C34">
      <text>
        <t xml:space="preserve">1300 website- reduced to $850
61.9 sheehy.com portal site</t>
      </text>
    </comment>
    <comment authorId="0" ref="D34">
      <text>
        <t xml:space="preserve">1300 website- reduced to $850
61.9 sheehy.com portal site</t>
      </text>
    </comment>
    <comment authorId="0" ref="E34">
      <text>
        <t xml:space="preserve">1300 website- reduced to $850
61.9 sheehy.com portal site</t>
      </text>
    </comment>
    <comment authorId="0" ref="F34">
      <text>
        <t xml:space="preserve">1300 website- reduced to $850
61.9 sheehy.com portal site</t>
      </text>
    </comment>
    <comment authorId="0" ref="G34">
      <text>
        <t xml:space="preserve">1300 website- reduced to $850
61.9 sheehy.com portal site</t>
      </text>
    </comment>
    <comment authorId="0" ref="H34">
      <text>
        <t xml:space="preserve">1300 website- reduced to $850
61.9 sheehy.com portal site</t>
      </text>
    </comment>
    <comment authorId="0" ref="I34">
      <text>
        <t xml:space="preserve">1300 website- reduced to $850
61.9 sheehy.com portal site</t>
      </text>
    </comment>
    <comment authorId="0" ref="J34">
      <text>
        <t xml:space="preserve">1300 website- reduced to $850
61.9 sheehy.com portal site</t>
      </text>
    </comment>
    <comment authorId="0" ref="K34">
      <text>
        <t xml:space="preserve">1300 website- reduced to $850
61.9 sheehy.com portal site</t>
      </text>
    </comment>
    <comment authorId="0" ref="L34">
      <text>
        <t xml:space="preserve">1300 website- reduced to $850
61.9 sheehy.com portal site</t>
      </text>
    </comment>
    <comment authorId="0" ref="M34">
      <text>
        <t xml:space="preserve">1300 website- reduced to $850
61.9 sheehy.com portal site</t>
      </text>
    </comment>
    <comment authorId="0" ref="B44">
      <text>
        <t xml:space="preserve">249 Finance Driver off-platform</t>
      </text>
    </comment>
    <comment authorId="0" ref="C44">
      <text>
        <t xml:space="preserve">249 Finance Driver off-platform</t>
      </text>
    </comment>
    <comment authorId="0" ref="D44">
      <text>
        <t xml:space="preserve">249 Finance Driver off-platform
--cancelled on 2/23 billing to end on 3/19</t>
      </text>
    </comment>
    <comment authorId="0" ref="B47">
      <text>
        <t xml:space="preserve">470 L2T
30 Alli
</t>
      </text>
    </comment>
    <comment authorId="0" ref="C47">
      <text>
        <t xml:space="preserve">470 L2T
30 Alli
</t>
      </text>
    </comment>
    <comment authorId="0" ref="D47">
      <text>
        <t xml:space="preserve">470 L2T
30 Alli
</t>
      </text>
    </comment>
    <comment authorId="0" ref="E47">
      <text>
        <t xml:space="preserve">470 L2T
30 Alli
</t>
      </text>
    </comment>
    <comment authorId="0" ref="F47">
      <text>
        <t xml:space="preserve">470 L2T
30 Alli
</t>
      </text>
    </comment>
    <comment authorId="0" ref="G47">
      <text>
        <t xml:space="preserve">470 L2T
30 Alli
</t>
      </text>
    </comment>
    <comment authorId="0" ref="H47">
      <text>
        <t xml:space="preserve">470 L2T
30 Alli
</t>
      </text>
    </comment>
    <comment authorId="0" ref="I47">
      <text>
        <t xml:space="preserve">470 L2T
30 Alli
</t>
      </text>
    </comment>
    <comment authorId="0" ref="J47">
      <text>
        <t xml:space="preserve">470 L2T
30 Alli
</t>
      </text>
    </comment>
    <comment authorId="0" ref="K47">
      <text>
        <t xml:space="preserve">470 L2T
30 Alli
</t>
      </text>
    </comment>
    <comment authorId="0" ref="L47">
      <text>
        <t xml:space="preserve">470 L2T
30 Alli
</t>
      </text>
    </comment>
    <comment authorId="0" ref="M47">
      <text>
        <t xml:space="preserve">470 L2T
30 Alli
</t>
      </text>
    </comment>
    <comment authorId="0" ref="B72">
      <text>
        <t xml:space="preserve">TBD
</t>
      </text>
    </comment>
    <comment authorId="0" ref="C72">
      <text>
        <t xml:space="preserve">TBD
</t>
      </text>
    </comment>
    <comment authorId="0" ref="D72">
      <text>
        <t xml:space="preserve">TBD
</t>
      </text>
    </comment>
    <comment authorId="0" ref="E72">
      <text>
        <t xml:space="preserve">TBD
</t>
      </text>
    </comment>
    <comment authorId="0" ref="F72">
      <text>
        <t xml:space="preserve">TBD
</t>
      </text>
    </comment>
    <comment authorId="0" ref="G72">
      <text>
        <t xml:space="preserve">TBD
</t>
      </text>
    </comment>
    <comment authorId="0" ref="H72">
      <text>
        <t xml:space="preserve">TBD
</t>
      </text>
    </comment>
    <comment authorId="0" ref="I72">
      <text>
        <t xml:space="preserve">TBD
</t>
      </text>
    </comment>
    <comment authorId="0" ref="J72">
      <text>
        <t xml:space="preserve">TBD
</t>
      </text>
    </comment>
    <comment authorId="0" ref="K72">
      <text>
        <t xml:space="preserve">TBD
</t>
      </text>
    </comment>
    <comment authorId="0" ref="L72">
      <text>
        <t xml:space="preserve">TBD
</t>
      </text>
    </comment>
    <comment authorId="0" ref="M72">
      <text>
        <t xml:space="preserve">TBD
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E74">
      <text>
        <t xml:space="preserve">suspended for april</t>
      </text>
    </comment>
    <comment authorId="0" ref="F74">
      <text>
        <t xml:space="preserve">TBD</t>
      </text>
    </comment>
    <comment authorId="0" ref="G74">
      <text>
        <t xml:space="preserve">TBD</t>
      </text>
    </comment>
    <comment authorId="0" ref="H74">
      <text>
        <t xml:space="preserve">TBD</t>
      </text>
    </comment>
    <comment authorId="0" ref="I74">
      <text>
        <t xml:space="preserve">TBD</t>
      </text>
    </comment>
    <comment authorId="0" ref="J74">
      <text>
        <t xml:space="preserve">TBD</t>
      </text>
    </comment>
    <comment authorId="0" ref="K74">
      <text>
        <t xml:space="preserve">TBD</t>
      </text>
    </comment>
    <comment authorId="0" ref="L74">
      <text>
        <t xml:space="preserve">TBD</t>
      </text>
    </comment>
    <comment authorId="0" ref="M74">
      <text>
        <t xml:space="preserve">TBD</t>
      </text>
    </comment>
    <comment authorId="0" ref="M76">
      <text>
        <t xml:space="preserve">TBD</t>
      </text>
    </comment>
    <comment authorId="0" ref="B81">
      <text>
        <t xml:space="preserve">NOW: 1584.80
WAS: 2264 SEM</t>
      </text>
    </comment>
    <comment authorId="0" ref="C81">
      <text>
        <t xml:space="preserve">NOW: 1584.80
WAS: 2264 SEM</t>
      </text>
    </comment>
    <comment authorId="0" ref="D81">
      <text>
        <t xml:space="preserve">NOW: 1584.80
WAS: 2264 SEM</t>
      </text>
    </comment>
    <comment authorId="0" ref="E81">
      <text>
        <t xml:space="preserve">NOW: 1584.80
WAS: 2264 SEM</t>
      </text>
    </comment>
    <comment authorId="0" ref="F81">
      <text>
        <t xml:space="preserve">NOW: 1584.80
WAS: 2264 SEM</t>
      </text>
    </comment>
    <comment authorId="0" ref="G81">
      <text>
        <t xml:space="preserve">NOW: 1584.80
WAS: 2264 SEM</t>
      </text>
    </comment>
    <comment authorId="0" ref="H81">
      <text>
        <t xml:space="preserve">NOW: 1584.80
WAS: 2264 SEM</t>
      </text>
    </comment>
    <comment authorId="0" ref="I81">
      <text>
        <t xml:space="preserve">NOW: 1584.80
WAS: 2264 SEM</t>
      </text>
    </comment>
    <comment authorId="0" ref="J81">
      <text>
        <t xml:space="preserve">NOW: 1584.80
WAS: 2264 SEM</t>
      </text>
    </comment>
    <comment authorId="0" ref="K81">
      <text>
        <t xml:space="preserve">NOW: 1584.80
WAS: 2264 SEM</t>
      </text>
    </comment>
    <comment authorId="0" ref="L81">
      <text>
        <t xml:space="preserve">NOW: 1584.80
WAS: 2264 SEM</t>
      </text>
    </comment>
    <comment authorId="0" ref="M81">
      <text>
        <t xml:space="preserve">NOW: 1584.80
WAS: 2264 SEM</t>
      </text>
    </comment>
    <comment authorId="0" ref="B103">
      <text>
        <t xml:space="preserve">$250 Other Group Digital </t>
      </text>
    </comment>
    <comment authorId="0" ref="C103">
      <text>
        <t xml:space="preserve">$250 Other Group Digital </t>
      </text>
    </comment>
    <comment authorId="0" ref="D103">
      <text>
        <t xml:space="preserve">$500 PureCars Sheehy.com 
$500 Other Group Digital </t>
      </text>
    </comment>
    <comment authorId="0" ref="E103">
      <text>
        <t xml:space="preserve">$500 Other Group Digital </t>
      </text>
    </comment>
    <comment authorId="0" ref="F103">
      <text>
        <t xml:space="preserve">$250 Other Group Digital </t>
      </text>
    </comment>
    <comment authorId="0" ref="G103">
      <text>
        <t xml:space="preserve">$250 Other Group Digital </t>
      </text>
    </comment>
    <comment authorId="0" ref="H103">
      <text>
        <t xml:space="preserve">$250 Other Group Digital </t>
      </text>
    </comment>
    <comment authorId="0" ref="I103">
      <text>
        <t xml:space="preserve">$250 Other Group Digital </t>
      </text>
    </comment>
    <comment authorId="0" ref="J103">
      <text>
        <t xml:space="preserve">$250 Other Group Digital </t>
      </text>
    </comment>
    <comment authorId="0" ref="K103">
      <text>
        <t xml:space="preserve">$250 Other Group Digital </t>
      </text>
    </comment>
    <comment authorId="0" ref="L103">
      <text>
        <t xml:space="preserve">$250 Other Group Digital </t>
      </text>
    </comment>
    <comment authorId="0" ref="M103">
      <text>
        <t xml:space="preserve">$250 Other Group Digital 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9">
      <text>
        <t xml:space="preserve">($5750 total invoice for 16 DC stores split over 2 mos ea. ) </t>
      </text>
    </comment>
    <comment authorId="0" ref="C19">
      <text>
        <t xml:space="preserve">($5750 total invoice for 16 DC stores split over 2 mos ea. ) </t>
      </text>
    </comment>
    <comment authorId="0" ref="B34">
      <text>
        <t xml:space="preserve">1350.24 website
61.9 sheehy.com portal site
850 AAG (SEO)</t>
      </text>
    </comment>
    <comment authorId="0" ref="C34">
      <text>
        <t xml:space="preserve">1350.24 website
61.9 sheehy.com portal site
850 AAG (SEO)</t>
      </text>
    </comment>
    <comment authorId="0" ref="D34">
      <text>
        <t xml:space="preserve">1350.24 website
61.9 sheehy.com portal site
850 AAG (SEO)</t>
      </text>
    </comment>
    <comment authorId="0" ref="E34">
      <text>
        <t xml:space="preserve">1350.24 website
61.9 sheehy.com portal site
850 AAG (SEO)</t>
      </text>
    </comment>
    <comment authorId="0" ref="F34">
      <text>
        <t xml:space="preserve">1350.24 website
61.9 sheehy.com portal site
850 AAG (SEO)</t>
      </text>
    </comment>
    <comment authorId="0" ref="G34">
      <text>
        <t xml:space="preserve">1350.24 website
61.9 sheehy.com portal site
850 AAG (SEO)</t>
      </text>
    </comment>
    <comment authorId="0" ref="H34">
      <text>
        <t xml:space="preserve">1350.24 website
61.9 sheehy.com portal site
850 AAG (SEO)</t>
      </text>
    </comment>
    <comment authorId="0" ref="I34">
      <text>
        <t xml:space="preserve">1350.24 website
61.9 sheehy.com portal site
850 AAG (SEO)</t>
      </text>
    </comment>
    <comment authorId="0" ref="J34">
      <text>
        <t xml:space="preserve">1350.24 website
61.9 sheehy.com portal site
850 AAG (SEO)</t>
      </text>
    </comment>
    <comment authorId="0" ref="K34">
      <text>
        <t xml:space="preserve">1350.24 website
61.9 sheehy.com portal site
850 AAG (SEO)</t>
      </text>
    </comment>
    <comment authorId="0" ref="L34">
      <text>
        <t xml:space="preserve">1350.24 website
61.9 sheehy.com portal site
850 AAG (SEO)</t>
      </text>
    </comment>
    <comment authorId="0" ref="M34">
      <text>
        <t xml:space="preserve">1350.24 website
61.9 sheehy.com portal site
850 AAG (SEO)</t>
      </text>
    </comment>
    <comment authorId="0" ref="B41">
      <text>
        <t xml:space="preserve">$2,765 automotive mastermind</t>
      </text>
    </comment>
    <comment authorId="0" ref="C41">
      <text>
        <t xml:space="preserve">$2,765 automotive mastermind</t>
      </text>
    </comment>
    <comment authorId="0" ref="D41">
      <text>
        <t xml:space="preserve">$2,765 automotive mastermind</t>
      </text>
    </comment>
    <comment authorId="0" ref="E41">
      <text>
        <t xml:space="preserve">$2,765 automotive mastermind</t>
      </text>
    </comment>
    <comment authorId="0" ref="F41">
      <text>
        <t xml:space="preserve">$2,765 automotive mastermind</t>
      </text>
    </comment>
    <comment authorId="0" ref="G41">
      <text>
        <t xml:space="preserve">$2,765 automotive mastermind</t>
      </text>
    </comment>
    <comment authorId="0" ref="H41">
      <text>
        <t xml:space="preserve">$2,765 automotive mastermind</t>
      </text>
    </comment>
    <comment authorId="0" ref="I41">
      <text>
        <t xml:space="preserve">$2,765 automotive mastermind</t>
      </text>
    </comment>
    <comment authorId="0" ref="J41">
      <text>
        <t xml:space="preserve">$2,765 automotive mastermind</t>
      </text>
    </comment>
    <comment authorId="0" ref="K41">
      <text>
        <t xml:space="preserve">$2,765 automotive mastermind</t>
      </text>
    </comment>
    <comment authorId="0" ref="L41">
      <text>
        <t xml:space="preserve">$2,765 automotive mastermind</t>
      </text>
    </comment>
    <comment authorId="0" ref="M41">
      <text>
        <t xml:space="preserve">$2,765 automotive mastermind</t>
      </text>
    </comment>
    <comment authorId="0" ref="B42">
      <text>
        <t xml:space="preserve">365 switched to car chat 24
</t>
      </text>
    </comment>
    <comment authorId="0" ref="C42">
      <text>
        <t xml:space="preserve">365 switched to car chat 24
</t>
      </text>
    </comment>
    <comment authorId="0" ref="D42">
      <text>
        <t xml:space="preserve">365 switched to car chat 24
</t>
      </text>
    </comment>
    <comment authorId="0" ref="E42">
      <text>
        <t xml:space="preserve">365 switched to car chat 24
</t>
      </text>
    </comment>
    <comment authorId="0" ref="F42">
      <text>
        <t xml:space="preserve">365 switched to car chat 24
</t>
      </text>
    </comment>
    <comment authorId="0" ref="G42">
      <text>
        <t xml:space="preserve">365 switched to car chat 24
</t>
      </text>
    </comment>
    <comment authorId="0" ref="H42">
      <text>
        <t xml:space="preserve">365 switched to car chat 24
</t>
      </text>
    </comment>
    <comment authorId="0" ref="I42">
      <text>
        <t xml:space="preserve">365 switched to car chat 24
</t>
      </text>
    </comment>
    <comment authorId="0" ref="J42">
      <text>
        <t xml:space="preserve">365 switched to car chat 24
</t>
      </text>
    </comment>
    <comment authorId="0" ref="K42">
      <text>
        <t xml:space="preserve">365 switched to car chat 24
</t>
      </text>
    </comment>
    <comment authorId="0" ref="L42">
      <text>
        <t xml:space="preserve">365 switched to car chat 24
</t>
      </text>
    </comment>
    <comment authorId="0" ref="M42">
      <text>
        <t xml:space="preserve">365 switched to car chat 24
</t>
      </text>
    </comment>
    <comment authorId="0" ref="B44">
      <text>
        <t xml:space="preserve">249 Finance Driver off-platform</t>
      </text>
    </comment>
    <comment authorId="0" ref="C44">
      <text>
        <t xml:space="preserve">249 Finance Driver off-platform</t>
      </text>
    </comment>
    <comment authorId="0" ref="D44">
      <text>
        <t xml:space="preserve">249 Finance Driver off-platform</t>
      </text>
    </comment>
    <comment authorId="0" ref="E44">
      <text>
        <t xml:space="preserve">249 Finance Driver off-platform</t>
      </text>
    </comment>
    <comment authorId="0" ref="F44">
      <text>
        <t xml:space="preserve">249 Finance Driver off-platform</t>
      </text>
    </comment>
    <comment authorId="0" ref="G44">
      <text>
        <t xml:space="preserve">249 Finance Driver off-platform</t>
      </text>
    </comment>
    <comment authorId="0" ref="H44">
      <text>
        <t xml:space="preserve">249 Finance Driver off-platform</t>
      </text>
    </comment>
    <comment authorId="0" ref="I44">
      <text>
        <t xml:space="preserve">249 Finance Driver off-platform</t>
      </text>
    </comment>
    <comment authorId="0" ref="J44">
      <text>
        <t xml:space="preserve">249 Finance Driver off-platform</t>
      </text>
    </comment>
    <comment authorId="0" ref="K44">
      <text>
        <t xml:space="preserve">249 Finance Driver off-platform</t>
      </text>
    </comment>
    <comment authorId="0" ref="L44">
      <text>
        <t xml:space="preserve">249 Finance Driver off-platform</t>
      </text>
    </comment>
    <comment authorId="0" ref="M44">
      <text>
        <t xml:space="preserve">249 Finance Driver off-platform</t>
      </text>
    </comment>
    <comment authorId="0" ref="B45">
      <text>
        <t xml:space="preserve">45 Yelp 
97.5 Reputation.com</t>
      </text>
    </comment>
    <comment authorId="0" ref="C45">
      <text>
        <t xml:space="preserve">45 Yelp 
97.5 Reputation.com</t>
      </text>
    </comment>
    <comment authorId="0" ref="D45">
      <text>
        <t xml:space="preserve">45 Yelp 
97.5 Reputation.com</t>
      </text>
    </comment>
    <comment authorId="0" ref="E45">
      <text>
        <t xml:space="preserve">45 Yelp 
97.5 Reputation.com</t>
      </text>
    </comment>
    <comment authorId="0" ref="F45">
      <text>
        <t xml:space="preserve">45 Yelp 
97.5 Reputation.com</t>
      </text>
    </comment>
    <comment authorId="0" ref="G45">
      <text>
        <t xml:space="preserve">45 Yelp 
97.5 Reputation.com</t>
      </text>
    </comment>
    <comment authorId="0" ref="H45">
      <text>
        <t xml:space="preserve">45 Yelp 
97.5 Reputation.com</t>
      </text>
    </comment>
    <comment authorId="0" ref="I45">
      <text>
        <t xml:space="preserve">45 Yelp 
97.5 Reputation.com</t>
      </text>
    </comment>
    <comment authorId="0" ref="J45">
      <text>
        <t xml:space="preserve">45 Yelp 
97.5 Reputation.com</t>
      </text>
    </comment>
    <comment authorId="0" ref="K45">
      <text>
        <t xml:space="preserve">45 Yelp 
97.5 Reputation.com</t>
      </text>
    </comment>
    <comment authorId="0" ref="L45">
      <text>
        <t xml:space="preserve">45 Yelp 
97.5 Reputation.com</t>
      </text>
    </comment>
    <comment authorId="0" ref="M45">
      <text>
        <t xml:space="preserve">45 Yelp 
97.5 Reputation.com</t>
      </text>
    </comment>
    <comment authorId="0" ref="E46">
      <text>
        <t xml:space="preserve">cancelled 3/16</t>
      </text>
    </comment>
    <comment authorId="0" ref="B47">
      <text>
        <t xml:space="preserve">850 Alli
+30 Alli boosted campaign
750 autoleadstar mgmt
2500 FB spend
500 increase again starting feb
</t>
      </text>
    </comment>
    <comment authorId="0" ref="C47">
      <text>
        <t xml:space="preserve">850 Alli
+30 Alli boosted campaign
750 autoleadstar mgmt
2500 FB spend
500 increase again starting feb
</t>
      </text>
    </comment>
    <comment authorId="0" ref="D47">
      <text>
        <t xml:space="preserve">850 Alli
+30 Alli boosted campaign
750 autoleadstar mgmt
2500 FB spend
500 increase again starting feb
</t>
      </text>
    </comment>
    <comment authorId="0" ref="E47">
      <text>
        <t xml:space="preserve">850 Alli
+30 Alli boosted campaign
750 autoleadstar mgmt
2500 FB spend
500 increase again starting feb
</t>
      </text>
    </comment>
    <comment authorId="0" ref="F47">
      <text>
        <t xml:space="preserve">850 Alli
+30 Alli boosted campaign
750 autoleadstar mgmt
2500 FB spend
500 increase again starting feb
</t>
      </text>
    </comment>
    <comment authorId="0" ref="G47">
      <text>
        <t xml:space="preserve">850 Alli
+30 Alli boosted campaign
750 autoleadstar mgmt
2500 FB spend
500 increase again starting feb
</t>
      </text>
    </comment>
    <comment authorId="0" ref="H47">
      <text>
        <t xml:space="preserve">850 Alli
+30 Alli boosted campaign
750 autoleadstar mgmt
2500 FB spend
500 increase again starting feb
</t>
      </text>
    </comment>
    <comment authorId="0" ref="I47">
      <text>
        <t xml:space="preserve">850 Alli
+30 Alli boosted campaign
750 autoleadstar mgmt
2500 FB spend
500 increase again starting feb
</t>
      </text>
    </comment>
    <comment authorId="0" ref="J47">
      <text>
        <t xml:space="preserve">850 Alli
+30 Alli boosted campaign
750 autoleadstar mgmt
2500 FB spend
500 increase again starting feb
</t>
      </text>
    </comment>
    <comment authorId="0" ref="K47">
      <text>
        <t xml:space="preserve">850 Alli
+30 Alli boosted campaign
750 autoleadstar mgmt
2500 FB spend
500 increase again starting feb
</t>
      </text>
    </comment>
    <comment authorId="0" ref="L47">
      <text>
        <t xml:space="preserve">850 Alli
+30 Alli boosted campaign
750 autoleadstar mgmt
2500 FB spend
500 increase again starting feb
</t>
      </text>
    </comment>
    <comment authorId="0" ref="M47">
      <text>
        <t xml:space="preserve">850 Alli
+30 Alli boosted campaign
750 autoleadstar mgmt
2500 FB spend
500 increase again starting feb
</t>
      </text>
    </comment>
    <comment authorId="0" ref="B48">
      <text>
        <t xml:space="preserve">55.66 Sheehy.com
$350.33 PERQ child site
80 we buy cars</t>
      </text>
    </comment>
    <comment authorId="0" ref="C48">
      <text>
        <t xml:space="preserve">55.66 Sheehy.com
$350.33 PERQ child site
80 we buy cars</t>
      </text>
    </comment>
    <comment authorId="0" ref="D48">
      <text>
        <t xml:space="preserve">55.66 Sheehy.com
$350.33 PERQ child site
80 we buy cars</t>
      </text>
    </comment>
    <comment authorId="0" ref="E48">
      <text>
        <t xml:space="preserve">55.66 Sheehy.com
$350.33 PERQ child site
80 we buy cars</t>
      </text>
    </comment>
    <comment authorId="0" ref="F48">
      <text>
        <t xml:space="preserve">55.66 Sheehy.com
$350.33 PERQ child site
80 we buy cars</t>
      </text>
    </comment>
    <comment authorId="0" ref="G48">
      <text>
        <t xml:space="preserve">55.66 Sheehy.com
$350.33 PERQ child site
80 we buy cars</t>
      </text>
    </comment>
    <comment authorId="0" ref="H48">
      <text>
        <t xml:space="preserve">55.66 Sheehy.com
$350.33 PERQ child site
80 we buy cars</t>
      </text>
    </comment>
    <comment authorId="0" ref="I48">
      <text>
        <t xml:space="preserve">55.66 Sheehy.com
$350.33 PERQ child site
80 we buy cars</t>
      </text>
    </comment>
    <comment authorId="0" ref="J48">
      <text>
        <t xml:space="preserve">55.66 Sheehy.com
$350.33 PERQ child site
80 we buy cars</t>
      </text>
    </comment>
    <comment authorId="0" ref="K48">
      <text>
        <t xml:space="preserve">55.66 Sheehy.com
$350.33 PERQ child site
80 we buy cars</t>
      </text>
    </comment>
    <comment authorId="0" ref="L48">
      <text>
        <t xml:space="preserve">55.66 Sheehy.com
$350.33 PERQ child site
80 we buy cars</t>
      </text>
    </comment>
    <comment authorId="0" ref="M48">
      <text>
        <t xml:space="preserve">55.66 Sheehy.com
$350.33 PERQ child site
80 we buy cars</t>
      </text>
    </comment>
    <comment authorId="0" ref="B54">
      <text>
        <t xml:space="preserve">Nissan OEM EOM Email program
Capped at $1000
Billed to parts statement </t>
      </text>
    </comment>
    <comment authorId="0" ref="C54">
      <text>
        <t xml:space="preserve">pres day email with oem </t>
      </text>
    </comment>
    <comment authorId="0" ref="E54">
      <text>
        <t xml:space="preserve">Nissan OEM EOM Email program
Capped at $1000
Billed to parts statement </t>
      </text>
    </comment>
    <comment authorId="0" ref="G54">
      <text>
        <t xml:space="preserve">$600 private offer digital plus up billed on OEM parts statement in June</t>
      </text>
    </comment>
    <comment authorId="0" ref="H54">
      <text>
        <t xml:space="preserve">Nissan OEM EOM Email program
Capped at $1000
Billed to parts statement </t>
      </text>
    </comment>
    <comment authorId="0" ref="K54">
      <text>
        <t xml:space="preserve">Nissan OEM EOM Email program
Capped at $1000
Billed to parts statement </t>
      </text>
    </comment>
    <comment authorId="0" ref="B55">
      <text>
        <t xml:space="preserve">includes trade/reach and subscription
</t>
      </text>
    </comment>
    <comment authorId="0" ref="C55">
      <text>
        <t xml:space="preserve">includes trade/reach and subscription
</t>
      </text>
    </comment>
    <comment authorId="0" ref="D55">
      <text>
        <t xml:space="preserve">includes trade/reach and subscription
</t>
      </text>
    </comment>
    <comment authorId="0" ref="E55">
      <text>
        <t xml:space="preserve">includes trade/reach and subscription
</t>
      </text>
    </comment>
    <comment authorId="0" ref="F55">
      <text>
        <t xml:space="preserve">includes trade/reach and subscription
</t>
      </text>
    </comment>
    <comment authorId="0" ref="G55">
      <text>
        <t xml:space="preserve">includes trade/reach and subscription
</t>
      </text>
    </comment>
    <comment authorId="0" ref="H55">
      <text>
        <t xml:space="preserve">includes trade/reach and subscription
</t>
      </text>
    </comment>
    <comment authorId="0" ref="I55">
      <text>
        <t xml:space="preserve">includes trade/reach and subscription
</t>
      </text>
    </comment>
    <comment authorId="0" ref="J55">
      <text>
        <t xml:space="preserve">includes trade/reach and subscription
</t>
      </text>
    </comment>
    <comment authorId="0" ref="K55">
      <text>
        <t xml:space="preserve">includes trade/reach and subscription
</t>
      </text>
    </comment>
    <comment authorId="0" ref="L55">
      <text>
        <t xml:space="preserve">includes trade/reach and subscription
</t>
      </text>
    </comment>
    <comment authorId="0" ref="M55">
      <text>
        <t xml:space="preserve">includes trade/reach and subscription
</t>
      </text>
    </comment>
    <comment authorId="0" ref="B56">
      <text>
        <t xml:space="preserve">399 Trade tool with Purecars
351 mgmt fee
57 Data Management fee</t>
      </text>
    </comment>
    <comment authorId="0" ref="C56">
      <text>
        <t xml:space="preserve">399 Trade tool with Purecars
351 mgmt fee
57 Data Management fee</t>
      </text>
    </comment>
    <comment authorId="0" ref="D56">
      <text>
        <t xml:space="preserve">399 Trade tool with Purecars
351 mgmt fee
57 Data Management fee</t>
      </text>
    </comment>
    <comment authorId="0" ref="E56">
      <text>
        <t xml:space="preserve">399 Trade tool with Purecars
351 mgmt fee
57 Data Management fee</t>
      </text>
    </comment>
    <comment authorId="0" ref="F56">
      <text>
        <t xml:space="preserve">399 Trade tool with Purecars
351 mgmt fee
57 Data Management fee</t>
      </text>
    </comment>
    <comment authorId="0" ref="G56">
      <text>
        <t xml:space="preserve">399 Trade tool with Purecars
351 mgmt fee
57 Data Management fee</t>
      </text>
    </comment>
    <comment authorId="0" ref="H56">
      <text>
        <t xml:space="preserve">399 Trade tool with Purecars
351 mgmt fee
57 Data Management fee</t>
      </text>
    </comment>
    <comment authorId="0" ref="I56">
      <text>
        <t xml:space="preserve">399 Trade tool with Purecars
351 mgmt fee
57 Data Management fee</t>
      </text>
    </comment>
    <comment authorId="0" ref="J56">
      <text>
        <t xml:space="preserve">399 Trade tool with Purecars
351 mgmt fee
57 Data Management fee</t>
      </text>
    </comment>
    <comment authorId="0" ref="K56">
      <text>
        <t xml:space="preserve">399 Trade tool with Purecars
351 mgmt fee
57 Data Management fee</t>
      </text>
    </comment>
    <comment authorId="0" ref="L56">
      <text>
        <t xml:space="preserve">399 Trade tool with Purecars
351 mgmt fee
57 Data Management fee</t>
      </text>
    </comment>
    <comment authorId="0" ref="M56">
      <text>
        <t xml:space="preserve">399 Trade tool with Purecars
351 mgmt fee
57 Data Management fee</t>
      </text>
    </comment>
    <comment authorId="0" ref="B59">
      <text>
        <t xml:space="preserve">1000 NEW
1000 USED
2000 TOTAL</t>
      </text>
    </comment>
    <comment authorId="0" ref="C59">
      <text>
        <t xml:space="preserve">1000 NEW
1000 USED
2000 TOTAL</t>
      </text>
    </comment>
    <comment authorId="0" ref="D59">
      <text>
        <t xml:space="preserve">1000 NEW
1000 USED
2000 TOTAL</t>
      </text>
    </comment>
    <comment authorId="0" ref="E59">
      <text>
        <t xml:space="preserve">1000 NEW
1000 USED
2000 TOTAL</t>
      </text>
    </comment>
    <comment authorId="0" ref="F59">
      <text>
        <t xml:space="preserve">1000 NEW
1000 USED
2000 TOTAL</t>
      </text>
    </comment>
    <comment authorId="0" ref="G59">
      <text>
        <t xml:space="preserve">1000 NEW
1000 USED
2000 TOTAL</t>
      </text>
    </comment>
    <comment authorId="0" ref="H59">
      <text>
        <t xml:space="preserve">1000 NEW
1000 USED
2000 TOTAL</t>
      </text>
    </comment>
    <comment authorId="0" ref="I59">
      <text>
        <t xml:space="preserve">1000 NEW
1000 USED
2000 TOTAL</t>
      </text>
    </comment>
    <comment authorId="0" ref="J59">
      <text>
        <t xml:space="preserve">1000 NEW
1000 USED
2000 TOTAL</t>
      </text>
    </comment>
    <comment authorId="0" ref="K59">
      <text>
        <t xml:space="preserve">1000 NEW
1000 USED
2000 TOTAL</t>
      </text>
    </comment>
    <comment authorId="0" ref="L59">
      <text>
        <t xml:space="preserve">1000 NEW
1000 USED
2000 TOTAL</t>
      </text>
    </comment>
    <comment authorId="0" ref="M59">
      <text>
        <t xml:space="preserve">1000 NEW
1000 USED
2000 TOTAL</t>
      </text>
    </comment>
    <comment authorId="0" ref="B63">
      <text>
        <t xml:space="preserve">-1500 in octber</t>
      </text>
    </comment>
    <comment authorId="0" ref="C63">
      <text>
        <t xml:space="preserve">-1500 in octber</t>
      </text>
    </comment>
    <comment authorId="0" ref="D63">
      <text>
        <t xml:space="preserve">-1500 in octber</t>
      </text>
    </comment>
    <comment authorId="0" ref="E63">
      <text>
        <t xml:space="preserve">-1500 in octber</t>
      </text>
    </comment>
    <comment authorId="0" ref="F63">
      <text>
        <t xml:space="preserve">-1500 in octber</t>
      </text>
    </comment>
    <comment authorId="0" ref="G63">
      <text>
        <t xml:space="preserve">-1500 in octber</t>
      </text>
    </comment>
    <comment authorId="0" ref="H63">
      <text>
        <t xml:space="preserve">-1500 in octber</t>
      </text>
    </comment>
    <comment authorId="0" ref="I63">
      <text>
        <t xml:space="preserve">-1500 in octber</t>
      </text>
    </comment>
    <comment authorId="0" ref="J63">
      <text>
        <t xml:space="preserve">-1500 in octber</t>
      </text>
    </comment>
    <comment authorId="0" ref="K63">
      <text>
        <t xml:space="preserve">-1500 in octber</t>
      </text>
    </comment>
    <comment authorId="0" ref="L63">
      <text>
        <t xml:space="preserve">-1500 in octber</t>
      </text>
    </comment>
    <comment authorId="0" ref="M63">
      <text>
        <t xml:space="preserve">-1500 in octber</t>
      </text>
    </comment>
    <comment authorId="0" ref="N63">
      <text>
        <t xml:space="preserve">8910 new
400 used
=9310
+1000 starting June
+750 fixed ops</t>
      </text>
    </comment>
    <comment authorId="0" ref="D65">
      <text>
        <t xml:space="preserve">2800 CarsDirect (will be prorated in March based on go live date)</t>
      </text>
    </comment>
    <comment authorId="0" ref="B72">
      <text>
        <t xml:space="preserve">TBD
</t>
      </text>
    </comment>
    <comment authorId="0" ref="C72">
      <text>
        <t xml:space="preserve">TBD
</t>
      </text>
    </comment>
    <comment authorId="0" ref="D72">
      <text>
        <t xml:space="preserve">TBD
</t>
      </text>
    </comment>
    <comment authorId="0" ref="E72">
      <text>
        <t xml:space="preserve">TBD
</t>
      </text>
    </comment>
    <comment authorId="0" ref="F72">
      <text>
        <t xml:space="preserve">TBD
</t>
      </text>
    </comment>
    <comment authorId="0" ref="G72">
      <text>
        <t xml:space="preserve">TBD
</t>
      </text>
    </comment>
    <comment authorId="0" ref="H72">
      <text>
        <t xml:space="preserve">TBD
</t>
      </text>
    </comment>
    <comment authorId="0" ref="I72">
      <text>
        <t xml:space="preserve">TBD
</t>
      </text>
    </comment>
    <comment authorId="0" ref="J72">
      <text>
        <t xml:space="preserve">TBD
</t>
      </text>
    </comment>
    <comment authorId="0" ref="K72">
      <text>
        <t xml:space="preserve">TBD
</t>
      </text>
    </comment>
    <comment authorId="0" ref="L72">
      <text>
        <t xml:space="preserve">TBD
</t>
      </text>
    </comment>
    <comment authorId="0" ref="M72">
      <text>
        <t xml:space="preserve">TBD
</t>
      </text>
    </comment>
    <comment authorId="0" ref="B73">
      <text>
        <t xml:space="preserve">TBD
</t>
      </text>
    </comment>
    <comment authorId="0" ref="C73">
      <text>
        <t xml:space="preserve">TBD
</t>
      </text>
    </comment>
    <comment authorId="0" ref="D73">
      <text>
        <t xml:space="preserve">TBD
</t>
      </text>
    </comment>
    <comment authorId="0" ref="E73">
      <text>
        <t xml:space="preserve">TBD
</t>
      </text>
    </comment>
    <comment authorId="0" ref="F73">
      <text>
        <t xml:space="preserve">TBD
</t>
      </text>
    </comment>
    <comment authorId="0" ref="G73">
      <text>
        <t xml:space="preserve">TBD
</t>
      </text>
    </comment>
    <comment authorId="0" ref="H73">
      <text>
        <t xml:space="preserve">TBD
</t>
      </text>
    </comment>
    <comment authorId="0" ref="I73">
      <text>
        <t xml:space="preserve">TBD
</t>
      </text>
    </comment>
    <comment authorId="0" ref="J73">
      <text>
        <t xml:space="preserve">TBD
</t>
      </text>
    </comment>
    <comment authorId="0" ref="K73">
      <text>
        <t xml:space="preserve">TBD
</t>
      </text>
    </comment>
    <comment authorId="0" ref="L73">
      <text>
        <t xml:space="preserve">TBD
</t>
      </text>
    </comment>
    <comment authorId="0" ref="M73">
      <text>
        <t xml:space="preserve">TBD
</t>
      </text>
    </comment>
    <comment authorId="0" ref="B74">
      <text>
        <t xml:space="preserve">1000 NEW
1000 USED
2000 TOTAL</t>
      </text>
    </comment>
    <comment authorId="0" ref="C74">
      <text>
        <t xml:space="preserve">1000 NEW
1000 USED
2000 TOTAL</t>
      </text>
    </comment>
    <comment authorId="0" ref="D74">
      <text>
        <t xml:space="preserve">1000 NEW
1000 USED
2000 TOTAL</t>
      </text>
    </comment>
    <comment authorId="0" ref="E74">
      <text>
        <t xml:space="preserve">1000 NEW
1000 USED
2000 TOTAL</t>
      </text>
    </comment>
    <comment authorId="0" ref="F74">
      <text>
        <t xml:space="preserve">1000 NEW
1000 USED
2000 TOTAL</t>
      </text>
    </comment>
    <comment authorId="0" ref="G74">
      <text>
        <t xml:space="preserve">1000 NEW
1000 USED
2000 TOTAL</t>
      </text>
    </comment>
    <comment authorId="0" ref="H74">
      <text>
        <t xml:space="preserve">1000 NEW
1000 USED
2000 TOTAL</t>
      </text>
    </comment>
    <comment authorId="0" ref="I74">
      <text>
        <t xml:space="preserve">1000 NEW
1000 USED
2000 TOTAL</t>
      </text>
    </comment>
    <comment authorId="0" ref="J74">
      <text>
        <t xml:space="preserve">1000 NEW
1000 USED
2000 TOTAL</t>
      </text>
    </comment>
    <comment authorId="0" ref="K74">
      <text>
        <t xml:space="preserve">1000 NEW
1000 USED
2000 TOTAL</t>
      </text>
    </comment>
    <comment authorId="0" ref="L74">
      <text>
        <t xml:space="preserve">1000 NEW
1000 USED
2000 TOTAL</t>
      </text>
    </comment>
    <comment authorId="0" ref="M74">
      <text>
        <t xml:space="preserve">1000 NEW
1000 USED
2000 TOTAL</t>
      </text>
    </comment>
    <comment authorId="0" ref="B80">
      <text>
        <t xml:space="preserve">1350 enhanced</t>
      </text>
    </comment>
    <comment authorId="0" ref="C80">
      <text>
        <t xml:space="preserve">1350 enhanced</t>
      </text>
    </comment>
    <comment authorId="0" ref="D80">
      <text>
        <t xml:space="preserve">1350 enhanced</t>
      </text>
    </comment>
    <comment authorId="0" ref="E80">
      <text>
        <t xml:space="preserve">1350 enhanced</t>
      </text>
    </comment>
    <comment authorId="0" ref="F80">
      <text>
        <t xml:space="preserve">1350 enhanced</t>
      </text>
    </comment>
    <comment authorId="0" ref="G80">
      <text>
        <t xml:space="preserve">1350 enhanced</t>
      </text>
    </comment>
    <comment authorId="0" ref="H80">
      <text>
        <t xml:space="preserve">1350 enhanced</t>
      </text>
    </comment>
    <comment authorId="0" ref="I80">
      <text>
        <t xml:space="preserve">1350 enhanced</t>
      </text>
    </comment>
    <comment authorId="0" ref="J80">
      <text>
        <t xml:space="preserve">1350 enhanced</t>
      </text>
    </comment>
    <comment authorId="0" ref="K80">
      <text>
        <t xml:space="preserve">1350 enhanced</t>
      </text>
    </comment>
    <comment authorId="0" ref="L80">
      <text>
        <t xml:space="preserve">1350 enhanced</t>
      </text>
    </comment>
    <comment authorId="0" ref="M80">
      <text>
        <t xml:space="preserve">1350 enhanced</t>
      </text>
    </comment>
    <comment authorId="0" ref="B81">
      <text>
        <t xml:space="preserve">400 used</t>
      </text>
    </comment>
    <comment authorId="0" ref="C81">
      <text>
        <t xml:space="preserve">400 used</t>
      </text>
    </comment>
    <comment authorId="0" ref="D81">
      <text>
        <t xml:space="preserve">400 used</t>
      </text>
    </comment>
    <comment authorId="0" ref="E81">
      <text>
        <t xml:space="preserve">400 used</t>
      </text>
    </comment>
    <comment authorId="0" ref="F81">
      <text>
        <t xml:space="preserve">400 used</t>
      </text>
    </comment>
    <comment authorId="0" ref="G81">
      <text>
        <t xml:space="preserve">400 used</t>
      </text>
    </comment>
    <comment authorId="0" ref="H81">
      <text>
        <t xml:space="preserve">400 used</t>
      </text>
    </comment>
    <comment authorId="0" ref="I81">
      <text>
        <t xml:space="preserve">400 used</t>
      </text>
    </comment>
    <comment authorId="0" ref="J81">
      <text>
        <t xml:space="preserve">400 used</t>
      </text>
    </comment>
    <comment authorId="0" ref="K81">
      <text>
        <t xml:space="preserve">400 used</t>
      </text>
    </comment>
    <comment authorId="0" ref="L81">
      <text>
        <t xml:space="preserve">400 used</t>
      </text>
    </comment>
    <comment authorId="0" ref="M81">
      <text>
        <t xml:space="preserve">400 used</t>
      </text>
    </comment>
    <comment authorId="0" ref="B93">
      <text>
        <t xml:space="preserve">$138 Tires Banner (price includes estimated shipping)</t>
      </text>
    </comment>
    <comment authorId="0" ref="H93">
      <text>
        <t xml:space="preserve">$452.27 we buy cars signage</t>
      </text>
    </comment>
    <comment authorId="0" ref="I93">
      <text>
        <t xml:space="preserve">$1,851.57 Sheehy Buys Cars large banner
$4,452.03 We Buy Cars window vinyls</t>
      </text>
    </comment>
    <comment authorId="0" ref="K94">
      <text>
        <t xml:space="preserve">$180 Polin
$200 boxes
</t>
      </text>
    </comment>
    <comment authorId="0" ref="B103">
      <text>
        <t xml:space="preserve">$500 Other Group Digital </t>
      </text>
    </comment>
    <comment authorId="0" ref="C103">
      <text>
        <t xml:space="preserve">$500 Other Group Digital </t>
      </text>
    </comment>
    <comment authorId="0" ref="D103">
      <text>
        <t xml:space="preserve">$200 Other Group Digital 
$113.63 WJA sponsorship</t>
      </text>
    </comment>
    <comment authorId="0" ref="E103">
      <text>
        <t xml:space="preserve">$500 Other Group Digital </t>
      </text>
    </comment>
    <comment authorId="0" ref="F103">
      <text>
        <t xml:space="preserve">$500 Other Group Digital </t>
      </text>
    </comment>
    <comment authorId="0" ref="G103">
      <text>
        <t xml:space="preserve">$605 Other Group Digital </t>
      </text>
    </comment>
    <comment authorId="0" ref="H103">
      <text>
        <t xml:space="preserve">$605 Other Group Digital </t>
      </text>
    </comment>
    <comment authorId="0" ref="I103">
      <text>
        <t xml:space="preserve">$500 Other Group Digital </t>
      </text>
    </comment>
    <comment authorId="0" ref="J103">
      <text>
        <t xml:space="preserve">$500 Other Group Digital </t>
      </text>
    </comment>
    <comment authorId="0" ref="K103">
      <text>
        <t xml:space="preserve">$500 Other Group Digital </t>
      </text>
    </comment>
    <comment authorId="0" ref="L103">
      <text>
        <t xml:space="preserve">$500 Other Group Digital </t>
      </text>
    </comment>
    <comment authorId="0" ref="M103">
      <text>
        <t xml:space="preserve">$500 Other Group Digital </t>
      </text>
    </comment>
    <comment authorId="0" ref="B115">
      <text>
        <t xml:space="preserve">$1,095 Easy Care
</t>
      </text>
    </comment>
    <comment authorId="0" ref="C115">
      <text>
        <t xml:space="preserve">$1,095 Easy Care
</t>
      </text>
    </comment>
    <comment authorId="0" ref="D115">
      <text>
        <t xml:space="preserve">$1,095 Easy Care
</t>
      </text>
    </comment>
    <comment authorId="0" ref="E115">
      <text>
        <t xml:space="preserve">$1,095 Easy Care
</t>
      </text>
    </comment>
    <comment authorId="0" ref="F115">
      <text>
        <t xml:space="preserve">$1,095 Easy Care
</t>
      </text>
    </comment>
    <comment authorId="0" ref="G115">
      <text>
        <t xml:space="preserve">$1,095 Easy Care
</t>
      </text>
    </comment>
    <comment authorId="0" ref="H115">
      <text>
        <t xml:space="preserve">$1,095 Easy Care
</t>
      </text>
    </comment>
    <comment authorId="0" ref="I115">
      <text>
        <t xml:space="preserve">$1,095 Easy Care
</t>
      </text>
    </comment>
    <comment authorId="0" ref="J115">
      <text>
        <t xml:space="preserve">$1,095 Easy Care
</t>
      </text>
    </comment>
    <comment authorId="0" ref="K115">
      <text>
        <t xml:space="preserve">$1,095 Easy Care
</t>
      </text>
    </comment>
    <comment authorId="0" ref="L115">
      <text>
        <t xml:space="preserve">$1,095 Easy Care
</t>
      </text>
    </comment>
    <comment authorId="0" ref="M115">
      <text>
        <t xml:space="preserve">$1,095 Easy Care
</t>
      </text>
    </comment>
    <comment authorId="0" ref="B117">
      <text>
        <t xml:space="preserve">$2,151.40 quarterly mailer
1250 trigger mail</t>
      </text>
    </comment>
    <comment authorId="0" ref="E117">
      <text>
        <t xml:space="preserve">$2,151.40 quarterly mailer
1250 trigger mail</t>
      </text>
    </comment>
    <comment authorId="0" ref="H117">
      <text>
        <t xml:space="preserve">$2,151.40 quarterly mailer
1250 trigger mail</t>
      </text>
    </comment>
    <comment authorId="0" ref="B118">
      <text>
        <t xml:space="preserve">750 fixed ops- paused to make room for GSMarketing multichannel campaign</t>
      </text>
    </comment>
    <comment authorId="0" ref="C118">
      <text>
        <t xml:space="preserve">750 fixed ops- paused to make room for GSMarketing multichannel campaign</t>
      </text>
    </comment>
    <comment authorId="0" ref="D118">
      <text>
        <t xml:space="preserve">750 fixed ops- paused to make room for GSMarketing multichannel campaign</t>
      </text>
    </comment>
    <comment authorId="0" ref="E118">
      <text>
        <t xml:space="preserve">750 fixed ops- paused to make room for GSMarketing multichannel campaign</t>
      </text>
    </comment>
    <comment authorId="0" ref="F118">
      <text>
        <t xml:space="preserve">750 fixed ops- paused to make room for GSMarketing multichannel campaign</t>
      </text>
    </comment>
    <comment authorId="0" ref="G118">
      <text>
        <t xml:space="preserve">750 fixed ops- paused to make room for GSMarketing multichannel campaign</t>
      </text>
    </comment>
    <comment authorId="0" ref="H118">
      <text>
        <t xml:space="preserve">750 fixed ops- paused to make room for GSMarketing multichannel campaign</t>
      </text>
    </comment>
    <comment authorId="0" ref="I118">
      <text>
        <t xml:space="preserve">750 fixed ops- paused to make room for GSMarketing multichannel campaign</t>
      </text>
    </comment>
    <comment authorId="0" ref="J118">
      <text>
        <t xml:space="preserve">750 fixed ops- paused to make room for GSMarketing multichannel campaign</t>
      </text>
    </comment>
    <comment authorId="0" ref="K118">
      <text>
        <t xml:space="preserve">750 fixed ops- paused to make room for GSMarketing multichannel campaign</t>
      </text>
    </comment>
    <comment authorId="0" ref="L118">
      <text>
        <t xml:space="preserve">750 fixed ops- paused to make room for GSMarketing multichannel campaign</t>
      </text>
    </comment>
    <comment authorId="0" ref="M118">
      <text>
        <t xml:space="preserve">750 fixed ops- paused to make room for GSMarketing multichannel campaign</t>
      </text>
    </comment>
  </commentList>
</comments>
</file>

<file path=xl/sharedStrings.xml><?xml version="1.0" encoding="utf-8"?>
<sst xmlns="http://schemas.openxmlformats.org/spreadsheetml/2006/main" count="6855" uniqueCount="589">
  <si>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</si>
  <si>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</si>
  <si>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</si>
  <si>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</si>
  <si>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</si>
  <si>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</si>
  <si>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</si>
  <si>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</si>
  <si>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</si>
  <si>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</si>
  <si>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</si>
  <si>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</si>
  <si>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</si>
  <si>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% of Total</t>
  </si>
  <si>
    <t>Electronic</t>
  </si>
  <si>
    <t>Group TV</t>
  </si>
  <si>
    <t xml:space="preserve">Television </t>
  </si>
  <si>
    <t>Cable</t>
  </si>
  <si>
    <t>Radio</t>
  </si>
  <si>
    <t>Prerolll/PVOD/ACR</t>
  </si>
  <si>
    <t>Group Sponsorship</t>
  </si>
  <si>
    <t>Agency Fee</t>
  </si>
  <si>
    <t>Production</t>
  </si>
  <si>
    <t>Total</t>
  </si>
  <si>
    <t>Print</t>
  </si>
  <si>
    <t>Richmond Times/Freelance Star</t>
  </si>
  <si>
    <t>Store Specific Publications</t>
  </si>
  <si>
    <t>Lake Anna Community</t>
  </si>
  <si>
    <t>Prensa Libre</t>
  </si>
  <si>
    <t>Washington Auto Show Program</t>
  </si>
  <si>
    <t>Direct Mail/Email</t>
  </si>
  <si>
    <t>Database Mail</t>
  </si>
  <si>
    <t>Database Calls</t>
  </si>
  <si>
    <t>Harley Mail</t>
  </si>
  <si>
    <t>Conquest email/CBS</t>
  </si>
  <si>
    <t>Cap One Sale</t>
  </si>
  <si>
    <t xml:space="preserve">Benchmark </t>
  </si>
  <si>
    <t>Special event or other</t>
  </si>
  <si>
    <t>Fixed Internet</t>
  </si>
  <si>
    <t>Website</t>
  </si>
  <si>
    <t>eLead Mobile Desking</t>
  </si>
  <si>
    <t>eLead Text</t>
  </si>
  <si>
    <t>eLead RCI Data Feed</t>
  </si>
  <si>
    <t>eLead BDC</t>
  </si>
  <si>
    <t>eLead Rebate Integration</t>
  </si>
  <si>
    <t>eLead GoldDigger</t>
  </si>
  <si>
    <t>Equity Mining Tool</t>
  </si>
  <si>
    <t>Chat</t>
  </si>
  <si>
    <t>CallRevu</t>
  </si>
  <si>
    <t>Finance Tools</t>
  </si>
  <si>
    <t>Rep Management</t>
  </si>
  <si>
    <t>DealerRater</t>
  </si>
  <si>
    <t>Social Media</t>
  </si>
  <si>
    <t>Trade-in Tool</t>
  </si>
  <si>
    <t>eLead - ACE</t>
  </si>
  <si>
    <t>LX CDK/eLead Deal Builder/Roadster</t>
  </si>
  <si>
    <t>New Vehicles</t>
  </si>
  <si>
    <t>OEM</t>
  </si>
  <si>
    <t>True Car</t>
  </si>
  <si>
    <t>Pure Cars - VYT</t>
  </si>
  <si>
    <t>AutoTrader - New</t>
  </si>
  <si>
    <t xml:space="preserve">Cars.com </t>
  </si>
  <si>
    <t>Carsforsale.com</t>
  </si>
  <si>
    <t>Edmunds.com</t>
  </si>
  <si>
    <t>PureCars - SEM</t>
  </si>
  <si>
    <t>TruckTrader</t>
  </si>
  <si>
    <t>Special Finance leads</t>
  </si>
  <si>
    <t>WP+/Wash Post Digital/Boston specials</t>
  </si>
  <si>
    <t>Mobile Campaign/Lotlinx</t>
  </si>
  <si>
    <t>Dealix/KBB - New</t>
  </si>
  <si>
    <t>AutoTrader/KBB - TIM</t>
  </si>
  <si>
    <t>Used Vehicles</t>
  </si>
  <si>
    <t>AutoTrader (incl. AT Moto)</t>
  </si>
  <si>
    <t>CarFax UCL</t>
  </si>
  <si>
    <r>
      <rPr>
        <rFont val="arial,sans,sans-serif"/>
        <color rgb="FF1155CC"/>
        <sz val="11.0"/>
        <u/>
      </rPr>
      <t>Cars.com</t>
    </r>
    <r>
      <rPr>
        <rFont val="arial,sans,sans-serif"/>
        <sz val="11.0"/>
      </rPr>
      <t xml:space="preserve"> (incl. HD: motomate)</t>
    </r>
  </si>
  <si>
    <t>Cycle Trader</t>
  </si>
  <si>
    <t>AutoiPacket</t>
  </si>
  <si>
    <t>Autotrader Spotlights / Accelerate DR</t>
  </si>
  <si>
    <t xml:space="preserve">KBB Used </t>
  </si>
  <si>
    <t>Cargurus</t>
  </si>
  <si>
    <t>SEM</t>
  </si>
  <si>
    <t>Internet Total</t>
  </si>
  <si>
    <t>PVR on Internet</t>
  </si>
  <si>
    <t>Used Vehicles - non Internet</t>
  </si>
  <si>
    <t>Carfax</t>
  </si>
  <si>
    <t>Special Event</t>
  </si>
  <si>
    <t>J&amp;L Event</t>
  </si>
  <si>
    <t>Other</t>
  </si>
  <si>
    <t>Store Specific Other</t>
  </si>
  <si>
    <t>Graphic Design - Web and Print</t>
  </si>
  <si>
    <t>Printing Costs</t>
  </si>
  <si>
    <t>Polin PR</t>
  </si>
  <si>
    <t>POP Instore</t>
  </si>
  <si>
    <t>COSTCO/Navy Fed</t>
  </si>
  <si>
    <t>Military - Ft. Belvoir</t>
  </si>
  <si>
    <t>BJs Wholesale Club</t>
  </si>
  <si>
    <t>Community Events/Sponsorships</t>
  </si>
  <si>
    <t>Charitable Donations</t>
  </si>
  <si>
    <t>Automotive - New car clinics</t>
  </si>
  <si>
    <t>Outdoor/billboards/etc.</t>
  </si>
  <si>
    <t>Misc/TBD</t>
  </si>
  <si>
    <t>Old Glory</t>
  </si>
  <si>
    <t>UBS</t>
  </si>
  <si>
    <t>Springfield Town Center/ St. James</t>
  </si>
  <si>
    <t>CO-OP</t>
  </si>
  <si>
    <t>GRAND TOTAL (WITHOUT CO-OP)</t>
  </si>
  <si>
    <t>NEW SALES</t>
  </si>
  <si>
    <t>USED SALES</t>
  </si>
  <si>
    <t>PVR</t>
  </si>
  <si>
    <t>Service</t>
  </si>
  <si>
    <t>EasyCare Connect</t>
  </si>
  <si>
    <t>Factory</t>
  </si>
  <si>
    <t>Trigger and Retention Mail</t>
  </si>
  <si>
    <t>Mobile App</t>
  </si>
  <si>
    <t>Xtime</t>
  </si>
  <si>
    <t>Allocation</t>
  </si>
  <si>
    <t>New</t>
  </si>
  <si>
    <t>Used</t>
  </si>
  <si>
    <t>Line 109</t>
  </si>
  <si>
    <t>PY NEW</t>
  </si>
  <si>
    <t>PY USED</t>
  </si>
  <si>
    <t>PVR BASED ON PY</t>
  </si>
  <si>
    <t>ABC Motors Ford of Ashland</t>
  </si>
  <si>
    <t>Television</t>
  </si>
  <si>
    <t>Pre-Roll/PVOD/ACR</t>
  </si>
  <si>
    <t>Richmond Times Dispatch</t>
  </si>
  <si>
    <t>Direct Mail</t>
  </si>
  <si>
    <t>VIP - Equity</t>
  </si>
  <si>
    <t xml:space="preserve">Chat </t>
  </si>
  <si>
    <t>Century Interactive/CallRevu</t>
  </si>
  <si>
    <t>Finance Tool-Finance Driver</t>
  </si>
  <si>
    <t>Trade-in Tool - PERQ</t>
  </si>
  <si>
    <t>Roadster</t>
  </si>
  <si>
    <t>AutoTrader - Accelerate</t>
  </si>
  <si>
    <t>Cars.com Special Offers</t>
  </si>
  <si>
    <t>Cars.com - Dealer Solutions New</t>
  </si>
  <si>
    <t>Cars.com Banners</t>
  </si>
  <si>
    <t>Cars.com Premier</t>
  </si>
  <si>
    <t>AutoTrader</t>
  </si>
  <si>
    <t>Cars.com</t>
  </si>
  <si>
    <t>Autotrader Spotlights/Accelerate DR</t>
  </si>
  <si>
    <t>KBB Used</t>
  </si>
  <si>
    <t>Special event</t>
  </si>
  <si>
    <t>COSTCO</t>
  </si>
  <si>
    <t>ABC Motors Ford of Richmond</t>
  </si>
  <si>
    <t>Equity Mining Tool - AutoAlert</t>
  </si>
  <si>
    <t>Chat Gubagoo</t>
  </si>
  <si>
    <t>Century Interactive/Call Revu</t>
  </si>
  <si>
    <t>finance tool-Finance Driver</t>
  </si>
  <si>
    <t>TruckTrader/Work Truck Solutions</t>
  </si>
  <si>
    <t>Outdoor/billboards/AutoDealerNetwork, etc</t>
  </si>
  <si>
    <t>ABC Motors LEXUS OF RICHMOND</t>
  </si>
  <si>
    <t>Group PREROLL/PVOD/ACR</t>
  </si>
  <si>
    <t>Washington Post</t>
  </si>
  <si>
    <t xml:space="preserve">Store Specific Publications </t>
  </si>
  <si>
    <t>eLead Deal Builder</t>
  </si>
  <si>
    <t xml:space="preserve">AutoTrader/KBB - TIM </t>
  </si>
  <si>
    <t>Autoloop</t>
  </si>
  <si>
    <t>ABC Motors Ford of Gaithersburg</t>
  </si>
  <si>
    <t>Pre-Roll Video &amp; GROUP PVOD/ACR</t>
  </si>
  <si>
    <t>Newsletter</t>
  </si>
  <si>
    <t>SEM/Social</t>
  </si>
  <si>
    <t>ABC Motors Ford of Springfield</t>
  </si>
  <si>
    <t>GROUP PVOD/ACR</t>
  </si>
  <si>
    <t>Trade-in Tool -PERQ</t>
  </si>
  <si>
    <t>Mobile Campaign</t>
  </si>
  <si>
    <t>St. James Sponsorship</t>
  </si>
  <si>
    <t>ABC Motors Ford of Warrenton</t>
  </si>
  <si>
    <t>Group PVOD/ACR</t>
  </si>
  <si>
    <t>Store Specific Publications - Fauqier Times</t>
  </si>
  <si>
    <t>Equity Mining Tool-Automotive Mastermind</t>
  </si>
  <si>
    <t>Cars.com Premier/ Boost Acquisition</t>
  </si>
  <si>
    <t>ABC Motors Nissan of Manassas</t>
  </si>
  <si>
    <t>Category/Product/Campaign</t>
  </si>
  <si>
    <t>Media|Group TV</t>
  </si>
  <si>
    <t>Media|Group PVOD/ACR</t>
  </si>
  <si>
    <t>Media|Group Sponsorship</t>
  </si>
  <si>
    <t>Direct Mail|Database Mail</t>
  </si>
  <si>
    <t>Digital Tools|Website</t>
  </si>
  <si>
    <t>Digital Tools|eLead|eLead Text</t>
  </si>
  <si>
    <t>Digital Tools|eLead|eLead RCI Data Feed</t>
  </si>
  <si>
    <t>Equity Mining Tool-Perfect Prospect</t>
  </si>
  <si>
    <t>Digital Tools|Equity Mining</t>
  </si>
  <si>
    <t>Digital Tools|Chat|CarChat24</t>
  </si>
  <si>
    <t>Century Interactive</t>
  </si>
  <si>
    <t>Digital Tools|CallRevu</t>
  </si>
  <si>
    <t>Digital Tools|Finance Driver</t>
  </si>
  <si>
    <t>Digital Tools|Rep Management</t>
  </si>
  <si>
    <t>Digital Tools|Social Media</t>
  </si>
  <si>
    <t>Social Media - Alli</t>
  </si>
  <si>
    <t>Digital Tools|Trade-in Tool</t>
  </si>
  <si>
    <t>Digital Tools|eLead|eLead Deal Builder</t>
  </si>
  <si>
    <t>OEM|OEM Leads|Nissan OEM Leads</t>
  </si>
  <si>
    <t>3rd Party Listings|TrueCar|New Cars</t>
  </si>
  <si>
    <t>Digital Marketing|PureCars VYT|New Cars</t>
  </si>
  <si>
    <r>
      <rPr>
        <rFont val="Arial"/>
        <sz val="11.0"/>
      </rPr>
      <t>3rd Party Listings|</t>
    </r>
    <r>
      <rPr>
        <rFont val="Arial"/>
        <color rgb="FF000000"/>
        <sz val="11.0"/>
      </rPr>
      <t>Cars.com</t>
    </r>
    <r>
      <rPr>
        <rFont val="Arial"/>
        <sz val="11.0"/>
      </rPr>
      <t>|New Cars</t>
    </r>
  </si>
  <si>
    <t>Digital Marketing|SEM|PureCars New Cars</t>
  </si>
  <si>
    <t>Work Truck Solutions</t>
  </si>
  <si>
    <r>
      <rPr>
        <rFont val="Arial"/>
        <sz val="11.0"/>
      </rPr>
      <t>3rd Party Listings|</t>
    </r>
    <r>
      <rPr>
        <rFont val="Arial"/>
        <color rgb="FF000000"/>
        <sz val="11.0"/>
      </rPr>
      <t>Cars.com</t>
    </r>
    <r>
      <rPr>
        <rFont val="Arial"/>
        <sz val="11.0"/>
      </rPr>
      <t>|Used Cars</t>
    </r>
  </si>
  <si>
    <t>3rd Party Listings|KBB|Used Cars</t>
  </si>
  <si>
    <t>3rd Party Listings|CarGurus|Used Cars</t>
  </si>
  <si>
    <t>Digital Tools|CarFax Reports</t>
  </si>
  <si>
    <t>Less VINCO Credit</t>
  </si>
  <si>
    <t>ABC Motors Auto Outlet Manassas</t>
  </si>
  <si>
    <t>Pre-Roll Video</t>
  </si>
  <si>
    <t>Cars.com - Cars360</t>
  </si>
  <si>
    <t>Rugby/Gonzaga</t>
  </si>
  <si>
    <t>ABC Motors Nissan of Waldorf</t>
  </si>
  <si>
    <t>Southern Maryland News</t>
  </si>
  <si>
    <t>Conquest email/CBS/Marketing in Motion</t>
  </si>
  <si>
    <t>Special event - DCM</t>
  </si>
  <si>
    <t>COSTCO / NAVYFED</t>
  </si>
  <si>
    <t>ABC Motors Nissan of White Marsh</t>
  </si>
  <si>
    <t>Pre-Roll Video/PVOD/ACR</t>
  </si>
  <si>
    <t>Baltimore Sun</t>
  </si>
  <si>
    <t>The Avenue News</t>
  </si>
  <si>
    <t>CarWars/CallRevu</t>
  </si>
  <si>
    <t>Finance Tool - eLend solutions</t>
  </si>
  <si>
    <t>Trade-in Tool/ecredit tool Black Book</t>
  </si>
  <si>
    <t>J&amp;L</t>
  </si>
  <si>
    <t>ABC Motors Nissan of Glen Burnie</t>
  </si>
  <si>
    <t>Finance Tool- elend solutions</t>
  </si>
  <si>
    <t>COSTCO and Navy Fed</t>
  </si>
  <si>
    <t>ALEXANDRIA</t>
  </si>
  <si>
    <t>Special event or other - Honda event</t>
  </si>
  <si>
    <t>Chat - CarNow</t>
  </si>
  <si>
    <t>Autoipacket</t>
  </si>
  <si>
    <t>ABC Motors Hyundai of Waldorf</t>
  </si>
  <si>
    <t>Group Traditional Add-Ons (digital components)</t>
  </si>
  <si>
    <t xml:space="preserve">Trade-in Tool </t>
  </si>
  <si>
    <t>Edmunds.com/Trilogy Smart Leads</t>
  </si>
  <si>
    <t>Special Finance leads - Credit Express</t>
  </si>
  <si>
    <t xml:space="preserve">Special event </t>
  </si>
  <si>
    <t>J &amp; L Event</t>
  </si>
  <si>
    <t>ABC Motors Subaru of Springfield</t>
  </si>
  <si>
    <t>Group Traditional Ad-Ons (digital components)</t>
  </si>
  <si>
    <t>Ft. Belvoir Eagle</t>
  </si>
  <si>
    <t>Digital Tools|Website|Dealer Fire</t>
  </si>
  <si>
    <t>Century Interactive/CarWars/CallRevu</t>
  </si>
  <si>
    <t>Finance Tool-eLend Solutions</t>
  </si>
  <si>
    <t>eLead Deal Builder / Roadster</t>
  </si>
  <si>
    <t>Digital Tools|Roadster</t>
  </si>
  <si>
    <t>OEM|OEM Leads|Ford OEM Leads</t>
  </si>
  <si>
    <t>Digital Tools|PureCars Vehicle History Report</t>
  </si>
  <si>
    <r>
      <rPr>
        <rFont val="Arial"/>
        <sz val="11.0"/>
      </rPr>
      <t>3rd Party Listings|</t>
    </r>
    <r>
      <rPr>
        <rFont val="Arial"/>
        <color rgb="FF000000"/>
        <sz val="11.0"/>
      </rPr>
      <t>Cars.com</t>
    </r>
    <r>
      <rPr>
        <rFont val="Arial"/>
        <sz val="11.0"/>
      </rPr>
      <t>|New Cars</t>
    </r>
  </si>
  <si>
    <t>AutoTrader/KBB - TIM (Cars.com)</t>
  </si>
  <si>
    <r>
      <rPr>
        <rFont val="Arial"/>
        <sz val="11.0"/>
      </rPr>
      <t>3rd Party Listings|</t>
    </r>
    <r>
      <rPr>
        <rFont val="Arial"/>
        <color rgb="FF000000"/>
        <sz val="11.0"/>
      </rPr>
      <t>Cars.com</t>
    </r>
    <r>
      <rPr>
        <rFont val="Arial"/>
        <sz val="11.0"/>
      </rPr>
      <t>|Used Cars</t>
    </r>
  </si>
  <si>
    <t>ABC Motors Volkswagen of Springfield</t>
  </si>
  <si>
    <t>Carwars/CallRevu</t>
  </si>
  <si>
    <t>Finacne Tool-eLend</t>
  </si>
  <si>
    <t>eLead Deal Builder/ Roadster</t>
  </si>
  <si>
    <t>Outdoor/billboards/ABN/ etc.</t>
  </si>
  <si>
    <t>ABC Motors Infiniti of Annapolis</t>
  </si>
  <si>
    <t>Equity Mining Tool- Automotive Mastermind</t>
  </si>
  <si>
    <t>Call Revu</t>
  </si>
  <si>
    <t>ABC Motors Infiniti of Chantilly</t>
  </si>
  <si>
    <t>Finance Tool-Finance Driver Off Platform</t>
  </si>
  <si>
    <t>auto ipacket</t>
  </si>
  <si>
    <t>.</t>
  </si>
  <si>
    <t>ABC Motors Infiniti of Tysons</t>
  </si>
  <si>
    <t>Chat-Gubagoo</t>
  </si>
  <si>
    <t>autoipacket</t>
  </si>
  <si>
    <t>ABC Motors Toyota of Fredericksburg</t>
  </si>
  <si>
    <t>Pre-Roll Video/GROUP PVOD/ACR</t>
  </si>
  <si>
    <t>Free Lance Star</t>
  </si>
  <si>
    <t>Store Specific Publications - Used Mag</t>
  </si>
  <si>
    <t>USB</t>
  </si>
  <si>
    <t>ABC Motors TOYOTA OF STAFFORD</t>
  </si>
  <si>
    <t>Special event or other - J&amp;L</t>
  </si>
  <si>
    <t>Equity Mining Tool-automotiveMastermind</t>
  </si>
  <si>
    <t>Outdoor/billboards/AutodealerTV etc.</t>
  </si>
  <si>
    <t>ABC Motors TOYOTA OF LAUREL</t>
  </si>
  <si>
    <t>Group SPONSORSHIP</t>
  </si>
  <si>
    <t>Automotive Mastermind</t>
  </si>
  <si>
    <t>Chat- Carchat24</t>
  </si>
  <si>
    <t>AutoIpacket</t>
  </si>
  <si>
    <t>Autotrader Spotlights</t>
  </si>
  <si>
    <t>ABC Motors Subaru of Hagerstown</t>
  </si>
  <si>
    <t>Group Sponsorships</t>
  </si>
  <si>
    <t>Newspaper</t>
  </si>
  <si>
    <t>Springfield Town Center</t>
  </si>
  <si>
    <t>with coop</t>
  </si>
  <si>
    <t>total hagerstown</t>
  </si>
  <si>
    <t>ABC Motors Volkswagen of Hagerstown</t>
  </si>
  <si>
    <t>Mobile/Display Campaigns</t>
  </si>
  <si>
    <t>HAGERSTOWN TOTAL</t>
  </si>
  <si>
    <t>MAZDA HAGERSTOWN</t>
  </si>
  <si>
    <t>ABC Motors Buick GMC</t>
  </si>
  <si>
    <t>ABC Motors Buick GMC Fredericksburg</t>
  </si>
  <si>
    <t>Chat CarChat24</t>
  </si>
  <si>
    <t>ABC Motors Subaru of Fredericksburg</t>
  </si>
  <si>
    <t>Production Fee</t>
  </si>
  <si>
    <t>Store Specific publications</t>
  </si>
  <si>
    <t>Database mail IHS</t>
  </si>
  <si>
    <t>H-D Direct Mail</t>
  </si>
  <si>
    <t>Conquest</t>
  </si>
  <si>
    <t>Website - Room58</t>
  </si>
  <si>
    <t>eLead</t>
  </si>
  <si>
    <t>eLead Texting</t>
  </si>
  <si>
    <t>Reputation Management</t>
  </si>
  <si>
    <t>New Bike Coupons</t>
  </si>
  <si>
    <t>PureCars Management Fee</t>
  </si>
  <si>
    <t>Mobile</t>
  </si>
  <si>
    <t>AutoTrader Moto</t>
  </si>
  <si>
    <t>Chopper Exchange</t>
  </si>
  <si>
    <t>Moto Mate</t>
  </si>
  <si>
    <t>Ebay (canceled)</t>
  </si>
  <si>
    <t>AutoTrader Moto $50 Inventory Feed</t>
  </si>
  <si>
    <t>Ebay $50 Inventory Feed (canceled)</t>
  </si>
  <si>
    <t>Graphic Design</t>
  </si>
  <si>
    <t>Printing/Promotional Items</t>
  </si>
  <si>
    <t>PR/Profile Marketing</t>
  </si>
  <si>
    <t>POP instore</t>
  </si>
  <si>
    <t>Community Events</t>
  </si>
  <si>
    <t>Charity/Donations</t>
  </si>
  <si>
    <t>Miscellaneous</t>
  </si>
  <si>
    <t>GRAND TOTAL</t>
  </si>
  <si>
    <t>AD VEH</t>
  </si>
  <si>
    <t>AD Fix</t>
  </si>
  <si>
    <t>total</t>
  </si>
  <si>
    <t>dif</t>
  </si>
  <si>
    <t>Lexus of Annapolis</t>
  </si>
  <si>
    <t>Eastern Shore Golf</t>
  </si>
  <si>
    <t>Database MailAutomotive Mastermind</t>
  </si>
  <si>
    <t>Benchmark</t>
  </si>
  <si>
    <t>DealerOn</t>
  </si>
  <si>
    <t>Automotive Mastermind Mailers</t>
  </si>
  <si>
    <t>Podium</t>
  </si>
  <si>
    <t>Yext</t>
  </si>
  <si>
    <t>Automotive Mastermind Conquest</t>
  </si>
  <si>
    <t>Edmunds</t>
  </si>
  <si>
    <t>DealerOn SEM</t>
  </si>
  <si>
    <t>KBB</t>
  </si>
  <si>
    <t xml:space="preserve">Printing </t>
  </si>
  <si>
    <t>Vehicle Wrap</t>
  </si>
  <si>
    <t>Downtown Annapolis Holiday Event</t>
  </si>
  <si>
    <t>Community</t>
  </si>
  <si>
    <t>Charity event -</t>
  </si>
  <si>
    <t>Ironman and Eagleman</t>
  </si>
  <si>
    <t>NISSAN DC SALES</t>
  </si>
  <si>
    <t>JANUARY</t>
  </si>
  <si>
    <t>FEBRUARY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</si>
  <si>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</si>
  <si>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</si>
  <si>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</si>
  <si>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</si>
  <si>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</si>
  <si>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</si>
  <si>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</si>
  <si>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</si>
  <si>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</si>
  <si>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</si>
  <si>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CABLE EST#</t>
  </si>
  <si>
    <t>CABLE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</si>
  <si>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</si>
  <si>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</si>
  <si>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</si>
  <si>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</si>
  <si>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</si>
  <si>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</si>
  <si>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</si>
  <si>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</si>
  <si>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</si>
  <si>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</si>
  <si>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</si>
  <si>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size</t>
  </si>
  <si>
    <t>sales</t>
  </si>
  <si>
    <t>spend</t>
  </si>
  <si>
    <t>MANASSAS</t>
  </si>
  <si>
    <t>WALDORF</t>
  </si>
  <si>
    <t>RADIO EST#</t>
  </si>
  <si>
    <t>RADIO</t>
  </si>
  <si>
    <t>FORD DC SALES</t>
  </si>
  <si>
    <t>TV EST#</t>
  </si>
  <si>
    <t>TV</t>
  </si>
  <si>
    <t>MARLOW HEIGHTS</t>
  </si>
  <si>
    <t>GAITHERSBURG</t>
  </si>
  <si>
    <t>SPRINGFIELD FORD</t>
  </si>
  <si>
    <t>WARRENTON</t>
  </si>
  <si>
    <t xml:space="preserve"> </t>
  </si>
  <si>
    <t>ABC Motors.COM SALES</t>
  </si>
  <si>
    <t>GROUP TV</t>
  </si>
  <si>
    <t>group tv</t>
  </si>
  <si>
    <t>GROUP TV/CABLE</t>
  </si>
  <si>
    <t>LAUREL</t>
  </si>
  <si>
    <t>HONDA</t>
  </si>
  <si>
    <t>HYUNDAI</t>
  </si>
  <si>
    <t>VW</t>
  </si>
  <si>
    <t>SUBARU</t>
  </si>
  <si>
    <t>FREDERICKSBURG</t>
  </si>
  <si>
    <t>STAFFORD</t>
  </si>
  <si>
    <t>HAGERSTOWN SU</t>
  </si>
  <si>
    <t>HAGERSTOWN VW</t>
  </si>
  <si>
    <t>MAZDA</t>
  </si>
  <si>
    <t>BUICK/GMC</t>
  </si>
  <si>
    <t>GROUP SPONSORSHIP</t>
  </si>
  <si>
    <t>sponsorships</t>
  </si>
  <si>
    <t>GROUP Sponsorship</t>
  </si>
  <si>
    <t>Group PREROLL/PVOD/ACR EST#</t>
  </si>
  <si>
    <t>PVOD/ACR</t>
  </si>
  <si>
    <t xml:space="preserve"> LAUREL</t>
  </si>
  <si>
    <t>total group</t>
  </si>
  <si>
    <t>FORD RICHMOND SALES</t>
  </si>
  <si>
    <t>RICHMOND</t>
  </si>
  <si>
    <t>ASHLAND</t>
  </si>
  <si>
    <t>MECHANICSVILLE</t>
  </si>
  <si>
    <t>TV EST#12350121213</t>
  </si>
  <si>
    <t>TV EST#12350121137</t>
  </si>
  <si>
    <t>RADIO/PANDORA EST#</t>
  </si>
  <si>
    <t>RADIO/PANDORA</t>
  </si>
  <si>
    <t>FORD ASHLANDSALES</t>
  </si>
  <si>
    <t>PRE-ROLL/PVOD/ACR</t>
  </si>
  <si>
    <t>MECHANICSVILLE SALES</t>
  </si>
  <si>
    <t xml:space="preserve"> RICHMOND GROUP SALES</t>
  </si>
  <si>
    <t>PREROLL/PVOD/ACR EST#</t>
  </si>
  <si>
    <t>FORD RICHMOND / ASHLANDSALES</t>
  </si>
  <si>
    <t>SPONSORSHIP EST#</t>
  </si>
  <si>
    <t>RADIO SPONSORSHIP</t>
  </si>
  <si>
    <t>RICH TOTAL</t>
  </si>
  <si>
    <t>MECHANCSVILLE</t>
  </si>
  <si>
    <t>NISSAN BALTIMORE SALES</t>
  </si>
  <si>
    <t>TOTALS</t>
  </si>
  <si>
    <t xml:space="preserve">TV EST# </t>
  </si>
  <si>
    <t>GLEN BURNIE</t>
  </si>
  <si>
    <t>WHITE MARSH</t>
  </si>
  <si>
    <t xml:space="preserve">CABLE EST# </t>
  </si>
  <si>
    <t xml:space="preserve">PREROLL/PVOD/ACR EST# </t>
  </si>
  <si>
    <t>PREROLL/PVOD/ACR</t>
  </si>
  <si>
    <t>Sponsorship EST#</t>
  </si>
  <si>
    <t>BALT TOTAL</t>
  </si>
  <si>
    <t>TOYOTA SALES</t>
  </si>
  <si>
    <t>RADIO/PVOA</t>
  </si>
  <si>
    <t>JAN</t>
  </si>
  <si>
    <t>FEB</t>
  </si>
  <si>
    <t>SPONSORSHIP</t>
  </si>
  <si>
    <t>PVOD</t>
  </si>
  <si>
    <t>FRED TOTAL</t>
  </si>
  <si>
    <t>HAGERSTOWN SALES</t>
  </si>
  <si>
    <t>AUGUST</t>
  </si>
  <si>
    <t>HSU</t>
  </si>
  <si>
    <t>MZ</t>
  </si>
  <si>
    <t>BU/GMC</t>
  </si>
  <si>
    <t>FREDERICKSBURG SU &amp; BGMC SALES</t>
  </si>
  <si>
    <t xml:space="preserve">CABLE </t>
  </si>
  <si>
    <t>FSU</t>
  </si>
  <si>
    <t>FBG</t>
  </si>
  <si>
    <t>COOP/BRAND SPECIFIC</t>
  </si>
  <si>
    <t>HSU CABLE</t>
  </si>
  <si>
    <t>SU CABLE / PVOD</t>
  </si>
  <si>
    <t>GA PREROLL</t>
  </si>
  <si>
    <t>FR PREROLL</t>
  </si>
  <si>
    <t>HSU RADIO</t>
  </si>
  <si>
    <t>HVW CABLE</t>
  </si>
  <si>
    <t>HSU PVOD</t>
  </si>
  <si>
    <t>HSU TV SPONSORSHIP</t>
  </si>
  <si>
    <t>MZ CABLE</t>
  </si>
  <si>
    <t>MZ PVOD</t>
  </si>
  <si>
    <t>MA HISPANIC</t>
  </si>
  <si>
    <t>LAUREL PVOD</t>
  </si>
  <si>
    <t>LAUREL CABLE</t>
  </si>
  <si>
    <t>FR PAOD</t>
  </si>
  <si>
    <t>RLX PVOD</t>
  </si>
  <si>
    <t>RLX CABLE</t>
  </si>
  <si>
    <t>RLX TV</t>
  </si>
  <si>
    <t>PRODUCTION BROADCAST</t>
  </si>
  <si>
    <t>AS</t>
  </si>
  <si>
    <t>RI</t>
  </si>
  <si>
    <t>LT</t>
  </si>
  <si>
    <t>GA</t>
  </si>
  <si>
    <t>RLX</t>
  </si>
  <si>
    <t>SP</t>
  </si>
  <si>
    <t>WR</t>
  </si>
  <si>
    <t>MA</t>
  </si>
  <si>
    <t>WA</t>
  </si>
  <si>
    <t>SN</t>
  </si>
  <si>
    <t>GB</t>
  </si>
  <si>
    <t>WM</t>
  </si>
  <si>
    <t>SU</t>
  </si>
  <si>
    <t>AX</t>
  </si>
  <si>
    <t>HY</t>
  </si>
  <si>
    <t>IN</t>
  </si>
  <si>
    <t>CH</t>
  </si>
  <si>
    <t>TC</t>
  </si>
  <si>
    <t>LX</t>
  </si>
  <si>
    <t>HD</t>
  </si>
  <si>
    <t>FR</t>
  </si>
  <si>
    <t>ST</t>
  </si>
  <si>
    <t>HVW</t>
  </si>
  <si>
    <t>BUGMC</t>
  </si>
  <si>
    <t>UPDATED</t>
  </si>
  <si>
    <t>ABC Motors</t>
  </si>
  <si>
    <t>HARLEY</t>
  </si>
  <si>
    <t xml:space="preserve">November </t>
  </si>
  <si>
    <t>PRODUCTION WEB/PRINT</t>
  </si>
  <si>
    <t>MV</t>
  </si>
  <si>
    <t>MH</t>
  </si>
  <si>
    <t>Budget Changes</t>
  </si>
  <si>
    <t>STORE</t>
  </si>
  <si>
    <t>AMOUNT</t>
  </si>
  <si>
    <t>TIMEFRAME</t>
  </si>
  <si>
    <t>ADDITIONAL</t>
  </si>
  <si>
    <t>OEM leads from statements</t>
  </si>
  <si>
    <t>all stores</t>
  </si>
  <si>
    <t>?</t>
  </si>
  <si>
    <t>confirm autoloop monthly charge</t>
  </si>
  <si>
    <t>feb-DEC</t>
  </si>
  <si>
    <t>contact Bill Williams</t>
  </si>
  <si>
    <t>confirm Rugby with Paul</t>
  </si>
  <si>
    <t>distribute pinnacle digital charges evenly across all stores (lesser for 3 infintii)</t>
  </si>
  <si>
    <t>all stores (except lexus, outlet, harley-)</t>
  </si>
  <si>
    <t>cancel OEM leads</t>
  </si>
  <si>
    <t>call 12/31; confirmed</t>
  </si>
  <si>
    <t>Reduce One to One to Base Packagde</t>
  </si>
  <si>
    <t>monthly</t>
  </si>
  <si>
    <t>contact Lena for confirmatoin (put in 12/27)</t>
  </si>
  <si>
    <t xml:space="preserve">Floris has to do </t>
  </si>
  <si>
    <t>confirm budget with Easycare after dropping one to one</t>
  </si>
  <si>
    <t>talk to joey</t>
  </si>
  <si>
    <t>Needed Later</t>
  </si>
  <si>
    <t>coop reimbursement averages</t>
  </si>
  <si>
    <t>Ford, SU, Hyundai</t>
  </si>
  <si>
    <t>Mar-Dec</t>
  </si>
  <si>
    <t>media flowcharts</t>
  </si>
  <si>
    <t xml:space="preserve">GB, WM </t>
  </si>
  <si>
    <t>far right budget breakdown of % by channel (electronic vs. direct mail vs. new vs. used</t>
  </si>
  <si>
    <t xml:space="preserve">all stores </t>
  </si>
  <si>
    <t>confirm Automotive New Car Clinics Cost row 101 $750/mo</t>
  </si>
  <si>
    <t>confirm row 102</t>
  </si>
  <si>
    <t>morgan emailed aaron confirmation</t>
  </si>
  <si>
    <t>confirm Chat &amp; YEXT</t>
  </si>
  <si>
    <t>Budget Cut Opportunities</t>
  </si>
  <si>
    <t>Golddigger</t>
  </si>
  <si>
    <t>MH, HY, WA</t>
  </si>
  <si>
    <t>$2500/mo (average)</t>
  </si>
  <si>
    <t>PVOD/ACR Q1</t>
  </si>
  <si>
    <t>AS, RI</t>
  </si>
  <si>
    <t>Blackbook ecredit</t>
  </si>
  <si>
    <t>AX, WM</t>
  </si>
  <si>
    <t>Any remaining (AX, VW)</t>
  </si>
  <si>
    <t>Talk to John about underspending on SEM</t>
  </si>
  <si>
    <t>TRUECar</t>
  </si>
  <si>
    <t>Chat allocation</t>
  </si>
  <si>
    <r>
      <rPr>
        <color rgb="FF1155CC"/>
        <u/>
      </rPr>
      <t>rep.com</t>
    </r>
    <r>
      <rPr/>
      <t xml:space="preserve"> vs. yext updates</t>
    </r>
  </si>
  <si>
    <t>add new stores to group allocation</t>
  </si>
  <si>
    <t>check production/agency fees</t>
  </si>
  <si>
    <t xml:space="preserve">copied budget over on 10-20- need to check for any additional changes made after that </t>
  </si>
  <si>
    <t xml:space="preserve">update COOP from 2021 </t>
  </si>
  <si>
    <t>input 2022 projections</t>
  </si>
  <si>
    <t>doublecheck OEM placeholders for both sales &amp; service</t>
  </si>
  <si>
    <t>check easycare quarterly budgets (probably missing for most of year)</t>
  </si>
  <si>
    <t xml:space="preserve">direct mail </t>
  </si>
  <si>
    <t>Pinnacle</t>
  </si>
  <si>
    <t>graphic design</t>
  </si>
  <si>
    <t>POP</t>
  </si>
  <si>
    <t>remove other signage</t>
  </si>
  <si>
    <t>MISC</t>
  </si>
  <si>
    <t>Rugby</t>
  </si>
  <si>
    <t xml:space="preserve">2018 Units </t>
  </si>
  <si>
    <t>2018 (- 2%)</t>
  </si>
  <si>
    <t>Budget based on avg 18 PVR X units (-2%)</t>
  </si>
  <si>
    <t>2019 Projected Units</t>
  </si>
  <si>
    <t xml:space="preserve">New </t>
  </si>
  <si>
    <t xml:space="preserve">used </t>
  </si>
  <si>
    <t>AVG PVR</t>
  </si>
  <si>
    <t xml:space="preserve">JANUARY </t>
  </si>
  <si>
    <t xml:space="preserve">FEBRUARY </t>
  </si>
  <si>
    <t>CURRENT BUDGET</t>
  </si>
  <si>
    <t>PROJ SPEND</t>
  </si>
  <si>
    <t>DIFFERENCE</t>
  </si>
  <si>
    <t>BILLING</t>
  </si>
  <si>
    <t xml:space="preserve">AS </t>
  </si>
  <si>
    <t>MONTHLY OPERATING COSTS</t>
  </si>
  <si>
    <t>erin</t>
  </si>
  <si>
    <t>TV/Radio Production</t>
  </si>
  <si>
    <t>pinnacle</t>
  </si>
  <si>
    <t>Media Buying</t>
  </si>
  <si>
    <t xml:space="preserve">pinnacle </t>
  </si>
  <si>
    <t>Software/Hardware</t>
  </si>
  <si>
    <t>Misc</t>
  </si>
  <si>
    <t>TOTAL MONTHLY</t>
  </si>
  <si>
    <t>TOTAL YEARLY</t>
  </si>
  <si>
    <t>2016 Costs</t>
  </si>
  <si>
    <t>Production Breakdown</t>
  </si>
  <si>
    <t>Currently</t>
  </si>
  <si>
    <t>Video</t>
  </si>
  <si>
    <t>Sliders/eblasts</t>
  </si>
  <si>
    <t>Uploading</t>
  </si>
  <si>
    <t>Date of Change</t>
  </si>
  <si>
    <t>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</si>
</sst>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&quot;$&quot;#,##0_);\(&quot;$&quot;#,##0\)"/>
    <numFmt numFmtId="166" formatCode="&quot;$&quot;#,##0"/>
    <numFmt numFmtId="167" formatCode="&quot;$&quot;#,##0_);[Red]\(&quot;$&quot;#,##0\)"/>
  </numFmts>
  <fonts count="37">
    <font>
      <sz val="10.0"/>
      <color rgb="FF000000"/>
      <name val="Arial"/>
    </font>
    <font>
      <sz val="11.0"/>
      <name val="Arial"/>
    </font>
    <font>
      <b/>
      <sz val="11.0"/>
      <name val="Arial"/>
    </font>
    <font>
      <b/>
      <sz val="11.0"/>
      <color rgb="FF000000"/>
      <name val="Arial"/>
    </font>
    <font>
      <sz val="11.0"/>
      <color rgb="FF000000"/>
      <name val="Arial"/>
    </font>
    <font>
      <u/>
      <sz val="11.0"/>
      <color rgb="FF0000FF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sz val="11.0"/>
    </font>
    <font>
      <sz val="11.0"/>
      <color rgb="FF000000"/>
      <name val="Inconsolata"/>
    </font>
    <font>
      <color rgb="FF000000"/>
      <name val="Arial"/>
    </font>
    <font>
      <sz val="11.0"/>
      <name val="Inconsolata"/>
    </font>
    <font/>
    <font>
      <name val="Arial"/>
    </font>
    <font>
      <sz val="11.0"/>
      <color rgb="FF1155CC"/>
      <name val="Inconsolata"/>
    </font>
    <font>
      <b/>
      <sz val="10.0"/>
      <name val="Arial"/>
    </font>
    <font>
      <sz val="11.0"/>
      <color rgb="FF7E3794"/>
      <name val="Inconsolata"/>
    </font>
    <font>
      <sz val="11.0"/>
      <color rgb="FF000000"/>
      <name val="Calibri"/>
    </font>
    <font>
      <sz val="11.0"/>
      <color rgb="FFF7981D"/>
      <name val="Inconsolata"/>
    </font>
    <font>
      <sz val="12.0"/>
      <name val="Arial"/>
    </font>
    <font>
      <sz val="11.0"/>
      <color rgb="FFFF00FF"/>
      <name val="Arial"/>
    </font>
    <font>
      <b/>
      <sz val="11.0"/>
      <color rgb="FFFF00FF"/>
      <name val="Arial"/>
    </font>
    <font>
      <sz val="10.0"/>
      <name val="Arial"/>
    </font>
    <font>
      <b/>
      <sz val="10.0"/>
      <color rgb="FFFFFFFF"/>
      <name val="Arial"/>
    </font>
    <font>
      <sz val="10.0"/>
      <color rgb="FFFF0000"/>
      <name val="Arial"/>
    </font>
    <font>
      <i/>
      <sz val="10.0"/>
      <color rgb="FFFF0000"/>
      <name val="Arial"/>
    </font>
    <font>
      <b/>
      <name val="Arial"/>
    </font>
    <font>
      <b/>
      <sz val="11.0"/>
      <color rgb="FF000000"/>
      <name val="Inconsolata"/>
    </font>
    <font>
      <sz val="11.0"/>
      <color rgb="FF0000FF"/>
      <name val="Inconsolata"/>
    </font>
    <font>
      <b/>
      <i/>
      <sz val="10.0"/>
      <name val="Arial"/>
    </font>
    <font>
      <sz val="11.0"/>
      <name val="Calibri"/>
    </font>
    <font>
      <b/>
    </font>
    <font>
      <b/>
      <sz val="10.0"/>
      <color rgb="FFFF0000"/>
      <name val="Arial"/>
    </font>
    <font>
      <b/>
      <sz val="9.0"/>
      <name val="Arial"/>
    </font>
    <font>
      <sz val="9.0"/>
      <name val="Arial"/>
    </font>
    <font>
      <strike/>
    </font>
    <font>
      <u/>
      <color rgb="FF0000FF"/>
    </font>
  </fonts>
  <fills count="2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92D050"/>
        <bgColor rgb="FF92D050"/>
      </patternFill>
    </fill>
    <fill>
      <patternFill patternType="solid">
        <fgColor rgb="FFE7E6E6"/>
        <bgColor rgb="FFE7E6E6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4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CCCCCC"/>
      </left>
      <top style="thin">
        <color rgb="FFCCCCCC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CCCCCC"/>
      </right>
      <top style="thin">
        <color rgb="FFCCCCCC"/>
      </top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 style="thin">
        <color rgb="FFCCCCCC"/>
      </left>
      <bottom style="thin">
        <color rgb="FFCCCCCC"/>
      </bottom>
    </border>
    <border>
      <left style="thin">
        <color rgb="FF000000"/>
      </left>
    </border>
    <border>
      <right style="thin">
        <color rgb="FFCCCCCC"/>
      </right>
      <bottom style="thin">
        <color rgb="FFCCCCCC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right style="thin">
        <color rgb="FF000000"/>
      </right>
      <top/>
      <bottom style="thin">
        <color rgb="FF000000"/>
      </bottom>
    </border>
    <border>
      <bottom style="thin">
        <color rgb="FFCCCCCC"/>
      </bottom>
    </border>
    <border>
      <left/>
      <right/>
      <top/>
    </border>
    <border>
      <left/>
      <right/>
    </border>
    <border>
      <left style="thin">
        <color rgb="FFCCCCCC"/>
      </left>
    </border>
    <border>
      <top style="thin">
        <color rgb="FFCCCCCC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CCCCCC"/>
      </bottom>
    </border>
    <border>
      <right style="thin">
        <color rgb="FFCCCCCC"/>
      </right>
    </border>
    <border>
      <right style="thin">
        <color rgb="FF000000"/>
      </right>
      <top style="thin">
        <color rgb="FFCCCCCC"/>
      </top>
    </border>
    <border>
      <right style="thin">
        <color rgb="FF000000"/>
      </right>
      <bottom style="thin">
        <color rgb="FFCCCCCC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CCCCCC"/>
      </left>
      <right style="thin">
        <color rgb="FFCCCCCC"/>
      </right>
    </border>
  </borders>
  <cellStyleXfs count="1">
    <xf borderId="0" fillId="0" fontId="0" numFmtId="0" applyAlignment="1" applyFont="1"/>
  </cellStyleXfs>
  <cellXfs count="8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2" fontId="2" numFmtId="0" xfId="0" applyAlignment="1" applyFill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3" numFmtId="164" xfId="0" applyAlignment="1" applyFont="1" applyNumberForma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1" fillId="0" fontId="1" numFmtId="0" xfId="0" applyAlignment="1" applyBorder="1" applyFont="1">
      <alignment shrinkToFit="0" wrapText="1"/>
    </xf>
    <xf borderId="1" fillId="0" fontId="3" numFmtId="164" xfId="0" applyAlignment="1" applyBorder="1" applyFont="1" applyNumberFormat="1">
      <alignment horizontal="center" shrinkToFit="0" wrapText="0"/>
    </xf>
    <xf borderId="1" fillId="0" fontId="2" numFmtId="0" xfId="0" applyAlignment="1" applyBorder="1" applyFont="1">
      <alignment horizontal="center" shrinkToFit="0" wrapText="0"/>
    </xf>
    <xf borderId="1" fillId="0" fontId="2" numFmtId="0" xfId="0" applyAlignment="1" applyBorder="1" applyFont="1">
      <alignment horizontal="center" readingOrder="0" shrinkToFit="0" wrapText="1"/>
    </xf>
    <xf borderId="2" fillId="3" fontId="2" numFmtId="0" xfId="0" applyAlignment="1" applyBorder="1" applyFill="1" applyFont="1">
      <alignment shrinkToFit="0" wrapText="0"/>
    </xf>
    <xf borderId="3" fillId="4" fontId="2" numFmtId="0" xfId="0" applyAlignment="1" applyBorder="1" applyFill="1" applyFont="1">
      <alignment shrinkToFit="0" wrapText="0"/>
    </xf>
    <xf borderId="3" fillId="4" fontId="1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0"/>
    </xf>
    <xf borderId="4" fillId="0" fontId="1" numFmtId="164" xfId="0" applyAlignment="1" applyBorder="1" applyFont="1" applyNumberFormat="1">
      <alignment horizontal="right" shrinkToFit="0" wrapText="0"/>
    </xf>
    <xf borderId="1" fillId="0" fontId="1" numFmtId="164" xfId="0" applyAlignment="1" applyBorder="1" applyFont="1" applyNumberFormat="1">
      <alignment shrinkToFit="0" wrapText="0"/>
    </xf>
    <xf borderId="0" fillId="0" fontId="2" numFmtId="10" xfId="0" applyAlignment="1" applyFont="1" applyNumberFormat="1">
      <alignment horizontal="center" shrinkToFit="0" wrapText="1"/>
    </xf>
    <xf borderId="1" fillId="0" fontId="4" numFmtId="0" xfId="0" applyAlignment="1" applyBorder="1" applyFont="1">
      <alignment readingOrder="0" shrinkToFit="0" wrapText="0"/>
    </xf>
    <xf borderId="5" fillId="0" fontId="4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horizontal="right" shrinkToFit="0" wrapText="0"/>
    </xf>
    <xf borderId="4" fillId="0" fontId="2" numFmtId="164" xfId="0" applyAlignment="1" applyBorder="1" applyFont="1" applyNumberFormat="1">
      <alignment horizontal="right" shrinkToFit="0" wrapText="0"/>
    </xf>
    <xf borderId="2" fillId="3" fontId="2" numFmtId="0" xfId="0" applyAlignment="1" applyBorder="1" applyFont="1">
      <alignment horizontal="left" shrinkToFit="0" wrapText="0"/>
    </xf>
    <xf borderId="3" fillId="4" fontId="1" numFmtId="164" xfId="0" applyAlignment="1" applyBorder="1" applyFont="1" applyNumberFormat="1">
      <alignment horizontal="right" shrinkToFit="0" wrapText="0"/>
    </xf>
    <xf borderId="5" fillId="0" fontId="1" numFmtId="0" xfId="0" applyAlignment="1" applyBorder="1" applyFont="1">
      <alignment horizontal="left" readingOrder="0" shrinkToFit="0" wrapText="0"/>
    </xf>
    <xf borderId="5" fillId="0" fontId="1" numFmtId="0" xfId="0" applyAlignment="1" applyBorder="1" applyFont="1">
      <alignment horizontal="left" shrinkToFit="0" wrapText="0"/>
    </xf>
    <xf borderId="5" fillId="0" fontId="1" numFmtId="0" xfId="0" applyAlignment="1" applyBorder="1" applyFont="1">
      <alignment readingOrder="0" shrinkToFit="0" wrapText="1"/>
    </xf>
    <xf borderId="1" fillId="0" fontId="3" numFmtId="164" xfId="0" applyAlignment="1" applyBorder="1" applyFont="1" applyNumberFormat="1">
      <alignment shrinkToFit="0" wrapText="0"/>
    </xf>
    <xf borderId="0" fillId="5" fontId="3" numFmtId="10" xfId="0" applyAlignment="1" applyFill="1" applyFont="1" applyNumberFormat="1">
      <alignment horizontal="center"/>
    </xf>
    <xf borderId="2" fillId="3" fontId="2" numFmtId="0" xfId="0" applyAlignment="1" applyBorder="1" applyFont="1">
      <alignment horizontal="left" readingOrder="0" shrinkToFit="0" wrapText="0"/>
    </xf>
    <xf borderId="5" fillId="0" fontId="1" numFmtId="0" xfId="0" applyAlignment="1" applyBorder="1" applyFont="1">
      <alignment readingOrder="0" shrinkToFit="0" wrapText="0"/>
    </xf>
    <xf borderId="5" fillId="0" fontId="1" numFmtId="0" xfId="0" applyAlignment="1" applyBorder="1" applyFont="1">
      <alignment shrinkToFit="0" wrapText="0"/>
    </xf>
    <xf borderId="5" fillId="0" fontId="1" numFmtId="0" xfId="0" applyAlignment="1" applyBorder="1" applyFont="1">
      <alignment shrinkToFit="0" wrapText="1"/>
    </xf>
    <xf borderId="2" fillId="6" fontId="2" numFmtId="0" xfId="0" applyAlignment="1" applyBorder="1" applyFill="1" applyFont="1">
      <alignment shrinkToFit="0" wrapText="0"/>
    </xf>
    <xf borderId="1" fillId="0" fontId="4" numFmtId="0" xfId="0" applyAlignment="1" applyBorder="1" applyFont="1">
      <alignment horizontal="left" shrinkToFit="0" wrapText="0"/>
    </xf>
    <xf borderId="5" fillId="0" fontId="5" numFmtId="0" xfId="0" applyAlignment="1" applyBorder="1" applyFont="1">
      <alignment readingOrder="0" shrinkToFit="0" wrapText="0"/>
    </xf>
    <xf borderId="1" fillId="0" fontId="1" numFmtId="164" xfId="0" applyAlignment="1" applyBorder="1" applyFont="1" applyNumberFormat="1">
      <alignment horizontal="right" vertical="bottom"/>
    </xf>
    <xf borderId="5" fillId="0" fontId="6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horizontal="left" readingOrder="0" shrinkToFit="0" wrapText="0"/>
    </xf>
    <xf borderId="5" fillId="0" fontId="7" numFmtId="0" xfId="0" applyAlignment="1" applyBorder="1" applyFont="1">
      <alignment readingOrder="0" shrinkToFit="0" wrapText="0"/>
    </xf>
    <xf borderId="5" fillId="0" fontId="1" numFmtId="0" xfId="0" applyAlignment="1" applyBorder="1" applyFont="1">
      <alignment readingOrder="0" shrinkToFit="0" wrapText="0"/>
    </xf>
    <xf borderId="1" fillId="0" fontId="8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 shrinkToFit="0" wrapText="0"/>
    </xf>
    <xf borderId="1" fillId="0" fontId="2" numFmtId="164" xfId="0" applyAlignment="1" applyBorder="1" applyFont="1" applyNumberFormat="1">
      <alignment shrinkToFit="0" wrapText="0"/>
    </xf>
    <xf borderId="2" fillId="4" fontId="2" numFmtId="0" xfId="0" applyAlignment="1" applyBorder="1" applyFont="1">
      <alignment horizontal="right" shrinkToFit="0" wrapText="0"/>
    </xf>
    <xf borderId="1" fillId="0" fontId="4" numFmtId="164" xfId="0" applyAlignment="1" applyBorder="1" applyFont="1" applyNumberFormat="1">
      <alignment shrinkToFit="0" wrapText="0"/>
    </xf>
    <xf borderId="1" fillId="0" fontId="4" numFmtId="164" xfId="0" applyAlignment="1" applyBorder="1" applyFont="1" applyNumberFormat="1">
      <alignment shrinkToFit="0" wrapText="0"/>
    </xf>
    <xf borderId="2" fillId="6" fontId="2" numFmtId="0" xfId="0" applyAlignment="1" applyBorder="1" applyFont="1">
      <alignment horizontal="left" shrinkToFit="0" wrapText="0"/>
    </xf>
    <xf borderId="2" fillId="2" fontId="2" numFmtId="0" xfId="0" applyAlignment="1" applyBorder="1" applyFont="1">
      <alignment horizontal="right" readingOrder="0" shrinkToFit="0" wrapText="0"/>
    </xf>
    <xf borderId="1" fillId="2" fontId="3" numFmtId="164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horizontal="right" shrinkToFit="0" wrapText="0"/>
    </xf>
    <xf borderId="1" fillId="0" fontId="1" numFmtId="1" xfId="0" applyAlignment="1" applyBorder="1" applyFont="1" applyNumberFormat="1">
      <alignment horizontal="right" shrinkToFit="0" wrapText="0"/>
    </xf>
    <xf borderId="0" fillId="5" fontId="9" numFmtId="3" xfId="0" applyFont="1" applyNumberFormat="1"/>
    <xf borderId="1" fillId="0" fontId="2" numFmtId="49" xfId="0" applyAlignment="1" applyBorder="1" applyFont="1" applyNumberFormat="1">
      <alignment horizontal="right" vertical="bottom"/>
    </xf>
    <xf borderId="4" fillId="0" fontId="2" numFmtId="1" xfId="0" applyAlignment="1" applyBorder="1" applyFont="1" applyNumberFormat="1">
      <alignment horizontal="right" readingOrder="0" shrinkToFit="0" wrapText="0"/>
    </xf>
    <xf borderId="2" fillId="7" fontId="2" numFmtId="0" xfId="0" applyAlignment="1" applyBorder="1" applyFill="1" applyFont="1">
      <alignment horizontal="right" shrinkToFit="0" wrapText="0"/>
    </xf>
    <xf borderId="1" fillId="7" fontId="3" numFmtId="164" xfId="0" applyAlignment="1" applyBorder="1" applyFont="1" applyNumberFormat="1">
      <alignment shrinkToFit="0" wrapText="0"/>
    </xf>
    <xf borderId="1" fillId="7" fontId="3" numFmtId="164" xfId="0" applyAlignment="1" applyBorder="1" applyFont="1" applyNumberFormat="1">
      <alignment shrinkToFit="0" wrapText="0"/>
    </xf>
    <xf borderId="5" fillId="0" fontId="1" numFmtId="165" xfId="0" applyAlignment="1" applyBorder="1" applyFont="1" applyNumberFormat="1">
      <alignment readingOrder="0" shrinkToFit="0" wrapText="0"/>
    </xf>
    <xf borderId="5" fillId="0" fontId="1" numFmtId="165" xfId="0" applyAlignment="1" applyBorder="1" applyFont="1" applyNumberFormat="1">
      <alignment shrinkToFit="0" wrapText="0"/>
    </xf>
    <xf borderId="5" fillId="0" fontId="1" numFmtId="165" xfId="0" applyAlignment="1" applyBorder="1" applyFont="1" applyNumberFormat="1">
      <alignment readingOrder="0" shrinkToFit="0" wrapText="1"/>
    </xf>
    <xf borderId="5" fillId="0" fontId="1" numFmtId="165" xfId="0" applyAlignment="1" applyBorder="1" applyFont="1" applyNumberFormat="1">
      <alignment horizontal="left" readingOrder="0" shrinkToFit="0" wrapText="0"/>
    </xf>
    <xf borderId="1" fillId="8" fontId="3" numFmtId="164" xfId="0" applyAlignment="1" applyBorder="1" applyFill="1" applyFont="1" applyNumberFormat="1">
      <alignment shrinkToFit="0" wrapText="0"/>
    </xf>
    <xf borderId="0" fillId="0" fontId="1" numFmtId="0" xfId="0" applyAlignment="1" applyFont="1">
      <alignment readingOrder="0" vertical="bottom"/>
    </xf>
    <xf borderId="0" fillId="0" fontId="10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wrapText="1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10" numFmtId="0" xfId="0" applyAlignment="1" applyFont="1">
      <alignment readingOrder="0" shrinkToFit="0" vertical="bottom" wrapText="0"/>
    </xf>
    <xf borderId="0" fillId="0" fontId="10" numFmtId="164" xfId="0" applyAlignment="1" applyFont="1" applyNumberFormat="1">
      <alignment horizontal="right" readingOrder="0" shrinkToFit="0" vertical="bottom" wrapText="0"/>
    </xf>
    <xf borderId="0" fillId="8" fontId="3" numFmtId="0" xfId="0" applyAlignment="1" applyFont="1">
      <alignment horizontal="right" readingOrder="0" shrinkToFit="0" wrapText="0"/>
    </xf>
    <xf borderId="1" fillId="0" fontId="1" numFmtId="1" xfId="0" applyAlignment="1" applyBorder="1" applyFont="1" applyNumberFormat="1">
      <alignment horizontal="right" readingOrder="0" vertical="bottom"/>
    </xf>
    <xf borderId="1" fillId="0" fontId="10" numFmtId="1" xfId="0" applyAlignment="1" applyBorder="1" applyFont="1" applyNumberFormat="1">
      <alignment horizontal="right" readingOrder="0" shrinkToFit="0" vertical="bottom" wrapText="0"/>
    </xf>
    <xf borderId="1" fillId="0" fontId="2" numFmtId="1" xfId="0" applyAlignment="1" applyBorder="1" applyFont="1" applyNumberFormat="1">
      <alignment horizontal="right" vertical="bottom"/>
    </xf>
    <xf borderId="1" fillId="0" fontId="10" numFmtId="164" xfId="0" applyAlignment="1" applyBorder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wrapText="0"/>
    </xf>
    <xf borderId="0" fillId="0" fontId="4" numFmtId="0" xfId="0" applyAlignment="1" applyFont="1">
      <alignment shrinkToFit="0" wrapText="0"/>
    </xf>
    <xf borderId="6" fillId="0" fontId="3" numFmtId="164" xfId="0" applyAlignment="1" applyBorder="1" applyFont="1" applyNumberFormat="1">
      <alignment horizontal="center" shrinkToFit="0" wrapText="0"/>
    </xf>
    <xf borderId="1" fillId="8" fontId="3" numFmtId="0" xfId="0" applyAlignment="1" applyBorder="1" applyFont="1">
      <alignment shrinkToFit="0" wrapText="0"/>
    </xf>
    <xf borderId="7" fillId="8" fontId="3" numFmtId="164" xfId="0" applyAlignment="1" applyBorder="1" applyFont="1" applyNumberFormat="1">
      <alignment shrinkToFit="0" wrapText="0"/>
    </xf>
    <xf borderId="7" fillId="8" fontId="4" numFmtId="164" xfId="0" applyAlignment="1" applyBorder="1" applyFont="1" applyNumberFormat="1">
      <alignment shrinkToFit="0" wrapText="0"/>
    </xf>
    <xf borderId="8" fillId="8" fontId="4" numFmtId="164" xfId="0" applyAlignment="1" applyBorder="1" applyFont="1" applyNumberFormat="1">
      <alignment shrinkToFit="0" wrapText="0"/>
    </xf>
    <xf borderId="1" fillId="8" fontId="4" numFmtId="164" xfId="0" applyAlignment="1" applyBorder="1" applyFont="1" applyNumberFormat="1">
      <alignment shrinkToFit="0" wrapText="0"/>
    </xf>
    <xf borderId="1" fillId="5" fontId="4" numFmtId="164" xfId="0" applyAlignment="1" applyBorder="1" applyFont="1" applyNumberFormat="1">
      <alignment shrinkToFit="0" wrapText="0"/>
    </xf>
    <xf borderId="1" fillId="5" fontId="4" numFmtId="164" xfId="0" applyAlignment="1" applyBorder="1" applyFont="1" applyNumberFormat="1">
      <alignment readingOrder="0" shrinkToFit="0" wrapText="0"/>
    </xf>
    <xf borderId="1" fillId="0" fontId="4" numFmtId="164" xfId="0" applyBorder="1" applyFont="1" applyNumberFormat="1"/>
    <xf borderId="1" fillId="0" fontId="4" numFmtId="164" xfId="0" applyAlignment="1" applyBorder="1" applyFont="1" applyNumberFormat="1">
      <alignment readingOrder="0" shrinkToFit="0" wrapText="0"/>
    </xf>
    <xf borderId="1" fillId="0" fontId="2" numFmtId="164" xfId="0" applyAlignment="1" applyBorder="1" applyFont="1" applyNumberFormat="1">
      <alignment horizontal="right" shrinkToFit="0" wrapText="0"/>
    </xf>
    <xf borderId="1" fillId="8" fontId="3" numFmtId="0" xfId="0" applyAlignment="1" applyBorder="1" applyFont="1">
      <alignment horizontal="left" shrinkToFit="0" wrapText="0"/>
    </xf>
    <xf borderId="1" fillId="8" fontId="3" numFmtId="164" xfId="0" applyAlignment="1" applyBorder="1" applyFont="1" applyNumberFormat="1">
      <alignment horizontal="left" shrinkToFit="0" wrapText="0"/>
    </xf>
    <xf borderId="1" fillId="0" fontId="3" numFmtId="0" xfId="0" applyAlignment="1" applyBorder="1" applyFont="1">
      <alignment horizontal="right" shrinkToFit="0" wrapText="0"/>
    </xf>
    <xf borderId="1" fillId="0" fontId="4" numFmtId="164" xfId="0" applyAlignment="1" applyBorder="1" applyFont="1" applyNumberFormat="1">
      <alignment horizontal="left" shrinkToFit="0" wrapText="0"/>
    </xf>
    <xf borderId="5" fillId="0" fontId="1" numFmtId="0" xfId="0" applyAlignment="1" applyBorder="1" applyFont="1">
      <alignment shrinkToFit="0" wrapText="0"/>
    </xf>
    <xf borderId="1" fillId="0" fontId="4" numFmtId="164" xfId="0" applyAlignment="1" applyBorder="1" applyFont="1" applyNumberFormat="1">
      <alignment horizontal="right" readingOrder="0" shrinkToFit="0" vertical="bottom" wrapText="0"/>
    </xf>
    <xf borderId="1" fillId="0" fontId="1" numFmtId="164" xfId="0" applyAlignment="1" applyBorder="1" applyFont="1" applyNumberFormat="1">
      <alignment shrinkToFit="0" wrapText="0"/>
    </xf>
    <xf borderId="1" fillId="0" fontId="4" numFmtId="164" xfId="0" applyAlignment="1" applyBorder="1" applyFont="1" applyNumberFormat="1">
      <alignment readingOrder="0" shrinkToFit="0" vertical="center" wrapText="0"/>
    </xf>
    <xf borderId="1" fillId="0" fontId="4" numFmtId="164" xfId="0" applyAlignment="1" applyBorder="1" applyFont="1" applyNumberFormat="1">
      <alignment horizontal="right" readingOrder="0" vertical="bottom"/>
    </xf>
    <xf borderId="1" fillId="0" fontId="4" numFmtId="164" xfId="0" applyAlignment="1" applyBorder="1" applyFont="1" applyNumberFormat="1">
      <alignment horizontal="right" readingOrder="0" shrinkToFit="0" wrapText="0"/>
    </xf>
    <xf borderId="1" fillId="8" fontId="3" numFmtId="0" xfId="0" applyAlignment="1" applyBorder="1" applyFont="1">
      <alignment horizontal="right" shrinkToFit="0" wrapText="0"/>
    </xf>
    <xf borderId="1" fillId="0" fontId="3" numFmtId="164" xfId="0" applyAlignment="1" applyBorder="1" applyFont="1" applyNumberFormat="1">
      <alignment horizontal="right" shrinkToFit="0" wrapText="0"/>
    </xf>
    <xf borderId="1" fillId="0" fontId="1" numFmtId="164" xfId="0" applyAlignment="1" applyBorder="1" applyFont="1" applyNumberFormat="1">
      <alignment readingOrder="0" shrinkToFit="0" wrapText="0"/>
    </xf>
    <xf borderId="1" fillId="0" fontId="11" numFmtId="164" xfId="0" applyBorder="1" applyFont="1" applyNumberFormat="1"/>
    <xf borderId="0" fillId="0" fontId="12" numFmtId="164" xfId="0" applyAlignment="1" applyFont="1" applyNumberFormat="1">
      <alignment readingOrder="0"/>
    </xf>
    <xf borderId="9" fillId="0" fontId="4" numFmtId="164" xfId="0" applyAlignment="1" applyBorder="1" applyFont="1" applyNumberFormat="1">
      <alignment horizontal="right" readingOrder="0" vertical="bottom"/>
    </xf>
    <xf borderId="9" fillId="0" fontId="4" numFmtId="164" xfId="0" applyAlignment="1" applyBorder="1" applyFont="1" applyNumberFormat="1">
      <alignment horizontal="right" vertical="bottom"/>
    </xf>
    <xf borderId="6" fillId="0" fontId="3" numFmtId="164" xfId="0" applyAlignment="1" applyBorder="1" applyFont="1" applyNumberFormat="1">
      <alignment shrinkToFit="0" wrapText="0"/>
    </xf>
    <xf borderId="0" fillId="9" fontId="3" numFmtId="164" xfId="0" applyAlignment="1" applyFill="1" applyFont="1" applyNumberFormat="1">
      <alignment horizontal="right" vertical="bottom"/>
    </xf>
    <xf borderId="1" fillId="9" fontId="3" numFmtId="164" xfId="0" applyAlignment="1" applyBorder="1" applyFont="1" applyNumberFormat="1">
      <alignment horizontal="right" vertical="bottom"/>
    </xf>
    <xf borderId="1" fillId="9" fontId="3" numFmtId="164" xfId="0" applyAlignment="1" applyBorder="1" applyFont="1" applyNumberFormat="1">
      <alignment horizontal="right" vertical="bottom"/>
    </xf>
    <xf borderId="1" fillId="0" fontId="3" numFmtId="164" xfId="0" applyAlignment="1" applyBorder="1" applyFont="1" applyNumberFormat="1">
      <alignment horizontal="right" vertical="bottom"/>
    </xf>
    <xf borderId="1" fillId="0" fontId="2" numFmtId="164" xfId="0" applyAlignment="1" applyBorder="1" applyFont="1" applyNumberFormat="1">
      <alignment horizontal="right" vertical="bottom"/>
    </xf>
    <xf borderId="1" fillId="2" fontId="3" numFmtId="0" xfId="0" applyAlignment="1" applyBorder="1" applyFont="1">
      <alignment horizontal="right" shrinkToFit="0" wrapText="0"/>
    </xf>
    <xf borderId="7" fillId="2" fontId="3" numFmtId="164" xfId="0" applyAlignment="1" applyBorder="1" applyFont="1" applyNumberFormat="1">
      <alignment shrinkToFit="0" wrapText="0"/>
    </xf>
    <xf borderId="10" fillId="2" fontId="3" numFmtId="164" xfId="0" applyAlignment="1" applyBorder="1" applyFont="1" applyNumberFormat="1">
      <alignment shrinkToFit="0" wrapText="0"/>
    </xf>
    <xf borderId="6" fillId="0" fontId="4" numFmtId="0" xfId="0" applyAlignment="1" applyBorder="1" applyFont="1">
      <alignment horizontal="left" shrinkToFit="0" wrapText="0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vertical="bottom"/>
    </xf>
    <xf borderId="1" fillId="0" fontId="4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shrinkToFit="0" wrapText="0"/>
    </xf>
    <xf borderId="5" fillId="0" fontId="3" numFmtId="0" xfId="0" applyAlignment="1" applyBorder="1" applyFont="1">
      <alignment shrinkToFit="0" wrapText="0"/>
    </xf>
    <xf borderId="11" fillId="0" fontId="3" numFmtId="0" xfId="0" applyAlignment="1" applyBorder="1" applyFont="1">
      <alignment shrinkToFit="0" wrapText="0"/>
    </xf>
    <xf borderId="1" fillId="0" fontId="2" numFmtId="0" xfId="0" applyAlignment="1" applyBorder="1" applyFont="1">
      <alignment shrinkToFit="0" wrapText="0"/>
    </xf>
    <xf borderId="1" fillId="7" fontId="3" numFmtId="0" xfId="0" applyAlignment="1" applyBorder="1" applyFont="1">
      <alignment horizontal="right" shrinkToFit="0" wrapText="0"/>
    </xf>
    <xf borderId="6" fillId="7" fontId="3" numFmtId="164" xfId="0" applyAlignment="1" applyBorder="1" applyFont="1" applyNumberFormat="1">
      <alignment shrinkToFit="0" wrapText="0"/>
    </xf>
    <xf borderId="6" fillId="8" fontId="4" numFmtId="164" xfId="0" applyAlignment="1" applyBorder="1" applyFont="1" applyNumberFormat="1">
      <alignment shrinkToFit="0" wrapText="0"/>
    </xf>
    <xf borderId="6" fillId="0" fontId="4" numFmtId="164" xfId="0" applyAlignment="1" applyBorder="1" applyFont="1" applyNumberFormat="1">
      <alignment shrinkToFit="0" wrapText="0"/>
    </xf>
    <xf borderId="1" fillId="0" fontId="8" numFmtId="164" xfId="0" applyAlignment="1" applyBorder="1" applyFont="1" applyNumberFormat="1">
      <alignment readingOrder="0"/>
    </xf>
    <xf borderId="1" fillId="0" fontId="8" numFmtId="164" xfId="0" applyBorder="1" applyFont="1" applyNumberFormat="1"/>
    <xf borderId="1" fillId="0" fontId="4" numFmtId="165" xfId="0" applyAlignment="1" applyBorder="1" applyFont="1" applyNumberFormat="1">
      <alignment horizontal="left" readingOrder="0" shrinkToFit="0" wrapText="0"/>
    </xf>
    <xf borderId="6" fillId="8" fontId="3" numFmtId="164" xfId="0" applyAlignment="1" applyBorder="1" applyFont="1" applyNumberFormat="1">
      <alignment shrinkToFit="0" wrapText="0"/>
    </xf>
    <xf borderId="0" fillId="8" fontId="3" numFmtId="0" xfId="0" applyAlignment="1" applyFont="1">
      <alignment horizontal="right" shrinkToFit="0" wrapText="0"/>
    </xf>
    <xf borderId="0" fillId="8" fontId="3" numFmtId="164" xfId="0" applyAlignment="1" applyFont="1" applyNumberFormat="1">
      <alignment shrinkToFit="0" wrapText="0"/>
    </xf>
    <xf borderId="1" fillId="0" fontId="4" numFmtId="164" xfId="0" applyAlignment="1" applyBorder="1" applyFont="1" applyNumberFormat="1">
      <alignment shrinkToFit="0" wrapText="0"/>
    </xf>
    <xf borderId="0" fillId="0" fontId="4" numFmtId="164" xfId="0" applyFont="1" applyNumberFormat="1"/>
    <xf borderId="1" fillId="0" fontId="12" numFmtId="0" xfId="0" applyBorder="1" applyFont="1"/>
    <xf borderId="1" fillId="0" fontId="4" numFmtId="164" xfId="0" applyAlignment="1" applyBorder="1" applyFont="1" applyNumberFormat="1">
      <alignment horizontal="right" shrinkToFit="0" vertical="bottom" wrapText="0"/>
    </xf>
    <xf borderId="9" fillId="0" fontId="13" numFmtId="164" xfId="0" applyAlignment="1" applyBorder="1" applyFont="1" applyNumberFormat="1">
      <alignment vertical="bottom"/>
    </xf>
    <xf borderId="9" fillId="0" fontId="4" numFmtId="164" xfId="0" applyAlignment="1" applyBorder="1" applyFont="1" applyNumberFormat="1">
      <alignment horizontal="right" shrinkToFit="0" vertical="bottom" wrapText="0"/>
    </xf>
    <xf borderId="1" fillId="0" fontId="4" numFmtId="0" xfId="0" applyAlignment="1" applyBorder="1" applyFont="1">
      <alignment shrinkToFit="0" wrapText="0"/>
    </xf>
    <xf borderId="1" fillId="0" fontId="4" numFmtId="164" xfId="0" applyAlignment="1" applyBorder="1" applyFont="1" applyNumberFormat="1">
      <alignment horizontal="right" vertical="bottom"/>
    </xf>
    <xf borderId="1" fillId="0" fontId="4" numFmtId="164" xfId="0" applyAlignment="1" applyBorder="1" applyFont="1" applyNumberFormat="1">
      <alignment readingOrder="0" shrinkToFit="0" wrapText="0"/>
    </xf>
    <xf borderId="1" fillId="0" fontId="12" numFmtId="0" xfId="0" applyAlignment="1" applyBorder="1" applyFont="1">
      <alignment readingOrder="0"/>
    </xf>
    <xf borderId="1" fillId="0" fontId="4" numFmtId="164" xfId="0" applyAlignment="1" applyBorder="1" applyFont="1" applyNumberFormat="1">
      <alignment horizontal="right" vertical="bottom"/>
    </xf>
    <xf borderId="1" fillId="0" fontId="3" numFmtId="164" xfId="0" applyAlignment="1" applyBorder="1" applyFont="1" applyNumberFormat="1">
      <alignment readingOrder="0" shrinkToFit="0" wrapText="0"/>
    </xf>
    <xf borderId="0" fillId="0" fontId="1" numFmtId="0" xfId="0" applyAlignment="1" applyFont="1">
      <alignment horizontal="right" readingOrder="0" vertical="bottom"/>
    </xf>
    <xf borderId="1" fillId="0" fontId="1" numFmtId="0" xfId="0" applyAlignment="1" applyBorder="1" applyFont="1">
      <alignment shrinkToFit="0" wrapText="0"/>
    </xf>
    <xf borderId="1" fillId="0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horizontal="right" vertical="bottom"/>
    </xf>
    <xf borderId="0" fillId="0" fontId="1" numFmtId="0" xfId="0" applyAlignment="1" applyFont="1">
      <alignment shrinkToFit="0" wrapText="0"/>
    </xf>
    <xf borderId="0" fillId="0" fontId="1" numFmtId="164" xfId="0" applyAlignment="1" applyFont="1" applyNumberFormat="1">
      <alignment shrinkToFit="0" wrapText="0"/>
    </xf>
    <xf borderId="0" fillId="0" fontId="4" numFmtId="164" xfId="0" applyAlignment="1" applyFont="1" applyNumberFormat="1">
      <alignment horizontal="right"/>
    </xf>
    <xf borderId="9" fillId="0" fontId="4" numFmtId="164" xfId="0" applyAlignment="1" applyBorder="1" applyFont="1" applyNumberFormat="1">
      <alignment horizontal="right" vertical="bottom"/>
    </xf>
    <xf borderId="0" fillId="5" fontId="4" numFmtId="0" xfId="0" applyAlignment="1" applyFont="1">
      <alignment horizontal="left" readingOrder="0"/>
    </xf>
    <xf borderId="0" fillId="0" fontId="14" numFmtId="164" xfId="0" applyAlignment="1" applyFont="1" applyNumberFormat="1">
      <alignment readingOrder="0"/>
    </xf>
    <xf borderId="1" fillId="0" fontId="4" numFmtId="0" xfId="0" applyAlignment="1" applyBorder="1" applyFont="1">
      <alignment horizontal="right" readingOrder="0" shrinkToFit="0" wrapText="0"/>
    </xf>
    <xf borderId="0" fillId="9" fontId="3" numFmtId="164" xfId="0" applyAlignment="1" applyFont="1" applyNumberFormat="1">
      <alignment horizontal="right" readingOrder="0" vertical="bottom"/>
    </xf>
    <xf borderId="1" fillId="9" fontId="3" numFmtId="164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0" fillId="0" fontId="11" numFmtId="164" xfId="0" applyFont="1" applyNumberFormat="1"/>
    <xf borderId="0" fillId="0" fontId="12" numFmtId="164" xfId="0" applyFont="1" applyNumberFormat="1"/>
    <xf borderId="0" fillId="0" fontId="4" numFmtId="0" xfId="0" applyAlignment="1" applyFont="1">
      <alignment horizontal="center" shrinkToFit="0" wrapText="0"/>
    </xf>
    <xf borderId="1" fillId="0" fontId="4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readingOrder="0" shrinkToFit="0" wrapText="0"/>
    </xf>
    <xf borderId="1" fillId="0" fontId="4" numFmtId="164" xfId="0" applyAlignment="1" applyBorder="1" applyFont="1" applyNumberFormat="1">
      <alignment horizontal="left" readingOrder="0" shrinkToFit="0" wrapText="0"/>
    </xf>
    <xf borderId="1" fillId="0" fontId="13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center" shrinkToFit="0" wrapText="0"/>
    </xf>
    <xf borderId="0" fillId="8" fontId="4" numFmtId="164" xfId="0" applyAlignment="1" applyFont="1" applyNumberFormat="1">
      <alignment shrinkToFit="0" wrapText="0"/>
    </xf>
    <xf borderId="0" fillId="0" fontId="2" numFmtId="10" xfId="0" applyAlignment="1" applyFont="1" applyNumberFormat="1">
      <alignment horizontal="right" shrinkToFit="0" wrapText="0"/>
    </xf>
    <xf borderId="9" fillId="0" fontId="4" numFmtId="164" xfId="0" applyAlignment="1" applyBorder="1" applyFont="1" applyNumberFormat="1">
      <alignment horizontal="right" readingOrder="0" shrinkToFit="0" vertical="bottom" wrapText="0"/>
    </xf>
    <xf borderId="0" fillId="0" fontId="1" numFmtId="164" xfId="0" applyAlignment="1" applyFont="1" applyNumberFormat="1">
      <alignment shrinkToFit="0" wrapText="0"/>
    </xf>
    <xf borderId="0" fillId="0" fontId="2" numFmtId="164" xfId="0" applyAlignment="1" applyFont="1" applyNumberFormat="1">
      <alignment shrinkToFit="0" wrapText="0"/>
    </xf>
    <xf borderId="0" fillId="0" fontId="3" numFmtId="164" xfId="0" applyAlignment="1" applyFont="1" applyNumberFormat="1">
      <alignment shrinkToFit="0" wrapText="0"/>
    </xf>
    <xf borderId="0" fillId="2" fontId="3" numFmtId="164" xfId="0" applyAlignment="1" applyFont="1" applyNumberFormat="1">
      <alignment shrinkToFit="0" wrapText="0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shrinkToFit="0" wrapText="0"/>
    </xf>
    <xf borderId="1" fillId="7" fontId="3" numFmtId="4" xfId="0" applyAlignment="1" applyBorder="1" applyFont="1" applyNumberFormat="1">
      <alignment shrinkToFit="0" wrapText="0"/>
    </xf>
    <xf borderId="0" fillId="7" fontId="3" numFmtId="4" xfId="0" applyAlignment="1" applyFont="1" applyNumberFormat="1">
      <alignment shrinkToFit="0" wrapText="0"/>
    </xf>
    <xf borderId="0" fillId="0" fontId="13" numFmtId="0" xfId="0" applyAlignment="1" applyFont="1">
      <alignment vertical="bottom"/>
    </xf>
    <xf borderId="1" fillId="0" fontId="13" numFmtId="0" xfId="0" applyAlignment="1" applyBorder="1" applyFont="1">
      <alignment vertical="bottom"/>
    </xf>
    <xf borderId="1" fillId="0" fontId="3" numFmtId="164" xfId="0" applyAlignment="1" applyBorder="1" applyFont="1" applyNumberFormat="1">
      <alignment horizontal="center" vertical="bottom"/>
    </xf>
    <xf borderId="0" fillId="8" fontId="13" numFmtId="164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3" numFmtId="164" xfId="0" applyAlignment="1" applyFont="1" applyNumberFormat="1">
      <alignment vertical="bottom"/>
    </xf>
    <xf borderId="0" fillId="0" fontId="4" numFmtId="164" xfId="0" applyAlignment="1" applyFont="1" applyNumberFormat="1">
      <alignment vertical="bottom"/>
    </xf>
    <xf borderId="1" fillId="0" fontId="9" numFmtId="164" xfId="0" applyBorder="1" applyFont="1" applyNumberFormat="1"/>
    <xf borderId="1" fillId="0" fontId="11" numFmtId="164" xfId="0" applyAlignment="1" applyBorder="1" applyFont="1" applyNumberFormat="1">
      <alignment readingOrder="0"/>
    </xf>
    <xf borderId="0" fillId="0" fontId="2" numFmtId="164" xfId="0" applyAlignment="1" applyFont="1" applyNumberFormat="1">
      <alignment horizontal="right" shrinkToFit="0" wrapText="0"/>
    </xf>
    <xf borderId="9" fillId="0" fontId="1" numFmtId="164" xfId="0" applyAlignment="1" applyBorder="1" applyFont="1" applyNumberFormat="1">
      <alignment readingOrder="0" vertical="bottom"/>
    </xf>
    <xf borderId="9" fillId="0" fontId="13" numFmtId="164" xfId="0" applyAlignment="1" applyBorder="1" applyFont="1" applyNumberForma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4" numFmtId="164" xfId="0" applyAlignment="1" applyFont="1" applyNumberFormat="1">
      <alignment readingOrder="0" vertical="bottom"/>
    </xf>
    <xf borderId="12" fillId="0" fontId="4" numFmtId="164" xfId="0" applyAlignment="1" applyBorder="1" applyFont="1" applyNumberFormat="1">
      <alignment readingOrder="0"/>
    </xf>
    <xf borderId="0" fillId="0" fontId="4" numFmtId="164" xfId="0" applyAlignment="1" applyFont="1" applyNumberFormat="1">
      <alignment vertical="bottom"/>
    </xf>
    <xf borderId="1" fillId="7" fontId="4" numFmtId="164" xfId="0" applyAlignment="1" applyBorder="1" applyFont="1" applyNumberFormat="1">
      <alignment readingOrder="0" shrinkToFit="0" wrapText="0"/>
    </xf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/>
    </xf>
    <xf borderId="0" fillId="2" fontId="13" numFmtId="164" xfId="0" applyAlignment="1" applyFont="1" applyNumberFormat="1">
      <alignment vertical="bottom"/>
    </xf>
    <xf borderId="0" fillId="7" fontId="13" numFmtId="4" xfId="0" applyAlignment="1" applyFont="1" applyNumberFormat="1">
      <alignment vertical="bottom"/>
    </xf>
    <xf borderId="1" fillId="0" fontId="3" numFmtId="165" xfId="0" applyAlignment="1" applyBorder="1" applyFont="1" applyNumberFormat="1">
      <alignment horizontal="right" shrinkToFit="0" wrapText="0"/>
    </xf>
    <xf borderId="0" fillId="0" fontId="13" numFmtId="164" xfId="0" applyAlignment="1" applyFont="1" applyNumberFormat="1">
      <alignment vertical="bottom"/>
    </xf>
    <xf borderId="0" fillId="0" fontId="8" numFmtId="164" xfId="0" applyAlignment="1" applyFont="1" applyNumberFormat="1">
      <alignment readingOrder="0" shrinkToFit="0" wrapText="0"/>
    </xf>
    <xf borderId="1" fillId="2" fontId="4" numFmtId="164" xfId="0" applyAlignment="1" applyBorder="1" applyFont="1" applyNumberFormat="1">
      <alignment readingOrder="0" shrinkToFit="0" wrapText="0"/>
    </xf>
    <xf borderId="1" fillId="9" fontId="4" numFmtId="164" xfId="0" applyAlignment="1" applyBorder="1" applyFont="1" applyNumberFormat="1">
      <alignment readingOrder="0" shrinkToFit="0" wrapText="0"/>
    </xf>
    <xf borderId="1" fillId="10" fontId="4" numFmtId="164" xfId="0" applyAlignment="1" applyBorder="1" applyFill="1" applyFont="1" applyNumberFormat="1">
      <alignment readingOrder="0" shrinkToFit="0" wrapText="0"/>
    </xf>
    <xf borderId="0" fillId="0" fontId="12" numFmtId="0" xfId="0" applyAlignment="1" applyFont="1">
      <alignment readingOrder="0"/>
    </xf>
    <xf borderId="1" fillId="0" fontId="4" numFmtId="164" xfId="0" applyAlignment="1" applyBorder="1" applyFont="1" applyNumberForma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1" fillId="0" fontId="4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center" shrinkToFit="0" wrapText="0"/>
    </xf>
    <xf borderId="5" fillId="0" fontId="3" numFmtId="0" xfId="0" applyAlignment="1" applyBorder="1" applyFont="1">
      <alignment horizontal="center" shrinkToFit="0" wrapText="0"/>
    </xf>
    <xf borderId="11" fillId="0" fontId="3" numFmtId="0" xfId="0" applyAlignment="1" applyBorder="1" applyFont="1">
      <alignment horizontal="center" shrinkToFit="0" wrapText="0"/>
    </xf>
    <xf borderId="0" fillId="0" fontId="4" numFmtId="164" xfId="0" applyAlignment="1" applyFont="1" applyNumberFormat="1">
      <alignment readingOrder="0"/>
    </xf>
    <xf borderId="1" fillId="0" fontId="4" numFmtId="164" xfId="0" applyAlignment="1" applyBorder="1" applyFont="1" applyNumberFormat="1">
      <alignment horizontal="right" vertical="bottom"/>
    </xf>
    <xf borderId="5" fillId="0" fontId="3" numFmtId="0" xfId="0" applyAlignment="1" applyBorder="1" applyFont="1">
      <alignment readingOrder="0" shrinkToFit="0" wrapText="0"/>
    </xf>
    <xf borderId="0" fillId="0" fontId="3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3" numFmtId="164" xfId="0" applyAlignment="1" applyFont="1" applyNumberForma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" fillId="0" fontId="3" numFmtId="164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8" fontId="3" numFmtId="0" xfId="0" applyAlignment="1" applyBorder="1" applyFont="1">
      <alignment shrinkToFit="0" vertical="center" wrapText="0"/>
    </xf>
    <xf borderId="1" fillId="8" fontId="4" numFmtId="164" xfId="0" applyAlignment="1" applyBorder="1" applyFont="1" applyNumberFormat="1">
      <alignment shrinkToFit="0" vertical="center" wrapText="0"/>
    </xf>
    <xf borderId="1" fillId="0" fontId="4" numFmtId="164" xfId="0" applyAlignment="1" applyBorder="1" applyFont="1" applyNumberFormat="1">
      <alignment shrinkToFit="0" vertical="center" wrapText="0"/>
    </xf>
    <xf borderId="1" fillId="0" fontId="1" numFmtId="164" xfId="0" applyAlignment="1" applyBorder="1" applyFont="1" applyNumberFormat="1">
      <alignment shrinkToFit="0" vertical="center" wrapText="0"/>
    </xf>
    <xf borderId="1" fillId="0" fontId="4" numFmtId="164" xfId="0" applyAlignment="1" applyBorder="1" applyFont="1" applyNumberFormat="1">
      <alignment horizontal="center" shrinkToFit="0" vertical="center" wrapText="0"/>
    </xf>
    <xf borderId="1" fillId="0" fontId="4" numFmtId="164" xfId="0" applyAlignment="1" applyBorder="1" applyFont="1" applyNumberFormat="1">
      <alignment horizontal="center" readingOrder="0" shrinkToFit="0" vertical="center" wrapText="0"/>
    </xf>
    <xf borderId="1" fillId="0" fontId="4" numFmtId="164" xfId="0" applyAlignment="1" applyBorder="1" applyFont="1" applyNumberFormat="1">
      <alignment horizontal="center"/>
    </xf>
    <xf borderId="1" fillId="0" fontId="4" numFmtId="0" xfId="0" applyAlignment="1" applyBorder="1" applyFont="1">
      <alignment shrinkToFit="0" vertical="center" wrapText="0"/>
    </xf>
    <xf borderId="1" fillId="0" fontId="4" numFmtId="164" xfId="0" applyAlignment="1" applyBorder="1" applyFont="1" applyNumberFormat="1">
      <alignment horizontal="center" shrinkToFit="0" wrapText="0"/>
    </xf>
    <xf borderId="5" fillId="0" fontId="2" numFmtId="0" xfId="0" applyAlignment="1" applyBorder="1" applyFont="1">
      <alignment horizontal="right" shrinkToFit="0" vertical="center" wrapText="0"/>
    </xf>
    <xf borderId="4" fillId="0" fontId="2" numFmtId="164" xfId="0" applyAlignment="1" applyBorder="1" applyFont="1" applyNumberFormat="1">
      <alignment horizontal="right" shrinkToFit="0" vertical="center" wrapText="0"/>
    </xf>
    <xf borderId="1" fillId="8" fontId="3" numFmtId="0" xfId="0" applyAlignment="1" applyBorder="1" applyFont="1">
      <alignment horizontal="left" shrinkToFit="0" vertical="center" wrapText="0"/>
    </xf>
    <xf borderId="1" fillId="8" fontId="3" numFmtId="164" xfId="0" applyAlignment="1" applyBorder="1" applyFont="1" applyNumberFormat="1">
      <alignment shrinkToFit="0" vertical="center" wrapText="0"/>
    </xf>
    <xf borderId="1" fillId="0" fontId="4" numFmtId="0" xfId="0" applyAlignment="1" applyBorder="1" applyFont="1">
      <alignment horizontal="left" shrinkToFit="0" vertical="center" wrapText="0"/>
    </xf>
    <xf borderId="1" fillId="0" fontId="4" numFmtId="0" xfId="0" applyAlignment="1" applyBorder="1" applyFont="1">
      <alignment horizontal="left" readingOrder="0" shrinkToFit="0" vertical="center" wrapText="0"/>
    </xf>
    <xf borderId="1" fillId="0" fontId="3" numFmtId="0" xfId="0" applyAlignment="1" applyBorder="1" applyFont="1">
      <alignment horizontal="right" shrinkToFit="0" vertical="center" wrapText="0"/>
    </xf>
    <xf borderId="1" fillId="0" fontId="3" numFmtId="164" xfId="0" applyAlignment="1" applyBorder="1" applyFont="1" applyNumberFormat="1">
      <alignment shrinkToFit="0" vertical="center" wrapText="0"/>
    </xf>
    <xf borderId="1" fillId="0" fontId="4" numFmtId="0" xfId="0" applyAlignment="1" applyBorder="1" applyFont="1">
      <alignment readingOrder="0" shrinkToFit="0" vertical="center" wrapText="0"/>
    </xf>
    <xf borderId="1" fillId="0" fontId="1" numFmtId="164" xfId="0" applyAlignment="1" applyBorder="1" applyFont="1" applyNumberFormat="1">
      <alignment shrinkToFit="0" vertical="center" wrapText="1"/>
    </xf>
    <xf borderId="13" fillId="0" fontId="8" numFmtId="164" xfId="0" applyAlignment="1" applyBorder="1" applyFont="1" applyNumberFormat="1">
      <alignment readingOrder="0" vertical="center"/>
    </xf>
    <xf borderId="1" fillId="0" fontId="2" numFmtId="164" xfId="0" applyAlignment="1" applyBorder="1" applyFont="1" applyNumberFormat="1">
      <alignment shrinkToFit="0" vertical="center" wrapText="0"/>
    </xf>
    <xf borderId="1" fillId="8" fontId="3" numFmtId="0" xfId="0" applyAlignment="1" applyBorder="1" applyFont="1">
      <alignment horizontal="right" shrinkToFit="0" vertical="center" wrapText="0"/>
    </xf>
    <xf borderId="1" fillId="0" fontId="4" numFmtId="4" xfId="0" applyAlignment="1" applyBorder="1" applyFont="1" applyNumberFormat="1">
      <alignment shrinkToFit="0" vertical="center" wrapText="0"/>
    </xf>
    <xf borderId="1" fillId="5" fontId="3" numFmtId="164" xfId="0" applyAlignment="1" applyBorder="1" applyFont="1" applyNumberFormat="1">
      <alignment shrinkToFit="0" vertical="center" wrapText="0"/>
    </xf>
    <xf borderId="1" fillId="2" fontId="3" numFmtId="0" xfId="0" applyAlignment="1" applyBorder="1" applyFont="1">
      <alignment horizontal="right" shrinkToFit="0" vertical="center" wrapText="0"/>
    </xf>
    <xf borderId="1" fillId="2" fontId="3" numFmtId="164" xfId="0" applyAlignment="1" applyBorder="1" applyFont="1" applyNumberFormat="1">
      <alignment shrinkToFit="0" vertical="center" wrapText="0"/>
    </xf>
    <xf borderId="1" fillId="0" fontId="1" numFmtId="0" xfId="0" applyAlignment="1" applyBorder="1" applyFont="1">
      <alignment shrinkToFit="0" vertical="center" wrapText="0"/>
    </xf>
    <xf borderId="1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shrinkToFit="0" vertical="center" wrapText="0"/>
    </xf>
    <xf borderId="1" fillId="7" fontId="3" numFmtId="0" xfId="0" applyAlignment="1" applyBorder="1" applyFont="1">
      <alignment horizontal="right" shrinkToFit="0" vertical="center" wrapText="0"/>
    </xf>
    <xf borderId="1" fillId="7" fontId="3" numFmtId="164" xfId="0" applyAlignment="1" applyBorder="1" applyFont="1" applyNumberFormat="1">
      <alignment shrinkToFit="0" vertical="center" wrapText="0"/>
    </xf>
    <xf borderId="1" fillId="7" fontId="3" numFmtId="164" xfId="0" applyAlignment="1" applyBorder="1" applyFont="1" applyNumberFormat="1">
      <alignment shrinkToFit="0" vertical="center" wrapText="0"/>
    </xf>
    <xf borderId="1" fillId="0" fontId="4" numFmtId="165" xfId="0" applyAlignment="1" applyBorder="1" applyFont="1" applyNumberFormat="1">
      <alignment horizontal="left" readingOrder="0" shrinkToFit="0" vertical="center" wrapText="0"/>
    </xf>
    <xf borderId="0" fillId="8" fontId="3" numFmtId="0" xfId="0" applyAlignment="1" applyFont="1">
      <alignment horizontal="right" shrinkToFit="0" vertical="center" wrapText="0"/>
    </xf>
    <xf borderId="0" fillId="8" fontId="3" numFmtId="164" xfId="0" applyAlignment="1" applyFont="1" applyNumberFormat="1">
      <alignment shrinkToFit="0" vertical="center" wrapText="0"/>
    </xf>
    <xf borderId="1" fillId="5" fontId="4" numFmtId="164" xfId="0" applyAlignment="1" applyBorder="1" applyFont="1" applyNumberFormat="1">
      <alignment shrinkToFit="0" vertical="center" wrapText="0"/>
    </xf>
    <xf borderId="1" fillId="0" fontId="4" numFmtId="164" xfId="0" applyAlignment="1" applyBorder="1" applyFont="1" applyNumberFormat="1">
      <alignment shrinkToFit="0" vertical="center" wrapText="0"/>
    </xf>
    <xf borderId="1" fillId="0" fontId="4" numFmtId="164" xfId="0" applyAlignment="1" applyBorder="1" applyFont="1" applyNumberFormat="1">
      <alignment vertical="center"/>
    </xf>
    <xf borderId="1" fillId="0" fontId="4" numFmtId="164" xfId="0" applyAlignment="1" applyBorder="1" applyFont="1" applyNumberForma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shrinkToFit="0" vertical="center" wrapText="0"/>
    </xf>
    <xf borderId="1" fillId="0" fontId="4" numFmtId="164" xfId="0" applyAlignment="1" applyBorder="1" applyFont="1" applyNumberFormat="1">
      <alignment horizontal="right"/>
    </xf>
    <xf borderId="5" fillId="0" fontId="4" numFmtId="164" xfId="0" applyAlignment="1" applyBorder="1" applyFont="1" applyNumberFormat="1">
      <alignment horizontal="right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shrinkToFit="0" vertical="center" wrapText="0"/>
    </xf>
    <xf borderId="1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1" fillId="0" fontId="3" numFmtId="164" xfId="0" applyAlignment="1" applyBorder="1" applyFont="1" applyNumberFormat="1">
      <alignment readingOrder="0" shrinkToFit="0" vertical="center" wrapText="0"/>
    </xf>
    <xf borderId="1" fillId="7" fontId="3" numFmtId="4" xfId="0" applyAlignment="1" applyBorder="1" applyFont="1" applyNumberFormat="1">
      <alignment shrinkToFit="0" vertical="center" wrapText="0"/>
    </xf>
    <xf borderId="0" fillId="0" fontId="15" numFmtId="164" xfId="0" applyAlignment="1" applyFont="1" applyNumberFormat="1">
      <alignment shrinkToFit="0" vertical="center" wrapText="0"/>
    </xf>
    <xf borderId="0" fillId="0" fontId="13" numFmtId="0" xfId="0" applyAlignment="1" applyFont="1">
      <alignment vertical="bottom"/>
    </xf>
    <xf borderId="0" fillId="0" fontId="1" numFmtId="164" xfId="0" applyFont="1" applyNumberFormat="1"/>
    <xf borderId="1" fillId="0" fontId="1" numFmtId="164" xfId="0" applyAlignment="1" applyBorder="1" applyFont="1" applyNumberFormat="1">
      <alignment readingOrder="0" shrinkToFit="0" wrapText="0"/>
    </xf>
    <xf borderId="0" fillId="8" fontId="1" numFmtId="164" xfId="0" applyAlignment="1" applyFont="1" applyNumberFormat="1">
      <alignment vertical="bottom"/>
    </xf>
    <xf borderId="0" fillId="8" fontId="4" numFmtId="164" xfId="0" applyAlignment="1" applyFont="1" applyNumberFormat="1">
      <alignment vertical="bottom"/>
    </xf>
    <xf borderId="0" fillId="8" fontId="4" numFmtId="164" xfId="0" applyAlignment="1" applyFont="1" applyNumberFormat="1">
      <alignment vertical="bottom"/>
    </xf>
    <xf borderId="1" fillId="0" fontId="4" numFmtId="4" xfId="0" applyAlignment="1" applyBorder="1" applyFont="1" applyNumberFormat="1">
      <alignment shrinkToFit="0" wrapText="0"/>
    </xf>
    <xf borderId="0" fillId="0" fontId="4" numFmtId="4" xfId="0" applyAlignment="1" applyFont="1" applyNumberFormat="1">
      <alignment shrinkToFit="0" wrapText="0"/>
    </xf>
    <xf borderId="0" fillId="0" fontId="13" numFmtId="4" xfId="0" applyAlignment="1" applyFont="1" applyNumberFormat="1">
      <alignment vertical="bottom"/>
    </xf>
    <xf borderId="1" fillId="6" fontId="3" numFmtId="0" xfId="0" applyAlignment="1" applyBorder="1" applyFont="1">
      <alignment shrinkToFit="0" wrapText="0"/>
    </xf>
    <xf borderId="1" fillId="6" fontId="4" numFmtId="164" xfId="0" applyAlignment="1" applyBorder="1" applyFont="1" applyNumberFormat="1">
      <alignment shrinkToFit="0" wrapText="0"/>
    </xf>
    <xf borderId="1" fillId="8" fontId="4" numFmtId="164" xfId="0" applyAlignment="1" applyBorder="1" applyFont="1" applyNumberFormat="1">
      <alignment readingOrder="0" shrinkToFit="0" wrapText="0"/>
    </xf>
    <xf borderId="1" fillId="0" fontId="3" numFmtId="164" xfId="0" applyAlignment="1" applyBorder="1" applyFont="1" applyNumberFormat="1">
      <alignment horizontal="right" vertical="bottom"/>
    </xf>
    <xf borderId="7" fillId="8" fontId="3" numFmtId="0" xfId="0" applyAlignment="1" applyBorder="1" applyFont="1">
      <alignment shrinkToFit="0" wrapText="0"/>
    </xf>
    <xf borderId="2" fillId="8" fontId="3" numFmtId="0" xfId="0" applyAlignment="1" applyBorder="1" applyFont="1">
      <alignment horizontal="left" shrinkToFit="0" wrapText="0"/>
    </xf>
    <xf borderId="2" fillId="8" fontId="3" numFmtId="164" xfId="0" applyAlignment="1" applyBorder="1" applyFont="1" applyNumberFormat="1">
      <alignment shrinkToFit="0" wrapText="0"/>
    </xf>
    <xf borderId="0" fillId="0" fontId="4" numFmtId="164" xfId="0" applyAlignment="1" applyFont="1" applyNumberFormat="1">
      <alignment horizontal="right" readingOrder="0"/>
    </xf>
    <xf borderId="13" fillId="0" fontId="4" numFmtId="164" xfId="0" applyAlignment="1" applyBorder="1" applyFont="1" applyNumberFormat="1">
      <alignment readingOrder="0"/>
    </xf>
    <xf borderId="0" fillId="0" fontId="4" numFmtId="164" xfId="0" applyAlignment="1" applyFont="1" applyNumberFormat="1">
      <alignment readingOrder="0"/>
    </xf>
    <xf borderId="1" fillId="0" fontId="4" numFmtId="164" xfId="0" applyAlignment="1" applyBorder="1" applyFont="1" applyNumberFormat="1">
      <alignment readingOrder="0" shrinkToFit="0" wrapText="0"/>
    </xf>
    <xf borderId="1" fillId="5" fontId="4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right" shrinkToFit="0" wrapText="0"/>
    </xf>
    <xf borderId="1" fillId="5" fontId="4" numFmtId="164" xfId="0" applyBorder="1" applyFont="1" applyNumberFormat="1"/>
    <xf borderId="1" fillId="0" fontId="2" numFmtId="164" xfId="0" applyAlignment="1" applyBorder="1" applyFont="1" applyNumberFormat="1">
      <alignment shrinkToFit="0" wrapText="0"/>
    </xf>
    <xf borderId="0" fillId="5" fontId="16" numFmtId="0" xfId="0" applyFont="1"/>
    <xf borderId="0" fillId="2" fontId="15" numFmtId="164" xfId="0" applyFont="1" applyNumberFormat="1"/>
    <xf borderId="0" fillId="0" fontId="17" numFmtId="164" xfId="0" applyAlignment="1" applyFont="1" applyNumberFormat="1">
      <alignment readingOrder="0"/>
    </xf>
    <xf borderId="0" fillId="0" fontId="12" numFmtId="164" xfId="0" applyFont="1" applyNumberFormat="1"/>
    <xf borderId="1" fillId="0" fontId="13" numFmtId="164" xfId="0" applyAlignment="1" applyBorder="1" applyFont="1" applyNumberFormat="1">
      <alignment readingOrder="0" vertical="bottom"/>
    </xf>
    <xf borderId="5" fillId="0" fontId="1" numFmtId="0" xfId="0" applyAlignment="1" applyBorder="1" applyFont="1">
      <alignment readingOrder="0" shrinkToFit="0" wrapText="0"/>
    </xf>
    <xf borderId="1" fillId="0" fontId="12" numFmtId="164" xfId="0" applyAlignment="1" applyBorder="1" applyFont="1" applyNumberFormat="1">
      <alignment readingOrder="0"/>
    </xf>
    <xf borderId="0" fillId="0" fontId="3" numFmtId="0" xfId="0" applyAlignment="1" applyFont="1">
      <alignment horizontal="center" readingOrder="0" vertical="bottom"/>
    </xf>
    <xf borderId="1" fillId="0" fontId="13" numFmtId="164" xfId="0" applyAlignment="1" applyBorder="1" applyFont="1" applyNumberFormat="1">
      <alignment vertical="bottom"/>
    </xf>
    <xf borderId="1" fillId="0" fontId="2" numFmtId="0" xfId="0" applyAlignment="1" applyBorder="1" applyFont="1">
      <alignment horizontal="center" vertical="bottom"/>
    </xf>
    <xf borderId="1" fillId="8" fontId="3" numFmtId="0" xfId="0" applyAlignment="1" applyBorder="1" applyFont="1">
      <alignment vertical="bottom"/>
    </xf>
    <xf borderId="1" fillId="8" fontId="13" numFmtId="164" xfId="0" applyAlignment="1" applyBorder="1" applyFont="1" applyNumberFormat="1">
      <alignment vertical="bottom"/>
    </xf>
    <xf borderId="1" fillId="0" fontId="4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readingOrder="0" vertical="bottom"/>
    </xf>
    <xf borderId="0" fillId="0" fontId="18" numFmtId="164" xfId="0" applyFont="1" applyNumberFormat="1"/>
    <xf borderId="1" fillId="0" fontId="2" numFmtId="0" xfId="0" applyAlignment="1" applyBorder="1" applyFont="1">
      <alignment horizontal="right" vertical="bottom"/>
    </xf>
    <xf borderId="1" fillId="0" fontId="4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13" numFmtId="164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0" fontId="4" numFmtId="0" xfId="0" applyAlignment="1" applyBorder="1" applyFont="1">
      <alignment readingOrder="0" vertical="bottom"/>
    </xf>
    <xf borderId="1" fillId="0" fontId="13" numFmtId="0" xfId="0" applyAlignment="1" applyBorder="1" applyFont="1">
      <alignment readingOrder="0" vertical="bottom"/>
    </xf>
    <xf borderId="1" fillId="5" fontId="4" numFmtId="0" xfId="0" applyAlignment="1" applyBorder="1" applyFont="1">
      <alignment vertical="bottom"/>
    </xf>
    <xf borderId="1" fillId="0" fontId="13" numFmtId="164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vertical="bottom"/>
    </xf>
    <xf borderId="1" fillId="8" fontId="3" numFmtId="0" xfId="0" applyAlignment="1" applyBorder="1" applyFont="1">
      <alignment horizontal="right" vertical="bottom"/>
    </xf>
    <xf borderId="1" fillId="0" fontId="4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1" fillId="0" fontId="11" numFmtId="164" xfId="0" applyAlignment="1" applyBorder="1" applyFont="1" applyNumberFormat="1">
      <alignment horizontal="right" vertical="bottom"/>
    </xf>
    <xf borderId="1" fillId="2" fontId="3" numFmtId="0" xfId="0" applyAlignment="1" applyBorder="1" applyFont="1">
      <alignment horizontal="right" vertical="bottom"/>
    </xf>
    <xf borderId="1" fillId="2" fontId="3" numFmtId="164" xfId="0" applyAlignment="1" applyBorder="1" applyFont="1" applyNumberFormat="1">
      <alignment horizontal="right" vertical="bottom"/>
    </xf>
    <xf borderId="1" fillId="7" fontId="3" numFmtId="0" xfId="0" applyAlignment="1" applyBorder="1" applyFont="1">
      <alignment horizontal="right" vertical="bottom"/>
    </xf>
    <xf borderId="1" fillId="7" fontId="3" numFmtId="164" xfId="0" applyAlignment="1" applyBorder="1" applyFont="1" applyNumberFormat="1">
      <alignment horizontal="right" vertical="bottom"/>
    </xf>
    <xf borderId="1" fillId="7" fontId="3" numFmtId="4" xfId="0" applyAlignment="1" applyBorder="1" applyFont="1" applyNumberFormat="1">
      <alignment horizontal="right" vertical="bottom"/>
    </xf>
    <xf borderId="1" fillId="0" fontId="1" numFmtId="165" xfId="0" applyAlignment="1" applyBorder="1" applyFont="1" applyNumberFormat="1">
      <alignment vertical="bottom"/>
    </xf>
    <xf borderId="1" fillId="0" fontId="13" numFmtId="164" xfId="0" applyAlignment="1" applyBorder="1" applyFont="1" applyNumberFormat="1">
      <alignment readingOrder="0" vertical="bottom"/>
    </xf>
    <xf borderId="1" fillId="0" fontId="4" numFmtId="165" xfId="0" applyAlignment="1" applyBorder="1" applyFont="1" applyNumberFormat="1">
      <alignment vertical="bottom"/>
    </xf>
    <xf borderId="1" fillId="8" fontId="3" numFmtId="164" xfId="0" applyAlignment="1" applyBorder="1" applyFont="1" applyNumberFormat="1">
      <alignment horizontal="right" vertical="bottom"/>
    </xf>
    <xf borderId="0" fillId="8" fontId="13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0" fontId="10" numFmtId="164" xfId="0" applyAlignment="1" applyFont="1" applyNumberFormat="1">
      <alignment horizontal="right" vertical="bottom"/>
    </xf>
    <xf borderId="0" fillId="0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8" fontId="3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1" fillId="5" fontId="1" numFmtId="164" xfId="0" applyBorder="1" applyFont="1" applyNumberFormat="1"/>
    <xf borderId="1" fillId="0" fontId="1" numFmtId="164" xfId="0" applyBorder="1" applyFont="1" applyNumberFormat="1"/>
    <xf borderId="5" fillId="0" fontId="4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horizontal="right" shrinkToFit="0" wrapText="1"/>
    </xf>
    <xf borderId="1" fillId="8" fontId="3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shrinkToFit="0" wrapText="1"/>
    </xf>
    <xf borderId="5" fillId="0" fontId="1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right" shrinkToFit="0" wrapText="1"/>
    </xf>
    <xf borderId="5" fillId="0" fontId="1" numFmtId="0" xfId="0" applyAlignment="1" applyBorder="1" applyFont="1">
      <alignment horizontal="left" shrinkToFit="0" wrapText="1"/>
    </xf>
    <xf borderId="5" fillId="0" fontId="1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wrapText="1"/>
    </xf>
    <xf borderId="0" fillId="5" fontId="4" numFmtId="0" xfId="0" applyAlignment="1" applyFont="1">
      <alignment horizontal="left" readingOrder="0" shrinkToFit="0" wrapText="1"/>
    </xf>
    <xf borderId="5" fillId="0" fontId="1" numFmtId="0" xfId="0" applyAlignment="1" applyBorder="1" applyFont="1">
      <alignment horizontal="left" readingOrder="0" shrinkToFit="0" wrapText="1"/>
    </xf>
    <xf borderId="1" fillId="0" fontId="12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left" readingOrder="0" shrinkToFit="0" wrapText="1"/>
    </xf>
    <xf borderId="1" fillId="8" fontId="3" numFmtId="0" xfId="0" applyAlignment="1" applyBorder="1" applyFont="1">
      <alignment horizontal="right" shrinkToFit="0" wrapText="1"/>
    </xf>
    <xf borderId="1" fillId="0" fontId="1" numFmtId="164" xfId="0" applyAlignment="1" applyBorder="1" applyFont="1" applyNumberFormat="1">
      <alignment horizontal="right" vertical="bottom"/>
    </xf>
    <xf borderId="9" fillId="0" fontId="11" numFmtId="164" xfId="0" applyAlignment="1" applyBorder="1" applyFont="1" applyNumberFormat="1">
      <alignment horizontal="right" vertical="bottom"/>
    </xf>
    <xf borderId="0" fillId="0" fontId="2" numFmtId="164" xfId="0" applyAlignment="1" applyFont="1" applyNumberFormat="1">
      <alignment readingOrder="0" shrinkToFit="0" wrapText="0"/>
    </xf>
    <xf borderId="1" fillId="2" fontId="3" numFmtId="0" xfId="0" applyAlignment="1" applyBorder="1" applyFont="1">
      <alignment horizontal="right" shrinkToFit="0" wrapText="1"/>
    </xf>
    <xf borderId="0" fillId="0" fontId="19" numFmtId="0" xfId="0" applyAlignment="1" applyFont="1">
      <alignment horizontal="right" vertical="bottom"/>
    </xf>
    <xf borderId="1" fillId="0" fontId="19" numFmtId="0" xfId="0" applyAlignment="1" applyBorder="1" applyFont="1">
      <alignment horizontal="right" readingOrder="0" vertical="bottom"/>
    </xf>
    <xf borderId="1" fillId="0" fontId="19" numFmtId="0" xfId="0" applyAlignment="1" applyBorder="1" applyFont="1">
      <alignment horizontal="right" vertical="bottom"/>
    </xf>
    <xf borderId="1" fillId="7" fontId="3" numFmtId="0" xfId="0" applyAlignment="1" applyBorder="1" applyFont="1">
      <alignment horizontal="right" shrinkToFit="0" wrapText="1"/>
    </xf>
    <xf borderId="1" fillId="6" fontId="3" numFmtId="0" xfId="0" applyAlignment="1" applyBorder="1" applyFont="1">
      <alignment shrinkToFit="0" wrapText="1"/>
    </xf>
    <xf borderId="5" fillId="0" fontId="1" numFmtId="165" xfId="0" applyAlignment="1" applyBorder="1" applyFont="1" applyNumberFormat="1">
      <alignment readingOrder="0" shrinkToFit="0" wrapText="1"/>
    </xf>
    <xf borderId="5" fillId="0" fontId="1" numFmtId="165" xfId="0" applyAlignment="1" applyBorder="1" applyFont="1" applyNumberFormat="1">
      <alignment shrinkToFit="0" wrapText="1"/>
    </xf>
    <xf borderId="1" fillId="0" fontId="4" numFmtId="165" xfId="0" applyAlignment="1" applyBorder="1" applyFont="1" applyNumberFormat="1">
      <alignment horizontal="left" readingOrder="0" shrinkToFit="0" wrapText="1"/>
    </xf>
    <xf borderId="0" fillId="8" fontId="3" numFmtId="0" xfId="0" applyAlignment="1" applyFont="1">
      <alignment horizontal="right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8" fontId="3" numFmtId="164" xfId="0" applyAlignment="1" applyFont="1" applyNumberFormat="1">
      <alignment readingOrder="0" shrinkToFit="0" wrapText="0"/>
    </xf>
    <xf borderId="4" fillId="0" fontId="17" numFmtId="164" xfId="0" applyAlignment="1" applyBorder="1" applyFont="1" applyNumberFormat="1">
      <alignment horizontal="center" readingOrder="0" shrinkToFit="0" wrapText="0"/>
    </xf>
    <xf borderId="0" fillId="0" fontId="19" numFmtId="0" xfId="0" applyAlignment="1" applyFont="1">
      <alignment horizontal="right" readingOrder="0" vertical="bottom"/>
    </xf>
    <xf borderId="0" fillId="0" fontId="3" numFmtId="10" xfId="0" applyAlignment="1" applyFont="1" applyNumberFormat="1">
      <alignment shrinkToFit="0" wrapText="0"/>
    </xf>
    <xf borderId="0" fillId="0" fontId="2" numFmtId="10" xfId="0" applyAlignment="1" applyFont="1" applyNumberFormat="1">
      <alignment shrinkToFit="0" wrapText="0"/>
    </xf>
    <xf borderId="0" fillId="0" fontId="3" numFmtId="164" xfId="0" applyAlignment="1" applyFont="1" applyNumberFormat="1">
      <alignment horizontal="right" vertical="bottom"/>
    </xf>
    <xf borderId="1" fillId="0" fontId="19" numFmtId="0" xfId="0" applyAlignment="1" applyBorder="1" applyFont="1">
      <alignment horizontal="left" readingOrder="0" shrinkToFit="0" vertical="bottom" wrapText="0"/>
    </xf>
    <xf borderId="0" fillId="5" fontId="9" numFmtId="164" xfId="0" applyFont="1" applyNumberFormat="1"/>
    <xf borderId="0" fillId="5" fontId="11" numFmtId="164" xfId="0" applyFont="1" applyNumberFormat="1"/>
    <xf borderId="0" fillId="5" fontId="11" numFmtId="164" xfId="0" applyAlignment="1" applyFont="1" applyNumberFormat="1">
      <alignment readingOrder="0"/>
    </xf>
    <xf borderId="1" fillId="11" fontId="4" numFmtId="164" xfId="0" applyAlignment="1" applyBorder="1" applyFill="1" applyFont="1" applyNumberFormat="1">
      <alignment shrinkToFit="0" wrapText="0"/>
    </xf>
    <xf borderId="1" fillId="12" fontId="4" numFmtId="164" xfId="0" applyAlignment="1" applyBorder="1" applyFill="1" applyFont="1" applyNumberFormat="1">
      <alignment readingOrder="0" shrinkToFit="0" wrapText="0"/>
    </xf>
    <xf borderId="1" fillId="0" fontId="3" numFmtId="164" xfId="0" applyAlignment="1" applyBorder="1" applyFont="1" applyNumberFormat="1">
      <alignment horizontal="right" readingOrder="0" vertical="bottom"/>
    </xf>
    <xf borderId="0" fillId="0" fontId="2" numFmtId="164" xfId="0" applyAlignment="1" applyFont="1" applyNumberFormat="1">
      <alignment horizontal="center" shrinkToFit="0" wrapText="0"/>
    </xf>
    <xf borderId="1" fillId="0" fontId="4" numFmtId="0" xfId="0" applyAlignment="1" applyBorder="1" applyFont="1">
      <alignment shrinkToFit="0" vertical="bottom" wrapText="0"/>
    </xf>
    <xf borderId="9" fillId="0" fontId="3" numFmtId="164" xfId="0" applyAlignment="1" applyBorder="1" applyFont="1" applyNumberFormat="1">
      <alignment horizontal="center" readingOrder="0" shrinkToFit="0" vertical="bottom" wrapText="0"/>
    </xf>
    <xf borderId="9" fillId="0" fontId="2" numFmtId="164" xfId="0" applyAlignment="1" applyBorder="1" applyFont="1" applyNumberFormat="1">
      <alignment horizontal="center" readingOrder="0" shrinkToFit="0" vertical="bottom" wrapText="0"/>
    </xf>
    <xf borderId="5" fillId="8" fontId="3" numFmtId="0" xfId="0" applyAlignment="1" applyBorder="1" applyFont="1">
      <alignment readingOrder="0" shrinkToFit="0" vertical="bottom" wrapText="0"/>
    </xf>
    <xf borderId="4" fillId="8" fontId="4" numFmtId="164" xfId="0" applyAlignment="1" applyBorder="1" applyFont="1" applyNumberFormat="1">
      <alignment shrinkToFit="0" vertical="bottom" wrapText="0"/>
    </xf>
    <xf borderId="4" fillId="8" fontId="4" numFmtId="164" xfId="0" applyAlignment="1" applyBorder="1" applyFont="1" applyNumberFormat="1">
      <alignment shrinkToFit="0" vertical="bottom" wrapText="0"/>
    </xf>
    <xf borderId="4" fillId="5" fontId="4" numFmtId="164" xfId="0" applyAlignment="1" applyBorder="1" applyFont="1" applyNumberFormat="1">
      <alignment shrinkToFit="0" vertical="bottom" wrapText="0"/>
    </xf>
    <xf borderId="1" fillId="0" fontId="1" numFmtId="164" xfId="0" applyAlignment="1" applyBorder="1" applyFont="1" applyNumberFormat="1">
      <alignment shrinkToFit="0" wrapText="0"/>
    </xf>
    <xf borderId="4" fillId="0" fontId="4" numFmtId="164" xfId="0" applyAlignment="1" applyBorder="1" applyFont="1" applyNumberFormat="1">
      <alignment shrinkToFit="0" vertical="bottom" wrapText="0"/>
    </xf>
    <xf borderId="5" fillId="5" fontId="4" numFmtId="164" xfId="0" applyAlignment="1" applyBorder="1" applyFont="1" applyNumberForma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9" fillId="5" fontId="4" numFmtId="164" xfId="0" applyAlignment="1" applyBorder="1" applyFont="1" applyNumberFormat="1">
      <alignment shrinkToFit="0" vertical="bottom" wrapText="0"/>
    </xf>
    <xf borderId="4" fillId="0" fontId="4" numFmtId="164" xfId="0" applyAlignment="1" applyBorder="1" applyFont="1" applyNumberFormat="1">
      <alignment horizontal="right" readingOrder="0" shrinkToFit="0" vertical="bottom" wrapText="0"/>
    </xf>
    <xf borderId="4" fillId="5" fontId="4" numFmtId="164" xfId="0" applyAlignment="1" applyBorder="1" applyFont="1" applyNumberFormat="1">
      <alignment horizontal="right" readingOrder="0" shrinkToFit="0" vertical="bottom" wrapText="0"/>
    </xf>
    <xf borderId="5" fillId="0" fontId="2" numFmtId="0" xfId="0" applyAlignment="1" applyBorder="1" applyFont="1">
      <alignment horizontal="right" readingOrder="0" shrinkToFit="0" vertical="bottom" wrapText="0"/>
    </xf>
    <xf borderId="4" fillId="0" fontId="2" numFmtId="164" xfId="0" applyAlignment="1" applyBorder="1" applyFont="1" applyNumberFormat="1">
      <alignment horizontal="right" shrinkToFit="0" wrapText="0"/>
    </xf>
    <xf borderId="5" fillId="8" fontId="3" numFmtId="0" xfId="0" applyAlignment="1" applyBorder="1" applyFont="1">
      <alignment horizontal="left" readingOrder="0" shrinkToFit="0" vertical="bottom" wrapText="0"/>
    </xf>
    <xf borderId="4" fillId="8" fontId="3" numFmtId="164" xfId="0" applyAlignment="1" applyBorder="1" applyFont="1" applyNumberFormat="1">
      <alignment shrinkToFit="0" vertical="bottom" wrapText="0"/>
    </xf>
    <xf borderId="1" fillId="8" fontId="4" numFmtId="164" xfId="0" applyAlignment="1" applyBorder="1" applyFont="1" applyNumberFormat="1">
      <alignment shrinkToFit="0" wrapText="0"/>
    </xf>
    <xf borderId="5" fillId="0" fontId="4" numFmtId="0" xfId="0" applyAlignment="1" applyBorder="1" applyFont="1">
      <alignment horizontal="left" shrinkToFit="0" vertical="bottom" wrapText="0"/>
    </xf>
    <xf borderId="5" fillId="0" fontId="4" numFmtId="0" xfId="0" applyAlignment="1" applyBorder="1" applyFont="1">
      <alignment horizontal="left" shrinkToFit="0" vertical="bottom" wrapText="0"/>
    </xf>
    <xf borderId="5" fillId="0" fontId="1" numFmtId="0" xfId="0" applyAlignment="1" applyBorder="1" applyFont="1">
      <alignment vertical="bottom"/>
    </xf>
    <xf borderId="5" fillId="0" fontId="3" numFmtId="0" xfId="0" applyAlignment="1" applyBorder="1" applyFont="1">
      <alignment horizontal="right" readingOrder="0" shrinkToFit="0" vertical="bottom" wrapText="0"/>
    </xf>
    <xf borderId="1" fillId="0" fontId="3" numFmtId="164" xfId="0" applyAlignment="1" applyBorder="1" applyFont="1" applyNumberFormat="1">
      <alignment shrinkToFit="0" wrapText="0"/>
    </xf>
    <xf borderId="5" fillId="0" fontId="4" numFmtId="0" xfId="0" applyAlignment="1" applyBorder="1" applyFont="1">
      <alignment horizontal="left" readingOrder="0" shrinkToFit="0" vertical="bottom" wrapText="0"/>
    </xf>
    <xf borderId="4" fillId="0" fontId="3" numFmtId="164" xfId="0" applyAlignment="1" applyBorder="1" applyFont="1" applyNumberFormat="1">
      <alignment shrinkToFit="0" vertical="bottom" wrapText="0"/>
    </xf>
    <xf borderId="4" fillId="0" fontId="4" numFmtId="164" xfId="0" applyAlignment="1" applyBorder="1" applyFont="1" applyNumberFormat="1">
      <alignment readingOrder="0" shrinkToFit="0" vertical="bottom" wrapText="0"/>
    </xf>
    <xf borderId="4" fillId="0" fontId="3" numFmtId="164" xfId="0" applyAlignment="1" applyBorder="1" applyFont="1" applyNumberFormat="1">
      <alignment horizontal="right" readingOrder="0" shrinkToFit="0" vertical="bottom" wrapText="0"/>
    </xf>
    <xf borderId="5" fillId="0" fontId="20" numFmtId="165" xfId="0" applyAlignment="1" applyBorder="1" applyFont="1" applyNumberFormat="1">
      <alignment readingOrder="0" shrinkToFit="0" vertical="bottom" wrapText="0"/>
    </xf>
    <xf borderId="5" fillId="0" fontId="4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horizontal="right" shrinkToFit="0" vertical="bottom" wrapText="0"/>
    </xf>
    <xf borderId="1" fillId="0" fontId="4" numFmtId="166" xfId="0" applyAlignment="1" applyBorder="1" applyFont="1" applyNumberFormat="1">
      <alignment horizontal="right" readingOrder="0" shrinkToFit="0" vertical="bottom" wrapText="0"/>
    </xf>
    <xf borderId="9" fillId="0" fontId="4" numFmtId="166" xfId="0" applyAlignment="1" applyBorder="1" applyFont="1" applyNumberFormat="1">
      <alignment horizontal="right" readingOrder="0" shrinkToFit="0" vertical="bottom" wrapText="0"/>
    </xf>
    <xf borderId="5" fillId="0" fontId="4" numFmtId="166" xfId="0" applyAlignment="1" applyBorder="1" applyFont="1" applyNumberFormat="1">
      <alignment horizontal="right" readingOrder="0" shrinkToFit="0" vertical="bottom" wrapText="0"/>
    </xf>
    <xf borderId="4" fillId="0" fontId="4" numFmtId="166" xfId="0" applyAlignment="1" applyBorder="1" applyFont="1" applyNumberFormat="1">
      <alignment horizontal="right" readingOrder="0" shrinkToFit="0" vertical="bottom" wrapText="0"/>
    </xf>
    <xf borderId="5" fillId="0" fontId="4" numFmtId="164" xfId="0" applyAlignment="1" applyBorder="1" applyFont="1" applyNumberFormat="1">
      <alignment shrinkToFit="0" vertical="bottom" wrapText="0"/>
    </xf>
    <xf borderId="5" fillId="0" fontId="20" numFmtId="0" xfId="0" applyAlignment="1" applyBorder="1" applyFont="1">
      <alignment readingOrder="0" shrinkToFit="0" vertical="bottom" wrapText="0"/>
    </xf>
    <xf borderId="1" fillId="0" fontId="2" numFmtId="164" xfId="0" applyAlignment="1" applyBorder="1" applyFont="1" applyNumberFormat="1">
      <alignment shrinkToFit="0" wrapText="0"/>
    </xf>
    <xf borderId="1" fillId="11" fontId="3" numFmtId="164" xfId="0" applyAlignment="1" applyBorder="1" applyFont="1" applyNumberFormat="1">
      <alignment shrinkToFit="0" wrapText="0"/>
    </xf>
    <xf borderId="1" fillId="11" fontId="2" numFmtId="164" xfId="0" applyAlignment="1" applyBorder="1" applyFont="1" applyNumberFormat="1">
      <alignment shrinkToFit="0" wrapText="0"/>
    </xf>
    <xf borderId="0" fillId="0" fontId="10" numFmtId="164" xfId="0" applyAlignment="1" applyFont="1" applyNumberForma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5" fillId="0" fontId="4" numFmtId="164" xfId="0" applyAlignment="1" applyBorder="1" applyFont="1" applyNumberFormat="1">
      <alignment horizontal="right" readingOrder="0" shrinkToFit="0" vertical="bottom" wrapText="0"/>
    </xf>
    <xf borderId="5" fillId="0" fontId="4" numFmtId="0" xfId="0" applyAlignment="1" applyBorder="1" applyFont="1">
      <alignment horizontal="right" readingOrder="0" shrinkToFit="0" vertical="bottom" wrapText="0"/>
    </xf>
    <xf borderId="5" fillId="0" fontId="3" numFmtId="0" xfId="0" applyAlignment="1" applyBorder="1" applyFont="1">
      <alignment horizontal="left" readingOrder="0" shrinkToFit="0" vertical="bottom" wrapText="0"/>
    </xf>
    <xf borderId="5" fillId="0" fontId="3" numFmtId="0" xfId="0" applyAlignment="1" applyBorder="1" applyFont="1">
      <alignment horizontal="right" shrinkToFit="0" vertical="bottom" wrapText="0"/>
    </xf>
    <xf borderId="5" fillId="8" fontId="3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9" fillId="0" fontId="13" numFmtId="164" xfId="0" applyAlignment="1" applyBorder="1" applyFont="1" applyNumberForma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4" numFmtId="164" xfId="0" applyAlignment="1" applyBorder="1" applyFont="1" applyNumberFormat="1">
      <alignment shrinkToFit="0" vertical="bottom" wrapText="0"/>
    </xf>
    <xf borderId="5" fillId="2" fontId="3" numFmtId="0" xfId="0" applyAlignment="1" applyBorder="1" applyFont="1">
      <alignment horizontal="right" readingOrder="0" shrinkToFit="0" vertical="bottom" wrapText="0"/>
    </xf>
    <xf borderId="1" fillId="2" fontId="3" numFmtId="164" xfId="0" applyAlignment="1" applyBorder="1" applyFont="1" applyNumberFormat="1">
      <alignment shrinkToFit="0" wrapText="0"/>
    </xf>
    <xf borderId="1" fillId="0" fontId="1" numFmtId="3" xfId="0" applyAlignment="1" applyBorder="1" applyFont="1" applyNumberFormat="1">
      <alignment horizontal="right" readingOrder="0" shrinkToFit="0" vertical="bottom" wrapText="0"/>
    </xf>
    <xf borderId="9" fillId="0" fontId="1" numFmtId="3" xfId="0" applyAlignment="1" applyBorder="1" applyFont="1" applyNumberFormat="1">
      <alignment horizontal="right" readingOrder="0" shrinkToFit="0" vertical="bottom" wrapText="0"/>
    </xf>
    <xf borderId="5" fillId="0" fontId="4" numFmtId="3" xfId="0" applyAlignment="1" applyBorder="1" applyFont="1" applyNumberFormat="1">
      <alignment horizontal="right" readingOrder="0" shrinkToFit="0" vertical="bottom" wrapText="0"/>
    </xf>
    <xf borderId="4" fillId="0" fontId="4" numFmtId="3" xfId="0" applyAlignment="1" applyBorder="1" applyFont="1" applyNumberFormat="1">
      <alignment horizontal="right" readingOrder="0" shrinkToFit="0" vertical="bottom" wrapText="0"/>
    </xf>
    <xf borderId="5" fillId="0" fontId="3" numFmtId="3" xfId="0" applyAlignment="1" applyBorder="1" applyFont="1" applyNumberFormat="1">
      <alignment horizontal="right" readingOrder="0" shrinkToFit="0" vertical="bottom" wrapText="0"/>
    </xf>
    <xf borderId="5" fillId="7" fontId="3" numFmtId="0" xfId="0" applyAlignment="1" applyBorder="1" applyFont="1">
      <alignment horizontal="right" readingOrder="0" shrinkToFit="0" vertical="bottom" wrapText="0"/>
    </xf>
    <xf borderId="5" fillId="0" fontId="4" numFmtId="165" xfId="0" applyAlignment="1" applyBorder="1" applyFont="1" applyNumberFormat="1">
      <alignment shrinkToFit="0" vertical="bottom" wrapText="0"/>
    </xf>
    <xf borderId="9" fillId="0" fontId="4" numFmtId="164" xfId="0" applyAlignment="1" applyBorder="1" applyFont="1" applyNumberFormat="1">
      <alignment shrinkToFit="0" vertical="bottom" wrapText="0"/>
    </xf>
    <xf borderId="5" fillId="0" fontId="4" numFmtId="165" xfId="0" applyAlignment="1" applyBorder="1" applyFont="1" applyNumberFormat="1">
      <alignment horizontal="left" shrinkToFit="0" vertical="bottom" wrapText="0"/>
    </xf>
    <xf borderId="5" fillId="0" fontId="3" numFmtId="165" xfId="0" applyAlignment="1" applyBorder="1" applyFont="1" applyNumberFormat="1">
      <alignment horizontal="right" shrinkToFit="0" vertical="bottom" wrapText="0"/>
    </xf>
    <xf borderId="5" fillId="8" fontId="3" numFmtId="165" xfId="0" applyAlignment="1" applyBorder="1" applyFont="1" applyNumberFormat="1">
      <alignment horizontal="right" readingOrder="0" shrinkToFit="0" vertical="bottom" wrapText="0"/>
    </xf>
    <xf borderId="1" fillId="8" fontId="3" numFmtId="164" xfId="0" applyAlignment="1" applyBorder="1" applyFont="1" applyNumberFormat="1">
      <alignment shrinkToFit="0" wrapText="0"/>
    </xf>
    <xf borderId="0" fillId="0" fontId="10" numFmtId="164" xfId="0" applyAlignment="1" applyFont="1" applyNumberFormat="1">
      <alignment shrinkToFit="0" vertical="bottom" wrapText="0"/>
    </xf>
    <xf borderId="0" fillId="8" fontId="3" numFmtId="0" xfId="0" applyAlignment="1" applyFont="1">
      <alignment horizontal="right" shrinkToFit="0" vertical="bottom" wrapText="0"/>
    </xf>
    <xf borderId="0" fillId="8" fontId="3" numFmtId="164" xfId="0" applyAlignment="1" applyFont="1" applyNumberFormat="1">
      <alignment shrinkToFit="0" vertical="bottom" wrapText="0"/>
    </xf>
    <xf borderId="0" fillId="8" fontId="3" numFmtId="164" xfId="0" applyAlignment="1" applyFont="1" applyNumberFormat="1">
      <alignment shrinkToFit="0" vertical="bottom" wrapText="0"/>
    </xf>
    <xf borderId="0" fillId="8" fontId="3" numFmtId="0" xfId="0" applyAlignment="1" applyFont="1">
      <alignment horizontal="right" readingOrder="0" shrinkToFit="0" vertical="bottom" wrapText="0"/>
    </xf>
    <xf borderId="0" fillId="8" fontId="3" numFmtId="164" xfId="0" applyAlignment="1" applyFont="1" applyNumberFormat="1">
      <alignment horizontal="right" readingOrder="0" shrinkToFit="0" vertical="bottom" wrapText="0"/>
    </xf>
    <xf borderId="0" fillId="8" fontId="3" numFmtId="164" xfId="0" applyAlignment="1" applyFont="1" applyNumberFormat="1">
      <alignment horizontal="right" readingOrder="0" shrinkToFit="0" vertical="bottom" wrapText="0"/>
    </xf>
    <xf borderId="0" fillId="8" fontId="21" numFmtId="0" xfId="0" applyAlignment="1" applyFont="1">
      <alignment horizontal="right" readingOrder="0" shrinkToFit="0" vertical="bottom" wrapText="0"/>
    </xf>
    <xf borderId="0" fillId="8" fontId="3" numFmtId="164" xfId="0" applyAlignment="1" applyFont="1" applyNumberFormat="1">
      <alignment shrinkToFit="0" wrapText="0"/>
    </xf>
    <xf borderId="0" fillId="8" fontId="21" numFmtId="0" xfId="0" applyAlignment="1" applyFont="1">
      <alignment horizontal="right" readingOrder="0" shrinkToFit="0" wrapText="0"/>
    </xf>
    <xf borderId="1" fillId="5" fontId="10" numFmtId="164" xfId="0" applyAlignment="1" applyBorder="1" applyFont="1" applyNumberFormat="1">
      <alignment shrinkToFit="0" vertical="bottom" wrapText="0"/>
    </xf>
    <xf borderId="1" fillId="0" fontId="10" numFmtId="164" xfId="0" applyAlignment="1" applyBorder="1" applyFont="1" applyNumberFormat="1">
      <alignment shrinkToFit="0" vertical="bottom" wrapText="0"/>
    </xf>
    <xf borderId="1" fillId="0" fontId="10" numFmtId="164" xfId="0" applyAlignment="1" applyBorder="1" applyFont="1" applyNumberFormat="1">
      <alignment horizontal="right" readingOrder="0" shrinkToFit="0" vertical="bottom" wrapText="0"/>
    </xf>
    <xf borderId="1" fillId="5" fontId="10" numFmtId="164" xfId="0" applyAlignment="1" applyBorder="1" applyFont="1" applyNumberFormat="1">
      <alignment horizontal="right" readingOrder="0" shrinkToFit="0" vertical="bottom" wrapText="0"/>
    </xf>
    <xf borderId="1" fillId="5" fontId="10" numFmtId="164" xfId="0" applyAlignment="1" applyBorder="1" applyFont="1" applyNumberFormat="1">
      <alignment readingOrder="0" shrinkToFit="0" vertical="bottom" wrapText="0"/>
    </xf>
    <xf borderId="1" fillId="0" fontId="10" numFmtId="164" xfId="0" applyAlignment="1" applyBorder="1" applyFont="1" applyNumberFormat="1">
      <alignment readingOrder="0" shrinkToFit="0" vertical="bottom" wrapText="0"/>
    </xf>
    <xf borderId="0" fillId="0" fontId="11" numFmtId="164" xfId="0" applyAlignment="1" applyFont="1" applyNumberFormat="1">
      <alignment readingOrder="0"/>
    </xf>
    <xf borderId="1" fillId="5" fontId="11" numFmtId="164" xfId="0" applyBorder="1" applyFont="1" applyNumberFormat="1"/>
    <xf borderId="1" fillId="0" fontId="3" numFmtId="0" xfId="0" applyAlignment="1" applyBorder="1" applyFont="1">
      <alignment horizontal="right" readingOrder="0" shrinkToFit="0" wrapText="0"/>
    </xf>
    <xf borderId="14" fillId="0" fontId="15" numFmtId="0" xfId="0" applyAlignment="1" applyBorder="1" applyFont="1">
      <alignment shrinkToFit="0" vertical="center" wrapText="1"/>
    </xf>
    <xf borderId="0" fillId="0" fontId="15" numFmtId="0" xfId="0" applyAlignment="1" applyFont="1">
      <alignment shrinkToFit="0" vertical="center" wrapText="1"/>
    </xf>
    <xf borderId="15" fillId="0" fontId="15" numFmtId="0" xfId="0" applyAlignment="1" applyBorder="1" applyFont="1">
      <alignment horizontal="center" readingOrder="0" shrinkToFit="0" vertical="center" wrapText="0"/>
    </xf>
    <xf borderId="16" fillId="0" fontId="12" numFmtId="0" xfId="0" applyBorder="1" applyFont="1"/>
    <xf borderId="17" fillId="0" fontId="12" numFmtId="0" xfId="0" applyBorder="1" applyFont="1"/>
    <xf borderId="18" fillId="0" fontId="15" numFmtId="0" xfId="0" applyAlignment="1" applyBorder="1" applyFont="1">
      <alignment shrinkToFit="0" vertical="center" wrapText="1"/>
    </xf>
    <xf borderId="10" fillId="6" fontId="15" numFmtId="0" xfId="0" applyAlignment="1" applyBorder="1" applyFont="1">
      <alignment horizontal="center" shrinkToFit="0" wrapText="0"/>
    </xf>
    <xf borderId="19" fillId="0" fontId="12" numFmtId="0" xfId="0" applyBorder="1" applyFont="1"/>
    <xf borderId="20" fillId="0" fontId="12" numFmtId="0" xfId="0" applyBorder="1" applyFont="1"/>
    <xf borderId="10" fillId="5" fontId="15" numFmtId="0" xfId="0" applyAlignment="1" applyBorder="1" applyFont="1">
      <alignment horizontal="center" shrinkToFit="0" wrapText="0"/>
    </xf>
    <xf borderId="6" fillId="6" fontId="15" numFmtId="0" xfId="0" applyAlignment="1" applyBorder="1" applyFont="1">
      <alignment horizontal="center" shrinkToFit="0" wrapText="0"/>
    </xf>
    <xf borderId="21" fillId="0" fontId="12" numFmtId="0" xfId="0" applyBorder="1" applyFont="1"/>
    <xf borderId="9" fillId="0" fontId="12" numFmtId="0" xfId="0" applyBorder="1" applyFont="1"/>
    <xf borderId="0" fillId="5" fontId="15" numFmtId="0" xfId="0" applyAlignment="1" applyFont="1">
      <alignment horizontal="center" shrinkToFit="0" wrapText="0"/>
    </xf>
    <xf borderId="22" fillId="0" fontId="15" numFmtId="0" xfId="0" applyAlignment="1" applyBorder="1" applyFont="1">
      <alignment shrinkToFit="0" vertical="center" wrapText="1"/>
    </xf>
    <xf borderId="23" fillId="0" fontId="12" numFmtId="0" xfId="0" applyBorder="1" applyFont="1"/>
    <xf borderId="13" fillId="0" fontId="12" numFmtId="0" xfId="0" applyBorder="1" applyFont="1"/>
    <xf borderId="24" fillId="0" fontId="15" numFmtId="0" xfId="0" applyAlignment="1" applyBorder="1" applyFont="1">
      <alignment shrinkToFit="0" vertical="center" wrapText="1"/>
    </xf>
    <xf borderId="25" fillId="6" fontId="15" numFmtId="164" xfId="0" applyAlignment="1" applyBorder="1" applyFont="1" applyNumberFormat="1">
      <alignment horizontal="center" readingOrder="0" shrinkToFit="0" wrapText="0"/>
    </xf>
    <xf borderId="26" fillId="0" fontId="12" numFmtId="0" xfId="0" applyBorder="1" applyFont="1"/>
    <xf borderId="27" fillId="0" fontId="12" numFmtId="0" xfId="0" applyBorder="1" applyFont="1"/>
    <xf borderId="25" fillId="0" fontId="15" numFmtId="164" xfId="0" applyAlignment="1" applyBorder="1" applyFont="1" applyNumberFormat="1">
      <alignment horizontal="center" readingOrder="0" shrinkToFit="0" wrapText="0"/>
    </xf>
    <xf borderId="0" fillId="0" fontId="15" numFmtId="164" xfId="0" applyAlignment="1" applyFont="1" applyNumberFormat="1">
      <alignment horizontal="center" readingOrder="0" shrinkToFit="0" wrapText="0"/>
    </xf>
    <xf borderId="22" fillId="0" fontId="15" numFmtId="0" xfId="0" applyAlignment="1" applyBorder="1" applyFont="1">
      <alignment shrinkToFit="0" wrapText="0"/>
    </xf>
    <xf borderId="0" fillId="0" fontId="15" numFmtId="0" xfId="0" applyAlignment="1" applyFont="1">
      <alignment shrinkToFit="0" wrapText="0"/>
    </xf>
    <xf borderId="11" fillId="0" fontId="12" numFmtId="0" xfId="0" applyBorder="1" applyFont="1"/>
    <xf borderId="12" fillId="0" fontId="12" numFmtId="0" xfId="0" applyBorder="1" applyFont="1"/>
    <xf borderId="4" fillId="0" fontId="12" numFmtId="0" xfId="0" applyBorder="1" applyFont="1"/>
    <xf borderId="0" fillId="0" fontId="22" numFmtId="0" xfId="0" applyAlignment="1" applyFont="1">
      <alignment horizontal="center" shrinkToFit="0" wrapText="0"/>
    </xf>
    <xf borderId="6" fillId="6" fontId="15" numFmtId="164" xfId="0" applyAlignment="1" applyBorder="1" applyFont="1" applyNumberFormat="1">
      <alignment horizontal="center" readingOrder="0" shrinkToFit="0" wrapText="0"/>
    </xf>
    <xf borderId="6" fillId="2" fontId="15" numFmtId="164" xfId="0" applyAlignment="1" applyBorder="1" applyFont="1" applyNumberFormat="1">
      <alignment horizontal="center" readingOrder="0" shrinkToFit="0" wrapText="0"/>
    </xf>
    <xf borderId="6" fillId="6" fontId="15" numFmtId="164" xfId="0" applyAlignment="1" applyBorder="1" applyFont="1" applyNumberFormat="1">
      <alignment horizontal="center" shrinkToFit="0" wrapText="0"/>
    </xf>
    <xf borderId="0" fillId="2" fontId="15" numFmtId="164" xfId="0" applyAlignment="1" applyFont="1" applyNumberFormat="1">
      <alignment horizontal="center" readingOrder="0" shrinkToFit="0" wrapText="0"/>
    </xf>
    <xf borderId="22" fillId="2" fontId="15" numFmtId="0" xfId="0" applyAlignment="1" applyBorder="1" applyFont="1">
      <alignment readingOrder="0" shrinkToFit="0" wrapText="1"/>
    </xf>
    <xf borderId="0" fillId="0" fontId="15" numFmtId="0" xfId="0" applyAlignment="1" applyFont="1">
      <alignment shrinkToFit="0" wrapText="1"/>
    </xf>
    <xf borderId="5" fillId="0" fontId="15" numFmtId="0" xfId="0" applyAlignment="1" applyBorder="1" applyFont="1">
      <alignment horizontal="center" shrinkToFit="0" wrapText="0"/>
    </xf>
    <xf borderId="1" fillId="6" fontId="15" numFmtId="0" xfId="0" applyAlignment="1" applyBorder="1" applyFont="1">
      <alignment horizontal="center" shrinkToFit="0" wrapText="0"/>
    </xf>
    <xf borderId="5" fillId="5" fontId="15" numFmtId="0" xfId="0" applyAlignment="1" applyBorder="1" applyFont="1">
      <alignment horizontal="center" shrinkToFit="0" wrapText="0"/>
    </xf>
    <xf borderId="5" fillId="6" fontId="15" numFmtId="0" xfId="0" applyAlignment="1" applyBorder="1" applyFont="1">
      <alignment horizontal="center" shrinkToFit="0" wrapText="0"/>
    </xf>
    <xf borderId="1" fillId="0" fontId="22" numFmtId="0" xfId="0" applyAlignment="1" applyBorder="1" applyFont="1">
      <alignment horizontal="center" readingOrder="0" shrinkToFit="0" wrapText="0"/>
    </xf>
    <xf borderId="1" fillId="6" fontId="22" numFmtId="0" xfId="0" applyAlignment="1" applyBorder="1" applyFont="1">
      <alignment horizontal="center" shrinkToFit="0" wrapText="0"/>
    </xf>
    <xf borderId="1" fillId="6" fontId="22" numFmtId="164" xfId="0" applyAlignment="1" applyBorder="1" applyFont="1" applyNumberFormat="1">
      <alignment horizontal="center" shrinkToFit="0" wrapText="0"/>
    </xf>
    <xf borderId="1" fillId="5" fontId="22" numFmtId="0" xfId="0" applyAlignment="1" applyBorder="1" applyFont="1">
      <alignment horizontal="center" shrinkToFit="0" wrapText="0"/>
    </xf>
    <xf borderId="1" fillId="5" fontId="22" numFmtId="164" xfId="0" applyAlignment="1" applyBorder="1" applyFont="1" applyNumberFormat="1">
      <alignment horizontal="center" shrinkToFit="0" wrapText="0"/>
    </xf>
    <xf borderId="0" fillId="5" fontId="22" numFmtId="164" xfId="0" applyAlignment="1" applyFont="1" applyNumberFormat="1">
      <alignment horizontal="center" shrinkToFit="0" wrapText="0"/>
    </xf>
    <xf borderId="28" fillId="0" fontId="15" numFmtId="0" xfId="0" applyAlignment="1" applyBorder="1" applyFont="1">
      <alignment shrinkToFit="0" wrapText="1"/>
    </xf>
    <xf borderId="0" fillId="0" fontId="15" numFmtId="0" xfId="0" applyAlignment="1" applyFont="1">
      <alignment horizontal="center" shrinkToFit="0" wrapText="0"/>
    </xf>
    <xf borderId="1" fillId="6" fontId="15" numFmtId="164" xfId="0" applyAlignment="1" applyBorder="1" applyFont="1" applyNumberFormat="1">
      <alignment horizontal="center" shrinkToFit="0" wrapText="0"/>
    </xf>
    <xf borderId="1" fillId="5" fontId="15" numFmtId="0" xfId="0" applyAlignment="1" applyBorder="1" applyFont="1">
      <alignment horizontal="center" shrinkToFit="0" wrapText="0"/>
    </xf>
    <xf borderId="1" fillId="5" fontId="15" numFmtId="164" xfId="0" applyAlignment="1" applyBorder="1" applyFont="1" applyNumberFormat="1">
      <alignment horizontal="center" shrinkToFit="0" wrapText="0"/>
    </xf>
    <xf borderId="0" fillId="5" fontId="15" numFmtId="164" xfId="0" applyAlignment="1" applyFont="1" applyNumberFormat="1">
      <alignment horizontal="center" shrinkToFit="0" wrapText="0"/>
    </xf>
    <xf borderId="28" fillId="0" fontId="15" numFmtId="0" xfId="0" applyAlignment="1" applyBorder="1" applyFont="1">
      <alignment shrinkToFit="0" vertical="center" wrapText="1"/>
    </xf>
    <xf borderId="0" fillId="0" fontId="23" numFmtId="0" xfId="0" applyAlignment="1" applyFont="1">
      <alignment horizontal="center" shrinkToFit="0" vertical="center" wrapText="0"/>
    </xf>
    <xf borderId="0" fillId="5" fontId="22" numFmtId="0" xfId="0" applyAlignment="1" applyFont="1">
      <alignment horizontal="center" shrinkToFit="0" wrapText="0"/>
    </xf>
    <xf borderId="0" fillId="0" fontId="24" numFmtId="0" xfId="0" applyAlignment="1" applyFont="1">
      <alignment horizontal="center" readingOrder="0" shrinkToFit="0" wrapText="0"/>
    </xf>
    <xf borderId="0" fillId="5" fontId="22" numFmtId="0" xfId="0" applyAlignment="1" applyFont="1">
      <alignment horizontal="center" shrinkToFit="0" wrapText="1"/>
    </xf>
    <xf borderId="0" fillId="5" fontId="22" numFmtId="0" xfId="0" applyAlignment="1" applyFont="1">
      <alignment shrinkToFit="0" wrapText="1"/>
    </xf>
    <xf borderId="0" fillId="0" fontId="22" numFmtId="0" xfId="0" applyAlignment="1" applyFont="1">
      <alignment shrinkToFit="0" wrapText="0"/>
    </xf>
    <xf borderId="0" fillId="0" fontId="25" numFmtId="167" xfId="0" applyAlignment="1" applyFont="1" applyNumberFormat="1">
      <alignment horizontal="right" readingOrder="0" shrinkToFit="0" vertical="center" wrapText="0"/>
    </xf>
    <xf borderId="10" fillId="0" fontId="15" numFmtId="0" xfId="0" applyAlignment="1" applyBorder="1" applyFont="1">
      <alignment horizontal="center" shrinkToFit="0" wrapText="0"/>
    </xf>
    <xf borderId="25" fillId="5" fontId="15" numFmtId="164" xfId="0" applyAlignment="1" applyBorder="1" applyFont="1" applyNumberFormat="1">
      <alignment horizontal="center" readingOrder="0" shrinkToFit="0" wrapText="0"/>
    </xf>
    <xf borderId="25" fillId="5" fontId="26" numFmtId="164" xfId="0" applyAlignment="1" applyBorder="1" applyFont="1" applyNumberFormat="1">
      <alignment horizontal="center" readingOrder="0" shrinkToFit="0" vertical="bottom" wrapText="0"/>
    </xf>
    <xf borderId="29" fillId="0" fontId="12" numFmtId="0" xfId="0" applyBorder="1" applyFont="1"/>
    <xf borderId="26" fillId="5" fontId="15" numFmtId="164" xfId="0" applyAlignment="1" applyBorder="1" applyFont="1" applyNumberFormat="1">
      <alignment horizontal="center" readingOrder="0" shrinkToFit="0" wrapText="0"/>
    </xf>
    <xf borderId="28" fillId="2" fontId="15" numFmtId="0" xfId="0" applyAlignment="1" applyBorder="1" applyFont="1">
      <alignment readingOrder="0" shrinkToFit="0" vertical="center" wrapText="1"/>
    </xf>
    <xf borderId="1" fillId="0" fontId="15" numFmtId="0" xfId="0" applyAlignment="1" applyBorder="1" applyFont="1">
      <alignment horizontal="center" shrinkToFit="0" wrapText="0"/>
    </xf>
    <xf borderId="1" fillId="0" fontId="22" numFmtId="0" xfId="0" applyAlignment="1" applyBorder="1" applyFont="1">
      <alignment horizontal="center" shrinkToFit="0" wrapText="0"/>
    </xf>
    <xf borderId="1" fillId="0" fontId="22" numFmtId="164" xfId="0" applyAlignment="1" applyBorder="1" applyFont="1" applyNumberFormat="1">
      <alignment horizontal="center" shrinkToFit="0" wrapText="0"/>
    </xf>
    <xf borderId="0" fillId="0" fontId="22" numFmtId="164" xfId="0" applyAlignment="1" applyFont="1" applyNumberFormat="1">
      <alignment horizontal="center" shrinkToFit="0" wrapText="0"/>
    </xf>
    <xf borderId="1" fillId="0" fontId="15" numFmtId="164" xfId="0" applyAlignment="1" applyBorder="1" applyFont="1" applyNumberFormat="1">
      <alignment horizontal="center" shrinkToFit="0" wrapText="0"/>
    </xf>
    <xf borderId="0" fillId="0" fontId="15" numFmtId="164" xfId="0" applyAlignment="1" applyFont="1" applyNumberFormat="1">
      <alignment horizontal="center" shrinkToFit="0" wrapText="0"/>
    </xf>
    <xf borderId="0" fillId="5" fontId="22" numFmtId="0" xfId="0" applyAlignment="1" applyFont="1">
      <alignment shrinkToFit="0" wrapText="0"/>
    </xf>
    <xf borderId="30" fillId="0" fontId="15" numFmtId="0" xfId="0" applyAlignment="1" applyBorder="1" applyFont="1">
      <alignment shrinkToFit="0" vertical="center" wrapText="1"/>
    </xf>
    <xf borderId="26" fillId="6" fontId="15" numFmtId="164" xfId="0" applyAlignment="1" applyBorder="1" applyFont="1" applyNumberFormat="1">
      <alignment horizontal="center" shrinkToFit="0" wrapText="0"/>
    </xf>
    <xf borderId="25" fillId="6" fontId="15" numFmtId="164" xfId="0" applyAlignment="1" applyBorder="1" applyFont="1" applyNumberFormat="1">
      <alignment horizontal="center" shrinkToFit="0" wrapText="0"/>
    </xf>
    <xf borderId="0" fillId="5" fontId="15" numFmtId="164" xfId="0" applyAlignment="1" applyFont="1" applyNumberFormat="1">
      <alignment horizontal="center" readingOrder="0" shrinkToFit="0" wrapText="0"/>
    </xf>
    <xf borderId="31" fillId="5" fontId="22" numFmtId="0" xfId="0" applyAlignment="1" applyBorder="1" applyFont="1">
      <alignment horizontal="center" shrinkToFit="0" wrapText="0"/>
    </xf>
    <xf borderId="31" fillId="5" fontId="22" numFmtId="0" xfId="0" applyAlignment="1" applyBorder="1" applyFont="1">
      <alignment horizontal="center" shrinkToFit="0" wrapText="1"/>
    </xf>
    <xf borderId="31" fillId="5" fontId="22" numFmtId="0" xfId="0" applyAlignment="1" applyBorder="1" applyFont="1">
      <alignment shrinkToFit="0" wrapText="1"/>
    </xf>
    <xf borderId="32" fillId="5" fontId="22" numFmtId="0" xfId="0" applyAlignment="1" applyBorder="1" applyFont="1">
      <alignment shrinkToFit="0" wrapText="1"/>
    </xf>
    <xf borderId="33" fillId="0" fontId="15" numFmtId="0" xfId="0" applyAlignment="1" applyBorder="1" applyFont="1">
      <alignment shrinkToFit="0" wrapText="1"/>
    </xf>
    <xf borderId="25" fillId="6" fontId="26" numFmtId="164" xfId="0" applyAlignment="1" applyBorder="1" applyFont="1" applyNumberFormat="1">
      <alignment horizontal="center" shrinkToFit="0" vertical="bottom" wrapText="0"/>
    </xf>
    <xf borderId="26" fillId="6" fontId="15" numFmtId="164" xfId="0" applyAlignment="1" applyBorder="1" applyFont="1" applyNumberFormat="1">
      <alignment horizontal="center" readingOrder="0" shrinkToFit="0" wrapText="0"/>
    </xf>
    <xf borderId="33" fillId="2" fontId="15" numFmtId="0" xfId="0" applyAlignment="1" applyBorder="1" applyFont="1">
      <alignment readingOrder="0" shrinkToFit="0" wrapText="1"/>
    </xf>
    <xf borderId="1" fillId="5" fontId="0" numFmtId="0" xfId="0" applyAlignment="1" applyBorder="1" applyFont="1">
      <alignment horizontal="center"/>
    </xf>
    <xf borderId="1" fillId="0" fontId="22" numFmtId="0" xfId="0" applyAlignment="1" applyBorder="1" applyFont="1">
      <alignment horizontal="center" readingOrder="0" shrinkToFit="0" wrapText="0"/>
    </xf>
    <xf borderId="14" fillId="13" fontId="15" numFmtId="0" xfId="0" applyAlignment="1" applyBorder="1" applyFill="1" applyFont="1">
      <alignment readingOrder="0" shrinkToFit="0" vertical="center" wrapText="1"/>
    </xf>
    <xf borderId="15" fillId="12" fontId="15" numFmtId="0" xfId="0" applyAlignment="1" applyBorder="1" applyFont="1">
      <alignment horizontal="center" readingOrder="0" shrinkToFit="0" vertical="center" wrapText="0"/>
    </xf>
    <xf borderId="34" fillId="0" fontId="15" numFmtId="0" xfId="0" applyAlignment="1" applyBorder="1" applyFont="1">
      <alignment shrinkToFit="0" vertical="center" wrapText="1"/>
    </xf>
    <xf borderId="10" fillId="12" fontId="15" numFmtId="0" xfId="0" applyAlignment="1" applyBorder="1" applyFont="1">
      <alignment horizontal="center" shrinkToFit="0" wrapText="0"/>
    </xf>
    <xf borderId="22" fillId="13" fontId="15" numFmtId="0" xfId="0" applyAlignment="1" applyBorder="1" applyFont="1">
      <alignment shrinkToFit="0" vertical="center" wrapText="1"/>
    </xf>
    <xf borderId="22" fillId="13" fontId="15" numFmtId="0" xfId="0" applyAlignment="1" applyBorder="1" applyFont="1">
      <alignment shrinkToFit="0" wrapText="0"/>
    </xf>
    <xf borderId="6" fillId="9" fontId="15" numFmtId="164" xfId="0" applyAlignment="1" applyBorder="1" applyFont="1" applyNumberFormat="1">
      <alignment horizontal="center" readingOrder="0" shrinkToFit="0" wrapText="0"/>
    </xf>
    <xf borderId="28" fillId="2" fontId="15" numFmtId="0" xfId="0" applyAlignment="1" applyBorder="1" applyFont="1">
      <alignment readingOrder="0" shrinkToFit="0" wrapText="1"/>
    </xf>
    <xf borderId="1" fillId="0" fontId="15" numFmtId="0" xfId="0" applyAlignment="1" applyBorder="1" applyFont="1">
      <alignment horizontal="center" shrinkToFit="0" wrapText="0"/>
    </xf>
    <xf borderId="28" fillId="13" fontId="15" numFmtId="0" xfId="0" applyAlignment="1" applyBorder="1" applyFont="1">
      <alignment readingOrder="0" shrinkToFit="0" wrapText="0"/>
    </xf>
    <xf borderId="1" fillId="0" fontId="22" numFmtId="0" xfId="0" applyAlignment="1" applyBorder="1" applyFont="1">
      <alignment horizontal="center" readingOrder="0" shrinkToFit="0" wrapText="0"/>
    </xf>
    <xf borderId="1" fillId="0" fontId="1" numFmtId="164" xfId="0" applyAlignment="1" applyBorder="1" applyFont="1" applyNumberFormat="1">
      <alignment horizontal="center" shrinkToFit="0" wrapText="0"/>
    </xf>
    <xf borderId="1" fillId="5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wrapText="0"/>
    </xf>
    <xf borderId="1" fillId="0" fontId="1" numFmtId="164" xfId="0" applyAlignment="1" applyBorder="1" applyFont="1" applyNumberFormat="1">
      <alignment horizontal="center" readingOrder="0" shrinkToFit="0" wrapText="0"/>
    </xf>
    <xf borderId="28" fillId="13" fontId="15" numFmtId="0" xfId="0" applyAlignment="1" applyBorder="1" applyFont="1">
      <alignment shrinkToFit="0" wrapText="0"/>
    </xf>
    <xf borderId="0" fillId="5" fontId="9" numFmtId="164" xfId="0" applyAlignment="1" applyFont="1" applyNumberFormat="1">
      <alignment horizontal="center"/>
    </xf>
    <xf borderId="1" fillId="0" fontId="22" numFmtId="0" xfId="0" applyAlignment="1" applyBorder="1" applyFont="1">
      <alignment horizontal="center" shrinkToFit="0" wrapText="0"/>
    </xf>
    <xf borderId="1" fillId="0" fontId="22" numFmtId="0" xfId="0" applyAlignment="1" applyBorder="1" applyFont="1">
      <alignment horizontal="center" readingOrder="0" shrinkToFit="0" wrapText="1"/>
    </xf>
    <xf borderId="28" fillId="13" fontId="15" numFmtId="0" xfId="0" applyAlignment="1" applyBorder="1" applyFont="1">
      <alignment readingOrder="0" shrinkToFit="0" wrapText="1"/>
    </xf>
    <xf borderId="1" fillId="0" fontId="13" numFmtId="0" xfId="0" applyAlignment="1" applyBorder="1" applyFont="1">
      <alignment horizontal="center" shrinkToFit="0" vertical="bottom" wrapText="0"/>
    </xf>
    <xf borderId="1" fillId="5" fontId="1" numFmtId="0" xfId="0" applyAlignment="1" applyBorder="1" applyFont="1">
      <alignment horizontal="center"/>
    </xf>
    <xf borderId="35" fillId="0" fontId="22" numFmtId="0" xfId="0" applyAlignment="1" applyBorder="1" applyFont="1">
      <alignment horizontal="center" readingOrder="0" shrinkToFit="0" wrapText="0"/>
    </xf>
    <xf borderId="1" fillId="0" fontId="22" numFmtId="0" xfId="0" applyAlignment="1" applyBorder="1" applyFont="1">
      <alignment horizontal="center" readingOrder="0" shrinkToFit="0" wrapText="0"/>
    </xf>
    <xf borderId="16" fillId="0" fontId="15" numFmtId="0" xfId="0" applyAlignment="1" applyBorder="1" applyFont="1">
      <alignment horizontal="center" shrinkToFit="0" wrapText="0"/>
    </xf>
    <xf borderId="1" fillId="14" fontId="15" numFmtId="0" xfId="0" applyAlignment="1" applyBorder="1" applyFill="1" applyFont="1">
      <alignment horizontal="center" shrinkToFit="0" wrapText="0"/>
    </xf>
    <xf borderId="1" fillId="14" fontId="15" numFmtId="164" xfId="0" applyAlignment="1" applyBorder="1" applyFont="1" applyNumberFormat="1">
      <alignment horizontal="center" shrinkToFit="0" wrapText="0"/>
    </xf>
    <xf borderId="1" fillId="14" fontId="15" numFmtId="164" xfId="0" applyAlignment="1" applyBorder="1" applyFont="1" applyNumberFormat="1">
      <alignment horizontal="center" shrinkToFit="0" wrapText="0"/>
    </xf>
    <xf borderId="0" fillId="14" fontId="27" numFmtId="164" xfId="0" applyFont="1" applyNumberFormat="1"/>
    <xf borderId="1" fillId="14" fontId="15" numFmtId="0" xfId="0" applyAlignment="1" applyBorder="1" applyFont="1">
      <alignment horizontal="center" shrinkToFit="0" wrapText="0"/>
    </xf>
    <xf borderId="1" fillId="14" fontId="15" numFmtId="164" xfId="0" applyAlignment="1" applyBorder="1" applyFont="1" applyNumberFormat="1">
      <alignment horizontal="center" shrinkToFit="0" wrapText="0"/>
    </xf>
    <xf borderId="1" fillId="14" fontId="15" numFmtId="164" xfId="0" applyAlignment="1" applyBorder="1" applyFont="1" applyNumberFormat="1">
      <alignment horizontal="center" shrinkToFit="0" wrapText="0"/>
    </xf>
    <xf borderId="28" fillId="13" fontId="15" numFmtId="0" xfId="0" applyAlignment="1" applyBorder="1" applyFont="1">
      <alignment shrinkToFit="0" wrapText="1"/>
    </xf>
    <xf borderId="1" fillId="0" fontId="15" numFmtId="164" xfId="0" applyAlignment="1" applyBorder="1" applyFont="1" applyNumberFormat="1">
      <alignment horizontal="center" shrinkToFit="0" wrapText="0"/>
    </xf>
    <xf borderId="1" fillId="0" fontId="2" numFmtId="164" xfId="0" applyAlignment="1" applyBorder="1" applyFont="1" applyNumberFormat="1">
      <alignment horizontal="center" shrinkToFit="0" wrapText="0"/>
    </xf>
    <xf borderId="1" fillId="0" fontId="2" numFmtId="49" xfId="0" applyAlignment="1" applyBorder="1" applyFont="1" applyNumberFormat="1">
      <alignment horizontal="center" shrinkToFit="0" wrapText="0"/>
    </xf>
    <xf borderId="1" fillId="0" fontId="2" numFmtId="0" xfId="0" applyAlignment="1" applyBorder="1" applyFont="1">
      <alignment horizontal="center" shrinkToFit="0" wrapText="0"/>
    </xf>
    <xf borderId="0" fillId="0" fontId="12" numFmtId="0" xfId="0" applyAlignment="1" applyFont="1">
      <alignment horizontal="center"/>
    </xf>
    <xf borderId="1" fillId="0" fontId="22" numFmtId="49" xfId="0" applyAlignment="1" applyBorder="1" applyFont="1" applyNumberFormat="1">
      <alignment horizontal="center" shrinkToFit="0" wrapText="0"/>
    </xf>
    <xf borderId="1" fillId="5" fontId="11" numFmtId="164" xfId="0" applyAlignment="1" applyBorder="1" applyFont="1" applyNumberFormat="1">
      <alignment horizontal="center"/>
    </xf>
    <xf borderId="0" fillId="5" fontId="9" numFmtId="164" xfId="0" applyAlignment="1" applyFont="1" applyNumberFormat="1">
      <alignment readingOrder="0"/>
    </xf>
    <xf borderId="1" fillId="0" fontId="1" numFmtId="49" xfId="0" applyAlignment="1" applyBorder="1" applyFont="1" applyNumberFormat="1">
      <alignment horizontal="center" shrinkToFit="0" wrapText="0"/>
    </xf>
    <xf borderId="0" fillId="5" fontId="4" numFmtId="164" xfId="0" applyAlignment="1" applyFont="1" applyNumberFormat="1">
      <alignment readingOrder="0"/>
    </xf>
    <xf borderId="0" fillId="5" fontId="14" numFmtId="164" xfId="0" applyFont="1" applyNumberFormat="1"/>
    <xf borderId="0" fillId="5" fontId="9" numFmtId="164" xfId="0" applyFont="1" applyNumberFormat="1"/>
    <xf borderId="0" fillId="5" fontId="4" numFmtId="164" xfId="0" applyFont="1" applyNumberFormat="1"/>
    <xf borderId="1" fillId="0" fontId="13" numFmtId="49" xfId="0" applyAlignment="1" applyBorder="1" applyFont="1" applyNumberFormat="1">
      <alignment horizontal="center" shrinkToFit="0" vertical="bottom" wrapText="0"/>
    </xf>
    <xf borderId="1" fillId="14" fontId="15" numFmtId="49" xfId="0" applyAlignment="1" applyBorder="1" applyFont="1" applyNumberFormat="1">
      <alignment horizontal="center" shrinkToFit="0" wrapText="0"/>
    </xf>
    <xf borderId="15" fillId="12" fontId="26" numFmtId="0" xfId="0" applyAlignment="1" applyBorder="1" applyFont="1">
      <alignment horizontal="center" vertical="bottom"/>
    </xf>
    <xf borderId="19" fillId="12" fontId="26" numFmtId="0" xfId="0" applyAlignment="1" applyBorder="1" applyFont="1">
      <alignment horizontal="center" vertical="bottom"/>
    </xf>
    <xf borderId="19" fillId="12" fontId="26" numFmtId="164" xfId="0" applyAlignment="1" applyBorder="1" applyFont="1" applyNumberFormat="1">
      <alignment horizontal="center" vertical="bottom"/>
    </xf>
    <xf borderId="16" fillId="12" fontId="26" numFmtId="164" xfId="0" applyAlignment="1" applyBorder="1" applyFont="1" applyNumberFormat="1">
      <alignment horizontal="center" vertical="bottom"/>
    </xf>
    <xf borderId="0" fillId="5" fontId="26" numFmtId="164" xfId="0" applyAlignment="1" applyFont="1" applyNumberFormat="1">
      <alignment horizontal="center" vertical="bottom"/>
    </xf>
    <xf borderId="36" fillId="0" fontId="15" numFmtId="0" xfId="0" applyAlignment="1" applyBorder="1" applyFont="1">
      <alignment horizontal="center" readingOrder="0" shrinkToFit="0" wrapText="1"/>
    </xf>
    <xf borderId="30" fillId="0" fontId="12" numFmtId="0" xfId="0" applyBorder="1" applyFont="1"/>
    <xf borderId="24" fillId="0" fontId="12" numFmtId="0" xfId="0" applyBorder="1" applyFont="1"/>
    <xf borderId="23" fillId="0" fontId="15" numFmtId="0" xfId="0" applyAlignment="1" applyBorder="1" applyFont="1">
      <alignment horizontal="center" readingOrder="0" shrinkToFit="0" wrapText="1"/>
    </xf>
    <xf borderId="37" fillId="0" fontId="12" numFmtId="0" xfId="0" applyBorder="1" applyFont="1"/>
    <xf borderId="0" fillId="0" fontId="15" numFmtId="0" xfId="0" applyAlignment="1" applyFont="1">
      <alignment horizontal="center" readingOrder="0" shrinkToFit="0" wrapText="1"/>
    </xf>
    <xf borderId="11" fillId="9" fontId="15" numFmtId="164" xfId="0" applyAlignment="1" applyBorder="1" applyFont="1" applyNumberFormat="1">
      <alignment horizontal="center" readingOrder="0" shrinkToFit="0" wrapText="0"/>
    </xf>
    <xf borderId="0" fillId="5" fontId="28" numFmtId="164" xfId="0" applyFont="1" applyNumberFormat="1"/>
    <xf borderId="1" fillId="0" fontId="1" numFmtId="164" xfId="0" applyAlignment="1" applyBorder="1" applyFont="1" applyNumberFormat="1">
      <alignment horizontal="center" shrinkToFit="0" wrapText="0"/>
    </xf>
    <xf borderId="1" fillId="5" fontId="1" numFmtId="49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shrinkToFit="0" vertical="bottom" wrapText="0"/>
    </xf>
    <xf borderId="0" fillId="5" fontId="9" numFmtId="0" xfId="0" applyFont="1"/>
    <xf borderId="1" fillId="0" fontId="26" numFmtId="164" xfId="0" applyAlignment="1" applyBorder="1" applyFont="1" applyNumberFormat="1">
      <alignment horizontal="center" readingOrder="0" shrinkToFit="0" vertical="bottom" wrapText="0"/>
    </xf>
    <xf borderId="1" fillId="0" fontId="15" numFmtId="164" xfId="0" applyAlignment="1" applyBorder="1" applyFont="1" applyNumberFormat="1">
      <alignment horizontal="center" shrinkToFit="0" wrapText="0"/>
    </xf>
    <xf borderId="1" fillId="0" fontId="15" numFmtId="49" xfId="0" applyAlignment="1" applyBorder="1" applyFont="1" applyNumberFormat="1">
      <alignment horizontal="center" shrinkToFit="0" wrapText="0"/>
    </xf>
    <xf borderId="0" fillId="0" fontId="15" numFmtId="0" xfId="0" applyAlignment="1" applyFont="1">
      <alignment horizontal="center" readingOrder="0" shrinkToFit="0" wrapText="0"/>
    </xf>
    <xf borderId="28" fillId="0" fontId="15" numFmtId="0" xfId="0" applyAlignment="1" applyBorder="1" applyFont="1">
      <alignment readingOrder="0" shrinkToFit="0" wrapText="1"/>
    </xf>
    <xf borderId="0" fillId="0" fontId="29" numFmtId="167" xfId="0" applyAlignment="1" applyFont="1" applyNumberFormat="1">
      <alignment horizontal="right" readingOrder="0" shrinkToFit="0" vertical="center" wrapText="0"/>
    </xf>
    <xf borderId="10" fillId="0" fontId="15" numFmtId="0" xfId="0" applyAlignment="1" applyBorder="1" applyFont="1">
      <alignment horizontal="center" readingOrder="0" shrinkToFit="0" wrapText="0"/>
    </xf>
    <xf borderId="22" fillId="0" fontId="15" numFmtId="0" xfId="0" applyAlignment="1" applyBorder="1" applyFont="1">
      <alignment shrinkToFit="0" wrapText="1"/>
    </xf>
    <xf borderId="5" fillId="0" fontId="15" numFmtId="0" xfId="0" applyAlignment="1" applyBorder="1" applyFont="1">
      <alignment horizontal="center" readingOrder="0" shrinkToFit="0" wrapText="0"/>
    </xf>
    <xf borderId="1" fillId="0" fontId="15" numFmtId="164" xfId="0" applyAlignment="1" applyBorder="1" applyFont="1" applyNumberFormat="1">
      <alignment horizontal="center" shrinkToFit="0" vertical="bottom" wrapText="0"/>
    </xf>
    <xf borderId="5" fillId="0" fontId="26" numFmtId="164" xfId="0" applyAlignment="1" applyBorder="1" applyFont="1" applyNumberFormat="1">
      <alignment horizontal="center" shrinkToFit="0" vertical="bottom" wrapText="0"/>
    </xf>
    <xf borderId="4" fillId="0" fontId="26" numFmtId="164" xfId="0" applyAlignment="1" applyBorder="1" applyFont="1" applyNumberFormat="1">
      <alignment horizontal="center" shrinkToFit="0" vertical="bottom" wrapText="0"/>
    </xf>
    <xf borderId="0" fillId="0" fontId="15" numFmtId="164" xfId="0" applyAlignment="1" applyFont="1" applyNumberFormat="1">
      <alignment horizontal="center" shrinkToFit="0" vertical="bottom" wrapText="0"/>
    </xf>
    <xf borderId="1" fillId="0" fontId="22" numFmtId="164" xfId="0" applyAlignment="1" applyBorder="1" applyFont="1" applyNumberFormat="1">
      <alignment horizontal="center" readingOrder="0" shrinkToFit="0" wrapText="0"/>
    </xf>
    <xf borderId="1" fillId="0" fontId="0" numFmtId="0" xfId="0" applyAlignment="1" applyBorder="1" applyFont="1">
      <alignment horizontal="center"/>
    </xf>
    <xf borderId="1" fillId="0" fontId="22" numFmtId="164" xfId="0" applyAlignment="1" applyBorder="1" applyFont="1" applyNumberFormat="1">
      <alignment horizontal="center" shrinkToFit="0" wrapText="0"/>
    </xf>
    <xf borderId="1" fillId="0" fontId="15" numFmtId="0" xfId="0" applyAlignment="1" applyBorder="1" applyFont="1">
      <alignment horizontal="center" readingOrder="0" shrinkToFit="0" wrapText="0"/>
    </xf>
    <xf borderId="1" fillId="0" fontId="22" numFmtId="164" xfId="0" applyAlignment="1" applyBorder="1" applyFont="1" applyNumberFormat="1">
      <alignment horizontal="center" vertical="bottom"/>
    </xf>
    <xf borderId="0" fillId="0" fontId="22" numFmtId="164" xfId="0" applyAlignment="1" applyFont="1" applyNumberFormat="1">
      <alignment horizontal="center" vertical="bottom"/>
    </xf>
    <xf borderId="1" fillId="0" fontId="0" numFmtId="164" xfId="0" applyAlignment="1" applyBorder="1" applyFont="1" applyNumberFormat="1">
      <alignment horizontal="center"/>
    </xf>
    <xf borderId="1" fillId="5" fontId="0" numFmtId="164" xfId="0" applyAlignment="1" applyBorder="1" applyFont="1" applyNumberFormat="1">
      <alignment horizontal="center"/>
    </xf>
    <xf borderId="22" fillId="0" fontId="15" numFmtId="0" xfId="0" applyAlignment="1" applyBorder="1" applyFont="1">
      <alignment readingOrder="0" shrinkToFit="0" wrapText="1"/>
    </xf>
    <xf borderId="0" fillId="5" fontId="9" numFmtId="0" xfId="0" applyAlignment="1" applyFont="1">
      <alignment horizontal="center"/>
    </xf>
    <xf borderId="0" fillId="5" fontId="9" numFmtId="0" xfId="0" applyFont="1"/>
    <xf borderId="1" fillId="0" fontId="0" numFmtId="0" xfId="0" applyAlignment="1" applyBorder="1" applyFont="1">
      <alignment horizontal="center" readingOrder="0"/>
    </xf>
    <xf borderId="1" fillId="0" fontId="15" numFmtId="164" xfId="0" applyAlignment="1" applyBorder="1" applyFont="1" applyNumberFormat="1">
      <alignment horizontal="center" readingOrder="0" shrinkToFit="0" wrapText="0"/>
    </xf>
    <xf borderId="0" fillId="0" fontId="22" numFmtId="0" xfId="0" applyAlignment="1" applyFont="1">
      <alignment horizontal="center" shrinkToFit="0" wrapText="0"/>
    </xf>
    <xf borderId="0" fillId="0" fontId="15" numFmtId="164" xfId="0" applyAlignment="1" applyFont="1" applyNumberFormat="1">
      <alignment horizontal="center" shrinkToFit="0" wrapText="0"/>
    </xf>
    <xf borderId="0" fillId="0" fontId="22" numFmtId="164" xfId="0" applyAlignment="1" applyFont="1" applyNumberFormat="1">
      <alignment horizontal="center" shrinkToFit="0" wrapText="0"/>
    </xf>
    <xf borderId="1" fillId="0" fontId="15" numFmtId="0" xfId="0" applyAlignment="1" applyBorder="1" applyFont="1">
      <alignment horizontal="center" readingOrder="0" shrinkToFit="0" wrapText="0"/>
    </xf>
    <xf borderId="1" fillId="0" fontId="26" numFmtId="164" xfId="0" applyAlignment="1" applyBorder="1" applyFont="1" applyNumberFormat="1">
      <alignment horizontal="center" shrinkToFit="0" vertical="bottom" wrapText="0"/>
    </xf>
    <xf borderId="1" fillId="5" fontId="9" numFmtId="0" xfId="0" applyAlignment="1" applyBorder="1" applyFont="1">
      <alignment horizontal="center"/>
    </xf>
    <xf borderId="1" fillId="5" fontId="9" numFmtId="0" xfId="0" applyBorder="1" applyFont="1"/>
    <xf borderId="1" fillId="5" fontId="9" numFmtId="164" xfId="0" applyBorder="1" applyFont="1" applyNumberFormat="1"/>
    <xf borderId="1" fillId="5" fontId="9" numFmtId="0" xfId="0" applyAlignment="1" applyBorder="1" applyFont="1">
      <alignment horizontal="center"/>
    </xf>
    <xf borderId="1" fillId="5" fontId="9" numFmtId="0" xfId="0" applyBorder="1" applyFont="1"/>
    <xf borderId="25" fillId="5" fontId="26" numFmtId="164" xfId="0" applyAlignment="1" applyBorder="1" applyFont="1" applyNumberFormat="1">
      <alignment horizontal="center" shrinkToFit="0" vertical="bottom" wrapText="0"/>
    </xf>
    <xf borderId="0" fillId="5" fontId="26" numFmtId="164" xfId="0" applyAlignment="1" applyFont="1" applyNumberFormat="1">
      <alignment horizontal="center" shrinkToFit="0" vertical="bottom" wrapText="0"/>
    </xf>
    <xf borderId="35" fillId="0" fontId="15" numFmtId="0" xfId="0" applyAlignment="1" applyBorder="1" applyFont="1">
      <alignment horizontal="center" shrinkToFit="0" wrapText="0"/>
    </xf>
    <xf borderId="35" fillId="0" fontId="15" numFmtId="164" xfId="0" applyAlignment="1" applyBorder="1" applyFont="1" applyNumberFormat="1">
      <alignment horizontal="center" shrinkToFit="0" wrapText="0"/>
    </xf>
    <xf borderId="0" fillId="0" fontId="13" numFmtId="0" xfId="0" applyAlignment="1" applyFont="1">
      <alignment vertical="bottom"/>
    </xf>
    <xf borderId="0" fillId="0" fontId="13" numFmtId="164" xfId="0" applyAlignment="1" applyFont="1" applyNumberFormat="1">
      <alignment vertical="bottom"/>
    </xf>
    <xf borderId="13" fillId="0" fontId="13" numFmtId="164" xfId="0" applyAlignment="1" applyBorder="1" applyFont="1" applyNumberFormat="1">
      <alignment vertical="bottom"/>
    </xf>
    <xf borderId="33" fillId="0" fontId="13" numFmtId="0" xfId="0" applyBorder="1" applyFont="1"/>
    <xf borderId="0" fillId="0" fontId="13" numFmtId="0" xfId="0" applyFont="1"/>
    <xf borderId="0" fillId="0" fontId="26" numFmtId="0" xfId="0" applyAlignment="1" applyFont="1">
      <alignment horizontal="center"/>
    </xf>
    <xf borderId="0" fillId="0" fontId="26" numFmtId="0" xfId="0" applyAlignment="1" applyFont="1">
      <alignment horizontal="center" vertical="bottom"/>
    </xf>
    <xf borderId="13" fillId="5" fontId="26" numFmtId="164" xfId="0" applyAlignment="1" applyBorder="1" applyFont="1" applyNumberFormat="1">
      <alignment horizontal="center" vertical="bottom"/>
    </xf>
    <xf borderId="14" fillId="15" fontId="13" numFmtId="0" xfId="0" applyBorder="1" applyFill="1" applyFont="1"/>
    <xf borderId="13" fillId="0" fontId="13" numFmtId="0" xfId="0" applyBorder="1" applyFont="1"/>
    <xf borderId="16" fillId="0" fontId="26" numFmtId="0" xfId="0" applyAlignment="1" applyBorder="1" applyFont="1">
      <alignment horizontal="center"/>
    </xf>
    <xf borderId="38" fillId="0" fontId="13" numFmtId="0" xfId="0" applyBorder="1" applyFont="1"/>
    <xf borderId="22" fillId="15" fontId="13" numFmtId="0" xfId="0" applyBorder="1" applyFont="1"/>
    <xf borderId="39" fillId="0" fontId="13" numFmtId="0" xfId="0" applyBorder="1" applyFont="1"/>
    <xf borderId="12" fillId="0" fontId="26" numFmtId="164" xfId="0" applyAlignment="1" applyBorder="1" applyFont="1" applyNumberFormat="1">
      <alignment horizontal="center" readingOrder="0" vertical="bottom"/>
    </xf>
    <xf borderId="0" fillId="0" fontId="26" numFmtId="164" xfId="0" applyAlignment="1" applyFont="1" applyNumberFormat="1">
      <alignment horizontal="center" readingOrder="0" vertical="bottom"/>
    </xf>
    <xf borderId="22" fillId="15" fontId="13" numFmtId="0" xfId="0" applyAlignment="1" applyBorder="1" applyFont="1">
      <alignment vertical="bottom"/>
    </xf>
    <xf borderId="13" fillId="0" fontId="13" numFmtId="0" xfId="0" applyAlignment="1" applyBorder="1" applyFont="1">
      <alignment vertical="bottom"/>
    </xf>
    <xf borderId="12" fillId="9" fontId="26" numFmtId="164" xfId="0" applyAlignment="1" applyBorder="1" applyFont="1" applyNumberFormat="1">
      <alignment horizontal="center" readingOrder="0" vertical="bottom"/>
    </xf>
    <xf borderId="0" fillId="2" fontId="26" numFmtId="164" xfId="0" applyAlignment="1" applyFont="1" applyNumberFormat="1">
      <alignment horizontal="center" readingOrder="0" vertical="bottom"/>
    </xf>
    <xf borderId="22" fillId="2" fontId="26" numFmtId="0" xfId="0" applyAlignment="1" applyBorder="1" applyFont="1">
      <alignment readingOrder="0" vertical="bottom"/>
    </xf>
    <xf borderId="4" fillId="0" fontId="26" numFmtId="0" xfId="0" applyAlignment="1" applyBorder="1" applyFont="1">
      <alignment horizontal="center" vertical="bottom"/>
    </xf>
    <xf borderId="4" fillId="0" fontId="26" numFmtId="0" xfId="0" applyAlignment="1" applyBorder="1" applyFont="1">
      <alignment horizontal="center" vertical="bottom"/>
    </xf>
    <xf borderId="4" fillId="5" fontId="26" numFmtId="0" xfId="0" applyAlignment="1" applyBorder="1" applyFont="1">
      <alignment horizontal="center" vertical="bottom"/>
    </xf>
    <xf borderId="4" fillId="5" fontId="26" numFmtId="164" xfId="0" applyAlignment="1" applyBorder="1" applyFont="1" applyNumberFormat="1">
      <alignment horizontal="center" vertical="bottom"/>
    </xf>
    <xf borderId="22" fillId="15" fontId="26" numFmtId="0" xfId="0" applyAlignment="1" applyBorder="1" applyFont="1">
      <alignment vertical="bottom"/>
    </xf>
    <xf borderId="4" fillId="0" fontId="13" numFmtId="164" xfId="0" applyAlignment="1" applyBorder="1" applyFont="1" applyNumberFormat="1">
      <alignment horizontal="center" vertical="bottom"/>
    </xf>
    <xf borderId="4" fillId="0" fontId="9" numFmtId="164" xfId="0" applyAlignment="1" applyBorder="1" applyFont="1" applyNumberFormat="1">
      <alignment horizontal="center" vertical="bottom"/>
    </xf>
    <xf borderId="4" fillId="0" fontId="9" numFmtId="0" xfId="0" applyAlignment="1" applyBorder="1" applyFont="1">
      <alignment horizontal="center" vertical="bottom"/>
    </xf>
    <xf borderId="4" fillId="0" fontId="13" numFmtId="164" xfId="0" applyAlignment="1" applyBorder="1" applyFont="1" applyNumberFormat="1">
      <alignment horizontal="center" readingOrder="0" vertical="bottom"/>
    </xf>
    <xf borderId="4" fillId="0" fontId="13" numFmtId="0" xfId="0" applyAlignment="1" applyBorder="1" applyFont="1">
      <alignment horizontal="center" vertical="bottom"/>
    </xf>
    <xf borderId="4" fillId="0" fontId="13" numFmtId="0" xfId="0" applyAlignment="1" applyBorder="1" applyFont="1">
      <alignment horizontal="center" vertical="bottom"/>
    </xf>
    <xf borderId="0" fillId="0" fontId="13" numFmtId="164" xfId="0" applyAlignment="1" applyFont="1" applyNumberFormat="1">
      <alignment horizontal="center" vertical="bottom"/>
    </xf>
    <xf borderId="0" fillId="0" fontId="9" numFmtId="0" xfId="0" applyAlignment="1" applyFont="1">
      <alignment horizontal="center"/>
    </xf>
    <xf borderId="4" fillId="0" fontId="13" numFmtId="164" xfId="0" applyAlignment="1" applyBorder="1" applyFont="1" applyNumberFormat="1">
      <alignment horizontal="center" vertical="bottom"/>
    </xf>
    <xf borderId="0" fillId="0" fontId="9" numFmtId="0" xfId="0" applyAlignment="1" applyFont="1">
      <alignment horizontal="center"/>
    </xf>
    <xf borderId="0" fillId="0" fontId="9" numFmtId="0" xfId="0" applyFont="1"/>
    <xf borderId="28" fillId="15" fontId="13" numFmtId="0" xfId="0" applyAlignment="1" applyBorder="1" applyFont="1">
      <alignment vertical="bottom"/>
    </xf>
    <xf borderId="4" fillId="0" fontId="26" numFmtId="164" xfId="0" applyAlignment="1" applyBorder="1" applyFont="1" applyNumberFormat="1">
      <alignment horizontal="center" vertical="bottom"/>
    </xf>
    <xf borderId="0" fillId="0" fontId="26" numFmtId="164" xfId="0" applyAlignment="1" applyFont="1" applyNumberFormat="1">
      <alignment horizontal="center" vertical="bottom"/>
    </xf>
    <xf borderId="28" fillId="15" fontId="15" numFmtId="0" xfId="0" applyAlignment="1" applyBorder="1" applyFont="1">
      <alignment shrinkToFit="0" wrapText="1"/>
    </xf>
    <xf borderId="4" fillId="0" fontId="13" numFmtId="164" xfId="0" applyAlignment="1" applyBorder="1" applyFont="1" applyNumberFormat="1">
      <alignment vertical="bottom"/>
    </xf>
    <xf borderId="14" fillId="15" fontId="15" numFmtId="0" xfId="0" applyAlignment="1" applyBorder="1" applyFont="1">
      <alignment shrinkToFit="0" vertical="center" wrapText="1"/>
    </xf>
    <xf borderId="40" fillId="12" fontId="15" numFmtId="0" xfId="0" applyAlignment="1" applyBorder="1" applyFont="1">
      <alignment horizontal="center" shrinkToFit="0" wrapText="0"/>
    </xf>
    <xf borderId="41" fillId="0" fontId="12" numFmtId="0" xfId="0" applyBorder="1" applyFont="1"/>
    <xf borderId="42" fillId="0" fontId="12" numFmtId="0" xfId="0" applyBorder="1" applyFont="1"/>
    <xf borderId="22" fillId="15" fontId="15" numFmtId="0" xfId="0" applyAlignment="1" applyBorder="1" applyFont="1">
      <alignment shrinkToFit="0" vertical="center" wrapText="1"/>
    </xf>
    <xf borderId="26" fillId="0" fontId="15" numFmtId="164" xfId="0" applyAlignment="1" applyBorder="1" applyFont="1" applyNumberFormat="1">
      <alignment horizontal="center" readingOrder="0" shrinkToFit="0" wrapText="0"/>
    </xf>
    <xf borderId="22" fillId="15" fontId="15" numFmtId="0" xfId="0" applyAlignment="1" applyBorder="1" applyFont="1">
      <alignment shrinkToFit="0" wrapText="1"/>
    </xf>
    <xf borderId="2" fillId="5" fontId="15" numFmtId="0" xfId="0" applyAlignment="1" applyBorder="1" applyFont="1">
      <alignment horizontal="center" shrinkToFit="0" wrapText="0"/>
    </xf>
    <xf borderId="22" fillId="15" fontId="15" numFmtId="0" xfId="0" applyAlignment="1" applyBorder="1" applyFont="1">
      <alignment shrinkToFit="0" wrapText="0"/>
    </xf>
    <xf borderId="0" fillId="5" fontId="9" numFmtId="164" xfId="0" applyAlignment="1" applyFont="1" applyNumberFormat="1">
      <alignment horizontal="center"/>
    </xf>
    <xf borderId="1" fillId="5" fontId="22" numFmtId="164" xfId="0" applyAlignment="1" applyBorder="1" applyFont="1" applyNumberFormat="1">
      <alignment horizontal="center" readingOrder="0" shrinkToFit="0" wrapText="0"/>
    </xf>
    <xf borderId="0" fillId="0" fontId="12" numFmtId="164" xfId="0" applyAlignment="1" applyFont="1" applyNumberFormat="1">
      <alignment horizontal="center"/>
    </xf>
    <xf borderId="22" fillId="15" fontId="15" numFmtId="0" xfId="0" applyAlignment="1" applyBorder="1" applyFont="1">
      <alignment readingOrder="0" shrinkToFit="0" wrapText="1"/>
    </xf>
    <xf borderId="0" fillId="0" fontId="15" numFmtId="0" xfId="0" applyAlignment="1" applyFont="1">
      <alignment horizontal="center" readingOrder="0" shrinkToFit="0" vertical="center" wrapText="0"/>
    </xf>
    <xf borderId="15" fillId="5" fontId="15" numFmtId="0" xfId="0" applyAlignment="1" applyBorder="1" applyFont="1">
      <alignment horizontal="center" shrinkToFit="0" wrapText="0"/>
    </xf>
    <xf borderId="12" fillId="5" fontId="15" numFmtId="0" xfId="0" applyAlignment="1" applyBorder="1" applyFont="1">
      <alignment horizontal="center" shrinkToFit="0" wrapText="0"/>
    </xf>
    <xf borderId="40" fillId="0" fontId="15" numFmtId="0" xfId="0" applyAlignment="1" applyBorder="1" applyFont="1">
      <alignment horizontal="center" shrinkToFit="0" wrapText="0"/>
    </xf>
    <xf borderId="40" fillId="5" fontId="15" numFmtId="0" xfId="0" applyAlignment="1" applyBorder="1" applyFont="1">
      <alignment horizontal="center" shrinkToFit="0" wrapText="0"/>
    </xf>
    <xf borderId="0" fillId="0" fontId="22" numFmtId="164" xfId="0" applyAlignment="1" applyFont="1" applyNumberFormat="1">
      <alignment horizontal="center" readingOrder="0" shrinkToFit="0" wrapText="0"/>
    </xf>
    <xf borderId="33" fillId="15" fontId="15" numFmtId="0" xfId="0" applyAlignment="1" applyBorder="1" applyFont="1">
      <alignment shrinkToFit="0" vertical="center" wrapText="1"/>
    </xf>
    <xf borderId="12" fillId="0" fontId="15" numFmtId="0" xfId="0" applyAlignment="1" applyBorder="1" applyFont="1">
      <alignment horizontal="center" shrinkToFit="0" wrapText="0"/>
    </xf>
    <xf borderId="22" fillId="15" fontId="15" numFmtId="0" xfId="0" applyAlignment="1" applyBorder="1" applyFont="1">
      <alignment readingOrder="0" shrinkToFit="0" wrapText="0"/>
    </xf>
    <xf borderId="43" fillId="15" fontId="15" numFmtId="0" xfId="0" applyAlignment="1" applyBorder="1" applyFont="1">
      <alignment shrinkToFit="0" wrapText="1"/>
    </xf>
    <xf borderId="0" fillId="15" fontId="15" numFmtId="0" xfId="0" applyAlignment="1" applyFont="1">
      <alignment shrinkToFit="0" wrapText="1"/>
    </xf>
    <xf borderId="0" fillId="0" fontId="22" numFmtId="0" xfId="0" applyAlignment="1" applyFont="1">
      <alignment shrinkToFit="0" wrapText="1"/>
    </xf>
    <xf borderId="0" fillId="0" fontId="30" numFmtId="0" xfId="0" applyAlignment="1" applyFont="1">
      <alignment horizontal="center" shrinkToFit="0" wrapText="1"/>
    </xf>
    <xf borderId="0" fillId="0" fontId="30" numFmtId="164" xfId="0" applyAlignment="1" applyFont="1" applyNumberFormat="1">
      <alignment horizontal="right" shrinkToFit="0" wrapText="1"/>
    </xf>
    <xf borderId="0" fillId="0" fontId="22" numFmtId="0" xfId="0" applyAlignment="1" applyFont="1">
      <alignment horizontal="center" shrinkToFit="0" wrapText="1"/>
    </xf>
    <xf borderId="33" fillId="15" fontId="15" numFmtId="0" xfId="0" applyAlignment="1" applyBorder="1" applyFont="1">
      <alignment shrinkToFit="0" wrapText="1"/>
    </xf>
    <xf borderId="0" fillId="0" fontId="15" numFmtId="0" xfId="0" applyAlignment="1" applyFont="1">
      <alignment readingOrder="0" shrinkToFit="0" wrapText="0"/>
    </xf>
    <xf borderId="0" fillId="0" fontId="22" numFmtId="164" xfId="0" applyAlignment="1" applyFont="1" applyNumberFormat="1">
      <alignment shrinkToFit="0" wrapText="0"/>
    </xf>
    <xf borderId="22" fillId="0" fontId="15" numFmtId="0" xfId="0" applyAlignment="1" applyBorder="1" applyFont="1">
      <alignment readingOrder="0" shrinkToFit="0" wrapText="0"/>
    </xf>
    <xf borderId="14" fillId="16" fontId="15" numFmtId="0" xfId="0" applyAlignment="1" applyBorder="1" applyFill="1" applyFont="1">
      <alignment shrinkToFit="0" vertical="center" wrapText="1"/>
    </xf>
    <xf borderId="15" fillId="12" fontId="15" numFmtId="0" xfId="0" applyAlignment="1" applyBorder="1" applyFont="1">
      <alignment horizontal="center" shrinkToFit="0" wrapText="0"/>
    </xf>
    <xf borderId="0" fillId="5" fontId="15" numFmtId="0" xfId="0" applyAlignment="1" applyFont="1">
      <alignment horizontal="center" readingOrder="0" shrinkToFit="0" wrapText="0"/>
    </xf>
    <xf borderId="22" fillId="16" fontId="15" numFmtId="0" xfId="0" applyAlignment="1" applyBorder="1" applyFont="1">
      <alignment shrinkToFit="0" vertical="center" wrapText="1"/>
    </xf>
    <xf borderId="22" fillId="16" fontId="15" numFmtId="0" xfId="0" applyAlignment="1" applyBorder="1" applyFont="1">
      <alignment shrinkToFit="0" wrapText="1"/>
    </xf>
    <xf borderId="22" fillId="16" fontId="15" numFmtId="0" xfId="0" applyAlignment="1" applyBorder="1" applyFont="1">
      <alignment readingOrder="0" shrinkToFit="0" wrapText="0"/>
    </xf>
    <xf borderId="28" fillId="16" fontId="15" numFmtId="0" xfId="0" applyAlignment="1" applyBorder="1" applyFont="1">
      <alignment shrinkToFit="0" wrapText="1"/>
    </xf>
    <xf borderId="0" fillId="16" fontId="15" numFmtId="0" xfId="0" applyAlignment="1" applyFont="1">
      <alignment shrinkToFit="0" wrapText="1"/>
    </xf>
    <xf borderId="0" fillId="16" fontId="15" numFmtId="0" xfId="0" applyAlignment="1" applyFont="1">
      <alignment readingOrder="0" shrinkToFit="0" wrapText="1"/>
    </xf>
    <xf borderId="22" fillId="16" fontId="15" numFmtId="0" xfId="0" applyAlignment="1" applyBorder="1" applyFont="1">
      <alignment readingOrder="0" shrinkToFit="0" wrapText="1"/>
    </xf>
    <xf borderId="0" fillId="16" fontId="15" numFmtId="0" xfId="0" applyAlignment="1" applyFont="1">
      <alignment readingOrder="0" shrinkToFit="0" wrapText="0"/>
    </xf>
    <xf borderId="0" fillId="16" fontId="12" numFmtId="0" xfId="0" applyFont="1"/>
    <xf borderId="26" fillId="5" fontId="26" numFmtId="164" xfId="0" applyAlignment="1" applyBorder="1" applyFont="1" applyNumberFormat="1">
      <alignment horizontal="center" readingOrder="0" shrinkToFit="0" vertical="bottom" wrapText="0"/>
    </xf>
    <xf borderId="26" fillId="5" fontId="26" numFmtId="164" xfId="0" applyAlignment="1" applyBorder="1" applyFont="1" applyNumberFormat="1">
      <alignment horizontal="center" shrinkToFit="0" vertical="bottom" wrapText="0"/>
    </xf>
    <xf borderId="26" fillId="5" fontId="15" numFmtId="164" xfId="0" applyAlignment="1" applyBorder="1" applyFont="1" applyNumberFormat="1">
      <alignment horizontal="center" shrinkToFit="0" wrapText="0"/>
    </xf>
    <xf borderId="25" fillId="0" fontId="15" numFmtId="164" xfId="0" applyAlignment="1" applyBorder="1" applyFont="1" applyNumberFormat="1">
      <alignment horizontal="center" shrinkToFit="0" wrapText="0"/>
    </xf>
    <xf borderId="0" fillId="2" fontId="31" numFmtId="0" xfId="0" applyAlignment="1" applyFont="1">
      <alignment readingOrder="0"/>
    </xf>
    <xf borderId="0" fillId="16" fontId="31" numFmtId="0" xfId="0" applyAlignment="1" applyFont="1">
      <alignment readingOrder="0"/>
    </xf>
    <xf borderId="0" fillId="0" fontId="22" numFmtId="0" xfId="0" applyAlignment="1" applyFont="1">
      <alignment horizontal="center" readingOrder="0" shrinkToFit="0" wrapText="0"/>
    </xf>
    <xf borderId="1" fillId="0" fontId="9" numFmtId="0" xfId="0" applyAlignment="1" applyBorder="1" applyFont="1">
      <alignment horizontal="center"/>
    </xf>
    <xf borderId="1" fillId="0" fontId="9" numFmtId="0" xfId="0" applyAlignment="1" applyBorder="1" applyFont="1">
      <alignment horizontal="center"/>
    </xf>
    <xf borderId="0" fillId="5" fontId="15" numFmtId="0" xfId="0" applyAlignment="1" applyFont="1">
      <alignment shrinkToFit="0" wrapText="1"/>
    </xf>
    <xf borderId="14" fillId="17" fontId="15" numFmtId="0" xfId="0" applyAlignment="1" applyBorder="1" applyFill="1" applyFont="1">
      <alignment shrinkToFit="0" vertical="center" wrapText="1"/>
    </xf>
    <xf borderId="22" fillId="17" fontId="15" numFmtId="0" xfId="0" applyAlignment="1" applyBorder="1" applyFont="1">
      <alignment shrinkToFit="0" vertical="center" wrapText="1"/>
    </xf>
    <xf borderId="22" fillId="17" fontId="15" numFmtId="0" xfId="0" applyAlignment="1" applyBorder="1" applyFont="1">
      <alignment shrinkToFit="0" wrapText="1"/>
    </xf>
    <xf borderId="22" fillId="17" fontId="15" numFmtId="0" xfId="0" applyAlignment="1" applyBorder="1" applyFont="1">
      <alignment readingOrder="0" shrinkToFit="0" wrapText="0"/>
    </xf>
    <xf borderId="28" fillId="17" fontId="15" numFmtId="0" xfId="0" applyAlignment="1" applyBorder="1" applyFont="1">
      <alignment shrinkToFit="0" wrapText="1"/>
    </xf>
    <xf borderId="0" fillId="17" fontId="15" numFmtId="0" xfId="0" applyAlignment="1" applyFont="1">
      <alignment shrinkToFit="0" wrapText="1"/>
    </xf>
    <xf borderId="0" fillId="0" fontId="32" numFmtId="0" xfId="0" applyAlignment="1" applyFont="1">
      <alignment horizontal="center" readingOrder="0" shrinkToFit="0" wrapText="0"/>
    </xf>
    <xf borderId="0" fillId="2" fontId="15" numFmtId="0" xfId="0" applyAlignment="1" applyFont="1">
      <alignment readingOrder="0" shrinkToFit="0" wrapText="1"/>
    </xf>
    <xf borderId="10" fillId="12" fontId="15" numFmtId="0" xfId="0" applyAlignment="1" applyBorder="1" applyFont="1">
      <alignment horizontal="center" readingOrder="0" shrinkToFit="0" wrapText="0"/>
    </xf>
    <xf borderId="1" fillId="5" fontId="9" numFmtId="1" xfId="0" applyAlignment="1" applyBorder="1" applyFont="1" applyNumberFormat="1">
      <alignment horizontal="center"/>
    </xf>
    <xf borderId="0" fillId="5" fontId="9" numFmtId="1" xfId="0" applyAlignment="1" applyFont="1" applyNumberFormat="1">
      <alignment horizontal="center"/>
    </xf>
    <xf borderId="1" fillId="0" fontId="15" numFmtId="1" xfId="0" applyAlignment="1" applyBorder="1" applyFont="1" applyNumberFormat="1">
      <alignment horizontal="center" shrinkToFit="0" wrapText="0"/>
    </xf>
    <xf borderId="0" fillId="6" fontId="15" numFmtId="0" xfId="0" applyAlignment="1" applyFont="1">
      <alignment horizontal="center" shrinkToFit="0" wrapText="0"/>
    </xf>
    <xf borderId="0" fillId="6" fontId="15" numFmtId="164" xfId="0" applyAlignment="1" applyFont="1" applyNumberFormat="1">
      <alignment horizontal="center" shrinkToFit="0" wrapText="0"/>
    </xf>
    <xf borderId="33" fillId="18" fontId="15" numFmtId="0" xfId="0" applyAlignment="1" applyBorder="1" applyFill="1" applyFont="1">
      <alignment shrinkToFit="0" vertical="center" wrapText="1"/>
    </xf>
    <xf borderId="22" fillId="18" fontId="15" numFmtId="0" xfId="0" applyAlignment="1" applyBorder="1" applyFont="1">
      <alignment shrinkToFit="0" vertical="center" wrapText="1"/>
    </xf>
    <xf borderId="22" fillId="18" fontId="15" numFmtId="0" xfId="0" applyAlignment="1" applyBorder="1" applyFont="1">
      <alignment shrinkToFit="0" wrapText="1"/>
    </xf>
    <xf borderId="1" fillId="0" fontId="33" numFmtId="0" xfId="0" applyAlignment="1" applyBorder="1" applyFont="1">
      <alignment horizontal="center" shrinkToFit="0" wrapText="0"/>
    </xf>
    <xf borderId="22" fillId="18" fontId="15" numFmtId="0" xfId="0" applyAlignment="1" applyBorder="1" applyFont="1">
      <alignment readingOrder="0" shrinkToFit="0" wrapText="0"/>
    </xf>
    <xf borderId="1" fillId="5" fontId="34" numFmtId="0" xfId="0" applyAlignment="1" applyBorder="1" applyFont="1">
      <alignment horizontal="center"/>
    </xf>
    <xf borderId="1" fillId="0" fontId="34" numFmtId="164" xfId="0" applyAlignment="1" applyBorder="1" applyFont="1" applyNumberFormat="1">
      <alignment horizontal="center" shrinkToFit="0" wrapText="0"/>
    </xf>
    <xf borderId="1" fillId="5" fontId="34" numFmtId="164" xfId="0" applyAlignment="1" applyBorder="1" applyFont="1" applyNumberFormat="1">
      <alignment horizontal="center"/>
    </xf>
    <xf borderId="28" fillId="18" fontId="15" numFmtId="0" xfId="0" applyAlignment="1" applyBorder="1" applyFont="1">
      <alignment readingOrder="0" shrinkToFit="0" wrapText="1"/>
    </xf>
    <xf borderId="0" fillId="18" fontId="15" numFmtId="0" xfId="0" applyAlignment="1" applyFont="1">
      <alignment readingOrder="0" shrinkToFit="0" wrapText="1"/>
    </xf>
    <xf borderId="1" fillId="0" fontId="33" numFmtId="164" xfId="0" applyAlignment="1" applyBorder="1" applyFont="1" applyNumberFormat="1">
      <alignment horizontal="center" shrinkToFit="0" wrapText="0"/>
    </xf>
    <xf borderId="0" fillId="18" fontId="15" numFmtId="0" xfId="0" applyAlignment="1" applyFont="1">
      <alignment shrinkToFit="0" wrapText="1"/>
    </xf>
    <xf borderId="0" fillId="0" fontId="32" numFmtId="164" xfId="0" applyAlignment="1" applyFont="1" applyNumberFormat="1">
      <alignment horizontal="center" readingOrder="0" shrinkToFit="0" wrapText="0"/>
    </xf>
    <xf borderId="1" fillId="5" fontId="1" numFmtId="164" xfId="0" applyAlignment="1" applyBorder="1" applyFont="1" applyNumberFormat="1">
      <alignment horizontal="center"/>
    </xf>
    <xf borderId="1" fillId="5" fontId="1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shrinkToFit="0" wrapText="0"/>
    </xf>
    <xf borderId="40" fillId="12" fontId="15" numFmtId="0" xfId="0" applyAlignment="1" applyBorder="1" applyFont="1">
      <alignment horizontal="center" readingOrder="0" shrinkToFit="0" wrapText="0"/>
    </xf>
    <xf borderId="1" fillId="5" fontId="22" numFmtId="0" xfId="0" applyAlignment="1" applyBorder="1" applyFont="1">
      <alignment horizontal="center"/>
    </xf>
    <xf borderId="1" fillId="5" fontId="22" numFmtId="164" xfId="0" applyAlignment="1" applyBorder="1" applyFont="1" applyNumberFormat="1">
      <alignment horizontal="center"/>
    </xf>
    <xf borderId="0" fillId="2" fontId="26" numFmtId="0" xfId="0" applyAlignment="1" applyFont="1">
      <alignment readingOrder="0" vertical="bottom"/>
    </xf>
    <xf borderId="0" fillId="0" fontId="26" numFmtId="0" xfId="0" applyAlignment="1" applyFont="1">
      <alignment readingOrder="0" vertical="bottom"/>
    </xf>
    <xf borderId="6" fillId="0" fontId="15" numFmtId="164" xfId="0" applyAlignment="1" applyBorder="1" applyFont="1" applyNumberFormat="1">
      <alignment horizontal="center" readingOrder="0" shrinkToFit="0" wrapText="0"/>
    </xf>
    <xf borderId="0" fillId="0" fontId="15" numFmtId="0" xfId="0" applyAlignment="1" applyFont="1">
      <alignment readingOrder="0" shrinkToFit="0" wrapText="1"/>
    </xf>
    <xf borderId="0" fillId="0" fontId="31" numFmtId="0" xfId="0" applyAlignment="1" applyFont="1">
      <alignment readingOrder="0"/>
    </xf>
    <xf borderId="0" fillId="2" fontId="31" numFmtId="0" xfId="0" applyAlignment="1" applyFont="1">
      <alignment horizontal="center" readingOrder="0"/>
    </xf>
    <xf borderId="4" fillId="0" fontId="13" numFmtId="0" xfId="0" applyAlignment="1" applyBorder="1" applyFont="1">
      <alignment vertical="bottom"/>
    </xf>
    <xf borderId="4" fillId="0" fontId="26" numFmtId="164" xfId="0" applyAlignment="1" applyBorder="1" applyFont="1" applyNumberFormat="1">
      <alignment horizontal="center" shrinkToFit="0" vertical="bottom" wrapText="0"/>
    </xf>
    <xf borderId="4" fillId="0" fontId="26" numFmtId="164" xfId="0" applyAlignment="1" applyBorder="1" applyFont="1" applyNumberFormat="1">
      <alignment horizontal="center" readingOrder="0" shrinkToFit="0" vertical="bottom" wrapText="0"/>
    </xf>
    <xf borderId="1" fillId="0" fontId="31" numFmtId="0" xfId="0" applyAlignment="1" applyBorder="1" applyFont="1">
      <alignment horizontal="center" readingOrder="0"/>
    </xf>
    <xf borderId="0" fillId="0" fontId="31" numFmtId="0" xfId="0" applyAlignment="1" applyFont="1">
      <alignment horizontal="center" readingOrder="0"/>
    </xf>
    <xf borderId="4" fillId="0" fontId="26" numFmtId="0" xfId="0" applyAlignment="1" applyBorder="1" applyFont="1">
      <alignment readingOrder="0" shrinkToFit="0" vertical="bottom" wrapText="0"/>
    </xf>
    <xf borderId="4" fillId="0" fontId="13" numFmtId="164" xfId="0" applyAlignment="1" applyBorder="1" applyFont="1" applyNumberFormat="1">
      <alignment horizontal="center" readingOrder="0" shrinkToFit="0" vertical="bottom" wrapText="0"/>
    </xf>
    <xf borderId="1" fillId="0" fontId="12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/>
    </xf>
    <xf borderId="0" fillId="0" fontId="31" numFmtId="164" xfId="0" applyAlignment="1" applyFont="1" applyNumberFormat="1">
      <alignment horizontal="center"/>
    </xf>
    <xf borderId="1" fillId="0" fontId="13" numFmtId="0" xfId="0" applyAlignment="1" applyBorder="1" applyFont="1">
      <alignment vertical="bottom"/>
    </xf>
    <xf borderId="1" fillId="0" fontId="26" numFmtId="164" xfId="0" applyAlignment="1" applyBorder="1" applyFont="1" applyNumberFormat="1">
      <alignment horizontal="center" shrinkToFit="0" vertical="bottom" wrapText="0"/>
    </xf>
    <xf borderId="1" fillId="0" fontId="26" numFmtId="164" xfId="0" applyAlignment="1" applyBorder="1" applyFont="1" applyNumberFormat="1">
      <alignment horizontal="center" readingOrder="0" shrinkToFit="0" vertical="bottom" wrapText="0"/>
    </xf>
    <xf borderId="1" fillId="0" fontId="26" numFmtId="0" xfId="0" applyAlignment="1" applyBorder="1" applyFont="1">
      <alignment readingOrder="0" shrinkToFit="0" vertical="bottom" wrapText="0"/>
    </xf>
    <xf borderId="1" fillId="0" fontId="12" numFmtId="164" xfId="0" applyAlignment="1" applyBorder="1" applyFont="1" applyNumberFormat="1">
      <alignment horizontal="center"/>
    </xf>
    <xf borderId="0" fillId="14" fontId="12" numFmtId="0" xfId="0" applyAlignment="1" applyFont="1">
      <alignment readingOrder="0" shrinkToFit="0" wrapText="1"/>
    </xf>
    <xf borderId="0" fillId="11" fontId="12" numFmtId="0" xfId="0" applyAlignment="1" applyFont="1">
      <alignment horizontal="center" readingOrder="0" shrinkToFit="0" wrapText="1"/>
    </xf>
    <xf borderId="0" fillId="11" fontId="12" numFmtId="164" xfId="0" applyAlignment="1" applyFont="1" applyNumberFormat="1">
      <alignment horizontal="center" readingOrder="0"/>
    </xf>
    <xf borderId="0" fillId="11" fontId="12" numFmtId="0" xfId="0" applyAlignment="1" applyFont="1">
      <alignment horizontal="center" readingOrder="0"/>
    </xf>
    <xf borderId="0" fillId="11" fontId="12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0" fontId="12" numFmtId="0" xfId="0" applyAlignment="1" applyFont="1">
      <alignment horizontal="center" readingOrder="0" shrinkToFit="0" wrapText="1"/>
    </xf>
    <xf borderId="0" fillId="0" fontId="12" numFmtId="164" xfId="0" applyAlignment="1" applyFont="1" applyNumberFormat="1">
      <alignment horizontal="center" readingOrder="0"/>
    </xf>
    <xf borderId="0" fillId="0" fontId="12" numFmtId="0" xfId="0" applyAlignment="1" applyFont="1">
      <alignment horizontal="center" readingOrder="0"/>
    </xf>
    <xf borderId="0" fillId="2" fontId="12" numFmtId="164" xfId="0" applyAlignment="1" applyFont="1" applyNumberFormat="1">
      <alignment horizontal="center" readingOrder="0"/>
    </xf>
    <xf borderId="0" fillId="0" fontId="35" numFmtId="0" xfId="0" applyAlignment="1" applyFont="1">
      <alignment readingOrder="0" shrinkToFit="0" wrapText="1"/>
    </xf>
    <xf borderId="0" fillId="0" fontId="35" numFmtId="0" xfId="0" applyAlignment="1" applyFont="1">
      <alignment horizontal="center" readingOrder="0" shrinkToFit="0" wrapText="1"/>
    </xf>
    <xf borderId="0" fillId="0" fontId="35" numFmtId="164" xfId="0" applyAlignment="1" applyFont="1" applyNumberFormat="1">
      <alignment horizontal="center"/>
    </xf>
    <xf borderId="0" fillId="0" fontId="35" numFmtId="0" xfId="0" applyAlignment="1" applyFont="1">
      <alignment horizontal="center"/>
    </xf>
    <xf borderId="0" fillId="0" fontId="35" numFmtId="0" xfId="0" applyAlignment="1" applyFont="1">
      <alignment readingOrder="0"/>
    </xf>
    <xf borderId="0" fillId="0" fontId="35" numFmtId="0" xfId="0" applyFont="1"/>
    <xf borderId="0" fillId="19" fontId="12" numFmtId="0" xfId="0" applyAlignment="1" applyFill="1" applyFont="1">
      <alignment readingOrder="0" shrinkToFit="0" wrapText="1"/>
    </xf>
    <xf borderId="0" fillId="0" fontId="12" numFmtId="0" xfId="0" applyAlignment="1" applyFont="1">
      <alignment horizontal="center" shrinkToFit="0" wrapText="1"/>
    </xf>
    <xf borderId="0" fillId="15" fontId="12" numFmtId="0" xfId="0" applyAlignment="1" applyFont="1">
      <alignment readingOrder="0" shrinkToFit="0" wrapText="1"/>
    </xf>
    <xf borderId="0" fillId="0" fontId="12" numFmtId="0" xfId="0" applyAlignment="1" applyFont="1">
      <alignment shrinkToFit="0" wrapText="1"/>
    </xf>
    <xf borderId="0" fillId="0" fontId="36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2" numFmtId="0" xfId="0" applyAlignment="1" applyFont="1">
      <alignment horizontal="left" readingOrder="0" shrinkToFit="0" wrapText="1"/>
    </xf>
    <xf borderId="0" fillId="0" fontId="12" numFmtId="166" xfId="0" applyAlignment="1" applyFont="1" applyNumberFormat="1">
      <alignment horizontal="center" readingOrder="0"/>
    </xf>
    <xf borderId="0" fillId="0" fontId="12" numFmtId="166" xfId="0" applyAlignment="1" applyFont="1" applyNumberFormat="1">
      <alignment readingOrder="0"/>
    </xf>
    <xf borderId="0" fillId="0" fontId="12" numFmtId="166" xfId="0" applyFont="1" applyNumberFormat="1"/>
    <xf borderId="0" fillId="0" fontId="12" numFmtId="166" xfId="0" applyAlignment="1" applyFont="1" applyNumberFormat="1">
      <alignment horizontal="center"/>
    </xf>
    <xf borderId="0" fillId="0" fontId="31" numFmtId="0" xfId="0" applyAlignment="1" applyFont="1">
      <alignment horizontal="left" readingOrder="0"/>
    </xf>
    <xf borderId="0" fillId="0" fontId="31" numFmtId="166" xfId="0" applyAlignment="1" applyFont="1" applyNumberFormat="1">
      <alignment horizontal="center"/>
    </xf>
    <xf borderId="0" fillId="0" fontId="31" numFmtId="166" xfId="0" applyAlignment="1" applyFont="1" applyNumberForma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ars.com" TargetMode="External"/><Relationship Id="rId2" Type="http://schemas.openxmlformats.org/officeDocument/2006/relationships/hyperlink" Target="http://carsforsale.com/" TargetMode="External"/><Relationship Id="rId3" Type="http://schemas.openxmlformats.org/officeDocument/2006/relationships/hyperlink" Target="http://cars.com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9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0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1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2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3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4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5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6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hyperlink" Target="http://carsforsale.com/" TargetMode="External"/><Relationship Id="rId3" Type="http://schemas.openxmlformats.org/officeDocument/2006/relationships/drawing" Target="../drawings/drawing18.xml"/><Relationship Id="rId4" Type="http://schemas.openxmlformats.org/officeDocument/2006/relationships/vmlDrawing" Target="../drawings/vmlDrawing17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8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19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20.v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21.v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22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23.v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24.v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25.v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26.v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27.v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drawing" Target="../drawings/drawing29.xml"/><Relationship Id="rId3" Type="http://schemas.openxmlformats.org/officeDocument/2006/relationships/vmlDrawing" Target="../drawings/vmlDrawing28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comments" Target="../comments29.xml"/><Relationship Id="rId2" Type="http://schemas.openxmlformats.org/officeDocument/2006/relationships/drawing" Target="../drawings/drawing30.xml"/><Relationship Id="rId3" Type="http://schemas.openxmlformats.org/officeDocument/2006/relationships/vmlDrawing" Target="../drawings/vmlDrawing29.v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comments" Target="../comments30.xml"/><Relationship Id="rId2" Type="http://schemas.openxmlformats.org/officeDocument/2006/relationships/hyperlink" Target="http://cars.com" TargetMode="External"/><Relationship Id="rId3" Type="http://schemas.openxmlformats.org/officeDocument/2006/relationships/drawing" Target="../drawings/drawing31.xml"/><Relationship Id="rId4" Type="http://schemas.openxmlformats.org/officeDocument/2006/relationships/vmlDrawing" Target="../drawings/vmlDrawing30.v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comments" Target="../comments31.xml"/><Relationship Id="rId2" Type="http://schemas.openxmlformats.org/officeDocument/2006/relationships/drawing" Target="../drawings/drawing32.xml"/><Relationship Id="rId3" Type="http://schemas.openxmlformats.org/officeDocument/2006/relationships/vmlDrawing" Target="../drawings/vmlDrawing31.v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hyperlink" Target="http://rep.com/" TargetMode="External"/><Relationship Id="rId2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5.13" defaultRowHeight="15.75"/>
  <cols>
    <col customWidth="1" min="1" max="1" width="31.75"/>
    <col customWidth="1" min="2" max="4" width="11.75"/>
    <col customWidth="1" min="5" max="5" width="11.63"/>
    <col customWidth="1" min="6" max="13" width="10.75"/>
    <col customWidth="1" min="14" max="14" width="18.13"/>
    <col customWidth="1" min="15" max="15" width="10.5"/>
  </cols>
  <sheetData>
    <row r="1" ht="13.5" customHeight="1">
      <c r="A1" s="1"/>
      <c r="B1" s="2" t="s">
        <v>0</v>
      </c>
      <c r="N1" s="3"/>
      <c r="O1" s="4"/>
    </row>
    <row r="2" ht="13.5" customHeight="1">
      <c r="A2" s="5"/>
      <c r="B2" s="6"/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4"/>
    </row>
    <row r="3" ht="13.5" customHeight="1">
      <c r="A3" s="8"/>
      <c r="B3" s="9" t="s">
        <v>1</v>
      </c>
      <c r="C3" s="9" t="s">
        <v>2</v>
      </c>
      <c r="D3" s="9" t="s">
        <v>3</v>
      </c>
      <c r="E3" s="9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0</v>
      </c>
      <c r="O3" s="11" t="s">
        <v>13</v>
      </c>
    </row>
    <row r="4" ht="13.5" customHeight="1">
      <c r="A4" s="12" t="s">
        <v>14</v>
      </c>
      <c r="B4" s="13"/>
      <c r="C4" s="13"/>
      <c r="D4" s="13"/>
      <c r="E4" s="13"/>
      <c r="F4" s="14"/>
      <c r="G4" s="14"/>
      <c r="H4" s="14"/>
      <c r="I4" s="14"/>
      <c r="J4" s="14"/>
      <c r="K4" s="14"/>
      <c r="L4" s="14"/>
      <c r="M4" s="14"/>
      <c r="N4" s="14"/>
      <c r="O4" s="4"/>
    </row>
    <row r="5" ht="13.5" customHeight="1">
      <c r="A5" s="15" t="s">
        <v>15</v>
      </c>
      <c r="B5" s="16">
        <f>AS!B5+RI!B5+GA!B5+SP!B5+WR!B5+MA!B5+WA!B5+GB!B5+WM!B5+SU!B5+AX!B5+VW!B5+HY!B5+IN!B5+FR!B5+ST!B5+CH!B5+TC!B5+LX!B5+HSU!B5+HVW!B5+MZ!B5+BUGMC!B5+HD!B5+LT!B5+FBG!B5+FSU!B5+RLX!B5</f>
        <v>84000</v>
      </c>
      <c r="C5" s="16">
        <f>AS!C5+RI!C5+GA!C5+SP!C5+WR!C5+MA!C5+WA!C5+GB!C5+WM!C5+SU!C5+AX!C5+VW!C5+HY!C5+IN!C5+FR!C5+ST!C5+CH!C5+TC!C5+LX!C5+HSU!C5+HVW!C5+MZ!C5+BUGMC!C5+HD!C5+LT!C5+FBG!C5+FSU!C5+RLX!C5</f>
        <v>84000</v>
      </c>
      <c r="D5" s="16">
        <f>AS!D5+RI!D5+GA!D5+SP!D5+WR!D5+MA!D5+WA!D5+GB!D5+WM!D5+SU!D5+AX!D5+VW!D5+HY!D5+IN!D5+FR!D5+ST!D5+CH!D5+TC!D5+LX!D5+HSU!D5+HVW!D5+MZ!D5+BUGMC!D5+HD!D5+LT!D5+FBG!D5+FSU!D5+RLX!D5</f>
        <v>84000</v>
      </c>
      <c r="E5" s="16">
        <f>AS!E5+RI!E5+GA!E5+SP!E5+WR!E5+MA!E5+WA!E5+GB!E5+WM!E5+SU!E5+AX!E5+VW!E5+HY!E5+IN!E5+FR!E5+ST!E5+CH!E5+TC!E5+LX!E5+HSU!E5+HVW!E5+MZ!E5+BUGMC!E5+HD!E5+LT!E5+FBG!E5+FSU!E5+RLX!E5</f>
        <v>112853</v>
      </c>
      <c r="F5" s="16">
        <f>AS!F5+RI!F5+GA!F5+SP!F5+WR!F5+MA!F5+WA!F5+GB!F5+WM!F5+SU!F5+AX!F5+VW!F5+HY!F5+IN!F5+FR!F5+ST!F5+CH!F5+TC!F5+LX!F5+HSU!F5+HVW!F5+MZ!F5+BUGMC!F5+HD!F5+LT!F5+FBG!F5+FSU!F5+RLX!F5</f>
        <v>130243.1095</v>
      </c>
      <c r="G5" s="16">
        <f>AS!G5+RI!G5+GA!G5+SP!G5+WR!G5+MA!G5+WA!G5+GB!G5+WM!G5+SU!G5+AX!G5+VW!G5+HY!G5+IN!G5+FR!G5+ST!G5+CH!G5+TC!G5+LX!G5+HSU!G5+HVW!G5+MZ!G5+BUGMC!G5+HD!G5+LT!G5+FBG!G5+FSU!G5+RLX!G5</f>
        <v>140000</v>
      </c>
      <c r="H5" s="16">
        <f>AS!H5+RI!H5+GA!H5+SP!H5+WR!H5+MA!H5+WA!H5+GB!H5+WM!H5+SU!H5+AX!H5+VW!H5+HY!H5+IN!H5+FR!H5+ST!H5+CH!H5+TC!H5+LX!H5+HSU!H5+HVW!H5+MZ!H5+BUGMC!H5+HD!H5+LT!H5+FBG!H5+FSU!H5+RLX!H5</f>
        <v>95000</v>
      </c>
      <c r="I5" s="16">
        <f>AS!I5+RI!I5+GA!I5+SP!I5+WR!I5+MA!I5+WA!I5+GB!I5+WM!I5+SU!I5+AX!I5+VW!I5+HY!I5+IN!I5+FR!I5+ST!I5+CH!I5+TC!I5+LX!I5+HSU!I5+HVW!I5+MZ!I5+BUGMC!I5+HD!I5+LT!I5+FBG!I5+FSU!I5+RLX!I5</f>
        <v>95000</v>
      </c>
      <c r="J5" s="16">
        <f>AS!J5+RI!J5+GA!J5+SP!J5+WR!J5+MA!J5+WA!J5+GB!J5+WM!J5+SU!J5+AX!J5+VW!J5+HY!J5+IN!J5+FR!J5+ST!J5+CH!J5+TC!J5+LX!J5+HSU!J5+HVW!J5+MZ!J5+BUGMC!J5+HD!J5+LT!J5+FBG!J5+FSU!J5+RLX!J5</f>
        <v>120000</v>
      </c>
      <c r="K5" s="16">
        <f>AS!K5+RI!K5+GA!K5+SP!K5+WR!K5+MA!K5+WA!K5+GB!K5+WM!K5+SU!K5+AX!K5+VW!K5+HY!K5+IN!K5+FR!K5+ST!K5+CH!K5+TC!K5+LX!K5+HSU!K5+HVW!K5+MZ!K5+BUGMC!K5+HD!K5+LT!K5+FBG!K5+FSU!K5+RLX!K5</f>
        <v>120000</v>
      </c>
      <c r="L5" s="16">
        <f>AS!L5+RI!L5+GA!L5+SP!L5+WR!L5+MA!L5+WA!L5+GB!L5+WM!L5+SU!L5+AX!L5+VW!L5+HY!L5+IN!L5+FR!L5+ST!L5+CH!L5+TC!L5+LX!L5+HSU!L5+HVW!L5+MZ!L5+BUGMC!L5+HD!L5+LT!L5+FBG!L5+FSU!L5+RLX!L5</f>
        <v>140000</v>
      </c>
      <c r="M5" s="16">
        <f>AS!M5+RI!M5+GA!M5+SP!M5+WR!M5+MA!M5+WA!M5+GB!M5+WM!M5+SU!M5+AX!M5+VW!M5+HY!M5+IN!M5+FR!M5+ST!M5+CH!M5+TC!M5+LX!M5+HSU!M5+HVW!M5+MZ!M5+BUGMC!M5+HD!M5+LT!M5+FBG!M5+FSU!M5+RLX!M5</f>
        <v>140000</v>
      </c>
      <c r="N5" s="17">
        <f t="shared" ref="N5:N12" si="1">SUM(B5:M5)</f>
        <v>1345096.11</v>
      </c>
      <c r="O5" s="18"/>
    </row>
    <row r="6" ht="13.5" customHeight="1">
      <c r="A6" s="19" t="s">
        <v>16</v>
      </c>
      <c r="B6" s="16">
        <f>AS!B6+RI!B6+GA!B6+SP!B6+WR!B6+MA!B6+WA!B6+GB!B6+WM!B6+SU!B6+AX!B6+VW!B6+HY!B6+IN!B6+FR!B6+ST!B6+CH!B6+TC!B6+LX!B6+HSU!B6+HVW!B6+MZ!B6+BUGMC!B6+HD!B6+LT!B6+FBG!B6+FSU!B6+RLX!B6</f>
        <v>30757</v>
      </c>
      <c r="C6" s="16">
        <f>AS!C6+RI!C6+GA!C6+SP!C6+WR!C6+MA!C6+WA!C6+GB!C6+WM!C6+SU!C6+AX!C6+VW!C6+HY!C6+IN!C6+FR!C6+ST!C6+CH!C6+TC!C6+LX!C6+HSU!C6+HVW!C6+MZ!C6+BUGMC!C6+HD!C6+LT!C6+FBG!C6+FSU!C6+RLX!C6</f>
        <v>30757</v>
      </c>
      <c r="D6" s="16">
        <f>AS!D6+RI!D6+GA!D6+SP!D6+WR!D6+MA!D6+WA!D6+GB!D6+WM!D6+SU!D6+AX!D6+VW!D6+HY!D6+IN!D6+FR!D6+ST!D6+CH!D6+TC!D6+LX!D6+HSU!D6+HVW!D6+MZ!D6+BUGMC!D6+HD!D6+LT!D6+FBG!D6+FSU!D6+RLX!D6</f>
        <v>37818</v>
      </c>
      <c r="E6" s="16">
        <f>AS!E6+RI!E6+GA!E6+SP!E6+WR!E6+MA!E6+WA!E6+GB!E6+WM!E6+SU!E6+AX!E6+VW!E6+HY!E6+IN!E6+FR!E6+ST!E6+CH!E6+TC!E6+LX!E6+HSU!E6+HVW!E6+MZ!E6+BUGMC!E6+HD!E6+LT!E6+FBG!E6+FSU!E6+RLX!E6</f>
        <v>37818</v>
      </c>
      <c r="F6" s="16">
        <f>AS!F6+RI!F6+GA!F6+SP!F6+WR!F6+MA!F6+WA!F6+GB!F6+WM!F6+SU!F6+AX!F6+VW!F6+HY!F6+IN!F6+FR!F6+ST!F6+CH!F6+TC!F6+LX!F6+HSU!F6+HVW!F6+MZ!F6+BUGMC!F6+HD!F6+LT!F6+FBG!F6+FSU!F6+RLX!F6</f>
        <v>48174</v>
      </c>
      <c r="G6" s="16">
        <f>AS!G6+RI!G6+GA!G6+SP!G6+WR!G6+MA!G6+WA!G6+GB!G6+WM!G6+SU!G6+AX!G6+VW!G6+HY!G6+IN!G6+FR!G6+ST!G6+CH!G6+TC!G6+LX!G6+HSU!G6+HVW!G6+MZ!G6+BUGMC!G6+HD!G6+LT!G6+FBG!G6+FSU!G6+RLX!G6</f>
        <v>48174</v>
      </c>
      <c r="H6" s="16">
        <f>AS!H6+RI!H6+GA!H6+SP!H6+WR!H6+MA!H6+WA!H6+GB!H6+WM!H6+SU!H6+AX!H6+VW!H6+HY!H6+IN!H6+FR!H6+ST!H6+CH!H6+TC!H6+LX!H6+HSU!H6+HVW!H6+MZ!H6+BUGMC!H6+HD!H6+LT!H6+FBG!H6+FSU!H6+RLX!H6</f>
        <v>30757</v>
      </c>
      <c r="I6" s="16">
        <f>AS!I6+RI!I6+GA!I6+SP!I6+WR!I6+MA!I6+WA!I6+GB!I6+WM!I6+SU!I6+AX!I6+VW!I6+HY!I6+IN!I6+FR!I6+ST!I6+CH!I6+TC!I6+LX!I6+HSU!I6+HVW!I6+MZ!I6+BUGMC!I6+HD!I6+LT!I6+FBG!I6+FSU!I6+RLX!I6</f>
        <v>30757</v>
      </c>
      <c r="J6" s="16">
        <f>AS!J6+RI!J6+GA!J6+SP!J6+WR!J6+MA!J6+WA!J6+GB!J6+WM!J6+SU!J6+AX!J6+VW!J6+HY!J6+IN!J6+FR!J6+ST!J6+CH!J6+TC!J6+LX!J6+HSU!J6+HVW!J6+MZ!J6+BUGMC!J6+HD!J6+LT!J6+FBG!J6+FSU!J6+RLX!J6</f>
        <v>37818</v>
      </c>
      <c r="K6" s="16">
        <f>AS!K6+RI!K6+GA!K6+SP!K6+WR!K6+MA!K6+WA!K6+GB!K6+WM!K6+SU!K6+AX!K6+VW!K6+HY!K6+IN!K6+FR!K6+ST!K6+CH!K6+TC!K6+LX!K6+HSU!K6+HVW!K6+MZ!K6+BUGMC!K6+HD!K6+LT!K6+FBG!K6+FSU!K6+RLX!K6</f>
        <v>37818</v>
      </c>
      <c r="L6" s="16">
        <f>AS!L6+RI!L6+GA!L6+SP!L6+WR!L6+MA!L6+WA!L6+GB!L6+WM!L6+SU!L6+AX!L6+VW!L6+HY!L6+IN!L6+FR!L6+ST!L6+CH!L6+TC!L6+LX!L6+HSU!L6+HVW!L6+MZ!L6+BUGMC!L6+HD!L6+LT!L6+FBG!L6+FSU!L6+RLX!L6</f>
        <v>37818</v>
      </c>
      <c r="M6" s="16">
        <f>AS!M6+RI!M6+GA!M6+SP!M6+WR!M6+MA!M6+WA!M6+GB!M6+WM!M6+SU!M6+AX!M6+VW!M6+HY!M6+IN!M6+FR!M6+ST!M6+CH!M6+TC!M6+LX!M6+HSU!M6+HVW!M6+MZ!M6+BUGMC!M6+HD!M6+LT!M6+FBG!M6+FSU!M6+RLX!M6</f>
        <v>48174</v>
      </c>
      <c r="N6" s="17">
        <f t="shared" si="1"/>
        <v>456640</v>
      </c>
      <c r="O6" s="18"/>
    </row>
    <row r="7" ht="13.5" customHeight="1">
      <c r="A7" s="15" t="s">
        <v>17</v>
      </c>
      <c r="B7" s="16">
        <f>AS!B7+RI!B7+GA!B7+SP!B7+WR!B7+MA!B7+TBD!B7+WA!B7+GB!B7+WM!B7+SU!B7+AX!B7+VW!B7+HY!B7+IN!B7+FR!B7+ST!B7+CH!B7+TC!B7+LX!B7+HSU!B7+HVW!B7+MZ!B7+BUGMC!B7+HD!B7+LT!B7+FBG!B7+FSU!B7+RLX!B7</f>
        <v>68943</v>
      </c>
      <c r="C7" s="16">
        <f>AS!C7+RI!C7+GA!C7+SP!C7+WR!C7+MA!C7+TBD!C7+WA!C7+GB!C7+WM!C7+SU!C7+AX!C7+VW!C7+HY!C7+IN!C7+FR!C7+ST!C7+CH!C7+TC!C7+LX!C7+HSU!C7+HVW!C7+MZ!C7+BUGMC!C7+HD!C7+LT!C7+FBG!C7+FSU!C7+RLX!C7</f>
        <v>68943</v>
      </c>
      <c r="D7" s="16">
        <f>AS!D7+RI!D7+GA!D7+SP!D7+WR!D7+MA!D7+TBD!D7+WA!D7+GB!D7+WM!D7+SU!D7+AX!D7+VW!D7+HY!D7+IN!D7+FR!D7+ST!D7+CH!D7+TC!D7+LX!D7+HSU!D7+HVW!D7+MZ!D7+BUGMC!D7+HD!D7+LT!D7+FBG!D7+FSU!D7+RLX!D7</f>
        <v>86268</v>
      </c>
      <c r="E7" s="16">
        <f>AS!E7+RI!E7+GA!E7+SP!E7+WR!E7+MA!E7+TBD!E7+WA!E7+GB!E7+WM!E7+SU!E7+AX!E7+VW!E7+HY!E7+IN!E7+FR!E7+ST!E7+CH!E7+TC!E7+LX!E7+HSU!E7+HVW!E7+MZ!E7+BUGMC!E7+HD!E7+LT!E7+FBG!E7+FSU!E7+RLX!E7</f>
        <v>107418</v>
      </c>
      <c r="F7" s="16">
        <f>AS!F7+RI!F7+GA!F7+SP!F7+WR!F7+MA!F7+TBD!F7+WA!F7+GB!F7+WM!F7+SU!F7+AX!F7+VW!F7+HY!F7+IN!F7+FR!F7+ST!F7+CH!F7+TC!F7+LX!F7+HSU!F7+HVW!F7+MZ!F7+BUGMC!F7+HD!F7+LT!F7+FBG!F7+FSU!F7+RLX!F7</f>
        <v>137776</v>
      </c>
      <c r="G7" s="16">
        <f>AS!G7+RI!G7+GA!G7+SP!G7+WR!G7+MA!G7+TBD!G7+WA!G7+GB!G7+WM!G7+SU!G7+AX!G7+VW!G7+HY!G7+IN!G7+FR!G7+ST!G7+CH!G7+TC!G7+LX!G7+HSU!G7+HVW!G7+MZ!G7+BUGMC!G7+HD!G7+LT!G7+FBG!G7+FSU!G7+RLX!G7</f>
        <v>137776</v>
      </c>
      <c r="H7" s="16">
        <f>AS!H7+RI!H7+GA!H7+SP!H7+WR!H7+MA!H7+TBD!H7+WA!H7+GB!H7+WM!H7+SU!H7+AX!H7+VW!H7+HY!H7+IN!H7+FR!H7+ST!H7+CH!H7+TC!H7+LX!H7+HSU!H7+HVW!H7+MZ!H7+BUGMC!H7+HD!H7+LT!H7+FBG!H7+FSU!H7+RLX!H7</f>
        <v>95543</v>
      </c>
      <c r="I7" s="16">
        <f>AS!I7+RI!I7+GA!I7+SP!I7+WR!I7+MA!I7+TBD!I7+WA!I7+GB!I7+WM!I7+SU!I7+AX!I7+VW!I7+HY!I7+IN!I7+FR!I7+ST!I7+CH!I7+TC!I7+LX!I7+HSU!I7+HVW!I7+MZ!I7+BUGMC!I7+HD!I7+LT!I7+FBG!I7+FSU!I7+RLX!I7</f>
        <v>91410</v>
      </c>
      <c r="J7" s="16">
        <f>AS!J7+RI!J7+GA!J7+SP!J7+WR!J7+MA!J7+TBD!J7+WA!J7+GB!J7+WM!J7+SU!J7+AX!J7+VW!J7+HY!J7+IN!J7+FR!J7+ST!J7+CH!J7+TC!J7+LX!J7+HSU!J7+HVW!J7+MZ!J7+BUGMC!J7+HD!J7+LT!J7+FBG!J7+FSU!J7+RLX!J7</f>
        <v>101463</v>
      </c>
      <c r="K7" s="16">
        <f>AS!K7+RI!K7+GA!K7+SP!K7+WR!K7+MA!K7+TBD!K7+WA!K7+GB!K7+WM!K7+SU!K7+AX!K7+VW!K7+HY!K7+IN!K7+FR!K7+ST!K7+CH!K7+TC!K7+LX!K7+HSU!K7+HVW!K7+MZ!K7+BUGMC!K7+HD!K7+LT!K7+FBG!K7+FSU!K7+RLX!K7</f>
        <v>108963</v>
      </c>
      <c r="L7" s="16">
        <f>AS!L7+RI!L7+GA!L7+SP!L7+WR!L7+MA!L7+TBD!L7+WA!L7+GB!L7+WM!L7+SU!L7+AX!L7+VW!L7+HY!L7+IN!L7+FR!L7+ST!L7+CH!L7+TC!L7+LX!L7+HSU!L7+HVW!L7+MZ!L7+BUGMC!L7+HD!L7+LT!L7+FBG!L7+FSU!L7+RLX!L7</f>
        <v>122929</v>
      </c>
      <c r="M7" s="16">
        <f>AS!M7+RI!M7+GA!M7+SP!M7+WR!M7+MA!M7+TBD!M7+WA!M7+GB!M7+WM!M7+SU!M7+AX!M7+VW!M7+HY!M7+IN!M7+FR!M7+ST!M7+CH!M7+TC!M7+LX!M7+HSU!M7+HVW!M7+MZ!M7+BUGMC!M7+HD!M7+LT!M7+FBG!M7+FSU!M7+RLX!M7</f>
        <v>137776</v>
      </c>
      <c r="N7" s="17">
        <f t="shared" si="1"/>
        <v>1265208</v>
      </c>
      <c r="O7" s="18"/>
    </row>
    <row r="8" ht="13.5" customHeight="1">
      <c r="A8" s="15" t="s">
        <v>18</v>
      </c>
      <c r="B8" s="16">
        <f>AS!B8+RI!B8+GA!B8+RLX!B8+SP!B8+WR!B8+MA!B8+TBD!B8+WA!B8+GB!B8+WM!B8+SU!B8+AX!B8+VW!B8+HY!B8+IN!B8+FR!B8+ST!B8+CH!B8+TC!B8+LX!B8+HD!B8+LT!B8+MZ!B8+BUGMC!B8+HVW!B8+HSU!B8+LT!B8+FBG!B8+FSU!B8</f>
        <v>0</v>
      </c>
      <c r="C8" s="16">
        <f>AS!C8+RI!C8+GA!C8+RLX!C8+SP!C8+WR!C8+MA!C8+TBD!C8+WA!C8+GB!C8+WM!C8+SU!C8+AX!C8+VW!C8+HY!C8+IN!C8+FR!C8+ST!C8+CH!C8+TC!C8+LX!C8+HD!C8+LT!C8+MZ!C8+BUGMC!C8+HVW!C8+HSU!C8+LT!C8+FBG!C8+FSU!C8</f>
        <v>0</v>
      </c>
      <c r="D8" s="16">
        <f>AS!D8+RI!D8+GA!D8+RLX!D8+SP!D8+WR!D8+MA!D8+TBD!D8+WA!D8+GB!D8+WM!D8+SU!D8+AX!D8+VW!D8+HY!D8+IN!D8+FR!D8+ST!D8+CH!D8+TC!D8+LX!D8+HD!D8+LT!D8+MZ!D8+BUGMC!D8+HVW!D8+HSU!D8+LT!D8+FBG!D8+FSU!D8</f>
        <v>0</v>
      </c>
      <c r="E8" s="16">
        <f>AS!E8+RI!E8+GA!E8+RLX!E8+SP!E8+WR!E8+MA!E8+TBD!E8+WA!E8+GB!E8+WM!E8+SU!E8+AX!E8+VW!E8+HY!E8+IN!E8+FR!E8+ST!E8+CH!E8+TC!E8+LX!E8+HD!E8+LT!E8+MZ!E8+BUGMC!E8+HVW!E8+HSU!E8+LT!E8+FBG!E8+FSU!E8</f>
        <v>0</v>
      </c>
      <c r="F8" s="16">
        <f>AS!F8+RI!F8+GA!F8+RLX!F8+SP!F8+WR!F8+MA!F8+TBD!F8+WA!F8+GB!F8+WM!F8+SU!F8+AX!F8+VW!F8+HY!F8+IN!F8+FR!F8+ST!F8+CH!F8+TC!F8+LX!F8+HD!F8+LT!F8+MZ!F8+BUGMC!F8+HVW!F8+HSU!F8+LT!F8+FBG!F8+FSU!F8</f>
        <v>1000</v>
      </c>
      <c r="G8" s="16">
        <f>AS!G8+RI!G8+GA!G8+RLX!G8+SP!G8+WR!G8+MA!G8+TBD!G8+WA!G8+GB!G8+WM!G8+SU!G8+AX!G8+VW!G8+HY!G8+IN!G8+FR!G8+ST!G8+CH!G8+TC!G8+LX!G8+HD!G8+LT!G8+MZ!G8+BUGMC!G8+HVW!G8+HSU!G8+LT!G8+FBG!G8+FSU!G8</f>
        <v>1000</v>
      </c>
      <c r="H8" s="16">
        <f>AS!H8+RI!H8+GA!H8+RLX!H8+SP!H8+WR!H8+MA!H8+TBD!H8+WA!H8+GB!H8+WM!H8+SU!H8+AX!H8+VW!H8+HY!H8+IN!H8+FR!H8+ST!H8+CH!H8+TC!H8+LX!H8+HD!H8+LT!H8+MZ!H8+BUGMC!H8+HVW!H8+HSU!H8+LT!H8+FBG!H8+FSU!H8</f>
        <v>0</v>
      </c>
      <c r="I8" s="16">
        <f>AS!I8+RI!I8+GA!I8+RLX!I8+SP!I8+WR!I8+MA!I8+TBD!I8+WA!I8+GB!I8+WM!I8+SU!I8+AX!I8+VW!I8+HY!I8+IN!I8+FR!I8+ST!I8+CH!I8+TC!I8+LX!I8+HD!I8+LT!I8+MZ!I8+BUGMC!I8+HVW!I8+HSU!I8+LT!I8+FBG!I8+FSU!I8</f>
        <v>0</v>
      </c>
      <c r="J8" s="16">
        <f>AS!J8+RI!J8+GA!J8+RLX!J8+SP!J8+WR!J8+MA!J8+TBD!J8+WA!J8+GB!J8+WM!J8+SU!J8+AX!J8+VW!J8+HY!J8+IN!J8+FR!J8+ST!J8+CH!J8+TC!J8+LX!J8+HD!J8+LT!J8+MZ!J8+BUGMC!J8+HVW!J8+HSU!J8+LT!J8+FBG!J8+FSU!J8</f>
        <v>0</v>
      </c>
      <c r="K8" s="16">
        <f>AS!K8+RI!K8+GA!K8+RLX!K8+SP!K8+WR!K8+MA!K8+TBD!K8+WA!K8+GB!K8+WM!K8+SU!K8+AX!K8+VW!K8+HY!K8+IN!K8+FR!K8+ST!K8+CH!K8+TC!K8+LX!K8+HD!K8+LT!K8+MZ!K8+BUGMC!K8+HVW!K8+HSU!K8+LT!K8+FBG!K8+FSU!K8</f>
        <v>0</v>
      </c>
      <c r="L8" s="16">
        <f>AS!L8+RI!L8+GA!L8+RLX!L8+SP!L8+WR!L8+MA!L8+TBD!L8+WA!L8+GB!L8+WM!L8+SU!L8+AX!L8+VW!L8+HY!L8+IN!L8+FR!L8+ST!L8+CH!L8+TC!L8+LX!L8+HD!L8+LT!L8+MZ!L8+BUGMC!L8+HVW!L8+HSU!L8+LT!L8+FBG!L8+FSU!L8</f>
        <v>1000</v>
      </c>
      <c r="M8" s="16">
        <f>AS!M8+RI!M8+GA!M8+RLX!M8+SP!M8+WR!M8+MA!M8+TBD!M8+WA!M8+GB!M8+WM!M8+SU!M8+AX!M8+VW!M8+HY!M8+IN!M8+FR!M8+ST!M8+CH!M8+TC!M8+LX!M8+HD!M8+LT!M8+MZ!M8+BUGMC!M8+HVW!M8+HSU!M8+LT!M8+FBG!M8+FSU!M8</f>
        <v>1000</v>
      </c>
      <c r="N8" s="17">
        <f t="shared" si="1"/>
        <v>4000</v>
      </c>
      <c r="O8" s="18"/>
    </row>
    <row r="9" ht="13.5" customHeight="1">
      <c r="A9" s="20" t="s">
        <v>19</v>
      </c>
      <c r="B9" s="16">
        <f>AS!B9+RI!B9+GA!B9+SP!B9+WR!B9+MA!B9+WA!B9+GB!B9+WM!B9+SU!B9+AX!B9+VW!B9+HY!B9+IN!B9+FR!B9+ST!B9+CH!B9+TC!B9+LX!B9+HSU!B9+HVW!B9+MZ!B9+BUGMC!B9+HD!B9+LT!B9+FBG!B9+FSU!B9+RLX!B9</f>
        <v>41400</v>
      </c>
      <c r="C9" s="16">
        <f>AS!C9+RI!C9+GA!C9+SP!C9+WR!C9+MA!C9+WA!C9+GB!C9+WM!C9+SU!C9+AX!C9+VW!C9+HY!C9+IN!C9+FR!C9+ST!C9+CH!C9+TC!C9+LX!C9+HSU!C9+HVW!C9+MZ!C9+BUGMC!C9+HD!C9+LT!C9+FBG!C9+FSU!C9+RLX!C9</f>
        <v>51900</v>
      </c>
      <c r="D9" s="16">
        <f>AS!D9+RI!D9+GA!D9+SP!D9+WR!D9+MA!D9+WA!D9+GB!D9+WM!D9+SU!D9+AX!D9+VW!D9+HY!D9+IN!D9+FR!D9+ST!D9+CH!D9+TC!D9+LX!D9+HSU!D9+HVW!D9+MZ!D9+BUGMC!D9+HD!D9+LT!D9+FBG!D9+FSU!D9+RLX!D9</f>
        <v>66800</v>
      </c>
      <c r="E9" s="16">
        <f>AS!E9+RI!E9+GA!E9+SP!E9+WR!E9+MA!E9+WA!E9+GB!E9+WM!E9+SU!E9+AX!E9+VW!E9+HY!E9+IN!E9+FR!E9+ST!E9+CH!E9+TC!E9+LX!E9+HSU!E9+HVW!E9+MZ!E9+BUGMC!E9+HD!E9+LT!E9+FBG!E9+FSU!E9+RLX!E9</f>
        <v>103940</v>
      </c>
      <c r="F9" s="16">
        <f>AS!F9+RI!F9+GA!F9+SP!F9+WR!F9+MA!F9+WA!F9+GB!F9+WM!F9+SU!F9+AX!F9+VW!F9+HY!F9+IN!F9+FR!F9+ST!F9+CH!F9+TC!F9+LX!F9+HSU!F9+HVW!F9+MZ!F9+BUGMC!F9+HD!F9+LT!F9+FBG!F9+FSU!F9+RLX!F9</f>
        <v>153820</v>
      </c>
      <c r="G9" s="16">
        <f>AS!G9+RI!G9+GA!G9+SP!G9+WR!G9+MA!G9+WA!G9+GB!G9+WM!G9+SU!G9+AX!G9+VW!G9+HY!G9+IN!G9+FR!G9+ST!G9+CH!G9+TC!G9+LX!G9+HSU!G9+HVW!G9+MZ!G9+BUGMC!G9+HD!G9+LT!G9+FBG!G9+FSU!G9+RLX!G9</f>
        <v>153820</v>
      </c>
      <c r="H9" s="16">
        <f>AS!H9+RI!H9+GA!H9+SP!H9+WR!H9+MA!H9+WA!H9+GB!H9+WM!H9+SU!H9+AX!H9+VW!H9+HY!H9+IN!H9+FR!H9+ST!H9+CH!H9+TC!H9+LX!H9+HSU!H9+HVW!H9+MZ!H9+BUGMC!H9+HD!H9+LT!H9+FBG!H9+FSU!H9+RLX!H9</f>
        <v>85540</v>
      </c>
      <c r="I9" s="16">
        <f>AS!I9+RI!I9+GA!I9+SP!I9+WR!I9+MA!I9+WA!I9+GB!I9+WM!I9+SU!I9+AX!I9+VW!I9+HY!I9+IN!I9+FR!I9+ST!I9+CH!I9+TC!I9+LX!I9+HSU!I9+HVW!I9+MZ!I9+BUGMC!I9+HD!I9+LT!I9+FBG!I9+FSU!I9+RLX!I9</f>
        <v>85540</v>
      </c>
      <c r="J9" s="16">
        <f>AS!J9+RI!J9+GA!J9+SP!J9+WR!J9+MA!J9+WA!J9+GB!J9+WM!J9+SU!J9+AX!J9+VW!J9+HY!J9+IN!J9+FR!J9+ST!J9+CH!J9+TC!J9+LX!J9+HSU!J9+HVW!J9+MZ!J9+BUGMC!J9+HD!J9+LT!J9+FBG!J9+FSU!J9+RLX!J9</f>
        <v>122540</v>
      </c>
      <c r="K9" s="16">
        <f>AS!K9+RI!K9+GA!K9+SP!K9+WR!K9+MA!K9+WA!K9+GB!K9+WM!K9+SU!K9+AX!K9+VW!K9+HY!K9+IN!K9+FR!K9+ST!K9+CH!K9+TC!K9+LX!K9+HSU!K9+HVW!K9+MZ!K9+BUGMC!K9+HD!K9+LT!K9+FBG!K9+FSU!K9+RLX!K9</f>
        <v>120040</v>
      </c>
      <c r="L9" s="16">
        <f>AS!L9+RI!L9+GA!L9+SP!L9+WR!L9+MA!L9+WA!L9+GB!L9+WM!L9+SU!L9+AX!L9+VW!L9+HY!L9+IN!L9+FR!L9+ST!L9+CH!L9+TC!L9+LX!L9+HSU!L9+HVW!L9+MZ!L9+BUGMC!L9+HD!L9+LT!L9+FBG!L9+FSU!L9+RLX!L9</f>
        <v>144640</v>
      </c>
      <c r="M9" s="16">
        <f>AS!M9+RI!M9+GA!M9+SP!M9+WR!M9+MA!M9+WA!M9+GB!M9+WM!M9+SU!M9+AX!M9+VW!M9+HY!M9+IN!M9+FR!M9+ST!M9+CH!M9+TC!M9+LX!M9+HSU!M9+HVW!M9+MZ!M9+BUGMC!M9+HD!M9+LT!M9+FBG!M9+FSU!M9+RLX!M9</f>
        <v>153820</v>
      </c>
      <c r="N9" s="17">
        <f t="shared" si="1"/>
        <v>1283800</v>
      </c>
      <c r="O9" s="18"/>
    </row>
    <row r="10" ht="13.5" customHeight="1">
      <c r="A10" s="20" t="s">
        <v>20</v>
      </c>
      <c r="B10" s="16">
        <f>AS!B10+RI!B10+GA!B10+SP!B10+WR!B10+MA!B10+WA!B10+GB!B10+WM!B10+SU!B10+AX!B10+VW!B10+HY!B10+IN!B10+FR!B10+ST!B10+CH!B10+TC!B10+LX!B10+HSU!B10+HVW!B10+MZ!B10+BUGMC!B10+HD!B10+LT!B10+FBG!B10+FSU!B10+RLX!B10</f>
        <v>32225</v>
      </c>
      <c r="C10" s="16">
        <f>AS!C10+RI!C10+GA!C10+SP!C10+WR!C10+MA!C10+WA!C10+GB!C10+WM!C10+SU!C10+AX!C10+VW!C10+HY!C10+IN!C10+FR!C10+ST!C10+CH!C10+TC!C10+LX!C10+HSU!C10+HVW!C10+MZ!C10+BUGMC!C10+HD!C10+LT!C10+FBG!C10+FSU!C10+RLX!C10</f>
        <v>23613</v>
      </c>
      <c r="D10" s="16">
        <f>AS!D10+RI!D10+GA!D10+SP!D10+WR!D10+MA!D10+WA!D10+GB!D10+WM!D10+SU!D10+AX!D10+VW!D10+HY!D10+IN!D10+FR!D10+ST!D10+CH!D10+TC!D10+LX!D10+HSU!D10+HVW!D10+MZ!D10+BUGMC!D10+HD!D10+LT!D10+FBG!D10+FSU!D10+RLX!D10</f>
        <v>34176</v>
      </c>
      <c r="E10" s="16">
        <f>AS!E10+RI!E10+GA!E10+SP!E10+WR!E10+MA!E10+WA!E10+GB!E10+WM!E10+SU!E10+AX!E10+VW!E10+HY!E10+IN!E10+FR!E10+ST!E10+CH!E10+TC!E10+LX!E10+HSU!E10+HVW!E10+MZ!E10+BUGMC!E10+HD!E10+LT!E10+FBG!E10+FSU!E10+RLX!E10</f>
        <v>30750</v>
      </c>
      <c r="F10" s="16">
        <f>AS!F10+RI!F10+GA!F10+SP!F10+WR!F10+MA!F10+WA!F10+GB!F10+WM!F10+SU!F10+AX!F10+VW!F10+HY!F10+IN!F10+FR!F10+ST!F10+CH!F10+TC!F10+LX!F10+HSU!F10+HVW!F10+MZ!F10+BUGMC!F10+HD!F10+LT!F10+FBG!F10+FSU!F10+RLX!F10</f>
        <v>0</v>
      </c>
      <c r="G10" s="16">
        <f>AS!G10+RI!G10+GA!G10+SP!G10+WR!G10+MA!G10+WA!G10+GB!G10+WM!G10+SU!G10+AX!G10+VW!G10+HY!G10+IN!G10+FR!G10+ST!G10+CH!G10+TC!G10+LX!G10+HSU!G10+HVW!G10+MZ!G10+BUGMC!G10+HD!G10+LT!G10+FBG!G10+FSU!G10+RLX!G10</f>
        <v>0</v>
      </c>
      <c r="H10" s="16">
        <f>AS!H10+RI!H10+GA!H10+SP!H10+WR!H10+MA!H10+WA!H10+GB!H10+WM!H10+SU!H10+AX!H10+VW!H10+HY!H10+IN!H10+FR!H10+ST!H10+CH!H10+TC!H10+LX!H10+HSU!H10+HVW!H10+MZ!H10+BUGMC!H10+HD!H10+LT!H10+FBG!H10+FSU!H10+RLX!H10</f>
        <v>0</v>
      </c>
      <c r="I10" s="16">
        <f>AS!I10+RI!I10+GA!I10+SP!I10+WR!I10+MA!I10+WA!I10+GB!I10+WM!I10+SU!I10+AX!I10+VW!I10+HY!I10+IN!I10+FR!I10+ST!I10+CH!I10+TC!I10+LX!I10+HSU!I10+HVW!I10+MZ!I10+BUGMC!I10+HD!I10+LT!I10+FBG!I10+FSU!I10+RLX!I10</f>
        <v>0</v>
      </c>
      <c r="J10" s="16">
        <f>AS!J10+RI!J10+GA!J10+SP!J10+WR!J10+MA!J10+WA!J10+GB!J10+WM!J10+SU!J10+AX!J10+VW!J10+HY!J10+IN!J10+FR!J10+ST!J10+CH!J10+TC!J10+LX!J10+HSU!J10+HVW!J10+MZ!J10+BUGMC!J10+HD!J10+LT!J10+FBG!J10+FSU!J10+RLX!J10</f>
        <v>605</v>
      </c>
      <c r="K10" s="16">
        <f>AS!K10+RI!K10+GA!K10+SP!K10+WR!K10+MA!K10+WA!K10+GB!K10+WM!K10+SU!K10+AX!K10+VW!K10+HY!K10+IN!K10+FR!K10+ST!K10+CH!K10+TC!K10+LX!K10+HSU!K10+HVW!K10+MZ!K10+BUGMC!K10+HD!K10+LT!K10+FBG!K10+FSU!K10+RLX!K10</f>
        <v>28000</v>
      </c>
      <c r="L10" s="16">
        <f>AS!L10+RI!L10+GA!L10+SP!L10+WR!L10+MA!L10+WA!L10+GB!L10+WM!L10+SU!L10+AX!L10+VW!L10+HY!L10+IN!L10+FR!L10+ST!L10+CH!L10+TC!L10+LX!L10+HSU!L10+HVW!L10+MZ!L10+BUGMC!L10+HD!L10+LT!L10+FBG!L10+FSU!L10+RLX!L10</f>
        <v>28000</v>
      </c>
      <c r="M10" s="16">
        <f>AS!M10+RI!M10+GA!M10+SP!M10+WR!M10+MA!M10+WA!M10+GB!M10+WM!M10+SU!M10+AX!M10+VW!M10+HY!M10+IN!M10+FR!M10+ST!M10+CH!M10+TC!M10+LX!M10+HSU!M10+HVW!M10+MZ!M10+BUGMC!M10+HD!M10+LT!M10+FBG!M10+FSU!M10+RLX!M10</f>
        <v>28000</v>
      </c>
      <c r="N10" s="17">
        <f t="shared" si="1"/>
        <v>205369</v>
      </c>
      <c r="O10" s="18"/>
    </row>
    <row r="11" ht="13.5" customHeight="1">
      <c r="A11" s="15" t="s">
        <v>21</v>
      </c>
      <c r="B11" s="16">
        <f>AS!B11+RI!B11+GA!B11+RLX!B11+SP!B11+WR!B11+MA!B11+TBD!B11+WA!B11+GB!B11+WM!B11+SU!B11+AX!B11+VW!B11+HY!B11+IN!B11+FR!B11+ST!B11+CH!B11+TC!B11+LX!B11+HSU!B11+HVW!B11+MZ!B11+BUGMC!B11+HD!B11+LT!B11+FBG!B11+FSU!B11</f>
        <v>7372</v>
      </c>
      <c r="C11" s="16">
        <f>AS!C11+RI!C11+GA!C11+RLX!C11+SP!C11+WR!C11+MA!C11+TBD!C11+WA!C11+GB!C11+WM!C11+SU!C11+AX!C11+VW!C11+HY!C11+IN!C11+FR!C11+ST!C11+CH!C11+TC!C11+LX!C11+HSU!C11+HVW!C11+MZ!C11+BUGMC!C11+HD!C11+LT!C11+FBG!C11+FSU!C11</f>
        <v>8848.72</v>
      </c>
      <c r="D11" s="16">
        <f>AS!D11+RI!D11+GA!D11+RLX!D11+SP!D11+WR!D11+MA!D11+TBD!D11+WA!D11+GB!D11+WM!D11+SU!D11+AX!D11+VW!D11+HY!D11+IN!D11+FR!D11+ST!D11+CH!D11+TC!D11+LX!D11+HSU!D11+HVW!D11+MZ!D11+BUGMC!D11+HD!D11+LT!D11+FBG!D11+FSU!D11</f>
        <v>7760</v>
      </c>
      <c r="E11" s="16">
        <f>AS!E11+RI!E11+GA!E11+RLX!E11+SP!E11+WR!E11+MA!E11+TBD!E11+WA!E11+GB!E11+WM!E11+SU!E11+AX!E11+VW!E11+HY!E11+IN!E11+FR!E11+ST!E11+CH!E11+TC!E11+LX!E11+HSU!E11+HVW!E11+MZ!E11+BUGMC!E11+HD!E11+LT!E11+FBG!E11+FSU!E11</f>
        <v>7760</v>
      </c>
      <c r="F11" s="16">
        <f>AS!F11+RI!F11+GA!F11+RLX!F11+SP!F11+WR!F11+MA!F11+TBD!F11+WA!F11+GB!F11+WM!F11+SU!F11+AX!F11+VW!F11+HY!F11+IN!F11+FR!F11+ST!F11+CH!F11+TC!F11+LX!F11+HSU!F11+HVW!F11+MZ!F11+BUGMC!F11+HD!F11+LT!F11+FBG!F11+FSU!F11</f>
        <v>7760</v>
      </c>
      <c r="G11" s="16">
        <f>AS!G11+RI!G11+GA!G11+RLX!G11+SP!G11+WR!G11+MA!G11+TBD!G11+WA!G11+GB!G11+WM!G11+SU!G11+AX!G11+VW!G11+HY!G11+IN!G11+FR!G11+ST!G11+CH!G11+TC!G11+LX!G11+HSU!G11+HVW!G11+MZ!G11+BUGMC!G11+HD!G11+LT!G11+FBG!G11+FSU!G11</f>
        <v>7760</v>
      </c>
      <c r="H11" s="16">
        <f>AS!H11+RI!H11+GA!H11+RLX!H11+SP!H11+WR!H11+MA!H11+TBD!H11+WA!H11+GB!H11+WM!H11+SU!H11+AX!H11+VW!H11+HY!H11+IN!H11+FR!H11+ST!H11+CH!H11+TC!H11+LX!H11+HSU!H11+HVW!H11+MZ!H11+BUGMC!H11+HD!H11+LT!H11+FBG!H11+FSU!H11</f>
        <v>7760</v>
      </c>
      <c r="I11" s="16">
        <f>AS!I11+RI!I11+GA!I11+RLX!I11+SP!I11+WR!I11+MA!I11+TBD!I11+WA!I11+GB!I11+WM!I11+SU!I11+AX!I11+VW!I11+HY!I11+IN!I11+FR!I11+ST!I11+CH!I11+TC!I11+LX!I11+HSU!I11+HVW!I11+MZ!I11+BUGMC!I11+HD!I11+LT!I11+FBG!I11+FSU!I11</f>
        <v>7760</v>
      </c>
      <c r="J11" s="16">
        <f>AS!J11+RI!J11+GA!J11+RLX!J11+SP!J11+WR!J11+MA!J11+TBD!J11+WA!J11+GB!J11+WM!J11+SU!J11+AX!J11+VW!J11+HY!J11+IN!J11+FR!J11+ST!J11+CH!J11+TC!J11+LX!J11+HSU!J11+HVW!J11+MZ!J11+BUGMC!J11+HD!J11+LT!J11+FBG!J11+FSU!J11</f>
        <v>7760</v>
      </c>
      <c r="K11" s="16">
        <f>AS!K11+RI!K11+GA!K11+RLX!K11+SP!K11+WR!K11+MA!K11+TBD!K11+WA!K11+GB!K11+WM!K11+SU!K11+AX!K11+VW!K11+HY!K11+IN!K11+FR!K11+ST!K11+CH!K11+TC!K11+LX!K11+HSU!K11+HVW!K11+MZ!K11+BUGMC!K11+HD!K11+LT!K11+FBG!K11+FSU!K11</f>
        <v>7760</v>
      </c>
      <c r="L11" s="16">
        <f>AS!L11+RI!L11+GA!L11+RLX!L11+SP!L11+WR!L11+MA!L11+TBD!L11+WA!L11+GB!L11+WM!L11+SU!L11+AX!L11+VW!L11+HY!L11+IN!L11+FR!L11+ST!L11+CH!L11+TC!L11+LX!L11+HSU!L11+HVW!L11+MZ!L11+BUGMC!L11+HD!L11+LT!L11+FBG!L11+FSU!L11</f>
        <v>7760</v>
      </c>
      <c r="M11" s="16">
        <f>AS!M11+RI!M11+GA!M11+RLX!M11+SP!M11+WR!M11+MA!M11+TBD!M11+WA!M11+GB!M11+WM!M11+SU!M11+AX!M11+VW!M11+HY!M11+IN!M11+FR!M11+ST!M11+CH!M11+TC!M11+LX!M11+HSU!M11+HVW!M11+MZ!M11+BUGMC!M11+HD!M11+LT!M11+FBG!M11+FSU!M11</f>
        <v>7760</v>
      </c>
      <c r="N11" s="17">
        <f t="shared" si="1"/>
        <v>93820.72</v>
      </c>
      <c r="O11" s="18"/>
    </row>
    <row r="12" ht="13.5" customHeight="1">
      <c r="A12" s="19" t="s">
        <v>22</v>
      </c>
      <c r="B12" s="16">
        <f>AS!B12+RI!B12+GA!B12+RLX!B12+SP!B12+WR!B12+MA!B12+TBD!B12+WA!B12+GB!B12+WM!B12+SU!B12+AX!B12+VW!B12+HY!B12+IN!B12+FR!B12+ST!B12+CH!B12+TC!B12+LX!B12+HSU!B12+HVW!B12+MZ!B12+BUGMC!B12+HD!B12+LT!B12+FBG!B12+FSU!B12</f>
        <v>12400</v>
      </c>
      <c r="C12" s="16">
        <f>AS!C12+RI!C12+GA!C12+RLX!C12+SP!C12+WR!C12+MA!C12+TBD!C12+WA!C12+GB!C12+WM!C12+SU!C12+AX!C12+VW!C12+HY!C12+IN!C12+FR!C12+ST!C12+CH!C12+TC!C12+LX!C12+HSU!C12+HVW!C12+MZ!C12+BUGMC!C12+HD!C12+LT!C12+FBG!C12+FSU!C12</f>
        <v>29890.3</v>
      </c>
      <c r="D12" s="16">
        <f>AS!D12+RI!D12+GA!D12+RLX!D12+SP!D12+WR!D12+MA!D12+TBD!D12+WA!D12+GB!D12+WM!D12+SU!D12+AX!D12+VW!D12+HY!D12+IN!D12+FR!D12+ST!D12+CH!D12+TC!D12+LX!D12+HSU!D12+HVW!D12+MZ!D12+BUGMC!D12+HD!D12+LT!D12+FBG!D12+FSU!D12</f>
        <v>29890.3</v>
      </c>
      <c r="E12" s="16">
        <f>AS!E12+RI!E12+GA!E12+RLX!E12+SP!E12+WR!E12+MA!E12+TBD!E12+WA!E12+GB!E12+WM!E12+SU!E12+AX!E12+VW!E12+HY!E12+IN!E12+FR!E12+ST!E12+CH!E12+TC!E12+LX!E12+HSU!E12+HVW!E12+MZ!E12+BUGMC!E12+HD!E12+LT!E12+FBG!E12+FSU!E12</f>
        <v>29890.3</v>
      </c>
      <c r="F12" s="16">
        <f>AS!F12+RI!F12+GA!F12+RLX!F12+SP!F12+WR!F12+MA!F12+TBD!F12+WA!F12+GB!F12+WM!F12+SU!F12+AX!F12+VW!F12+HY!F12+IN!F12+FR!F12+ST!F12+CH!F12+TC!F12+LX!F12+HSU!F12+HVW!F12+MZ!F12+BUGMC!F12+HD!F12+LT!F12+FBG!F12+FSU!F12</f>
        <v>29890.3</v>
      </c>
      <c r="G12" s="16">
        <f>AS!G12+RI!G12+GA!G12+RLX!G12+SP!G12+WR!G12+MA!G12+TBD!G12+WA!G12+GB!G12+WM!G12+SU!G12+AX!G12+VW!G12+HY!G12+IN!G12+FR!G12+ST!G12+CH!G12+TC!G12+LX!G12+HSU!G12+HVW!G12+MZ!G12+BUGMC!G12+HD!G12+LT!G12+FBG!G12+FSU!G12</f>
        <v>29890.3</v>
      </c>
      <c r="H12" s="16">
        <f>AS!H12+RI!H12+GA!H12+RLX!H12+SP!H12+WR!H12+MA!H12+TBD!H12+WA!H12+GB!H12+WM!H12+SU!H12+AX!H12+VW!H12+HY!H12+IN!H12+FR!H12+ST!H12+CH!H12+TC!H12+LX!H12+HSU!H12+HVW!H12+MZ!H12+BUGMC!H12+HD!H12+LT!H12+FBG!H12+FSU!H12</f>
        <v>29890.3</v>
      </c>
      <c r="I12" s="16">
        <f>AS!I12+RI!I12+GA!I12+RLX!I12+SP!I12+WR!I12+MA!I12+TBD!I12+WA!I12+GB!I12+WM!I12+SU!I12+AX!I12+VW!I12+HY!I12+IN!I12+FR!I12+ST!I12+CH!I12+TC!I12+LX!I12+HSU!I12+HVW!I12+MZ!I12+BUGMC!I12+HD!I12+LT!I12+FBG!I12+FSU!I12</f>
        <v>29890.3</v>
      </c>
      <c r="J12" s="16">
        <f>AS!J12+RI!J12+GA!J12+RLX!J12+SP!J12+WR!J12+MA!J12+TBD!J12+WA!J12+GB!J12+WM!J12+SU!J12+AX!J12+VW!J12+HY!J12+IN!J12+FR!J12+ST!J12+CH!J12+TC!J12+LX!J12+HSU!J12+HVW!J12+MZ!J12+BUGMC!J12+HD!J12+LT!J12+FBG!J12+FSU!J12</f>
        <v>29890.3</v>
      </c>
      <c r="K12" s="16">
        <f>AS!K12+RI!K12+GA!K12+RLX!K12+SP!K12+WR!K12+MA!K12+TBD!K12+WA!K12+GB!K12+WM!K12+SU!K12+AX!K12+VW!K12+HY!K12+IN!K12+FR!K12+ST!K12+CH!K12+TC!K12+LX!K12+HSU!K12+HVW!K12+MZ!K12+BUGMC!K12+HD!K12+LT!K12+FBG!K12+FSU!K12</f>
        <v>29890.3</v>
      </c>
      <c r="L12" s="16">
        <f>AS!L12+RI!L12+GA!L12+RLX!L12+SP!L12+WR!L12+MA!L12+TBD!L12+WA!L12+GB!L12+WM!L12+SU!L12+AX!L12+VW!L12+HY!L12+IN!L12+FR!L12+ST!L12+CH!L12+TC!L12+LX!L12+HSU!L12+HVW!L12+MZ!L12+BUGMC!L12+HD!L12+LT!L12+FBG!L12+FSU!L12</f>
        <v>29890.3</v>
      </c>
      <c r="M12" s="16">
        <f>AS!M12+RI!M12+GA!M12+RLX!M12+SP!M12+WR!M12+MA!M12+TBD!M12+WA!M12+GB!M12+WM!M12+SU!M12+AX!M12+VW!M12+HY!M12+IN!M12+FR!M12+ST!M12+CH!M12+TC!M12+LX!M12+HSU!M12+HVW!M12+MZ!M12+BUGMC!M12+HD!M12+LT!M12+FBG!M12+FSU!M12</f>
        <v>29890.3</v>
      </c>
      <c r="N12" s="17">
        <f t="shared" si="1"/>
        <v>341193.3</v>
      </c>
      <c r="O12" s="18"/>
    </row>
    <row r="13" ht="13.5" customHeight="1">
      <c r="A13" s="21" t="s">
        <v>23</v>
      </c>
      <c r="B13" s="22">
        <f t="shared" ref="B13:N13" si="2">SUM(B5:B12)</f>
        <v>277097</v>
      </c>
      <c r="C13" s="22">
        <f t="shared" si="2"/>
        <v>297952.02</v>
      </c>
      <c r="D13" s="22">
        <f t="shared" si="2"/>
        <v>346712.3</v>
      </c>
      <c r="E13" s="22">
        <f t="shared" si="2"/>
        <v>430429.3</v>
      </c>
      <c r="F13" s="22">
        <f t="shared" si="2"/>
        <v>508663.4095</v>
      </c>
      <c r="G13" s="22">
        <f t="shared" si="2"/>
        <v>518420.3</v>
      </c>
      <c r="H13" s="22">
        <f t="shared" si="2"/>
        <v>344490.3</v>
      </c>
      <c r="I13" s="22">
        <f t="shared" si="2"/>
        <v>340357.3</v>
      </c>
      <c r="J13" s="22">
        <f t="shared" si="2"/>
        <v>420076.3</v>
      </c>
      <c r="K13" s="22">
        <f t="shared" si="2"/>
        <v>452471.3</v>
      </c>
      <c r="L13" s="22">
        <f t="shared" si="2"/>
        <v>512037.3</v>
      </c>
      <c r="M13" s="22">
        <f t="shared" si="2"/>
        <v>546420.3</v>
      </c>
      <c r="N13" s="22">
        <f t="shared" si="2"/>
        <v>4995127.13</v>
      </c>
      <c r="O13" s="18" t="str">
        <f>(N13/N109)</f>
        <v>#REF!</v>
      </c>
    </row>
    <row r="14" ht="13.5" customHeight="1">
      <c r="A14" s="23" t="s">
        <v>24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14"/>
      <c r="O14" s="18"/>
    </row>
    <row r="15" ht="13.5" customHeight="1">
      <c r="A15" s="25" t="s">
        <v>25</v>
      </c>
      <c r="B15" s="16">
        <f>AS!B15+RI!B15+GA!B15+RLX!B15+SP!B15+WR!B15+MA!B15+TBD!B15+WA!B15+GB!B15+WM!B15+SU!B15+AX!B15+VW!B15+HY!B15+IN!B15+FR!B15+ST!B15+CH!B15+TC!B15+LX!B15+HSU!B15+HVW!B15+MZ!B15+BUGMC!B15+HD!B15+LT!B15+FBG!B15+FSU!B15</f>
        <v>0</v>
      </c>
      <c r="C15" s="16">
        <f>AS!C15+RI!C15+GA!C15+RLX!C15+SP!C15+WR!C15+MA!C15+TBD!C15+WA!C15+GB!C15+WM!C15+SU!C15+AX!C15+VW!C15+HY!C15+IN!C15+FR!C15+ST!C15+CH!C15+TC!C15+LX!C15+HSU!C15+HVW!C15+MZ!C15+BUGMC!C15+HD!C15+LT!C15+FBG!C15+FSU!C15</f>
        <v>0</v>
      </c>
      <c r="D15" s="16">
        <f>AS!D15+RI!D15+GA!D15+RLX!D15+SP!D15+WR!D15+MA!D15+TBD!D15+WA!D15+GB!D15+WM!D15+SU!D15+AX!D15+VW!D15+HY!D15+IN!D15+FR!D15+ST!D15+CH!D15+TC!D15+LX!D15+HSU!D15+HVW!D15+MZ!D15+BUGMC!D15+HD!D15+LT!D15+FBG!D15+FSU!D15</f>
        <v>0</v>
      </c>
      <c r="E15" s="16">
        <f>AS!E15+RI!E15+GA!E15+RLX!E15+SP!E15+WR!E15+MA!E15+TBD!E15+WA!E15+GB!E15+WM!E15+SU!E15+AX!E15+VW!E15+HY!E15+IN!E15+FR!E15+ST!E15+CH!E15+TC!E15+LX!E15+HSU!E15+HVW!E15+MZ!E15+BUGMC!E15+HD!E15+LT!E15+FBG!E15+FSU!E15</f>
        <v>0</v>
      </c>
      <c r="F15" s="16">
        <f>AS!F15+RI!F15+GA!F15+RLX!F15+SP!F15+WR!F15+MA!F15+TBD!F15+WA!F15+GB!F15+WM!F15+SU!F15+AX!F15+VW!F15+HY!F15+IN!F15+FR!F15+ST!F15+CH!F15+TC!F15+LX!F15+HSU!F15+HVW!F15+MZ!F15+BUGMC!F15+HD!F15+LT!F15+FBG!F15+FSU!F15</f>
        <v>0</v>
      </c>
      <c r="G15" s="16">
        <f>AS!G15+RI!G15+GA!G15+RLX!G15+SP!G15+WR!G15+MA!G15+TBD!G15+WA!G15+GB!G15+WM!G15+SU!G15+AX!G15+VW!G15+HY!G15+IN!G15+FR!G15+ST!G15+CH!G15+TC!G15+LX!G15+HSU!G15+HVW!G15+MZ!G15+BUGMC!G15+HD!G15+LT!G15+FBG!G15+FSU!G15</f>
        <v>0</v>
      </c>
      <c r="H15" s="16">
        <f>AS!H15+RI!H15+GA!H15+RLX!H15+SP!H15+WR!H15+MA!H15+TBD!H15+WA!H15+GB!H15+WM!H15+SU!H15+AX!H15+VW!H15+HY!H15+IN!H15+FR!H15+ST!H15+CH!H15+TC!H15+LX!H15+HSU!H15+HVW!H15+MZ!H15+BUGMC!H15+HD!H15+LT!H15+FBG!H15+FSU!H15</f>
        <v>0</v>
      </c>
      <c r="I15" s="16">
        <f>AS!I15+RI!I15+GA!I15+RLX!I15+SP!I15+WR!I15+MA!I15+TBD!I15+WA!I15+GB!I15+WM!I15+SU!I15+AX!I15+VW!I15+HY!I15+IN!I15+FR!I15+ST!I15+CH!I15+TC!I15+LX!I15+HSU!I15+HVW!I15+MZ!I15+BUGMC!I15+HD!I15+LT!I15+FBG!I15+FSU!I15</f>
        <v>0</v>
      </c>
      <c r="J15" s="16">
        <f>AS!J15+RI!J15+GA!J15+RLX!J15+SP!J15+WR!J15+MA!J15+TBD!J15+WA!J15+GB!J15+WM!J15+SU!J15+AX!J15+VW!J15+HY!J15+IN!J15+FR!J15+ST!J15+CH!J15+TC!J15+LX!J15+HSU!J15+HVW!J15+MZ!J15+BUGMC!J15+HD!J15+LT!J15+FBG!J15+FSU!J15</f>
        <v>0</v>
      </c>
      <c r="K15" s="16">
        <f>AS!K15+RI!K15+GA!K15+RLX!K15+SP!K15+WR!K15+MA!K15+TBD!K15+WA!K15+GB!K15+WM!K15+SU!K15+AX!K15+VW!K15+HY!K15+IN!K15+FR!K15+ST!K15+CH!K15+TC!K15+LX!K15+HSU!K15+HVW!K15+MZ!K15+BUGMC!K15+HD!K15+LT!K15+FBG!K15+FSU!K15</f>
        <v>0</v>
      </c>
      <c r="L15" s="16">
        <f>AS!L15+RI!L15+GA!L15+RLX!L15+SP!L15+WR!L15+MA!L15+TBD!L15+WA!L15+GB!L15+WM!L15+SU!L15+AX!L15+VW!L15+HY!L15+IN!L15+FR!L15+ST!L15+CH!L15+TC!L15+LX!L15+HSU!L15+HVW!L15+MZ!L15+BUGMC!L15+HD!L15+LT!L15+FBG!L15+FSU!L15</f>
        <v>0</v>
      </c>
      <c r="M15" s="16">
        <f>AS!M15+RI!M15+GA!M15+RLX!M15+SP!M15+WR!M15+MA!M15+TBD!M15+WA!M15+GB!M15+WM!M15+SU!M15+AX!M15+VW!M15+HY!M15+IN!M15+FR!M15+ST!M15+CH!M15+TC!M15+LX!M15+HSU!M15+HVW!M15+MZ!M15+BUGMC!M15+HD!M15+LT!M15+FBG!M15+FSU!M15</f>
        <v>0</v>
      </c>
      <c r="N15" s="17">
        <f t="shared" ref="N15:N20" si="3">SUM(B15:M15)</f>
        <v>0</v>
      </c>
      <c r="O15" s="18"/>
    </row>
    <row r="16" ht="13.5" customHeight="1">
      <c r="A16" s="26" t="s">
        <v>26</v>
      </c>
      <c r="B16" s="16">
        <f>AS!B16+RI!B16+GA!B16+RLX!B16+SP!B16+WR!B16+MA!B16+TBD!B16+WA!B16+GB!B16+WM!B16+SU!B16+AX!B16+VW!B16+HY!B16+IN!B16+FR!B16+ST!B16+CH!B16+TC!B16+LX!B16+HSU!B16+HVW!B16+MZ!B16+BUGMC!B16+HD!B16+LT!B16+FBG!B16+FSU!B16</f>
        <v>425</v>
      </c>
      <c r="C16" s="16">
        <f>AS!C16+RI!C16+GA!C16+RLX!C16+SP!C16+WR!C16+MA!C16+TBD!C16+WA!C16+GB!C16+WM!C16+SU!C16+AX!C16+VW!C16+HY!C16+IN!C16+FR!C16+ST!C16+CH!C16+TC!C16+LX!C16+HSU!C16+HVW!C16+MZ!C16+BUGMC!C16+HD!C16+LT!C16+FBG!C16+FSU!C16</f>
        <v>425</v>
      </c>
      <c r="D16" s="16">
        <f>AS!D16+RI!D16+GA!D16+RLX!D16+SP!D16+WR!D16+MA!D16+TBD!D16+WA!D16+GB!D16+WM!D16+SU!D16+AX!D16+VW!D16+HY!D16+IN!D16+FR!D16+ST!D16+CH!D16+TC!D16+LX!D16+HSU!D16+HVW!D16+MZ!D16+BUGMC!D16+HD!D16+LT!D16+FBG!D16+FSU!D16</f>
        <v>425</v>
      </c>
      <c r="E16" s="16">
        <f>AS!E16+RI!E16+GA!E16+RLX!E16+SP!E16+WR!E16+MA!E16+TBD!E16+WA!E16+GB!E16+WM!E16+SU!E16+AX!E16+VW!E16+HY!E16+IN!E16+FR!E16+ST!E16+CH!E16+TC!E16+LX!E16+HSU!E16+HVW!E16+MZ!E16+BUGMC!E16+HD!E16+LT!E16+FBG!E16+FSU!E16</f>
        <v>425</v>
      </c>
      <c r="F16" s="16">
        <f>AS!F16+RI!F16+GA!F16+RLX!F16+SP!F16+WR!F16+MA!F16+TBD!F16+WA!F16+GB!F16+WM!F16+SU!F16+AX!F16+VW!F16+HY!F16+IN!F16+FR!F16+ST!F16+CH!F16+TC!F16+LX!F16+HSU!F16+HVW!F16+MZ!F16+BUGMC!F16+HD!F16+LT!F16+FBG!F16+FSU!F16</f>
        <v>425</v>
      </c>
      <c r="G16" s="16">
        <f>AS!G16+RI!G16+GA!G16+RLX!G16+SP!G16+WR!G16+MA!G16+TBD!G16+WA!G16+GB!G16+WM!G16+SU!G16+AX!G16+VW!G16+HY!G16+IN!G16+FR!G16+ST!G16+CH!G16+TC!G16+LX!G16+HSU!G16+HVW!G16+MZ!G16+BUGMC!G16+HD!G16+LT!G16+FBG!G16+FSU!G16</f>
        <v>425</v>
      </c>
      <c r="H16" s="16">
        <f>AS!H16+RI!H16+GA!H16+RLX!H16+SP!H16+WR!H16+MA!H16+TBD!H16+WA!H16+GB!H16+WM!H16+SU!H16+AX!H16+VW!H16+HY!H16+IN!H16+FR!H16+ST!H16+CH!H16+TC!H16+LX!H16+HSU!H16+HVW!H16+MZ!H16+BUGMC!H16+HD!H16+LT!H16+FBG!H16+FSU!H16</f>
        <v>425</v>
      </c>
      <c r="I16" s="16">
        <f>AS!I16+RI!I16+GA!I16+RLX!I16+SP!I16+WR!I16+MA!I16+TBD!I16+WA!I16+GB!I16+WM!I16+SU!I16+AX!I16+VW!I16+HY!I16+IN!I16+FR!I16+ST!I16+CH!I16+TC!I16+LX!I16+HSU!I16+HVW!I16+MZ!I16+BUGMC!I16+HD!I16+LT!I16+FBG!I16+FSU!I16</f>
        <v>425</v>
      </c>
      <c r="J16" s="16">
        <f>AS!J16+RI!J16+GA!J16+RLX!J16+SP!J16+WR!J16+MA!J16+TBD!J16+WA!J16+GB!J16+WM!J16+SU!J16+AX!J16+VW!J16+HY!J16+IN!J16+FR!J16+ST!J16+CH!J16+TC!J16+LX!J16+HSU!J16+HVW!J16+MZ!J16+BUGMC!J16+HD!J16+LT!J16+FBG!J16+FSU!J16</f>
        <v>425</v>
      </c>
      <c r="K16" s="16">
        <f>AS!K16+RI!K16+GA!K16+RLX!K16+SP!K16+WR!K16+MA!K16+TBD!K16+WA!K16+GB!K16+WM!K16+SU!K16+AX!K16+VW!K16+HY!K16+IN!K16+FR!K16+ST!K16+CH!K16+TC!K16+LX!K16+HSU!K16+HVW!K16+MZ!K16+BUGMC!K16+HD!K16+LT!K16+FBG!K16+FSU!K16</f>
        <v>425</v>
      </c>
      <c r="L16" s="16">
        <f>AS!L16+RI!L16+GA!L16+RLX!L16+SP!L16+WR!L16+MA!L16+TBD!L16+WA!L16+GB!L16+WM!L16+SU!L16+AX!L16+VW!L16+HY!L16+IN!L16+FR!L16+ST!L16+CH!L16+TC!L16+LX!L16+HSU!L16+HVW!L16+MZ!L16+BUGMC!L16+HD!L16+LT!L16+FBG!L16+FSU!L16</f>
        <v>425</v>
      </c>
      <c r="M16" s="16">
        <f>AS!M16+RI!M16+GA!M16+RLX!M16+SP!M16+WR!M16+MA!M16+TBD!M16+WA!M16+GB!M16+WM!M16+SU!M16+AX!M16+VW!M16+HY!M16+IN!M16+FR!M16+ST!M16+CH!M16+TC!M16+LX!M16+HSU!M16+HVW!M16+MZ!M16+BUGMC!M16+HD!M16+LT!M16+FBG!M16+FSU!M16</f>
        <v>425</v>
      </c>
      <c r="N16" s="17">
        <f t="shared" si="3"/>
        <v>5100</v>
      </c>
      <c r="O16" s="18"/>
    </row>
    <row r="17" ht="13.5" customHeight="1">
      <c r="A17" s="27" t="s">
        <v>27</v>
      </c>
      <c r="B17" s="16">
        <f>AS!B17+RI!B17+GA!B17+RLX!B17+SP!B17+WR!B17+MA!B17+TBD!B17+WA!B17+GB!B17+WM!B17+SU!B17+AX!B17+VW!B17+HY!B17+IN!B17+FR!B17+ST!B17+CH!B17+TC!B17+LX!B17+HSU!B17+HVW!B17+MZ!B17+BUGMC!B17+HD!B17+LT!B17+FBG!B17+FSU!B17</f>
        <v>0</v>
      </c>
      <c r="C17" s="16">
        <f>AS!C17+RI!C17+GA!C17+RLX!C17+SP!C17+WR!C17+MA!C17+TBD!C17+WA!C17+GB!C17+WM!C17+SU!C17+AX!C17+VW!C17+HY!C17+IN!C17+FR!C17+ST!C17+CH!C17+TC!C17+LX!C17+HSU!C17+HVW!C17+MZ!C17+BUGMC!C17+HD!C17+LT!C17+FBG!C17+FSU!C17</f>
        <v>0</v>
      </c>
      <c r="D17" s="16">
        <f>AS!D17+RI!D17+GA!D17+RLX!D17+SP!D17+WR!D17+MA!D17+TBD!D17+WA!D17+GB!D17+WM!D17+SU!D17+AX!D17+VW!D17+HY!D17+IN!D17+FR!D17+ST!D17+CH!D17+TC!D17+LX!D17+HSU!D17+HVW!D17+MZ!D17+BUGMC!D17+HD!D17+LT!D17+FBG!D17+FSU!D17</f>
        <v>0</v>
      </c>
      <c r="E17" s="16">
        <f>AS!E17+RI!E17+GA!E17+RLX!E17+SP!E17+WR!E17+MA!E17+TBD!E17+WA!E17+GB!E17+WM!E17+SU!E17+AX!E17+VW!E17+HY!E17+IN!E17+FR!E17+ST!E17+CH!E17+TC!E17+LX!E17+HSU!E17+HVW!E17+MZ!E17+BUGMC!E17+HD!E17+LT!E17+FBG!E17+FSU!E17</f>
        <v>0</v>
      </c>
      <c r="F17" s="16">
        <f>AS!F17+RI!F17+GA!F17+RLX!F17+SP!F17+WR!F17+MA!F17+TBD!F17+WA!F17+GB!F17+WM!F17+SU!F17+AX!F17+VW!F17+HY!F17+IN!F17+FR!F17+ST!F17+CH!F17+TC!F17+LX!F17+HSU!F17+HVW!F17+MZ!F17+BUGMC!F17+HD!F17+LT!F17+FBG!F17+FSU!F17</f>
        <v>0</v>
      </c>
      <c r="G17" s="16">
        <f>AS!G17+RI!G17+GA!G17+RLX!G17+SP!G17+WR!G17+MA!G17+TBD!G17+WA!G17+GB!G17+WM!G17+SU!G17+AX!G17+VW!G17+HY!G17+IN!G17+FR!G17+ST!G17+CH!G17+TC!G17+LX!G17+HSU!G17+HVW!G17+MZ!G17+BUGMC!G17+HD!G17+LT!G17+FBG!G17+FSU!G17</f>
        <v>0</v>
      </c>
      <c r="H17" s="16">
        <f>AS!H17+RI!H17+GA!H17+RLX!H17+SP!H17+WR!H17+MA!H17+TBD!H17+WA!H17+GB!H17+WM!H17+SU!H17+AX!H17+VW!H17+HY!H17+IN!H17+FR!H17+ST!H17+CH!H17+TC!H17+LX!H17+HSU!H17+HVW!H17+MZ!H17+BUGMC!H17+HD!H17+LT!H17+FBG!H17+FSU!H17</f>
        <v>0</v>
      </c>
      <c r="I17" s="16">
        <f>AS!I17+RI!I17+GA!I17+RLX!I17+SP!I17+WR!I17+MA!I17+TBD!I17+WA!I17+GB!I17+WM!I17+SU!I17+AX!I17+VW!I17+HY!I17+IN!I17+FR!I17+ST!I17+CH!I17+TC!I17+LX!I17+HSU!I17+HVW!I17+MZ!I17+BUGMC!I17+HD!I17+LT!I17+FBG!I17+FSU!I17</f>
        <v>0</v>
      </c>
      <c r="J17" s="16">
        <f>AS!J17+RI!J17+GA!J17+RLX!J17+SP!J17+WR!J17+MA!J17+TBD!J17+WA!J17+GB!J17+WM!J17+SU!J17+AX!J17+VW!J17+HY!J17+IN!J17+FR!J17+ST!J17+CH!J17+TC!J17+LX!J17+HSU!J17+HVW!J17+MZ!J17+BUGMC!J17+HD!J17+LT!J17+FBG!J17+FSU!J17</f>
        <v>0</v>
      </c>
      <c r="K17" s="16">
        <f>AS!K17+RI!K17+GA!K17+RLX!K17+SP!K17+WR!K17+MA!K17+TBD!K17+WA!K17+GB!K17+WM!K17+SU!K17+AX!K17+VW!K17+HY!K17+IN!K17+FR!K17+ST!K17+CH!K17+TC!K17+LX!K17+HSU!K17+HVW!K17+MZ!K17+BUGMC!K17+HD!K17+LT!K17+FBG!K17+FSU!K17</f>
        <v>0</v>
      </c>
      <c r="L17" s="16">
        <f>AS!L17+RI!L17+GA!L17+RLX!L17+SP!L17+WR!L17+MA!L17+TBD!L17+WA!L17+GB!L17+WM!L17+SU!L17+AX!L17+VW!L17+HY!L17+IN!L17+FR!L17+ST!L17+CH!L17+TC!L17+LX!L17+HSU!L17+HVW!L17+MZ!L17+BUGMC!L17+HD!L17+LT!L17+FBG!L17+FSU!L17</f>
        <v>0</v>
      </c>
      <c r="M17" s="16">
        <f>AS!M17+RI!M17+GA!M17+RLX!M17+SP!M17+WR!M17+MA!M17+TBD!M17+WA!M17+GB!M17+WM!M17+SU!M17+AX!M17+VW!M17+HY!M17+IN!M17+FR!M17+ST!M17+CH!M17+TC!M17+LX!M17+HSU!M17+HVW!M17+MZ!M17+BUGMC!M17+HD!M17+LT!M17+FBG!M17+FSU!M17</f>
        <v>0</v>
      </c>
      <c r="N17" s="17">
        <f t="shared" si="3"/>
        <v>0</v>
      </c>
      <c r="O17" s="18"/>
    </row>
    <row r="18" ht="13.5" customHeight="1">
      <c r="A18" s="27" t="s">
        <v>28</v>
      </c>
      <c r="B18" s="16">
        <f>AS!B18+RI!B18+GA!B18+RLX!B18+SP!B18+WR!B18+MA!B18+TBD!B18+WA!B18+GB!B18+WM!B18+SU!B18+AX!B18+VW!B18+HY!B18+IN!B18+FR!B18+ST!B18+CH!B18+TC!B18+LX!B18+HSU!B18+HVW!B18+MZ!B18+BUGMC!B18+HD!B18+LT!B18+FBG!B18+FSU!B18</f>
        <v>0</v>
      </c>
      <c r="C18" s="16">
        <f>AS!C18+RI!C18+GA!C18+RLX!C18+SP!C18+WR!C18+MA!C18+TBD!C18+WA!C18+GB!C18+WM!C18+SU!C18+AX!C18+VW!C18+HY!C18+IN!C18+FR!C18+ST!C18+CH!C18+TC!C18+LX!C18+HSU!C18+HVW!C18+MZ!C18+BUGMC!C18+HD!C18+LT!C18+FBG!C18+FSU!C18</f>
        <v>0</v>
      </c>
      <c r="D18" s="16">
        <f>AS!D18+RI!D18+GA!D18+RLX!D18+SP!D18+WR!D18+MA!D18+TBD!D18+WA!D18+GB!D18+WM!D18+SU!D18+AX!D18+VW!D18+HY!D18+IN!D18+FR!D18+ST!D18+CH!D18+TC!D18+LX!D18+HSU!D18+HVW!D18+MZ!D18+BUGMC!D18+HD!D18+LT!D18+FBG!D18+FSU!D18</f>
        <v>0</v>
      </c>
      <c r="E18" s="16">
        <f>AS!E18+RI!E18+GA!E18+RLX!E18+SP!E18+WR!E18+MA!E18+TBD!E18+WA!E18+GB!E18+WM!E18+SU!E18+AX!E18+VW!E18+HY!E18+IN!E18+FR!E18+ST!E18+CH!E18+TC!E18+LX!E18+HSU!E18+HVW!E18+MZ!E18+BUGMC!E18+HD!E18+LT!E18+FBG!E18+FSU!E18</f>
        <v>0</v>
      </c>
      <c r="F18" s="16">
        <f>AS!F18+RI!F18+GA!F18+RLX!F18+SP!F18+WR!F18+MA!F18+TBD!F18+WA!F18+GB!F18+WM!F18+SU!F18+AX!F18+VW!F18+HY!F18+IN!F18+FR!F18+ST!F18+CH!F18+TC!F18+LX!F18+HSU!F18+HVW!F18+MZ!F18+BUGMC!F18+HD!F18+LT!F18+FBG!F18+FSU!F18</f>
        <v>0</v>
      </c>
      <c r="G18" s="16">
        <f>AS!G18+RI!G18+GA!G18+RLX!G18+SP!G18+WR!G18+MA!G18+TBD!G18+WA!G18+GB!G18+WM!G18+SU!G18+AX!G18+VW!G18+HY!G18+IN!G18+FR!G18+ST!G18+CH!G18+TC!G18+LX!G18+HSU!G18+HVW!G18+MZ!G18+BUGMC!G18+HD!G18+LT!G18+FBG!G18+FSU!G18</f>
        <v>0</v>
      </c>
      <c r="H18" s="16">
        <f>AS!H18+RI!H18+GA!H18+RLX!H18+SP!H18+WR!H18+MA!H18+TBD!H18+WA!H18+GB!H18+WM!H18+SU!H18+AX!H18+VW!H18+HY!H18+IN!H18+FR!H18+ST!H18+CH!H18+TC!H18+LX!H18+HSU!H18+HVW!H18+MZ!H18+BUGMC!H18+HD!H18+LT!H18+FBG!H18+FSU!H18</f>
        <v>0</v>
      </c>
      <c r="I18" s="16">
        <f>AS!I18+RI!I18+GA!I18+RLX!I18+SP!I18+WR!I18+MA!I18+TBD!I18+WA!I18+GB!I18+WM!I18+SU!I18+AX!I18+VW!I18+HY!I18+IN!I18+FR!I18+ST!I18+CH!I18+TC!I18+LX!I18+HSU!I18+HVW!I18+MZ!I18+BUGMC!I18+HD!I18+LT!I18+FBG!I18+FSU!I18</f>
        <v>0</v>
      </c>
      <c r="J18" s="16">
        <f>AS!J18+RI!J18+GA!J18+RLX!J18+SP!J18+WR!J18+MA!J18+TBD!J18+WA!J18+GB!J18+WM!J18+SU!J18+AX!J18+VW!J18+HY!J18+IN!J18+FR!J18+ST!J18+CH!J18+TC!J18+LX!J18+HSU!J18+HVW!J18+MZ!J18+BUGMC!J18+HD!J18+LT!J18+FBG!J18+FSU!J18</f>
        <v>0</v>
      </c>
      <c r="K18" s="16">
        <f>AS!K18+RI!K18+GA!K18+RLX!K18+SP!K18+WR!K18+MA!K18+TBD!K18+WA!K18+GB!K18+WM!K18+SU!K18+AX!K18+VW!K18+HY!K18+IN!K18+FR!K18+ST!K18+CH!K18+TC!K18+LX!K18+HSU!K18+HVW!K18+MZ!K18+BUGMC!K18+HD!K18+LT!K18+FBG!K18+FSU!K18</f>
        <v>0</v>
      </c>
      <c r="L18" s="16">
        <f>AS!L18+RI!L18+GA!L18+RLX!L18+SP!L18+WR!L18+MA!L18+TBD!L18+WA!L18+GB!L18+WM!L18+SU!L18+AX!L18+VW!L18+HY!L18+IN!L18+FR!L18+ST!L18+CH!L18+TC!L18+LX!L18+HSU!L18+HVW!L18+MZ!L18+BUGMC!L18+HD!L18+LT!L18+FBG!L18+FSU!L18</f>
        <v>0</v>
      </c>
      <c r="M18" s="16">
        <f>AS!M18+RI!M18+GA!M18+RLX!M18+SP!M18+WR!M18+MA!M18+TBD!M18+WA!M18+GB!M18+WM!M18+SU!M18+AX!M18+VW!M18+HY!M18+IN!M18+FR!M18+ST!M18+CH!M18+TC!M18+LX!M18+HSU!M18+HVW!M18+MZ!M18+BUGMC!M18+HD!M18+LT!M18+FBG!M18+FSU!M18</f>
        <v>0</v>
      </c>
      <c r="N18" s="17">
        <f t="shared" si="3"/>
        <v>0</v>
      </c>
      <c r="O18" s="18"/>
    </row>
    <row r="19" ht="13.5" customHeight="1">
      <c r="A19" s="27" t="s">
        <v>29</v>
      </c>
      <c r="B19" s="16">
        <f>AS!B19+RI!B19+GA!B19+RLX!B19+SP!B19+WR!B19+MA!B19+TBD!B19+WA!B19+GB!B19+WM!B19+SU!B19+AX!B19+VW!B19+HY!B19+IN!B19+FR!B19+ST!B19+CH!B19+TC!B19+LX!B19+HSU!B19+HVW!B19+MZ!B19+BUGMC!B19+HD!B19+LT!B19+FBG!B19+FSU!B19</f>
        <v>0</v>
      </c>
      <c r="C19" s="16">
        <f>AS!C19+RI!C19+GA!C19+RLX!C19+SP!C19+WR!C19+MA!C19+TBD!C19+WA!C19+GB!C19+WM!C19+SU!C19+AX!C19+VW!C19+HY!C19+IN!C19+FR!C19+ST!C19+CH!C19+TC!C19+LX!C19+HSU!C19+HVW!C19+MZ!C19+BUGMC!C19+HD!C19+LT!C19+FBG!C19+FSU!C19</f>
        <v>0</v>
      </c>
      <c r="D19" s="16">
        <f>AS!D19+RI!D19+GA!D19+RLX!D19+SP!D19+WR!D19+MA!D19+TBD!D19+WA!D19+GB!D19+WM!D19+SU!D19+AX!D19+VW!D19+HY!D19+IN!D19+FR!D19+ST!D19+CH!D19+TC!D19+LX!D19+HSU!D19+HVW!D19+MZ!D19+BUGMC!D19+HD!D19+LT!D19+FBG!D19+FSU!D19</f>
        <v>0</v>
      </c>
      <c r="E19" s="16">
        <f>AS!E19+RI!E19+GA!E19+RLX!E19+SP!E19+WR!E19+MA!E19+TBD!E19+WA!E19+GB!E19+WM!E19+SU!E19+AX!E19+VW!E19+HY!E19+IN!E19+FR!E19+ST!E19+CH!E19+TC!E19+LX!E19+HSU!E19+HVW!E19+MZ!E19+BUGMC!E19+HD!E19+LT!E19+FBG!E19+FSU!E19</f>
        <v>0</v>
      </c>
      <c r="F19" s="16">
        <f>AS!F19+RI!F19+GA!F19+RLX!F19+SP!F19+WR!F19+MA!F19+TBD!F19+WA!F19+GB!F19+WM!F19+SU!F19+AX!F19+VW!F19+HY!F19+IN!F19+FR!F19+ST!F19+CH!F19+TC!F19+LX!F19+HSU!F19+HVW!F19+MZ!F19+BUGMC!F19+HD!F19+LT!F19+FBG!F19+FSU!F19</f>
        <v>0</v>
      </c>
      <c r="G19" s="16">
        <f>AS!G19+RI!G19+GA!G19+RLX!G19+SP!G19+WR!G19+MA!G19+TBD!G19+WA!G19+GB!G19+WM!G19+SU!G19+AX!G19+VW!G19+HY!G19+IN!G19+FR!G19+ST!G19+CH!G19+TC!G19+LX!G19+HSU!G19+HVW!G19+MZ!G19+BUGMC!G19+HD!G19+LT!G19+FBG!G19+FSU!G19</f>
        <v>0</v>
      </c>
      <c r="H19" s="16">
        <f>AS!H19+RI!H19+GA!H19+RLX!H19+SP!H19+WR!H19+MA!H19+TBD!H19+WA!H19+GB!H19+WM!H19+SU!H19+AX!H19+VW!H19+HY!H19+IN!H19+FR!H19+ST!H19+CH!H19+TC!H19+LX!H19+HSU!H19+HVW!H19+MZ!H19+BUGMC!H19+HD!H19+LT!H19+FBG!H19+FSU!H19</f>
        <v>0</v>
      </c>
      <c r="I19" s="16">
        <f>AS!I19+RI!I19+GA!I19+RLX!I19+SP!I19+WR!I19+MA!I19+TBD!I19+WA!I19+GB!I19+WM!I19+SU!I19+AX!I19+VW!I19+HY!I19+IN!I19+FR!I19+ST!I19+CH!I19+TC!I19+LX!I19+HSU!I19+HVW!I19+MZ!I19+BUGMC!I19+HD!I19+LT!I19+FBG!I19+FSU!I19</f>
        <v>0</v>
      </c>
      <c r="J19" s="16">
        <f>AS!J19+RI!J19+GA!J19+RLX!J19+SP!J19+WR!J19+MA!J19+TBD!J19+WA!J19+GB!J19+WM!J19+SU!J19+AX!J19+VW!J19+HY!J19+IN!J19+FR!J19+ST!J19+CH!J19+TC!J19+LX!J19+HSU!J19+HVW!J19+MZ!J19+BUGMC!J19+HD!J19+LT!J19+FBG!J19+FSU!J19</f>
        <v>0</v>
      </c>
      <c r="K19" s="16">
        <f>AS!K19+RI!K19+GA!K19+RLX!K19+SP!K19+WR!K19+MA!K19+TBD!K19+WA!K19+GB!K19+WM!K19+SU!K19+AX!K19+VW!K19+HY!K19+IN!K19+FR!K19+ST!K19+CH!K19+TC!K19+LX!K19+HSU!K19+HVW!K19+MZ!K19+BUGMC!K19+HD!K19+LT!K19+FBG!K19+FSU!K19</f>
        <v>0</v>
      </c>
      <c r="L19" s="16">
        <f>AS!L19+RI!L19+GA!L19+RLX!L19+SP!L19+WR!L19+MA!L19+TBD!L19+WA!L19+GB!L19+WM!L19+SU!L19+AX!L19+VW!L19+HY!L19+IN!L19+FR!L19+ST!L19+CH!L19+TC!L19+LX!L19+HSU!L19+HVW!L19+MZ!L19+BUGMC!L19+HD!L19+LT!L19+FBG!L19+FSU!L19</f>
        <v>0</v>
      </c>
      <c r="M19" s="16">
        <f>AS!M19+RI!M19+GA!M19+RLX!M19+SP!M19+WR!M19+MA!M19+TBD!M19+WA!M19+GB!M19+WM!M19+SU!M19+AX!M19+VW!M19+HY!M19+IN!M19+FR!M19+ST!M19+CH!M19+TC!M19+LX!M19+HSU!M19+HVW!M19+MZ!M19+BUGMC!M19+HD!M19+LT!M19+FBG!M19+FSU!M19</f>
        <v>0</v>
      </c>
      <c r="N19" s="17">
        <f t="shared" si="3"/>
        <v>0</v>
      </c>
      <c r="O19" s="18"/>
    </row>
    <row r="20" ht="13.5" customHeight="1">
      <c r="A20" s="26"/>
      <c r="B20" s="16">
        <f>AS!B20+RI!B20+GA!B20+RLX!B20+SP!B20+WR!B20+MA!B20+TBD!B20+WA!B20+GB!B20+WM!B20+SU!B20+AX!B20+VW!B20+HY!B20+IN!B20+FR!B20+ST!B20+CH!B20+TC!B20+LX!B20+HSU!B20+HVW!B20+MZ!B20+BUGMC!B20+HD!B20+LT!B20+FBG!B20+FSU!B20</f>
        <v>0</v>
      </c>
      <c r="C20" s="16">
        <f>AS!C20+RI!C20+GA!C20+RLX!C20+SP!C20+WR!C20+MA!C20+TBD!C20+WA!C20+GB!C20+WM!C20+SU!C20+AX!C20+VW!C20+HY!C20+IN!C20+FR!C20+ST!C20+CH!C20+TC!C20+LX!C20+HSU!C20+HVW!C20+MZ!C20+BUGMC!C20+HD!C20+LT!C20+FBG!C20+FSU!C20</f>
        <v>0</v>
      </c>
      <c r="D20" s="16">
        <f>AS!D20+RI!D20+GA!D20+RLX!D20+SP!D20+WR!D20+MA!D20+TBD!D20+WA!D20+GB!D20+WM!D20+SU!D20+AX!D20+VW!D20+HY!D20+IN!D20+FR!D20+ST!D20+CH!D20+TC!D20+LX!D20+HSU!D20+HVW!D20+MZ!D20+BUGMC!D20+HD!D20+LT!D20+FBG!D20+FSU!D20</f>
        <v>0</v>
      </c>
      <c r="E20" s="16">
        <f>AS!E20+RI!E20+GA!E20+RLX!E20+SP!E20+WR!E20+MA!E20+TBD!E20+WA!E20+GB!E20+WM!E20+SU!E20+AX!E20+VW!E20+HY!E20+IN!E20+FR!E20+ST!E20+CH!E20+TC!E20+LX!E20+HSU!E20+HVW!E20+MZ!E20+BUGMC!E20+HD!E20+LT!E20+FBG!E20+FSU!E20</f>
        <v>0</v>
      </c>
      <c r="F20" s="16">
        <f>AS!F20+RI!F20+GA!F20+RLX!F20+SP!F20+WR!F20+MA!F20+TBD!F20+WA!F20+GB!F20+WM!F20+SU!F20+AX!F20+VW!F20+HY!F20+IN!F20+FR!F20+ST!F20+CH!F20+TC!F20+LX!F20+HSU!F20+HVW!F20+MZ!F20+BUGMC!F20+HD!F20+LT!F20+FBG!F20+FSU!F20</f>
        <v>0</v>
      </c>
      <c r="G20" s="16">
        <f>AS!G20+RI!G20+GA!G20+RLX!G20+SP!G20+WR!G20+MA!G20+TBD!G20+WA!G20+GB!G20+WM!G20+SU!G20+AX!G20+VW!G20+HY!G20+IN!G20+FR!G20+ST!G20+CH!G20+TC!G20+LX!G20+HSU!G20+HVW!G20+MZ!G20+BUGMC!G20+HD!G20+LT!G20+FBG!G20+FSU!G20</f>
        <v>0</v>
      </c>
      <c r="H20" s="16">
        <f>AS!H20+RI!H20+GA!H20+RLX!H20+SP!H20+WR!H20+MA!H20+TBD!H20+WA!H20+GB!H20+WM!H20+SU!H20+AX!H20+VW!H20+HY!H20+IN!H20+FR!H20+ST!H20+CH!H20+TC!H20+LX!H20+HSU!H20+HVW!H20+MZ!H20+BUGMC!H20+HD!H20+LT!H20+FBG!H20+FSU!H20</f>
        <v>0</v>
      </c>
      <c r="I20" s="16">
        <f>AS!I20+RI!I20+GA!I20+RLX!I20+SP!I20+WR!I20+MA!I20+TBD!I20+WA!I20+GB!I20+WM!I20+SU!I20+AX!I20+VW!I20+HY!I20+IN!I20+FR!I20+ST!I20+CH!I20+TC!I20+LX!I20+HSU!I20+HVW!I20+MZ!I20+BUGMC!I20+HD!I20+LT!I20+FBG!I20+FSU!I20</f>
        <v>0</v>
      </c>
      <c r="J20" s="16">
        <f>AS!J20+RI!J20+GA!J20+RLX!J20+SP!J20+WR!J20+MA!J20+TBD!J20+WA!J20+GB!J20+WM!J20+SU!J20+AX!J20+VW!J20+HY!J20+IN!J20+FR!J20+ST!J20+CH!J20+TC!J20+LX!J20+HSU!J20+HVW!J20+MZ!J20+BUGMC!J20+HD!J20+LT!J20+FBG!J20+FSU!J20</f>
        <v>0</v>
      </c>
      <c r="K20" s="16">
        <f>AS!K20+RI!K20+GA!K20+RLX!K20+SP!K20+WR!K20+MA!K20+TBD!K20+WA!K20+GB!K20+WM!K20+SU!K20+AX!K20+VW!K20+HY!K20+IN!K20+FR!K20+ST!K20+CH!K20+TC!K20+LX!K20+HSU!K20+HVW!K20+MZ!K20+BUGMC!K20+HD!K20+LT!K20+FBG!K20+FSU!K20</f>
        <v>0</v>
      </c>
      <c r="L20" s="16">
        <f>AS!L20+RI!L20+GA!L20+RLX!L20+SP!L20+WR!L20+MA!L20+TBD!L20+WA!L20+GB!L20+WM!L20+SU!L20+AX!L20+VW!L20+HY!L20+IN!L20+FR!L20+ST!L20+CH!L20+TC!L20+LX!L20+HSU!L20+HVW!L20+MZ!L20+BUGMC!L20+HD!L20+LT!L20+FBG!L20+FSU!L20</f>
        <v>0</v>
      </c>
      <c r="M20" s="16">
        <f>AS!M20+RI!M20+GA!M20+RLX!M20+SP!M20+WR!M20+MA!M20+TBD!M20+WA!M20+GB!M20+WM!M20+SU!M20+AX!M20+VW!M20+HY!M20+IN!M20+FR!M20+ST!M20+CH!M20+TC!M20+LX!M20+HSU!M20+HVW!M20+MZ!M20+BUGMC!M20+HD!M20+LT!M20+FBG!M20+FSU!M20</f>
        <v>0</v>
      </c>
      <c r="N20" s="17">
        <f t="shared" si="3"/>
        <v>0</v>
      </c>
      <c r="O20" s="18"/>
    </row>
    <row r="21" ht="13.5" customHeight="1">
      <c r="A21" s="21" t="s">
        <v>23</v>
      </c>
      <c r="B21" s="22">
        <f t="shared" ref="B21:N21" si="4">SUM(B15:B20)</f>
        <v>425</v>
      </c>
      <c r="C21" s="22">
        <f t="shared" si="4"/>
        <v>425</v>
      </c>
      <c r="D21" s="22">
        <f t="shared" si="4"/>
        <v>425</v>
      </c>
      <c r="E21" s="22">
        <f t="shared" si="4"/>
        <v>425</v>
      </c>
      <c r="F21" s="22">
        <f t="shared" si="4"/>
        <v>425</v>
      </c>
      <c r="G21" s="22">
        <f t="shared" si="4"/>
        <v>425</v>
      </c>
      <c r="H21" s="22">
        <f t="shared" si="4"/>
        <v>425</v>
      </c>
      <c r="I21" s="22">
        <f t="shared" si="4"/>
        <v>425</v>
      </c>
      <c r="J21" s="22">
        <f t="shared" si="4"/>
        <v>425</v>
      </c>
      <c r="K21" s="22">
        <f t="shared" si="4"/>
        <v>425</v>
      </c>
      <c r="L21" s="22">
        <f t="shared" si="4"/>
        <v>425</v>
      </c>
      <c r="M21" s="22">
        <f t="shared" si="4"/>
        <v>425</v>
      </c>
      <c r="N21" s="28">
        <f t="shared" si="4"/>
        <v>5100</v>
      </c>
      <c r="O21" s="29" t="str">
        <f>(N21/N109)</f>
        <v>#REF!</v>
      </c>
    </row>
    <row r="22" ht="13.5" customHeight="1">
      <c r="A22" s="30" t="s">
        <v>30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14"/>
      <c r="O22" s="18"/>
    </row>
    <row r="23" ht="13.5" customHeight="1">
      <c r="A23" s="26" t="s">
        <v>31</v>
      </c>
      <c r="B23" s="16">
        <f>AS!B23+RI!B23+GA!B23+RLX!B23+SP!B23+WR!B23+MA!B23+TBD!B23+WA!B23+GB!B23+WM!B23+SU!B23+AX!B23+VW!B23+HY!B23+IN!B23+FR!B23+ST!B23+CH!B23+TC!B23+LX!B23+HSU!B23+HVW!B23+MZ!B23+BUGMC!B23+HD!B23+LT!B23+FBG!B23+FSU!B23</f>
        <v>8250</v>
      </c>
      <c r="C23" s="16">
        <f>AS!C23+RI!C23+GA!C23+RLX!C23+SP!C23+WR!C23+MA!C23+TBD!C23+WA!C23+GB!C23+WM!C23+SU!C23+AX!C23+VW!C23+HY!C23+IN!C23+FR!C23+ST!C23+CH!C23+TC!C23+LX!C23+HSU!C23+HVW!C23+MZ!C23+BUGMC!C23+HD!C23+LT!C23+FBG!C23+FSU!C23</f>
        <v>16500</v>
      </c>
      <c r="D23" s="16">
        <f>AS!D23+RI!D23+GA!D23+RLX!D23+SP!D23+WR!D23+MA!D23+TBD!D23+WA!D23+GB!D23+WM!D23+SU!D23+AX!D23+VW!D23+HY!D23+IN!D23+FR!D23+ST!D23+CH!D23+TC!D23+LX!D23+HSU!D23+HVW!D23+MZ!D23+BUGMC!D23+HD!D23+LT!D23+FBG!D23+FSU!D23</f>
        <v>111444.25</v>
      </c>
      <c r="E23" s="16">
        <f>AS!E23+RI!E23+GA!E23+RLX!E23+SP!E23+WR!E23+MA!E23+TBD!E23+WA!E23+GB!E23+WM!E23+SU!E23+AX!E23+VW!E23+HY!E23+IN!E23+FR!E23+ST!E23+CH!E23+TC!E23+LX!E23+HSU!E23+HVW!E23+MZ!E23+BUGMC!E23+HD!E23+LT!E23+FBG!E23+FSU!E23</f>
        <v>8250</v>
      </c>
      <c r="F23" s="16">
        <f>AS!F23+RI!F23+GA!F23+RLX!F23+SP!F23+WR!F23+MA!F23+TBD!F23+WA!F23+GB!F23+WM!F23+SU!F23+AX!F23+VW!F23+HY!F23+IN!F23+FR!F23+ST!F23+CH!F23+TC!F23+LX!F23+HSU!F23+HVW!F23+MZ!F23+BUGMC!F23+HD!F23+LT!F23+FBG!F23+FSU!F23</f>
        <v>51750</v>
      </c>
      <c r="G23" s="16">
        <f>AS!G23+RI!G23+GA!G23+RLX!G23+SP!G23+WR!G23+MA!G23+TBD!G23+WA!G23+GB!G23+WM!G23+SU!G23+AX!G23+VW!G23+HY!G23+IN!G23+FR!G23+ST!G23+CH!G23+TC!G23+LX!G23+HSU!G23+HVW!G23+MZ!G23+BUGMC!G23+HD!G23+LT!G23+FBG!G23+FSU!G23</f>
        <v>8250</v>
      </c>
      <c r="H23" s="16">
        <f>AS!H23+RI!H23+GA!H23+RLX!H23+SP!H23+WR!H23+MA!H23+TBD!H23+WA!H23+GB!H23+WM!H23+SU!H23+AX!H23+VW!H23+HY!H23+IN!H23+FR!H23+ST!H23+CH!H23+TC!H23+LX!H23+HSU!H23+HVW!H23+MZ!H23+BUGMC!H23+HD!H23+LT!H23+FBG!H23+FSU!H23</f>
        <v>8250</v>
      </c>
      <c r="I23" s="16">
        <f>AS!I23+RI!I23+GA!I23+RLX!I23+SP!I23+WR!I23+MA!I23+TBD!I23+WA!I23+GB!I23+WM!I23+SU!I23+AX!I23+VW!I23+HY!I23+IN!I23+FR!I23+ST!I23+CH!I23+TC!I23+LX!I23+HSU!I23+HVW!I23+MZ!I23+BUGMC!I23+HD!I23+LT!I23+FBG!I23+FSU!I23</f>
        <v>39750</v>
      </c>
      <c r="J23" s="16">
        <f>AS!J23+RI!J23+GA!J23+RLX!J23+SP!J23+WR!J23+MA!J23+TBD!J23+WA!J23+GB!J23+WM!J23+SU!J23+AX!J23+VW!J23+HY!J23+IN!J23+FR!J23+ST!J23+CH!J23+TC!J23+LX!J23+HSU!J23+HVW!J23+MZ!J23+BUGMC!J23+HD!J23+LT!J23+FBG!J23+FSU!J23</f>
        <v>8250</v>
      </c>
      <c r="K23" s="16">
        <f>AS!K23+RI!K23+GA!K23+RLX!K23+SP!K23+WR!K23+MA!K23+TBD!K23+WA!K23+GB!K23+WM!K23+SU!K23+AX!K23+VW!K23+HY!K23+IN!K23+FR!K23+ST!K23+CH!K23+TC!K23+LX!K23+HSU!K23+HVW!K23+MZ!K23+BUGMC!K23+HD!K23+LT!K23+FBG!K23+FSU!K23</f>
        <v>25250</v>
      </c>
      <c r="L23" s="16">
        <f>AS!L23+RI!L23+GA!L23+RLX!L23+SP!L23+WR!L23+MA!L23+TBD!L23+WA!L23+GB!L23+WM!L23+SU!L23+AX!L23+VW!L23+HY!L23+IN!L23+FR!L23+ST!L23+CH!L23+TC!L23+LX!L23+HSU!L23+HVW!L23+MZ!L23+BUGMC!L23+HD!L23+LT!L23+FBG!L23+FSU!L23</f>
        <v>18250</v>
      </c>
      <c r="M23" s="16">
        <f>AS!M23+RI!M23+GA!M23+RLX!M23+SP!M23+WR!M23+MA!M23+TBD!M23+WA!M23+GB!M23+WM!M23+SU!M23+AX!M23+VW!M23+HY!M23+IN!M23+FR!M23+ST!M23+CH!M23+TC!M23+LX!M23+HSU!M23+HVW!M23+MZ!M23+BUGMC!M23+HD!M23+LT!M23+FBG!M23+FSU!M23</f>
        <v>8250</v>
      </c>
      <c r="N23" s="17">
        <f t="shared" ref="N23:N31" si="5">SUM(B23:M23)</f>
        <v>312444.25</v>
      </c>
      <c r="O23" s="18"/>
    </row>
    <row r="24" ht="13.5" customHeight="1">
      <c r="A24" s="31" t="s">
        <v>32</v>
      </c>
      <c r="B24" s="16">
        <f>AS!B24+RI!B24+GA!B24+RLX!B24+SP!B24+WR!B24+MA!B24+TBD!B24+WA!B24+GB!B24+WM!B24+SU!B24+AX!B24+VW!B24+HY!B24+IN!B24+FR!B24+ST!B24+CH!B24+TC!B24+LX!B24+HSU!B24+HVW!B24+MZ!B24+BUGMC!B24+HD!B24+LT!B24+FBG!B24+FSU!B24</f>
        <v>0</v>
      </c>
      <c r="C24" s="16">
        <f>AS!C24+RI!C24+GA!C24+RLX!C24+SP!C24+WR!C24+MA!C24+TBD!C24+WA!C24+GB!C24+WM!C24+SU!C24+AX!C24+VW!C24+HY!C24+IN!C24+FR!C24+ST!C24+CH!C24+TC!C24+LX!C24+HSU!C24+HVW!C24+MZ!C24+BUGMC!C24+HD!C24+LT!C24+FBG!C24+FSU!C24</f>
        <v>0</v>
      </c>
      <c r="D24" s="16">
        <f>AS!D24+RI!D24+GA!D24+RLX!D24+SP!D24+WR!D24+MA!D24+TBD!D24+WA!D24+GB!D24+WM!D24+SU!D24+AX!D24+VW!D24+HY!D24+IN!D24+FR!D24+ST!D24+CH!D24+TC!D24+LX!D24+HSU!D24+HVW!D24+MZ!D24+BUGMC!D24+HD!D24+LT!D24+FBG!D24+FSU!D24</f>
        <v>0</v>
      </c>
      <c r="E24" s="16">
        <f>AS!E24+RI!E24+GA!E24+RLX!E24+SP!E24+WR!E24+MA!E24+TBD!E24+WA!E24+GB!E24+WM!E24+SU!E24+AX!E24+VW!E24+HY!E24+IN!E24+FR!E24+ST!E24+CH!E24+TC!E24+LX!E24+HSU!E24+HVW!E24+MZ!E24+BUGMC!E24+HD!E24+LT!E24+FBG!E24+FSU!E24</f>
        <v>0</v>
      </c>
      <c r="F24" s="16">
        <f>AS!F24+RI!F24+GA!F24+RLX!F24+SP!F24+WR!F24+MA!F24+TBD!F24+WA!F24+GB!F24+WM!F24+SU!F24+AX!F24+VW!F24+HY!F24+IN!F24+FR!F24+ST!F24+CH!F24+TC!F24+LX!F24+HSU!F24+HVW!F24+MZ!F24+BUGMC!F24+HD!F24+LT!F24+FBG!F24+FSU!F24</f>
        <v>0</v>
      </c>
      <c r="G24" s="16">
        <f>AS!G24+RI!G24+GA!G24+RLX!G24+SP!G24+WR!G24+MA!G24+TBD!G24+WA!G24+GB!G24+WM!G24+SU!G24+AX!G24+VW!G24+HY!G24+IN!G24+FR!G24+ST!G24+CH!G24+TC!G24+LX!G24+HSU!G24+HVW!G24+MZ!G24+BUGMC!G24+HD!G24+LT!G24+FBG!G24+FSU!G24</f>
        <v>0</v>
      </c>
      <c r="H24" s="16">
        <f>AS!H24+RI!H24+GA!H24+RLX!H24+SP!H24+WR!H24+MA!H24+TBD!H24+WA!H24+GB!H24+WM!H24+SU!H24+AX!H24+VW!H24+HY!H24+IN!H24+FR!H24+ST!H24+CH!H24+TC!H24+LX!H24+HSU!H24+HVW!H24+MZ!H24+BUGMC!H24+HD!H24+LT!H24+FBG!H24+FSU!H24</f>
        <v>0</v>
      </c>
      <c r="I24" s="16">
        <f>AS!I24+RI!I24+GA!I24+RLX!I24+SP!I24+WR!I24+MA!I24+TBD!I24+WA!I24+GB!I24+WM!I24+SU!I24+AX!I24+VW!I24+HY!I24+IN!I24+FR!I24+ST!I24+CH!I24+TC!I24+LX!I24+HSU!I24+HVW!I24+MZ!I24+BUGMC!I24+HD!I24+LT!I24+FBG!I24+FSU!I24</f>
        <v>0</v>
      </c>
      <c r="J24" s="16">
        <f>AS!J24+RI!J24+GA!J24+RLX!J24+SP!J24+WR!J24+MA!J24+TBD!J24+WA!J24+GB!J24+WM!J24+SU!J24+AX!J24+VW!J24+HY!J24+IN!J24+FR!J24+ST!J24+CH!J24+TC!J24+LX!J24+HSU!J24+HVW!J24+MZ!J24+BUGMC!J24+HD!J24+LT!J24+FBG!J24+FSU!J24</f>
        <v>0</v>
      </c>
      <c r="K24" s="16">
        <f>AS!K24+RI!K24+GA!K24+RLX!K24+SP!K24+WR!K24+MA!K24+TBD!K24+WA!K24+GB!K24+WM!K24+SU!K24+AX!K24+VW!K24+HY!K24+IN!K24+FR!K24+ST!K24+CH!K24+TC!K24+LX!K24+HSU!K24+HVW!K24+MZ!K24+BUGMC!K24+HD!K24+LT!K24+FBG!K24+FSU!K24</f>
        <v>0</v>
      </c>
      <c r="L24" s="16">
        <f>AS!L24+RI!L24+GA!L24+RLX!L24+SP!L24+WR!L24+MA!L24+TBD!L24+WA!L24+GB!L24+WM!L24+SU!L24+AX!L24+VW!L24+HY!L24+IN!L24+FR!L24+ST!L24+CH!L24+TC!L24+LX!L24+HSU!L24+HVW!L24+MZ!L24+BUGMC!L24+HD!L24+LT!L24+FBG!L24+FSU!L24</f>
        <v>0</v>
      </c>
      <c r="M24" s="16">
        <f>AS!M24+RI!M24+GA!M24+RLX!M24+SP!M24+WR!M24+MA!M24+TBD!M24+WA!M24+GB!M24+WM!M24+SU!M24+AX!M24+VW!M24+HY!M24+IN!M24+FR!M24+ST!M24+CH!M24+TC!M24+LX!M24+HSU!M24+HVW!M24+MZ!M24+BUGMC!M24+HD!M24+LT!M24+FBG!M24+FSU!M24</f>
        <v>0</v>
      </c>
      <c r="N24" s="17">
        <f t="shared" si="5"/>
        <v>0</v>
      </c>
      <c r="O24" s="18"/>
    </row>
    <row r="25" ht="13.5" customHeight="1">
      <c r="A25" s="19" t="s">
        <v>33</v>
      </c>
      <c r="B25" s="16">
        <f>AS!B25+RI!B25+GA!B25+RLX!B25+SP!B25+WR!B25+MA!B25+TBD!B25+WA!B25+GB!B25+WM!B25+SU!B25+AX!B25+VW!B25+HY!B25+IN!B25+FR!B25+ST!B25+CH!B25+TC!B25+LX!B25+HSU!B25+HVW!B25+MZ!B25+BUGMC!B25+HD!B25+LT!B25+FBG!B25+FSU!B25</f>
        <v>225.42</v>
      </c>
      <c r="C25" s="16">
        <f>AS!C25+RI!C25+GA!C25+RLX!C25+SP!C25+WR!C25+MA!C25+TBD!C25+WA!C25+GB!C25+WM!C25+SU!C25+AX!C25+VW!C25+HY!C25+IN!C25+FR!C25+ST!C25+CH!C25+TC!C25+LX!C25+HSU!C25+HVW!C25+MZ!C25+BUGMC!C25+HD!C25+LT!C25+FBG!C25+FSU!C25</f>
        <v>225.42</v>
      </c>
      <c r="D25" s="16">
        <f>AS!D25+RI!D25+GA!D25+RLX!D25+SP!D25+WR!D25+MA!D25+TBD!D25+WA!D25+GB!D25+WM!D25+SU!D25+AX!D25+VW!D25+HY!D25+IN!D25+FR!D25+ST!D25+CH!D25+TC!D25+LX!D25+HSU!D25+HVW!D25+MZ!D25+BUGMC!D25+HD!D25+LT!D25+FBG!D25+FSU!D25</f>
        <v>225.42</v>
      </c>
      <c r="E25" s="16">
        <f>AS!E25+RI!E25+GA!E25+RLX!E25+SP!E25+WR!E25+MA!E25+TBD!E25+WA!E25+GB!E25+WM!E25+SU!E25+AX!E25+VW!E25+HY!E25+IN!E25+FR!E25+ST!E25+CH!E25+TC!E25+LX!E25+HSU!E25+HVW!E25+MZ!E25+BUGMC!E25+HD!E25+LT!E25+FBG!E25+FSU!E25</f>
        <v>225.42</v>
      </c>
      <c r="F25" s="16">
        <f>AS!F25+RI!F25+GA!F25+RLX!F25+SP!F25+WR!F25+MA!F25+TBD!F25+WA!F25+GB!F25+WM!F25+SU!F25+AX!F25+VW!F25+HY!F25+IN!F25+FR!F25+ST!F25+CH!F25+TC!F25+LX!F25+HSU!F25+HVW!F25+MZ!F25+BUGMC!F25+HD!F25+LT!F25+FBG!F25+FSU!F25</f>
        <v>225.42</v>
      </c>
      <c r="G25" s="16">
        <f>AS!G25+RI!G25+GA!G25+RLX!G25+SP!G25+WR!G25+MA!G25+TBD!G25+WA!G25+GB!G25+WM!G25+SU!G25+AX!G25+VW!G25+HY!G25+IN!G25+FR!G25+ST!G25+CH!G25+TC!G25+LX!G25+HSU!G25+HVW!G25+MZ!G25+BUGMC!G25+HD!G25+LT!G25+FBG!G25+FSU!G25</f>
        <v>225.42</v>
      </c>
      <c r="H25" s="16">
        <f>AS!H25+RI!H25+GA!H25+RLX!H25+SP!H25+WR!H25+MA!H25+TBD!H25+WA!H25+GB!H25+WM!H25+SU!H25+AX!H25+VW!H25+HY!H25+IN!H25+FR!H25+ST!H25+CH!H25+TC!H25+LX!H25+HSU!H25+HVW!H25+MZ!H25+BUGMC!H25+HD!H25+LT!H25+FBG!H25+FSU!H25</f>
        <v>225.42</v>
      </c>
      <c r="I25" s="16">
        <f>AS!I25+RI!I25+GA!I25+RLX!I25+SP!I25+WR!I25+MA!I25+TBD!I25+WA!I25+GB!I25+WM!I25+SU!I25+AX!I25+VW!I25+HY!I25+IN!I25+FR!I25+ST!I25+CH!I25+TC!I25+LX!I25+HSU!I25+HVW!I25+MZ!I25+BUGMC!I25+HD!I25+LT!I25+FBG!I25+FSU!I25</f>
        <v>225.42</v>
      </c>
      <c r="J25" s="16">
        <f>AS!J25+RI!J25+GA!J25+RLX!J25+SP!J25+WR!J25+MA!J25+TBD!J25+WA!J25+GB!J25+WM!J25+SU!J25+AX!J25+VW!J25+HY!J25+IN!J25+FR!J25+ST!J25+CH!J25+TC!J25+LX!J25+HSU!J25+HVW!J25+MZ!J25+BUGMC!J25+HD!J25+LT!J25+FBG!J25+FSU!J25</f>
        <v>225.42</v>
      </c>
      <c r="K25" s="16">
        <f>AS!K25+RI!K25+GA!K25+RLX!K25+SP!K25+WR!K25+MA!K25+TBD!K25+WA!K25+GB!K25+WM!K25+SU!K25+AX!K25+VW!K25+HY!K25+IN!K25+FR!K25+ST!K25+CH!K25+TC!K25+LX!K25+HSU!K25+HVW!K25+MZ!K25+BUGMC!K25+HD!K25+LT!K25+FBG!K25+FSU!K25</f>
        <v>225.42</v>
      </c>
      <c r="L25" s="16">
        <f>AS!L25+RI!L25+GA!L25+RLX!L25+SP!L25+WR!L25+MA!L25+TBD!L25+WA!L25+GB!L25+WM!L25+SU!L25+AX!L25+VW!L25+HY!L25+IN!L25+FR!L25+ST!L25+CH!L25+TC!L25+LX!L25+HSU!L25+HVW!L25+MZ!L25+BUGMC!L25+HD!L25+LT!L25+FBG!L25+FSU!L25</f>
        <v>225.42</v>
      </c>
      <c r="M25" s="16">
        <f>AS!M25+RI!M25+GA!M25+RLX!M25+SP!M25+WR!M25+MA!M25+TBD!M25+WA!M25+GB!M25+WM!M25+SU!M25+AX!M25+VW!M25+HY!M25+IN!M25+FR!M25+ST!M25+CH!M25+TC!M25+LX!M25+HSU!M25+HVW!M25+MZ!M25+BUGMC!M25+HD!M25+LT!M25+FBG!M25+FSU!M25</f>
        <v>225.42</v>
      </c>
      <c r="N25" s="17">
        <f t="shared" si="5"/>
        <v>2705.04</v>
      </c>
      <c r="O25" s="18"/>
    </row>
    <row r="26" ht="13.5" customHeight="1">
      <c r="A26" s="32"/>
      <c r="B26" s="16">
        <f>AS!B26+RI!B26+GA!B26+RLX!B26+SP!B26+WR!B26+MA!B26+TBD!B26+WA!B26+GB!B26+WM!B26+SU!B26+AX!B26+VW!B26+HY!B26+IN!B26+FR!B26+ST!B26+CH!B26+TC!B26+LX!B26+HSU!B26+HVW!B26+MZ!B26+BUGMC!B26+HD!B26+LT!B26+FBG!B26+FSU!B26</f>
        <v>0</v>
      </c>
      <c r="C26" s="16">
        <f>AS!C26+RI!C26+GA!C26+RLX!C26+SP!C26+WR!C26+MA!C26+TBD!C26+WA!C26+GB!C26+WM!C26+SU!C26+AX!C26+VW!C26+HY!C26+IN!C26+FR!C26+ST!C26+CH!C26+TC!C26+LX!C26+HSU!C26+HVW!C26+MZ!C26+BUGMC!C26+HD!C26+LT!C26+FBG!C26+FSU!C26</f>
        <v>0</v>
      </c>
      <c r="D26" s="16">
        <f>AS!D26+RI!D26+GA!D26+RLX!D26+SP!D26+WR!D26+MA!D26+TBD!D26+WA!D26+GB!D26+WM!D26+SU!D26+AX!D26+VW!D26+HY!D26+IN!D26+FR!D26+ST!D26+CH!D26+TC!D26+LX!D26+HSU!D26+HVW!D26+MZ!D26+BUGMC!D26+HD!D26+LT!D26+FBG!D26+FSU!D26</f>
        <v>0</v>
      </c>
      <c r="E26" s="16">
        <f>AS!E26+RI!E26+GA!E26+RLX!E26+SP!E26+WR!E26+MA!E26+TBD!E26+WA!E26+GB!E26+WM!E26+SU!E26+AX!E26+VW!E26+HY!E26+IN!E26+FR!E26+ST!E26+CH!E26+TC!E26+LX!E26+HSU!E26+HVW!E26+MZ!E26+BUGMC!E26+HD!E26+LT!E26+FBG!E26+FSU!E26</f>
        <v>0</v>
      </c>
      <c r="F26" s="16">
        <f>AS!F26+RI!F26+GA!F26+RLX!F26+SP!F26+WR!F26+MA!F26+TBD!F26+WA!F26+GB!F26+WM!F26+SU!F26+AX!F26+VW!F26+HY!F26+IN!F26+FR!F26+ST!F26+CH!F26+TC!F26+LX!F26+HSU!F26+HVW!F26+MZ!F26+BUGMC!F26+HD!F26+LT!F26+FBG!F26+FSU!F26</f>
        <v>0</v>
      </c>
      <c r="G26" s="16">
        <f>AS!G26+RI!G26+GA!G26+RLX!G26+SP!G26+WR!G26+MA!G26+TBD!G26+WA!G26+GB!G26+WM!G26+SU!G26+AX!G26+VW!G26+HY!G26+IN!G26+FR!G26+ST!G26+CH!G26+TC!G26+LX!G26+HSU!G26+HVW!G26+MZ!G26+BUGMC!G26+HD!G26+LT!G26+FBG!G26+FSU!G26</f>
        <v>0</v>
      </c>
      <c r="H26" s="16">
        <f>AS!H26+RI!H26+GA!H26+RLX!H26+SP!H26+WR!H26+MA!H26+TBD!H26+WA!H26+GB!H26+WM!H26+SU!H26+AX!H26+VW!H26+HY!H26+IN!H26+FR!H26+ST!H26+CH!H26+TC!H26+LX!H26+HSU!H26+HVW!H26+MZ!H26+BUGMC!H26+HD!H26+LT!H26+FBG!H26+FSU!H26</f>
        <v>0</v>
      </c>
      <c r="I26" s="16">
        <f>AS!I26+RI!I26+GA!I26+RLX!I26+SP!I26+WR!I26+MA!I26+TBD!I26+WA!I26+GB!I26+WM!I26+SU!I26+AX!I26+VW!I26+HY!I26+IN!I26+FR!I26+ST!I26+CH!I26+TC!I26+LX!I26+HSU!I26+HVW!I26+MZ!I26+BUGMC!I26+HD!I26+LT!I26+FBG!I26+FSU!I26</f>
        <v>0</v>
      </c>
      <c r="J26" s="16">
        <f>AS!J26+RI!J26+GA!J26+RLX!J26+SP!J26+WR!J26+MA!J26+TBD!J26+WA!J26+GB!J26+WM!J26+SU!J26+AX!J26+VW!J26+HY!J26+IN!J26+FR!J26+ST!J26+CH!J26+TC!J26+LX!J26+HSU!J26+HVW!J26+MZ!J26+BUGMC!J26+HD!J26+LT!J26+FBG!J26+FSU!J26</f>
        <v>0</v>
      </c>
      <c r="K26" s="16">
        <f>AS!K26+RI!K26+GA!K26+RLX!K26+SP!K26+WR!K26+MA!K26+TBD!K26+WA!K26+GB!K26+WM!K26+SU!K26+AX!K26+VW!K26+HY!K26+IN!K26+FR!K26+ST!K26+CH!K26+TC!K26+LX!K26+HSU!K26+HVW!K26+MZ!K26+BUGMC!K26+HD!K26+LT!K26+FBG!K26+FSU!K26</f>
        <v>0</v>
      </c>
      <c r="L26" s="16">
        <f>AS!L26+RI!L26+GA!L26+RLX!L26+SP!L26+WR!L26+MA!L26+TBD!L26+WA!L26+GB!L26+WM!L26+SU!L26+AX!L26+VW!L26+HY!L26+IN!L26+FR!L26+ST!L26+CH!L26+TC!L26+LX!L26+HSU!L26+HVW!L26+MZ!L26+BUGMC!L26+HD!L26+LT!L26+FBG!L26+FSU!L26</f>
        <v>0</v>
      </c>
      <c r="M26" s="16">
        <f>AS!M26+RI!M26+GA!M26+RLX!M26+SP!M26+WR!M26+MA!M26+TBD!M26+WA!M26+GB!M26+WM!M26+SU!M26+AX!M26+VW!M26+HY!M26+IN!M26+FR!M26+ST!M26+CH!M26+TC!M26+LX!M26+HSU!M26+HVW!M26+MZ!M26+BUGMC!M26+HD!M26+LT!M26+FBG!M26+FSU!M26</f>
        <v>0</v>
      </c>
      <c r="N26" s="17">
        <f t="shared" si="5"/>
        <v>0</v>
      </c>
      <c r="O26" s="18"/>
    </row>
    <row r="27" ht="13.5" customHeight="1">
      <c r="A27" s="31" t="s">
        <v>34</v>
      </c>
      <c r="B27" s="16">
        <f>AS!B27+RI!B27+GA!B27+RLX!B27+SP!B27+WR!B27+MA!B27+TBD!B27+WA!B27+GB!B27+WM!B27+SU!B27+AX!B27+VW!B27+HY!B27+IN!B27+FR!B27+ST!B27+CH!B27+TC!B27+LX!B27+HSU!B27+HVW!B27+MZ!B27+BUGMC!B27+HD!B27+LT!B27+FBG!B27+FSU!B27</f>
        <v>0</v>
      </c>
      <c r="C27" s="16">
        <f>AS!C27+RI!C27+GA!C27+RLX!C27+SP!C27+WR!C27+MA!C27+TBD!C27+WA!C27+GB!C27+WM!C27+SU!C27+AX!C27+VW!C27+HY!C27+IN!C27+FR!C27+ST!C27+CH!C27+TC!C27+LX!C27+HSU!C27+HVW!C27+MZ!C27+BUGMC!C27+HD!C27+LT!C27+FBG!C27+FSU!C27</f>
        <v>0</v>
      </c>
      <c r="D27" s="16">
        <f>AS!D27+RI!D27+GA!D27+RLX!D27+SP!D27+WR!D27+MA!D27+TBD!D27+WA!D27+GB!D27+WM!D27+SU!D27+AX!D27+VW!D27+HY!D27+IN!D27+FR!D27+ST!D27+CH!D27+TC!D27+LX!D27+HSU!D27+HVW!D27+MZ!D27+BUGMC!D27+HD!D27+LT!D27+FBG!D27+FSU!D27</f>
        <v>0</v>
      </c>
      <c r="E27" s="16">
        <f>AS!E27+RI!E27+GA!E27+RLX!E27+SP!E27+WR!E27+MA!E27+TBD!E27+WA!E27+GB!E27+WM!E27+SU!E27+AX!E27+VW!E27+HY!E27+IN!E27+FR!E27+ST!E27+CH!E27+TC!E27+LX!E27+HSU!E27+HVW!E27+MZ!E27+BUGMC!E27+HD!E27+LT!E27+FBG!E27+FSU!E27</f>
        <v>0</v>
      </c>
      <c r="F27" s="16">
        <f>AS!F27+RI!F27+GA!F27+RLX!F27+SP!F27+WR!F27+MA!F27+TBD!F27+WA!F27+GB!F27+WM!F27+SU!F27+AX!F27+VW!F27+HY!F27+IN!F27+FR!F27+ST!F27+CH!F27+TC!F27+LX!F27+HSU!F27+HVW!F27+MZ!F27+BUGMC!F27+HD!F27+LT!F27+FBG!F27+FSU!F27</f>
        <v>0</v>
      </c>
      <c r="G27" s="16">
        <f>AS!G27+RI!G27+GA!G27+RLX!G27+SP!G27+WR!G27+MA!G27+TBD!G27+WA!G27+GB!G27+WM!G27+SU!G27+AX!G27+VW!G27+HY!G27+IN!G27+FR!G27+ST!G27+CH!G27+TC!G27+LX!G27+HSU!G27+HVW!G27+MZ!G27+BUGMC!G27+HD!G27+LT!G27+FBG!G27+FSU!G27</f>
        <v>0</v>
      </c>
      <c r="H27" s="16">
        <f>AS!H27+RI!H27+GA!H27+RLX!H27+SP!H27+WR!H27+MA!H27+TBD!H27+WA!H27+GB!H27+WM!H27+SU!H27+AX!H27+VW!H27+HY!H27+IN!H27+FR!H27+ST!H27+CH!H27+TC!H27+LX!H27+HSU!H27+HVW!H27+MZ!H27+BUGMC!H27+HD!H27+LT!H27+FBG!H27+FSU!H27</f>
        <v>0</v>
      </c>
      <c r="I27" s="16">
        <f>AS!I27+RI!I27+GA!I27+RLX!I27+SP!I27+WR!I27+MA!I27+TBD!I27+WA!I27+GB!I27+WM!I27+SU!I27+AX!I27+VW!I27+HY!I27+IN!I27+FR!I27+ST!I27+CH!I27+TC!I27+LX!I27+HSU!I27+HVW!I27+MZ!I27+BUGMC!I27+HD!I27+LT!I27+FBG!I27+FSU!I27</f>
        <v>0</v>
      </c>
      <c r="J27" s="16">
        <f>AS!J27+RI!J27+GA!J27+RLX!J27+SP!J27+WR!J27+MA!J27+TBD!J27+WA!J27+GB!J27+WM!J27+SU!J27+AX!J27+VW!J27+HY!J27+IN!J27+FR!J27+ST!J27+CH!J27+TC!J27+LX!J27+HSU!J27+HVW!J27+MZ!J27+BUGMC!J27+HD!J27+LT!J27+FBG!J27+FSU!J27</f>
        <v>0</v>
      </c>
      <c r="K27" s="16">
        <f>AS!K27+RI!K27+GA!K27+RLX!K27+SP!K27+WR!K27+MA!K27+TBD!K27+WA!K27+GB!K27+WM!K27+SU!K27+AX!K27+VW!K27+HY!K27+IN!K27+FR!K27+ST!K27+CH!K27+TC!K27+LX!K27+HSU!K27+HVW!K27+MZ!K27+BUGMC!K27+HD!K27+LT!K27+FBG!K27+FSU!K27</f>
        <v>0</v>
      </c>
      <c r="L27" s="16">
        <f>AS!L27+RI!L27+GA!L27+RLX!L27+SP!L27+WR!L27+MA!L27+TBD!L27+WA!L27+GB!L27+WM!L27+SU!L27+AX!L27+VW!L27+HY!L27+IN!L27+FR!L27+ST!L27+CH!L27+TC!L27+LX!L27+HSU!L27+HVW!L27+MZ!L27+BUGMC!L27+HD!L27+LT!L27+FBG!L27+FSU!L27</f>
        <v>0</v>
      </c>
      <c r="M27" s="16">
        <f>AS!M27+RI!M27+GA!M27+RLX!M27+SP!M27+WR!M27+MA!M27+TBD!M27+WA!M27+GB!M27+WM!M27+SU!M27+AX!M27+VW!M27+HY!M27+IN!M27+FR!M27+ST!M27+CH!M27+TC!M27+LX!M27+HSU!M27+HVW!M27+MZ!M27+BUGMC!M27+HD!M27+LT!M27+FBG!M27+FSU!M27</f>
        <v>0</v>
      </c>
      <c r="N27" s="17">
        <f t="shared" si="5"/>
        <v>0</v>
      </c>
      <c r="O27" s="18"/>
    </row>
    <row r="28" ht="13.5" customHeight="1">
      <c r="A28" s="33" t="s">
        <v>35</v>
      </c>
      <c r="B28" s="16">
        <f>AS!B28+RI!B28+GA!B28+RLX!B28+SP!B28+WR!B28+MA!B28+TBD!B28+WA!B28+GB!B28+WM!B28+SU!B28+AX!B28+VW!B28+HY!B28+IN!B28+FR!B28+ST!B28+CH!B28+TC!B28+LX!B28+HSU!B28+HVW!B28+MZ!B28+BUGMC!B28+HD!B28+LT!B28+FBG!B28+FSU!B28</f>
        <v>0</v>
      </c>
      <c r="C28" s="16">
        <f>AS!C28+RI!C28+GA!C28+RLX!C28+SP!C28+WR!C28+MA!C28+TBD!C28+WA!C28+GB!C28+WM!C28+SU!C28+AX!C28+VW!C28+HY!C28+IN!C28+FR!C28+ST!C28+CH!C28+TC!C28+LX!C28+HSU!C28+HVW!C28+MZ!C28+BUGMC!C28+HD!C28+LT!C28+FBG!C28+FSU!C28</f>
        <v>0</v>
      </c>
      <c r="D28" s="16">
        <f>AS!D28+RI!D28+GA!D28+RLX!D28+SP!D28+WR!D28+MA!D28+TBD!D28+WA!D28+GB!D28+WM!D28+SU!D28+AX!D28+VW!D28+HY!D28+IN!D28+FR!D28+ST!D28+CH!D28+TC!D28+LX!D28+HSU!D28+HVW!D28+MZ!D28+BUGMC!D28+HD!D28+LT!D28+FBG!D28+FSU!D28</f>
        <v>0</v>
      </c>
      <c r="E28" s="16">
        <f>AS!E28+RI!E28+GA!E28+RLX!E28+SP!E28+WR!E28+MA!E28+TBD!E28+WA!E28+GB!E28+WM!E28+SU!E28+AX!E28+VW!E28+HY!E28+IN!E28+FR!E28+ST!E28+CH!E28+TC!E28+LX!E28+HSU!E28+HVW!E28+MZ!E28+BUGMC!E28+HD!E28+LT!E28+FBG!E28+FSU!E28</f>
        <v>0</v>
      </c>
      <c r="F28" s="16">
        <f>AS!F28+RI!F28+GA!F28+RLX!F28+SP!F28+WR!F28+MA!F28+TBD!F28+WA!F28+GB!F28+WM!F28+SU!F28+AX!F28+VW!F28+HY!F28+IN!F28+FR!F28+ST!F28+CH!F28+TC!F28+LX!F28+HSU!F28+HVW!F28+MZ!F28+BUGMC!F28+HD!F28+LT!F28+FBG!F28+FSU!F28</f>
        <v>0</v>
      </c>
      <c r="G28" s="16">
        <f>AS!G28+RI!G28+GA!G28+RLX!G28+SP!G28+WR!G28+MA!G28+TBD!G28+WA!G28+GB!G28+WM!G28+SU!G28+AX!G28+VW!G28+HY!G28+IN!G28+FR!G28+ST!G28+CH!G28+TC!G28+LX!G28+HSU!G28+HVW!G28+MZ!G28+BUGMC!G28+HD!G28+LT!G28+FBG!G28+FSU!G28</f>
        <v>0</v>
      </c>
      <c r="H28" s="16">
        <f>AS!H28+RI!H28+GA!H28+RLX!H28+SP!H28+WR!H28+MA!H28+TBD!H28+WA!H28+GB!H28+WM!H28+SU!H28+AX!H28+VW!H28+HY!H28+IN!H28+FR!H28+ST!H28+CH!H28+TC!H28+LX!H28+HSU!H28+HVW!H28+MZ!H28+BUGMC!H28+HD!H28+LT!H28+FBG!H28+FSU!H28</f>
        <v>0</v>
      </c>
      <c r="I28" s="16">
        <f>AS!I28+RI!I28+GA!I28+RLX!I28+SP!I28+WR!I28+MA!I28+TBD!I28+WA!I28+GB!I28+WM!I28+SU!I28+AX!I28+VW!I28+HY!I28+IN!I28+FR!I28+ST!I28+CH!I28+TC!I28+LX!I28+HSU!I28+HVW!I28+MZ!I28+BUGMC!I28+HD!I28+LT!I28+FBG!I28+FSU!I28</f>
        <v>0</v>
      </c>
      <c r="J28" s="16">
        <f>AS!J28+RI!J28+GA!J28+RLX!J28+SP!J28+WR!J28+MA!J28+TBD!J28+WA!J28+GB!J28+WM!J28+SU!J28+AX!J28+VW!J28+HY!J28+IN!J28+FR!J28+ST!J28+CH!J28+TC!J28+LX!J28+HSU!J28+HVW!J28+MZ!J28+BUGMC!J28+HD!J28+LT!J28+FBG!J28+FSU!J28</f>
        <v>0</v>
      </c>
      <c r="K28" s="16">
        <f>AS!K28+RI!K28+GA!K28+RLX!K28+SP!K28+WR!K28+MA!K28+TBD!K28+WA!K28+GB!K28+WM!K28+SU!K28+AX!K28+VW!K28+HY!K28+IN!K28+FR!K28+ST!K28+CH!K28+TC!K28+LX!K28+HSU!K28+HVW!K28+MZ!K28+BUGMC!K28+HD!K28+LT!K28+FBG!K28+FSU!K28</f>
        <v>0</v>
      </c>
      <c r="L28" s="16">
        <f>AS!L28+RI!L28+GA!L28+RLX!L28+SP!L28+WR!L28+MA!L28+TBD!L28+WA!L28+GB!L28+WM!L28+SU!L28+AX!L28+VW!L28+HY!L28+IN!L28+FR!L28+ST!L28+CH!L28+TC!L28+LX!L28+HSU!L28+HVW!L28+MZ!L28+BUGMC!L28+HD!L28+LT!L28+FBG!L28+FSU!L28</f>
        <v>0</v>
      </c>
      <c r="M28" s="16">
        <f>AS!M28+RI!M28+GA!M28+RLX!M28+SP!M28+WR!M28+MA!M28+TBD!M28+WA!M28+GB!M28+WM!M28+SU!M28+AX!M28+VW!M28+HY!M28+IN!M28+FR!M28+ST!M28+CH!M28+TC!M28+LX!M28+HSU!M28+HVW!M28+MZ!M28+BUGMC!M28+HD!M28+LT!M28+FBG!M28+FSU!M28</f>
        <v>0</v>
      </c>
      <c r="N28" s="17">
        <f t="shared" si="5"/>
        <v>0</v>
      </c>
      <c r="O28" s="18"/>
    </row>
    <row r="29" ht="13.5" customHeight="1">
      <c r="A29" s="27" t="s">
        <v>36</v>
      </c>
      <c r="B29" s="16">
        <f>AS!B29+RI!B29+GA!B29+RLX!B29+SP!B29+WR!B29+MA!B29+TBD!B29+WA!B29+GB!B29+WM!B29+SU!B29+AX!B29+VW!B29+HY!B29+IN!B29+FR!B29+ST!B29+CH!B29+TC!B29+LX!B29+HSU!B29+HVW!B29+MZ!B29+BUGMC!B29+HD!B29+LT!B29+FBG!B29+FSU!B29</f>
        <v>725</v>
      </c>
      <c r="C29" s="16">
        <f>AS!C29+RI!C29+GA!C29+RLX!C29+SP!C29+WR!C29+MA!C29+TBD!C29+WA!C29+GB!C29+WM!C29+SU!C29+AX!C29+VW!C29+HY!C29+IN!C29+FR!C29+ST!C29+CH!C29+TC!C29+LX!C29+HSU!C29+HVW!C29+MZ!C29+BUGMC!C29+HD!C29+LT!C29+FBG!C29+FSU!C29</f>
        <v>725</v>
      </c>
      <c r="D29" s="16">
        <f>AS!D29+RI!D29+GA!D29+RLX!D29+SP!D29+WR!D29+MA!D29+TBD!D29+WA!D29+GB!D29+WM!D29+SU!D29+AX!D29+VW!D29+HY!D29+IN!D29+FR!D29+ST!D29+CH!D29+TC!D29+LX!D29+HSU!D29+HVW!D29+MZ!D29+BUGMC!D29+HD!D29+LT!D29+FBG!D29+FSU!D29</f>
        <v>725</v>
      </c>
      <c r="E29" s="16">
        <f>AS!E29+RI!E29+GA!E29+RLX!E29+SP!E29+WR!E29+MA!E29+TBD!E29+WA!E29+GB!E29+WM!E29+SU!E29+AX!E29+VW!E29+HY!E29+IN!E29+FR!E29+ST!E29+CH!E29+TC!E29+LX!E29+HSU!E29+HVW!E29+MZ!E29+BUGMC!E29+HD!E29+LT!E29+FBG!E29+FSU!E29</f>
        <v>725</v>
      </c>
      <c r="F29" s="16">
        <f>AS!F29+RI!F29+GA!F29+RLX!F29+SP!F29+WR!F29+MA!F29+TBD!F29+WA!F29+GB!F29+WM!F29+SU!F29+AX!F29+VW!F29+HY!F29+IN!F29+FR!F29+ST!F29+CH!F29+TC!F29+LX!F29+HSU!F29+HVW!F29+MZ!F29+BUGMC!F29+HD!F29+LT!F29+FBG!F29+FSU!F29</f>
        <v>725</v>
      </c>
      <c r="G29" s="16">
        <f>AS!G29+RI!G29+GA!G29+RLX!G29+SP!G29+WR!G29+MA!G29+TBD!G29+WA!G29+GB!G29+WM!G29+SU!G29+AX!G29+VW!G29+HY!G29+IN!G29+FR!G29+ST!G29+CH!G29+TC!G29+LX!G29+HSU!G29+HVW!G29+MZ!G29+BUGMC!G29+HD!G29+LT!G29+FBG!G29+FSU!G29</f>
        <v>725</v>
      </c>
      <c r="H29" s="16">
        <f>AS!H29+RI!H29+GA!H29+RLX!H29+SP!H29+WR!H29+MA!H29+TBD!H29+WA!H29+GB!H29+WM!H29+SU!H29+AX!H29+VW!H29+HY!H29+IN!H29+FR!H29+ST!H29+CH!H29+TC!H29+LX!H29+HSU!H29+HVW!H29+MZ!H29+BUGMC!H29+HD!H29+LT!H29+FBG!H29+FSU!H29</f>
        <v>725</v>
      </c>
      <c r="I29" s="16">
        <f>AS!I29+RI!I29+GA!I29+RLX!I29+SP!I29+WR!I29+MA!I29+TBD!I29+WA!I29+GB!I29+WM!I29+SU!I29+AX!I29+VW!I29+HY!I29+IN!I29+FR!I29+ST!I29+CH!I29+TC!I29+LX!I29+HSU!I29+HVW!I29+MZ!I29+BUGMC!I29+HD!I29+LT!I29+FBG!I29+FSU!I29</f>
        <v>725</v>
      </c>
      <c r="J29" s="16">
        <f>AS!J29+RI!J29+GA!J29+RLX!J29+SP!J29+WR!J29+MA!J29+TBD!J29+WA!J29+GB!J29+WM!J29+SU!J29+AX!J29+VW!J29+HY!J29+IN!J29+FR!J29+ST!J29+CH!J29+TC!J29+LX!J29+HSU!J29+HVW!J29+MZ!J29+BUGMC!J29+HD!J29+LT!J29+FBG!J29+FSU!J29</f>
        <v>725</v>
      </c>
      <c r="K29" s="16">
        <f>AS!K29+RI!K29+GA!K29+RLX!K29+SP!K29+WR!K29+MA!K29+TBD!K29+WA!K29+GB!K29+WM!K29+SU!K29+AX!K29+VW!K29+HY!K29+IN!K29+FR!K29+ST!K29+CH!K29+TC!K29+LX!K29+HSU!K29+HVW!K29+MZ!K29+BUGMC!K29+HD!K29+LT!K29+FBG!K29+FSU!K29</f>
        <v>725</v>
      </c>
      <c r="L29" s="16">
        <f>AS!L29+RI!L29+GA!L29+RLX!L29+SP!L29+WR!L29+MA!L29+TBD!L29+WA!L29+GB!L29+WM!L29+SU!L29+AX!L29+VW!L29+HY!L29+IN!L29+FR!L29+ST!L29+CH!L29+TC!L29+LX!L29+HSU!L29+HVW!L29+MZ!L29+BUGMC!L29+HD!L29+LT!L29+FBG!L29+FSU!L29</f>
        <v>725</v>
      </c>
      <c r="M29" s="16">
        <f>AS!M29+RI!M29+GA!M29+RLX!M29+SP!M29+WR!M29+MA!M29+TBD!M29+WA!M29+GB!M29+WM!M29+SU!M29+AX!M29+VW!M29+HY!M29+IN!M29+FR!M29+ST!M29+CH!M29+TC!M29+LX!M29+HSU!M29+HVW!M29+MZ!M29+BUGMC!M29+HD!M29+LT!M29+FBG!M29+FSU!M29</f>
        <v>725</v>
      </c>
      <c r="N29" s="17">
        <f t="shared" si="5"/>
        <v>8700</v>
      </c>
      <c r="O29" s="18"/>
    </row>
    <row r="30" ht="13.5" customHeight="1">
      <c r="A30" s="31" t="s">
        <v>37</v>
      </c>
      <c r="B30" s="16">
        <f>AS!B30+RI!B30+GA!B30+RLX!B30+SP!B30+WR!B30+MA!B30+TBD!B30+WA!B30+GB!B30+WM!B30+SU!B30+AX!B30+VW!B30+HY!B30+IN!B30+FR!B30+ST!B30+CH!B30+TC!B30+LX!B30+HSU!B30+HVW!B30+MZ!B30+BUGMC!B30+HD!B30+LT!B30+FBG!B30+FSU!B30</f>
        <v>0</v>
      </c>
      <c r="C30" s="16">
        <f>AS!C30+RI!C30+GA!C30+RLX!C30+SP!C30+WR!C30+MA!C30+TBD!C30+WA!C30+GB!C30+WM!C30+SU!C30+AX!C30+VW!C30+HY!C30+IN!C30+FR!C30+ST!C30+CH!C30+TC!C30+LX!C30+HSU!C30+HVW!C30+MZ!C30+BUGMC!C30+HD!C30+LT!C30+FBG!C30+FSU!C30</f>
        <v>0</v>
      </c>
      <c r="D30" s="16">
        <f>AS!D30+RI!D30+GA!D30+RLX!D30+SP!D30+WR!D30+MA!D30+TBD!D30+WA!D30+GB!D30+WM!D30+SU!D30+AX!D30+VW!D30+HY!D30+IN!D30+FR!D30+ST!D30+CH!D30+TC!D30+LX!D30+HSU!D30+HVW!D30+MZ!D30+BUGMC!D30+HD!D30+LT!D30+FBG!D30+FSU!D30</f>
        <v>0</v>
      </c>
      <c r="E30" s="16">
        <f>AS!E30+RI!E30+GA!E30+RLX!E30+SP!E30+WR!E30+MA!E30+TBD!E30+WA!E30+GB!E30+WM!E30+SU!E30+AX!E30+VW!E30+HY!E30+IN!E30+FR!E30+ST!E30+CH!E30+TC!E30+LX!E30+HSU!E30+HVW!E30+MZ!E30+BUGMC!E30+HD!E30+LT!E30+FBG!E30+FSU!E30</f>
        <v>0</v>
      </c>
      <c r="F30" s="16">
        <f>AS!F30+RI!F30+GA!F30+RLX!F30+SP!F30+WR!F30+MA!F30+TBD!F30+WA!F30+GB!F30+WM!F30+SU!F30+AX!F30+VW!F30+HY!F30+IN!F30+FR!F30+ST!F30+CH!F30+TC!F30+LX!F30+HSU!F30+HVW!F30+MZ!F30+BUGMC!F30+HD!F30+LT!F30+FBG!F30+FSU!F30</f>
        <v>0</v>
      </c>
      <c r="G30" s="16">
        <f>AS!G30+RI!G30+GA!G30+RLX!G30+SP!G30+WR!G30+MA!G30+TBD!G30+WA!G30+GB!G30+WM!G30+SU!G30+AX!G30+VW!G30+HY!G30+IN!G30+FR!G30+ST!G30+CH!G30+TC!G30+LX!G30+HSU!G30+HVW!G30+MZ!G30+BUGMC!G30+HD!G30+LT!G30+FBG!G30+FSU!G30</f>
        <v>0</v>
      </c>
      <c r="H30" s="16">
        <f>AS!H30+RI!H30+GA!H30+RLX!H30+SP!H30+WR!H30+MA!H30+TBD!H30+WA!H30+GB!H30+WM!H30+SU!H30+AX!H30+VW!H30+HY!H30+IN!H30+FR!H30+ST!H30+CH!H30+TC!H30+LX!H30+HSU!H30+HVW!H30+MZ!H30+BUGMC!H30+HD!H30+LT!H30+FBG!H30+FSU!H30</f>
        <v>0</v>
      </c>
      <c r="I30" s="16">
        <f>AS!I30+RI!I30+GA!I30+RLX!I30+SP!I30+WR!I30+MA!I30+TBD!I30+WA!I30+GB!I30+WM!I30+SU!I30+AX!I30+VW!I30+HY!I30+IN!I30+FR!I30+ST!I30+CH!I30+TC!I30+LX!I30+HSU!I30+HVW!I30+MZ!I30+BUGMC!I30+HD!I30+LT!I30+FBG!I30+FSU!I30</f>
        <v>0</v>
      </c>
      <c r="J30" s="16">
        <f>AS!J30+RI!J30+GA!J30+RLX!J30+SP!J30+WR!J30+MA!J30+TBD!J30+WA!J30+GB!J30+WM!J30+SU!J30+AX!J30+VW!J30+HY!J30+IN!J30+FR!J30+ST!J30+CH!J30+TC!J30+LX!J30+HSU!J30+HVW!J30+MZ!J30+BUGMC!J30+HD!J30+LT!J30+FBG!J30+FSU!J30</f>
        <v>0</v>
      </c>
      <c r="K30" s="16">
        <f>AS!K30+RI!K30+GA!K30+RLX!K30+SP!K30+WR!K30+MA!K30+TBD!K30+WA!K30+GB!K30+WM!K30+SU!K30+AX!K30+VW!K30+HY!K30+IN!K30+FR!K30+ST!K30+CH!K30+TC!K30+LX!K30+HSU!K30+HVW!K30+MZ!K30+BUGMC!K30+HD!K30+LT!K30+FBG!K30+FSU!K30</f>
        <v>0</v>
      </c>
      <c r="L30" s="16">
        <f>AS!L30+RI!L30+GA!L30+RLX!L30+SP!L30+WR!L30+MA!L30+TBD!L30+WA!L30+GB!L30+WM!L30+SU!L30+AX!L30+VW!L30+HY!L30+IN!L30+FR!L30+ST!L30+CH!L30+TC!L30+LX!L30+HSU!L30+HVW!L30+MZ!L30+BUGMC!L30+HD!L30+LT!L30+FBG!L30+FSU!L30</f>
        <v>0</v>
      </c>
      <c r="M30" s="16">
        <f>AS!M30+RI!M30+GA!M30+RLX!M30+SP!M30+WR!M30+MA!M30+TBD!M30+WA!M30+GB!M30+WM!M30+SU!M30+AX!M30+VW!M30+HY!M30+IN!M30+FR!M30+ST!M30+CH!M30+TC!M30+LX!M30+HSU!M30+HVW!M30+MZ!M30+BUGMC!M30+HD!M30+LT!M30+FBG!M30+FSU!M30</f>
        <v>0</v>
      </c>
      <c r="N30" s="17">
        <f t="shared" si="5"/>
        <v>0</v>
      </c>
      <c r="O30" s="18"/>
    </row>
    <row r="31" ht="13.5" customHeight="1">
      <c r="A31" s="32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>
        <f t="shared" si="5"/>
        <v>0</v>
      </c>
      <c r="O31" s="18"/>
    </row>
    <row r="32" ht="13.5" customHeight="1">
      <c r="A32" s="21" t="s">
        <v>23</v>
      </c>
      <c r="B32" s="22">
        <f t="shared" ref="B32:N32" si="6">SUM(B23:B31)</f>
        <v>9200.42</v>
      </c>
      <c r="C32" s="22">
        <f t="shared" si="6"/>
        <v>17450.42</v>
      </c>
      <c r="D32" s="22">
        <f t="shared" si="6"/>
        <v>112394.67</v>
      </c>
      <c r="E32" s="22">
        <f t="shared" si="6"/>
        <v>9200.42</v>
      </c>
      <c r="F32" s="22">
        <f t="shared" si="6"/>
        <v>52700.42</v>
      </c>
      <c r="G32" s="22">
        <f t="shared" si="6"/>
        <v>9200.42</v>
      </c>
      <c r="H32" s="22">
        <f t="shared" si="6"/>
        <v>9200.42</v>
      </c>
      <c r="I32" s="22">
        <f t="shared" si="6"/>
        <v>40700.42</v>
      </c>
      <c r="J32" s="22">
        <f t="shared" si="6"/>
        <v>9200.42</v>
      </c>
      <c r="K32" s="22">
        <f t="shared" si="6"/>
        <v>26200.42</v>
      </c>
      <c r="L32" s="22">
        <f t="shared" si="6"/>
        <v>19200.42</v>
      </c>
      <c r="M32" s="22">
        <f t="shared" si="6"/>
        <v>9200.42</v>
      </c>
      <c r="N32" s="28">
        <f t="shared" si="6"/>
        <v>323849.29</v>
      </c>
      <c r="O32" s="29" t="str">
        <f>(N32/N109)</f>
        <v>#REF!</v>
      </c>
    </row>
    <row r="33" ht="13.5" customHeight="1">
      <c r="A33" s="34" t="s">
        <v>38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14"/>
      <c r="O33" s="18"/>
    </row>
    <row r="34" ht="13.5" customHeight="1">
      <c r="A34" s="32" t="s">
        <v>39</v>
      </c>
      <c r="B34" s="16">
        <f>AS!B34+RI!B34+GA!B34+RLX!B34+SP!B34+WR!B34+MA!B34+TBD!B34+WA!B34+GB!B34+WM!B34+SU!B34+AX!B34+VW!B34+HY!B34+IN!B34+FR!B34+ST!B34+CH!B34+TC!B34+LX!B34+HSU!B34+HVW!B34+MZ!B34+BUGMC!B34+HD!B34+LT!B34+FBG!B34+FSU!B34</f>
        <v>72416.38</v>
      </c>
      <c r="C34" s="16">
        <f>AS!C34+RI!C34+GA!C34+RLX!C34+SP!C34+WR!C34+MA!C34+TBD!C34+WA!C34+GB!C34+WM!C34+SU!C34+AX!C34+VW!C34+HY!C34+IN!C34+FR!C34+ST!C34+CH!C34+TC!C34+LX!C34+HSU!C34+HVW!C34+MZ!C34+BUGMC!C34+HD!C34+LT!C34+FBG!C34+FSU!C34</f>
        <v>72416.38</v>
      </c>
      <c r="D34" s="16">
        <f>AS!D34+RI!D34+GA!D34+RLX!D34+SP!D34+WR!D34+MA!D34+TBD!D34+WA!D34+GB!D34+WM!D34+SU!D34+AX!D34+VW!D34+HY!D34+IN!D34+FR!D34+ST!D34+CH!D34+TC!D34+LX!D34+HSU!D34+HVW!D34+MZ!D34+BUGMC!D34+HD!D34+LT!D34+FBG!D34+FSU!D34</f>
        <v>71616.38</v>
      </c>
      <c r="E34" s="16">
        <f>AS!E34+RI!E34+GA!E34+RLX!E34+SP!E34+WR!E34+MA!E34+TBD!E34+WA!E34+GB!E34+WM!E34+SU!E34+AX!E34+VW!E34+HY!E34+IN!E34+FR!E34+ST!E34+CH!E34+TC!E34+LX!E34+HSU!E34+HVW!E34+MZ!E34+BUGMC!E34+HD!E34+LT!E34+FBG!E34+FSU!E34</f>
        <v>71076.38</v>
      </c>
      <c r="F34" s="16">
        <f>AS!F34+RI!F34+GA!F34+RLX!F34+SP!F34+WR!F34+MA!F34+TBD!F34+WA!F34+GB!F34+WM!F34+SU!F34+AX!F34+VW!F34+HY!F34+IN!F34+FR!F34+ST!F34+CH!F34+TC!F34+LX!F34+HSU!F34+HVW!F34+MZ!F34+BUGMC!F34+HD!F34+LT!F34+FBG!F34+FSU!F34</f>
        <v>71915.63</v>
      </c>
      <c r="G34" s="16">
        <f>AS!G34+RI!G34+GA!G34+RLX!G34+SP!G34+WR!G34+MA!G34+TBD!G34+WA!G34+GB!G34+WM!G34+SU!G34+AX!G34+VW!G34+HY!G34+IN!G34+FR!G34+ST!G34+CH!G34+TC!G34+LX!G34+HSU!G34+HVW!G34+MZ!G34+BUGMC!G34+HD!G34+LT!G34+FBG!G34+FSU!G34</f>
        <v>71915.63</v>
      </c>
      <c r="H34" s="16">
        <f>AS!H34+RI!H34+GA!H34+RLX!H34+SP!H34+WR!H34+MA!H34+TBD!H34+WA!H34+GB!H34+WM!H34+SU!H34+AX!H34+VW!H34+HY!H34+IN!H34+FR!H34+ST!H34+CH!H34+TC!H34+LX!H34+HSU!H34+HVW!H34+MZ!H34+BUGMC!H34+HD!H34+LT!H34+FBG!H34+FSU!H34</f>
        <v>71915.63</v>
      </c>
      <c r="I34" s="16">
        <f>AS!I34+RI!I34+GA!I34+RLX!I34+SP!I34+WR!I34+MA!I34+TBD!I34+WA!I34+GB!I34+WM!I34+SU!I34+AX!I34+VW!I34+HY!I34+IN!I34+FR!I34+ST!I34+CH!I34+TC!I34+LX!I34+HSU!I34+HVW!I34+MZ!I34+BUGMC!I34+HD!I34+LT!I34+FBG!I34+FSU!I34</f>
        <v>71915.63</v>
      </c>
      <c r="J34" s="16">
        <f>AS!J34+RI!J34+GA!J34+RLX!J34+SP!J34+WR!J34+MA!J34+TBD!J34+WA!J34+GB!J34+WM!J34+SU!J34+AX!J34+VW!J34+HY!J34+IN!J34+FR!J34+ST!J34+CH!J34+TC!J34+LX!J34+HSU!J34+HVW!J34+MZ!J34+BUGMC!J34+HD!J34+LT!J34+FBG!J34+FSU!J34</f>
        <v>71915.63</v>
      </c>
      <c r="K34" s="16">
        <f>AS!K34+RI!K34+GA!K34+RLX!K34+SP!K34+WR!K34+MA!K34+TBD!K34+WA!K34+GB!K34+WM!K34+SU!K34+AX!K34+VW!K34+HY!K34+IN!K34+FR!K34+ST!K34+CH!K34+TC!K34+LX!K34+HSU!K34+HVW!K34+MZ!K34+BUGMC!K34+HD!K34+LT!K34+FBG!K34+FSU!K34</f>
        <v>71915.63</v>
      </c>
      <c r="L34" s="16">
        <f>AS!L34+RI!L34+GA!L34+RLX!L34+SP!L34+WR!L34+MA!L34+TBD!L34+WA!L34+GB!L34+WM!L34+SU!L34+AX!L34+VW!L34+HY!L34+IN!L34+FR!L34+ST!L34+CH!L34+TC!L34+LX!L34+HSU!L34+HVW!L34+MZ!L34+BUGMC!L34+HD!L34+LT!L34+FBG!L34+FSU!L34</f>
        <v>71915.63</v>
      </c>
      <c r="M34" s="16">
        <f>AS!M34+RI!M34+GA!M34+RLX!M34+SP!M34+WR!M34+MA!M34+TBD!M34+WA!M34+GB!M34+WM!M34+SU!M34+AX!M34+VW!M34+HY!M34+IN!M34+FR!M34+ST!M34+CH!M34+TC!M34+LX!M34+HSU!M34+HVW!M34+MZ!M34+BUGMC!M34+HD!M34+LT!M34+FBG!M34+FSU!M34</f>
        <v>71915.63</v>
      </c>
      <c r="N34" s="17">
        <f t="shared" ref="N34:N51" si="7">SUM(B34:M34)</f>
        <v>862850.56</v>
      </c>
      <c r="O34" s="18"/>
    </row>
    <row r="35" ht="13.5" customHeight="1">
      <c r="A35" s="31" t="s">
        <v>40</v>
      </c>
      <c r="B35" s="16">
        <f>AS!B35+RI!B35+GA!B35+RLX!B35+SP!B35+WR!B35+MA!B35+TBD!B35+WA!B35+GB!B35+WM!B35+SU!B35+AX!B35+VW!B35+HY!B35+IN!B35+FR!B35+ST!B35+CH!B35+TC!B35+LX!B35+HSU!B35+HVW!B35+MZ!B35+BUGMC!B35+HD!B35+LT!B35+FBG!B35+FSU!B35</f>
        <v>395</v>
      </c>
      <c r="C35" s="16">
        <f>AS!C35+RI!C35+GA!C35+RLX!C35+SP!C35+WR!C35+MA!C35+TBD!C35+WA!C35+GB!C35+WM!C35+SU!C35+AX!C35+VW!C35+HY!C35+IN!C35+FR!C35+ST!C35+CH!C35+TC!C35+LX!C35+HSU!C35+HVW!C35+MZ!C35+BUGMC!C35+HD!C35+LT!C35+FBG!C35+FSU!C35</f>
        <v>395</v>
      </c>
      <c r="D35" s="16">
        <f>AS!D35+RI!D35+GA!D35+RLX!D35+SP!D35+WR!D35+MA!D35+TBD!D35+WA!D35+GB!D35+WM!D35+SU!D35+AX!D35+VW!D35+HY!D35+IN!D35+FR!D35+ST!D35+CH!D35+TC!D35+LX!D35+HSU!D35+HVW!D35+MZ!D35+BUGMC!D35+HD!D35+LT!D35+FBG!D35+FSU!D35</f>
        <v>395</v>
      </c>
      <c r="E35" s="16">
        <f>AS!E35+RI!E35+GA!E35+RLX!E35+SP!E35+WR!E35+MA!E35+TBD!E35+WA!E35+GB!E35+WM!E35+SU!E35+AX!E35+VW!E35+HY!E35+IN!E35+FR!E35+ST!E35+CH!E35+TC!E35+LX!E35+HSU!E35+HVW!E35+MZ!E35+BUGMC!E35+HD!E35+LT!E35+FBG!E35+FSU!E35</f>
        <v>395</v>
      </c>
      <c r="F35" s="16">
        <f>AS!F35+RI!F35+GA!F35+RLX!F35+SP!F35+WR!F35+MA!F35+TBD!F35+WA!F35+GB!F35+WM!F35+SU!F35+AX!F35+VW!F35+HY!F35+IN!F35+FR!F35+ST!F35+CH!F35+TC!F35+LX!F35+HSU!F35+HVW!F35+MZ!F35+BUGMC!F35+HD!F35+LT!F35+FBG!F35+FSU!F35</f>
        <v>395</v>
      </c>
      <c r="G35" s="16">
        <f>AS!G35+RI!G35+GA!G35+RLX!G35+SP!G35+WR!G35+MA!G35+TBD!G35+WA!G35+GB!G35+WM!G35+SU!G35+AX!G35+VW!G35+HY!G35+IN!G35+FR!G35+ST!G35+CH!G35+TC!G35+LX!G35+HSU!G35+HVW!G35+MZ!G35+BUGMC!G35+HD!G35+LT!G35+FBG!G35+FSU!G35</f>
        <v>395</v>
      </c>
      <c r="H35" s="16">
        <f>AS!H35+RI!H35+GA!H35+RLX!H35+SP!H35+WR!H35+MA!H35+TBD!H35+WA!H35+GB!H35+WM!H35+SU!H35+AX!H35+VW!H35+HY!H35+IN!H35+FR!H35+ST!H35+CH!H35+TC!H35+LX!H35+HSU!H35+HVW!H35+MZ!H35+BUGMC!H35+HD!H35+LT!H35+FBG!H35+FSU!H35</f>
        <v>395</v>
      </c>
      <c r="I35" s="16">
        <f>AS!I35+RI!I35+GA!I35+RLX!I35+SP!I35+WR!I35+MA!I35+TBD!I35+WA!I35+GB!I35+WM!I35+SU!I35+AX!I35+VW!I35+HY!I35+IN!I35+FR!I35+ST!I35+CH!I35+TC!I35+LX!I35+HSU!I35+HVW!I35+MZ!I35+BUGMC!I35+HD!I35+LT!I35+FBG!I35+FSU!I35</f>
        <v>395</v>
      </c>
      <c r="J35" s="16">
        <f>AS!J35+RI!J35+GA!J35+RLX!J35+SP!J35+WR!J35+MA!J35+TBD!J35+WA!J35+GB!J35+WM!J35+SU!J35+AX!J35+VW!J35+HY!J35+IN!J35+FR!J35+ST!J35+CH!J35+TC!J35+LX!J35+HSU!J35+HVW!J35+MZ!J35+BUGMC!J35+HD!J35+LT!J35+FBG!J35+FSU!J35</f>
        <v>395</v>
      </c>
      <c r="K35" s="16">
        <f>AS!K35+RI!K35+GA!K35+RLX!K35+SP!K35+WR!K35+MA!K35+TBD!K35+WA!K35+GB!K35+WM!K35+SU!K35+AX!K35+VW!K35+HY!K35+IN!K35+FR!K35+ST!K35+CH!K35+TC!K35+LX!K35+HSU!K35+HVW!K35+MZ!K35+BUGMC!K35+HD!K35+LT!K35+FBG!K35+FSU!K35</f>
        <v>395</v>
      </c>
      <c r="L35" s="16">
        <f>AS!L35+RI!L35+GA!L35+RLX!L35+SP!L35+WR!L35+MA!L35+TBD!L35+WA!L35+GB!L35+WM!L35+SU!L35+AX!L35+VW!L35+HY!L35+IN!L35+FR!L35+ST!L35+CH!L35+TC!L35+LX!L35+HSU!L35+HVW!L35+MZ!L35+BUGMC!L35+HD!L35+LT!L35+FBG!L35+FSU!L35</f>
        <v>395</v>
      </c>
      <c r="M35" s="16">
        <f>AS!M35+RI!M35+GA!M35+RLX!M35+SP!M35+WR!M35+MA!M35+TBD!M35+WA!M35+GB!M35+WM!M35+SU!M35+AX!M35+VW!M35+HY!M35+IN!M35+FR!M35+ST!M35+CH!M35+TC!M35+LX!M35+HSU!M35+HVW!M35+MZ!M35+BUGMC!M35+HD!M35+LT!M35+FBG!M35+FSU!M35</f>
        <v>395</v>
      </c>
      <c r="N35" s="17">
        <f t="shared" si="7"/>
        <v>4740</v>
      </c>
      <c r="O35" s="18"/>
    </row>
    <row r="36" ht="13.5" customHeight="1">
      <c r="A36" s="26" t="s">
        <v>41</v>
      </c>
      <c r="B36" s="16">
        <f>AS!B36+RI!B36+GA!B36+RLX!B36+SP!B36+WR!B36+MA!B36+TBD!B36+WA!B36+GB!B36+WM!B36+SU!B36+AX!B36+VW!B36+HY!B36+IN!B36+FR!B36+ST!B36+CH!B36+TC!B36+LX!B36+HSU!B36+HVW!B36+MZ!B36+BUGMC!B36+HD!B36+LT!B36+FBG!B36+FSU!B36</f>
        <v>7449</v>
      </c>
      <c r="C36" s="16">
        <f>AS!C36+RI!C36+GA!C36+RLX!C36+SP!C36+WR!C36+MA!C36+TBD!C36+WA!C36+GB!C36+WM!C36+SU!C36+AX!C36+VW!C36+HY!C36+IN!C36+FR!C36+ST!C36+CH!C36+TC!C36+LX!C36+HSU!C36+HVW!C36+MZ!C36+BUGMC!C36+HD!C36+LT!C36+FBG!C36+FSU!C36</f>
        <v>7449</v>
      </c>
      <c r="D36" s="16">
        <f>AS!D36+RI!D36+GA!D36+RLX!D36+SP!D36+WR!D36+MA!D36+TBD!D36+WA!D36+GB!D36+WM!D36+SU!D36+AX!D36+VW!D36+HY!D36+IN!D36+FR!D36+ST!D36+CH!D36+TC!D36+LX!D36+HSU!D36+HVW!D36+MZ!D36+BUGMC!D36+HD!D36+LT!D36+FBG!D36+FSU!D36</f>
        <v>7449</v>
      </c>
      <c r="E36" s="16">
        <f>AS!E36+RI!E36+GA!E36+RLX!E36+SP!E36+WR!E36+MA!E36+TBD!E36+WA!E36+GB!E36+WM!E36+SU!E36+AX!E36+VW!E36+HY!E36+IN!E36+FR!E36+ST!E36+CH!E36+TC!E36+LX!E36+HSU!E36+HVW!E36+MZ!E36+BUGMC!E36+HD!E36+LT!E36+FBG!E36+FSU!E36</f>
        <v>7449</v>
      </c>
      <c r="F36" s="16">
        <f>AS!F36+RI!F36+GA!F36+RLX!F36+SP!F36+WR!F36+MA!F36+TBD!F36+WA!F36+GB!F36+WM!F36+SU!F36+AX!F36+VW!F36+HY!F36+IN!F36+FR!F36+ST!F36+CH!F36+TC!F36+LX!F36+HSU!F36+HVW!F36+MZ!F36+BUGMC!F36+HD!F36+LT!F36+FBG!F36+FSU!F36</f>
        <v>7449</v>
      </c>
      <c r="G36" s="16">
        <f>AS!G36+RI!G36+GA!G36+RLX!G36+SP!G36+WR!G36+MA!G36+TBD!G36+WA!G36+GB!G36+WM!G36+SU!G36+AX!G36+VW!G36+HY!G36+IN!G36+FR!G36+ST!G36+CH!G36+TC!G36+LX!G36+HSU!G36+HVW!G36+MZ!G36+BUGMC!G36+HD!G36+LT!G36+FBG!G36+FSU!G36</f>
        <v>7449</v>
      </c>
      <c r="H36" s="16">
        <f>AS!H36+RI!H36+GA!H36+RLX!H36+SP!H36+WR!H36+MA!H36+TBD!H36+WA!H36+GB!H36+WM!H36+SU!H36+AX!H36+VW!H36+HY!H36+IN!H36+FR!H36+ST!H36+CH!H36+TC!H36+LX!H36+HSU!H36+HVW!H36+MZ!H36+BUGMC!H36+HD!H36+LT!H36+FBG!H36+FSU!H36</f>
        <v>7449</v>
      </c>
      <c r="I36" s="16">
        <f>AS!I36+RI!I36+GA!I36+RLX!I36+SP!I36+WR!I36+MA!I36+TBD!I36+WA!I36+GB!I36+WM!I36+SU!I36+AX!I36+VW!I36+HY!I36+IN!I36+FR!I36+ST!I36+CH!I36+TC!I36+LX!I36+HSU!I36+HVW!I36+MZ!I36+BUGMC!I36+HD!I36+LT!I36+FBG!I36+FSU!I36</f>
        <v>7449</v>
      </c>
      <c r="J36" s="16">
        <f>AS!J36+RI!J36+GA!J36+RLX!J36+SP!J36+WR!J36+MA!J36+TBD!J36+WA!J36+GB!J36+WM!J36+SU!J36+AX!J36+VW!J36+HY!J36+IN!J36+FR!J36+ST!J36+CH!J36+TC!J36+LX!J36+HSU!J36+HVW!J36+MZ!J36+BUGMC!J36+HD!J36+LT!J36+FBG!J36+FSU!J36</f>
        <v>7449</v>
      </c>
      <c r="K36" s="16">
        <f>AS!K36+RI!K36+GA!K36+RLX!K36+SP!K36+WR!K36+MA!K36+TBD!K36+WA!K36+GB!K36+WM!K36+SU!K36+AX!K36+VW!K36+HY!K36+IN!K36+FR!K36+ST!K36+CH!K36+TC!K36+LX!K36+HSU!K36+HVW!K36+MZ!K36+BUGMC!K36+HD!K36+LT!K36+FBG!K36+FSU!K36</f>
        <v>7449</v>
      </c>
      <c r="L36" s="16">
        <f>AS!L36+RI!L36+GA!L36+RLX!L36+SP!L36+WR!L36+MA!L36+TBD!L36+WA!L36+GB!L36+WM!L36+SU!L36+AX!L36+VW!L36+HY!L36+IN!L36+FR!L36+ST!L36+CH!L36+TC!L36+LX!L36+HSU!L36+HVW!L36+MZ!L36+BUGMC!L36+HD!L36+LT!L36+FBG!L36+FSU!L36</f>
        <v>7449</v>
      </c>
      <c r="M36" s="16">
        <f>AS!M36+RI!M36+GA!M36+RLX!M36+SP!M36+WR!M36+MA!M36+TBD!M36+WA!M36+GB!M36+WM!M36+SU!M36+AX!M36+VW!M36+HY!M36+IN!M36+FR!M36+ST!M36+CH!M36+TC!M36+LX!M36+HSU!M36+HVW!M36+MZ!M36+BUGMC!M36+HD!M36+LT!M36+FBG!M36+FSU!M36</f>
        <v>7449</v>
      </c>
      <c r="N36" s="17">
        <f t="shared" si="7"/>
        <v>89388</v>
      </c>
      <c r="O36" s="18"/>
    </row>
    <row r="37" ht="13.5" customHeight="1">
      <c r="A37" s="26" t="s">
        <v>42</v>
      </c>
      <c r="B37" s="16">
        <f>AS!B37+RI!B37+GA!B37+RLX!B37+SP!B37+WR!B37+MA!B37+TBD!B37+WA!B37+GB!B37+WM!B37+SU!B37+AX!B37+VW!B37+HY!B37+IN!B37+FR!B37+ST!B37+CH!B37+TC!B37+LX!B37+HSU!B37+HVW!B37+MZ!B37+BUGMC!B37+HD!B37+LT!B37+FBG!B37+FSU!B37</f>
        <v>11784</v>
      </c>
      <c r="C37" s="16">
        <f>AS!C37+RI!C37+GA!C37+RLX!C37+SP!C37+WR!C37+MA!C37+TBD!C37+WA!C37+GB!C37+WM!C37+SU!C37+AX!C37+VW!C37+HY!C37+IN!C37+FR!C37+ST!C37+CH!C37+TC!C37+LX!C37+HSU!C37+HVW!C37+MZ!C37+BUGMC!C37+HD!C37+LT!C37+FBG!C37+FSU!C37</f>
        <v>11784</v>
      </c>
      <c r="D37" s="16">
        <f>AS!D37+RI!D37+GA!D37+RLX!D37+SP!D37+WR!D37+MA!D37+TBD!D37+WA!D37+GB!D37+WM!D37+SU!D37+AX!D37+VW!D37+HY!D37+IN!D37+FR!D37+ST!D37+CH!D37+TC!D37+LX!D37+HSU!D37+HVW!D37+MZ!D37+BUGMC!D37+HD!D37+LT!D37+FBG!D37+FSU!D37</f>
        <v>11784</v>
      </c>
      <c r="E37" s="16">
        <f>AS!E37+RI!E37+GA!E37+RLX!E37+SP!E37+WR!E37+MA!E37+TBD!E37+WA!E37+GB!E37+WM!E37+SU!E37+AX!E37+VW!E37+HY!E37+IN!E37+FR!E37+ST!E37+CH!E37+TC!E37+LX!E37+HSU!E37+HVW!E37+MZ!E37+BUGMC!E37+HD!E37+LT!E37+FBG!E37+FSU!E37</f>
        <v>11784</v>
      </c>
      <c r="F37" s="16">
        <f>AS!F37+RI!F37+GA!F37+RLX!F37+SP!F37+WR!F37+MA!F37+TBD!F37+WA!F37+GB!F37+WM!F37+SU!F37+AX!F37+VW!F37+HY!F37+IN!F37+FR!F37+ST!F37+CH!F37+TC!F37+LX!F37+HSU!F37+HVW!F37+MZ!F37+BUGMC!F37+HD!F37+LT!F37+FBG!F37+FSU!F37</f>
        <v>11784</v>
      </c>
      <c r="G37" s="16">
        <f>AS!G37+RI!G37+GA!G37+RLX!G37+SP!G37+WR!G37+MA!G37+TBD!G37+WA!G37+GB!G37+WM!G37+SU!G37+AX!G37+VW!G37+HY!G37+IN!G37+FR!G37+ST!G37+CH!G37+TC!G37+LX!G37+HSU!G37+HVW!G37+MZ!G37+BUGMC!G37+HD!G37+LT!G37+FBG!G37+FSU!G37</f>
        <v>11784</v>
      </c>
      <c r="H37" s="16">
        <f>AS!H37+RI!H37+GA!H37+RLX!H37+SP!H37+WR!H37+MA!H37+TBD!H37+WA!H37+GB!H37+WM!H37+SU!H37+AX!H37+VW!H37+HY!H37+IN!H37+FR!H37+ST!H37+CH!H37+TC!H37+LX!H37+HSU!H37+HVW!H37+MZ!H37+BUGMC!H37+HD!H37+LT!H37+FBG!H37+FSU!H37</f>
        <v>11784</v>
      </c>
      <c r="I37" s="16">
        <f>AS!I37+RI!I37+GA!I37+RLX!I37+SP!I37+WR!I37+MA!I37+TBD!I37+WA!I37+GB!I37+WM!I37+SU!I37+AX!I37+VW!I37+HY!I37+IN!I37+FR!I37+ST!I37+CH!I37+TC!I37+LX!I37+HSU!I37+HVW!I37+MZ!I37+BUGMC!I37+HD!I37+LT!I37+FBG!I37+FSU!I37</f>
        <v>11784</v>
      </c>
      <c r="J37" s="16">
        <f>AS!J37+RI!J37+GA!J37+RLX!J37+SP!J37+WR!J37+MA!J37+TBD!J37+WA!J37+GB!J37+WM!J37+SU!J37+AX!J37+VW!J37+HY!J37+IN!J37+FR!J37+ST!J37+CH!J37+TC!J37+LX!J37+HSU!J37+HVW!J37+MZ!J37+BUGMC!J37+HD!J37+LT!J37+FBG!J37+FSU!J37</f>
        <v>11784</v>
      </c>
      <c r="K37" s="16">
        <f>AS!K37+RI!K37+GA!K37+RLX!K37+SP!K37+WR!K37+MA!K37+TBD!K37+WA!K37+GB!K37+WM!K37+SU!K37+AX!K37+VW!K37+HY!K37+IN!K37+FR!K37+ST!K37+CH!K37+TC!K37+LX!K37+HSU!K37+HVW!K37+MZ!K37+BUGMC!K37+HD!K37+LT!K37+FBG!K37+FSU!K37</f>
        <v>11784</v>
      </c>
      <c r="L37" s="16">
        <f>AS!L37+RI!L37+GA!L37+RLX!L37+SP!L37+WR!L37+MA!L37+TBD!L37+WA!L37+GB!L37+WM!L37+SU!L37+AX!L37+VW!L37+HY!L37+IN!L37+FR!L37+ST!L37+CH!L37+TC!L37+LX!L37+HSU!L37+HVW!L37+MZ!L37+BUGMC!L37+HD!L37+LT!L37+FBG!L37+FSU!L37</f>
        <v>11784</v>
      </c>
      <c r="M37" s="16">
        <f>AS!M37+RI!M37+GA!M37+RLX!M37+SP!M37+WR!M37+MA!M37+TBD!M37+WA!M37+GB!M37+WM!M37+SU!M37+AX!M37+VW!M37+HY!M37+IN!M37+FR!M37+ST!M37+CH!M37+TC!M37+LX!M37+HSU!M37+HVW!M37+MZ!M37+BUGMC!M37+HD!M37+LT!M37+FBG!M37+FSU!M37</f>
        <v>11784</v>
      </c>
      <c r="N37" s="17">
        <f t="shared" si="7"/>
        <v>141408</v>
      </c>
      <c r="O37" s="18"/>
    </row>
    <row r="38" ht="13.5" customHeight="1">
      <c r="A38" s="26" t="s">
        <v>43</v>
      </c>
      <c r="B38" s="16">
        <f>AS!B38+RI!B38+GA!B38+RLX!B38+SP!B38+WR!B38+MA!B38+TBD!B38+WA!B38+GB!B38+WM!B38+SU!B38+AX!B38+VW!B38+HY!B38+IN!B38+FR!B38+ST!B38+CH!B38+TC!B38+LX!B38+HSU!B38+HVW!B38+MZ!B38+BUGMC!B38+HD!B38+LT!B38+FBG!B38+FSU!B38</f>
        <v>0</v>
      </c>
      <c r="C38" s="16">
        <f>AS!C38+RI!C38+GA!C38+RLX!C38+SP!C38+WR!C38+MA!C38+TBD!C38+WA!C38+GB!C38+WM!C38+SU!C38+AX!C38+VW!C38+HY!C38+IN!C38+FR!C38+ST!C38+CH!C38+TC!C38+LX!C38+HSU!C38+HVW!C38+MZ!C38+BUGMC!C38+HD!C38+LT!C38+FBG!C38+FSU!C38</f>
        <v>0</v>
      </c>
      <c r="D38" s="16">
        <f>AS!D38+RI!D38+GA!D38+RLX!D38+SP!D38+WR!D38+MA!D38+TBD!D38+WA!D38+GB!D38+WM!D38+SU!D38+AX!D38+VW!D38+HY!D38+IN!D38+FR!D38+ST!D38+CH!D38+TC!D38+LX!D38+HSU!D38+HVW!D38+MZ!D38+BUGMC!D38+HD!D38+LT!D38+FBG!D38+FSU!D38</f>
        <v>0</v>
      </c>
      <c r="E38" s="16">
        <f>AS!E38+RI!E38+GA!E38+RLX!E38+SP!E38+WR!E38+MA!E38+TBD!E38+WA!E38+GB!E38+WM!E38+SU!E38+AX!E38+VW!E38+HY!E38+IN!E38+FR!E38+ST!E38+CH!E38+TC!E38+LX!E38+HSU!E38+HVW!E38+MZ!E38+BUGMC!E38+HD!E38+LT!E38+FBG!E38+FSU!E38</f>
        <v>0</v>
      </c>
      <c r="F38" s="16">
        <f>AS!F38+RI!F38+GA!F38+RLX!F38+SP!F38+WR!F38+MA!F38+TBD!F38+WA!F38+GB!F38+WM!F38+SU!F38+AX!F38+VW!F38+HY!F38+IN!F38+FR!F38+ST!F38+CH!F38+TC!F38+LX!F38+HSU!F38+HVW!F38+MZ!F38+BUGMC!F38+HD!F38+LT!F38+FBG!F38+FSU!F38</f>
        <v>0</v>
      </c>
      <c r="G38" s="16">
        <f>AS!G38+RI!G38+GA!G38+RLX!G38+SP!G38+WR!G38+MA!G38+TBD!G38+WA!G38+GB!G38+WM!G38+SU!G38+AX!G38+VW!G38+HY!G38+IN!G38+FR!G38+ST!G38+CH!G38+TC!G38+LX!G38+HSU!G38+HVW!G38+MZ!G38+BUGMC!G38+HD!G38+LT!G38+FBG!G38+FSU!G38</f>
        <v>0</v>
      </c>
      <c r="H38" s="16">
        <f>AS!H38+RI!H38+GA!H38+RLX!H38+SP!H38+WR!H38+MA!H38+TBD!H38+WA!H38+GB!H38+WM!H38+SU!H38+AX!H38+VW!H38+HY!H38+IN!H38+FR!H38+ST!H38+CH!H38+TC!H38+LX!H38+HSU!H38+HVW!H38+MZ!H38+BUGMC!H38+HD!H38+LT!H38+FBG!H38+FSU!H38</f>
        <v>0</v>
      </c>
      <c r="I38" s="16">
        <f>AS!I38+RI!I38+GA!I38+RLX!I38+SP!I38+WR!I38+MA!I38+TBD!I38+WA!I38+GB!I38+WM!I38+SU!I38+AX!I38+VW!I38+HY!I38+IN!I38+FR!I38+ST!I38+CH!I38+TC!I38+LX!I38+HSU!I38+HVW!I38+MZ!I38+BUGMC!I38+HD!I38+LT!I38+FBG!I38+FSU!I38</f>
        <v>0</v>
      </c>
      <c r="J38" s="16">
        <f>AS!J38+RI!J38+GA!J38+RLX!J38+SP!J38+WR!J38+MA!J38+TBD!J38+WA!J38+GB!J38+WM!J38+SU!J38+AX!J38+VW!J38+HY!J38+IN!J38+FR!J38+ST!J38+CH!J38+TC!J38+LX!J38+HSU!J38+HVW!J38+MZ!J38+BUGMC!J38+HD!J38+LT!J38+FBG!J38+FSU!J38</f>
        <v>0</v>
      </c>
      <c r="K38" s="16">
        <f>AS!K38+RI!K38+GA!K38+RLX!K38+SP!K38+WR!K38+MA!K38+TBD!K38+WA!K38+GB!K38+WM!K38+SU!K38+AX!K38+VW!K38+HY!K38+IN!K38+FR!K38+ST!K38+CH!K38+TC!K38+LX!K38+HSU!K38+HVW!K38+MZ!K38+BUGMC!K38+HD!K38+LT!K38+FBG!K38+FSU!K38</f>
        <v>0</v>
      </c>
      <c r="L38" s="16">
        <f>AS!L38+RI!L38+GA!L38+RLX!L38+SP!L38+WR!L38+MA!L38+TBD!L38+WA!L38+GB!L38+WM!L38+SU!L38+AX!L38+VW!L38+HY!L38+IN!L38+FR!L38+ST!L38+CH!L38+TC!L38+LX!L38+HSU!L38+HVW!L38+MZ!L38+BUGMC!L38+HD!L38+LT!L38+FBG!L38+FSU!L38</f>
        <v>0</v>
      </c>
      <c r="M38" s="16">
        <f>AS!M38+RI!M38+GA!M38+RLX!M38+SP!M38+WR!M38+MA!M38+TBD!M38+WA!M38+GB!M38+WM!M38+SU!M38+AX!M38+VW!M38+HY!M38+IN!M38+FR!M38+ST!M38+CH!M38+TC!M38+LX!M38+HSU!M38+HVW!M38+MZ!M38+BUGMC!M38+HD!M38+LT!M38+FBG!M38+FSU!M38</f>
        <v>0</v>
      </c>
      <c r="N38" s="17">
        <f t="shared" si="7"/>
        <v>0</v>
      </c>
      <c r="O38" s="18"/>
    </row>
    <row r="39" ht="13.5" customHeight="1">
      <c r="A39" s="26" t="s">
        <v>44</v>
      </c>
      <c r="B39" s="16">
        <f>AS!B39+RI!B39+GA!B39+RLX!B39+SP!B39+WR!B39+MA!B39+TBD!B39+WA!B39+GB!B39+WM!B39+SU!B39+AX!B39+VW!B39+HY!B39+IN!B39+FR!B39+ST!B39+CH!B39+TC!B39+LX!B39+HSU!B39+HVW!B39+MZ!B39+BUGMC!B39+HD!B39+LT!B39+FBG!B39+FSU!B39</f>
        <v>1780</v>
      </c>
      <c r="C39" s="16">
        <f>AS!C39+RI!C39+GA!C39+RLX!C39+SP!C39+WR!C39+MA!C39+TBD!C39+WA!C39+GB!C39+WM!C39+SU!C39+AX!C39+VW!C39+HY!C39+IN!C39+FR!C39+ST!C39+CH!C39+TC!C39+LX!C39+HSU!C39+HVW!C39+MZ!C39+BUGMC!C39+HD!C39+LT!C39+FBG!C39+FSU!C39</f>
        <v>1780</v>
      </c>
      <c r="D39" s="16">
        <f>AS!D39+RI!D39+GA!D39+RLX!D39+SP!D39+WR!D39+MA!D39+TBD!D39+WA!D39+GB!D39+WM!D39+SU!D39+AX!D39+VW!D39+HY!D39+IN!D39+FR!D39+ST!D39+CH!D39+TC!D39+LX!D39+HSU!D39+HVW!D39+MZ!D39+BUGMC!D39+HD!D39+LT!D39+FBG!D39+FSU!D39</f>
        <v>1780</v>
      </c>
      <c r="E39" s="16">
        <f>AS!E39+RI!E39+GA!E39+RLX!E39+SP!E39+WR!E39+MA!E39+TBD!E39+WA!E39+GB!E39+WM!E39+SU!E39+AX!E39+VW!E39+HY!E39+IN!E39+FR!E39+ST!E39+CH!E39+TC!E39+LX!E39+HSU!E39+HVW!E39+MZ!E39+BUGMC!E39+HD!E39+LT!E39+FBG!E39+FSU!E39</f>
        <v>1780</v>
      </c>
      <c r="F39" s="16">
        <f>AS!F39+RI!F39+GA!F39+RLX!F39+SP!F39+WR!F39+MA!F39+TBD!F39+WA!F39+GB!F39+WM!F39+SU!F39+AX!F39+VW!F39+HY!F39+IN!F39+FR!F39+ST!F39+CH!F39+TC!F39+LX!F39+HSU!F39+HVW!F39+MZ!F39+BUGMC!F39+HD!F39+LT!F39+FBG!F39+FSU!F39</f>
        <v>1780</v>
      </c>
      <c r="G39" s="16">
        <f>AS!G39+RI!G39+GA!G39+RLX!G39+SP!G39+WR!G39+MA!G39+TBD!G39+WA!G39+GB!G39+WM!G39+SU!G39+AX!G39+VW!G39+HY!G39+IN!G39+FR!G39+ST!G39+CH!G39+TC!G39+LX!G39+HSU!G39+HVW!G39+MZ!G39+BUGMC!G39+HD!G39+LT!G39+FBG!G39+FSU!G39</f>
        <v>1780</v>
      </c>
      <c r="H39" s="16">
        <f>AS!H39+RI!H39+GA!H39+RLX!H39+SP!H39+WR!H39+MA!H39+TBD!H39+WA!H39+GB!H39+WM!H39+SU!H39+AX!H39+VW!H39+HY!H39+IN!H39+FR!H39+ST!H39+CH!H39+TC!H39+LX!H39+HSU!H39+HVW!H39+MZ!H39+BUGMC!H39+HD!H39+LT!H39+FBG!H39+FSU!H39</f>
        <v>1780</v>
      </c>
      <c r="I39" s="16">
        <f>AS!I39+RI!I39+GA!I39+RLX!I39+SP!I39+WR!I39+MA!I39+TBD!I39+WA!I39+GB!I39+WM!I39+SU!I39+AX!I39+VW!I39+HY!I39+IN!I39+FR!I39+ST!I39+CH!I39+TC!I39+LX!I39+HSU!I39+HVW!I39+MZ!I39+BUGMC!I39+HD!I39+LT!I39+FBG!I39+FSU!I39</f>
        <v>1780</v>
      </c>
      <c r="J39" s="16">
        <f>AS!J39+RI!J39+GA!J39+RLX!J39+SP!J39+WR!J39+MA!J39+TBD!J39+WA!J39+GB!J39+WM!J39+SU!J39+AX!J39+VW!J39+HY!J39+IN!J39+FR!J39+ST!J39+CH!J39+TC!J39+LX!J39+HSU!J39+HVW!J39+MZ!J39+BUGMC!J39+HD!J39+LT!J39+FBG!J39+FSU!J39</f>
        <v>1780</v>
      </c>
      <c r="K39" s="16">
        <f>AS!K39+RI!K39+GA!K39+RLX!K39+SP!K39+WR!K39+MA!K39+TBD!K39+WA!K39+GB!K39+WM!K39+SU!K39+AX!K39+VW!K39+HY!K39+IN!K39+FR!K39+ST!K39+CH!K39+TC!K39+LX!K39+HSU!K39+HVW!K39+MZ!K39+BUGMC!K39+HD!K39+LT!K39+FBG!K39+FSU!K39</f>
        <v>1780</v>
      </c>
      <c r="L39" s="16">
        <f>AS!L39+RI!L39+GA!L39+RLX!L39+SP!L39+WR!L39+MA!L39+TBD!L39+WA!L39+GB!L39+WM!L39+SU!L39+AX!L39+VW!L39+HY!L39+IN!L39+FR!L39+ST!L39+CH!L39+TC!L39+LX!L39+HSU!L39+HVW!L39+MZ!L39+BUGMC!L39+HD!L39+LT!L39+FBG!L39+FSU!L39</f>
        <v>1780</v>
      </c>
      <c r="M39" s="16">
        <f>AS!M39+RI!M39+GA!M39+RLX!M39+SP!M39+WR!M39+MA!M39+TBD!M39+WA!M39+GB!M39+WM!M39+SU!M39+AX!M39+VW!M39+HY!M39+IN!M39+FR!M39+ST!M39+CH!M39+TC!M39+LX!M39+HSU!M39+HVW!M39+MZ!M39+BUGMC!M39+HD!M39+LT!M39+FBG!M39+FSU!M39</f>
        <v>1780</v>
      </c>
      <c r="N39" s="17">
        <f t="shared" si="7"/>
        <v>21360</v>
      </c>
      <c r="O39" s="18"/>
    </row>
    <row r="40" ht="13.5" customHeight="1">
      <c r="A40" s="26" t="s">
        <v>45</v>
      </c>
      <c r="B40" s="16">
        <f>AS!B40+RI!B40+GA!B40+RLX!B40+SP!B40+WR!B40+MA!B40+TBD!B40+WA!B40+GB!B40+WM!B40+SU!B40+AX!B40+VW!B40+HY!B40+IN!B40+FR!B40+ST!B40+CH!B40+TC!B40+LX!B40+HSU!B40+HVW!B40+MZ!B40+BUGMC!B40+HD!B40+LT!B40+FBG!B40+FSU!B40</f>
        <v>0</v>
      </c>
      <c r="C40" s="16">
        <f>AS!C40+RI!C40+GA!C40+RLX!C40+SP!C40+WR!C40+MA!C40+TBD!C40+WA!C40+GB!C40+WM!C40+SU!C40+AX!C40+VW!C40+HY!C40+IN!C40+FR!C40+ST!C40+CH!C40+TC!C40+LX!C40+HSU!C40+HVW!C40+MZ!C40+BUGMC!C40+HD!C40+LT!C40+FBG!C40+FSU!C40</f>
        <v>0</v>
      </c>
      <c r="D40" s="16">
        <f>AS!D40+RI!D40+GA!D40+RLX!D40+SP!D40+WR!D40+MA!D40+TBD!D40+WA!D40+GB!D40+WM!D40+SU!D40+AX!D40+VW!D40+HY!D40+IN!D40+FR!D40+ST!D40+CH!D40+TC!D40+LX!D40+HSU!D40+HVW!D40+MZ!D40+BUGMC!D40+HD!D40+LT!D40+FBG!D40+FSU!D40</f>
        <v>0</v>
      </c>
      <c r="E40" s="16">
        <f>AS!E40+RI!E40+GA!E40+RLX!E40+SP!E40+WR!E40+MA!E40+TBD!E40+WA!E40+GB!E40+WM!E40+SU!E40+AX!E40+VW!E40+HY!E40+IN!E40+FR!E40+ST!E40+CH!E40+TC!E40+LX!E40+HSU!E40+HVW!E40+MZ!E40+BUGMC!E40+HD!E40+LT!E40+FBG!E40+FSU!E40</f>
        <v>0</v>
      </c>
      <c r="F40" s="16">
        <f>AS!F40+RI!F40+GA!F40+RLX!F40+SP!F40+WR!F40+MA!F40+TBD!F40+WA!F40+GB!F40+WM!F40+SU!F40+AX!F40+VW!F40+HY!F40+IN!F40+FR!F40+ST!F40+CH!F40+TC!F40+LX!F40+HSU!F40+HVW!F40+MZ!F40+BUGMC!F40+HD!F40+LT!F40+FBG!F40+FSU!F40</f>
        <v>0</v>
      </c>
      <c r="G40" s="16">
        <f>AS!G40+RI!G40+GA!G40+RLX!G40+SP!G40+WR!G40+MA!G40+TBD!G40+WA!G40+GB!G40+WM!G40+SU!G40+AX!G40+VW!G40+HY!G40+IN!G40+FR!G40+ST!G40+CH!G40+TC!G40+LX!G40+HSU!G40+HVW!G40+MZ!G40+BUGMC!G40+HD!G40+LT!G40+FBG!G40+FSU!G40</f>
        <v>0</v>
      </c>
      <c r="H40" s="16">
        <f>AS!H40+RI!H40+GA!H40+RLX!H40+SP!H40+WR!H40+MA!H40+TBD!H40+WA!H40+GB!H40+WM!H40+SU!H40+AX!H40+VW!H40+HY!H40+IN!H40+FR!H40+ST!H40+CH!H40+TC!H40+LX!H40+HSU!H40+HVW!H40+MZ!H40+BUGMC!H40+HD!H40+LT!H40+FBG!H40+FSU!H40</f>
        <v>0</v>
      </c>
      <c r="I40" s="16">
        <f>AS!I40+RI!I40+GA!I40+RLX!I40+SP!I40+WR!I40+MA!I40+TBD!I40+WA!I40+GB!I40+WM!I40+SU!I40+AX!I40+VW!I40+HY!I40+IN!I40+FR!I40+ST!I40+CH!I40+TC!I40+LX!I40+HSU!I40+HVW!I40+MZ!I40+BUGMC!I40+HD!I40+LT!I40+FBG!I40+FSU!I40</f>
        <v>0</v>
      </c>
      <c r="J40" s="16">
        <f>AS!J40+RI!J40+GA!J40+RLX!J40+SP!J40+WR!J40+MA!J40+TBD!J40+WA!J40+GB!J40+WM!J40+SU!J40+AX!J40+VW!J40+HY!J40+IN!J40+FR!J40+ST!J40+CH!J40+TC!J40+LX!J40+HSU!J40+HVW!J40+MZ!J40+BUGMC!J40+HD!J40+LT!J40+FBG!J40+FSU!J40</f>
        <v>0</v>
      </c>
      <c r="K40" s="16">
        <f>AS!K40+RI!K40+GA!K40+RLX!K40+SP!K40+WR!K40+MA!K40+TBD!K40+WA!K40+GB!K40+WM!K40+SU!K40+AX!K40+VW!K40+HY!K40+IN!K40+FR!K40+ST!K40+CH!K40+TC!K40+LX!K40+HSU!K40+HVW!K40+MZ!K40+BUGMC!K40+HD!K40+LT!K40+FBG!K40+FSU!K40</f>
        <v>0</v>
      </c>
      <c r="L40" s="16">
        <f>AS!L40+RI!L40+GA!L40+RLX!L40+SP!L40+WR!L40+MA!L40+TBD!L40+WA!L40+GB!L40+WM!L40+SU!L40+AX!L40+VW!L40+HY!L40+IN!L40+FR!L40+ST!L40+CH!L40+TC!L40+LX!L40+HSU!L40+HVW!L40+MZ!L40+BUGMC!L40+HD!L40+LT!L40+FBG!L40+FSU!L40</f>
        <v>0</v>
      </c>
      <c r="M40" s="16">
        <f>AS!M40+RI!M40+GA!M40+RLX!M40+SP!M40+WR!M40+MA!M40+TBD!M40+WA!M40+GB!M40+WM!M40+SU!M40+AX!M40+VW!M40+HY!M40+IN!M40+FR!M40+ST!M40+CH!M40+TC!M40+LX!M40+HSU!M40+HVW!M40+MZ!M40+BUGMC!M40+HD!M40+LT!M40+FBG!M40+FSU!M40</f>
        <v>0</v>
      </c>
      <c r="N40" s="17">
        <f t="shared" si="7"/>
        <v>0</v>
      </c>
      <c r="O40" s="18"/>
    </row>
    <row r="41" ht="13.5" customHeight="1">
      <c r="A41" s="26" t="s">
        <v>46</v>
      </c>
      <c r="B41" s="16">
        <f>AS!B41+RI!B41+GA!B41+RLX!B41+SP!B41+WR!B41+MA!B41+TBD!B41+WA!B41+GB!B41+WM!B41+SU!B41+AX!B41+VW!B41+HY!B41+IN!B41+FR!B41+ST!B41+CH!B41+TC!B41+LX!B41+HSU!B41+HVW!B41+MZ!B41+BUGMC!B41+HD!B41+LT!B41+FBG!B41+FSU!B41</f>
        <v>69485</v>
      </c>
      <c r="C41" s="16">
        <f>AS!C41+RI!C41+GA!C41+RLX!C41+SP!C41+WR!C41+MA!C41+TBD!C41+WA!C41+GB!C41+WM!C41+SU!C41+AX!C41+VW!C41+HY!C41+IN!C41+FR!C41+ST!C41+CH!C41+TC!C41+LX!C41+HSU!C41+HVW!C41+MZ!C41+BUGMC!C41+HD!C41+LT!C41+FBG!C41+FSU!C41</f>
        <v>69485</v>
      </c>
      <c r="D41" s="16">
        <f>AS!D41+RI!D41+GA!D41+RLX!D41+SP!D41+WR!D41+MA!D41+TBD!D41+WA!D41+GB!D41+WM!D41+SU!D41+AX!D41+VW!D41+HY!D41+IN!D41+FR!D41+ST!D41+CH!D41+TC!D41+LX!D41+HSU!D41+HVW!D41+MZ!D41+BUGMC!D41+HD!D41+LT!D41+FBG!D41+FSU!D41</f>
        <v>78340</v>
      </c>
      <c r="E41" s="16">
        <f>AS!E41+RI!E41+GA!E41+RLX!E41+SP!E41+WR!E41+MA!E41+TBD!E41+WA!E41+GB!E41+WM!E41+SU!E41+AX!E41+VW!E41+HY!E41+IN!E41+FR!E41+ST!E41+CH!E41+TC!E41+LX!E41+HSU!E41+HVW!E41+MZ!E41+BUGMC!E41+HD!E41+LT!E41+FBG!E41+FSU!E41</f>
        <v>78340</v>
      </c>
      <c r="F41" s="16">
        <f>AS!F41+RI!F41+GA!F41+RLX!F41+SP!F41+WR!F41+MA!F41+TBD!F41+WA!F41+GB!F41+WM!F41+SU!F41+AX!F41+VW!F41+HY!F41+IN!F41+FR!F41+ST!F41+CH!F41+TC!F41+LX!F41+HSU!F41+HVW!F41+MZ!F41+BUGMC!F41+HD!F41+LT!F41+FBG!F41+FSU!F41</f>
        <v>78340</v>
      </c>
      <c r="G41" s="16">
        <f>AS!G41+RI!G41+GA!G41+RLX!G41+SP!G41+WR!G41+MA!G41+TBD!G41+WA!G41+GB!G41+WM!G41+SU!G41+AX!G41+VW!G41+HY!G41+IN!G41+FR!G41+ST!G41+CH!G41+TC!G41+LX!G41+HSU!G41+HVW!G41+MZ!G41+BUGMC!G41+HD!G41+LT!G41+FBG!G41+FSU!G41</f>
        <v>78340</v>
      </c>
      <c r="H41" s="16">
        <f>AS!H41+RI!H41+GA!H41+RLX!H41+SP!H41+WR!H41+MA!H41+TBD!H41+WA!H41+GB!H41+WM!H41+SU!H41+AX!H41+VW!H41+HY!H41+IN!H41+FR!H41+ST!H41+CH!H41+TC!H41+LX!H41+HSU!H41+HVW!H41+MZ!H41+BUGMC!H41+HD!H41+LT!H41+FBG!H41+FSU!H41</f>
        <v>78340</v>
      </c>
      <c r="I41" s="16">
        <f>AS!I41+RI!I41+GA!I41+RLX!I41+SP!I41+WR!I41+MA!I41+TBD!I41+WA!I41+GB!I41+WM!I41+SU!I41+AX!I41+VW!I41+HY!I41+IN!I41+FR!I41+ST!I41+CH!I41+TC!I41+LX!I41+HSU!I41+HVW!I41+MZ!I41+BUGMC!I41+HD!I41+LT!I41+FBG!I41+FSU!I41</f>
        <v>78340</v>
      </c>
      <c r="J41" s="16">
        <f>AS!J41+RI!J41+GA!J41+RLX!J41+SP!J41+WR!J41+MA!J41+TBD!J41+WA!J41+GB!J41+WM!J41+SU!J41+AX!J41+VW!J41+HY!J41+IN!J41+FR!J41+ST!J41+CH!J41+TC!J41+LX!J41+HSU!J41+HVW!J41+MZ!J41+BUGMC!J41+HD!J41+LT!J41+FBG!J41+FSU!J41</f>
        <v>78340</v>
      </c>
      <c r="K41" s="16">
        <f>AS!K41+RI!K41+GA!K41+RLX!K41+SP!K41+WR!K41+MA!K41+TBD!K41+WA!K41+GB!K41+WM!K41+SU!K41+AX!K41+VW!K41+HY!K41+IN!K41+FR!K41+ST!K41+CH!K41+TC!K41+LX!K41+HSU!K41+HVW!K41+MZ!K41+BUGMC!K41+HD!K41+LT!K41+FBG!K41+FSU!K41</f>
        <v>78340</v>
      </c>
      <c r="L41" s="16">
        <f>AS!L41+RI!L41+GA!L41+RLX!L41+SP!L41+WR!L41+MA!L41+TBD!L41+WA!L41+GB!L41+WM!L41+SU!L41+AX!L41+VW!L41+HY!L41+IN!L41+FR!L41+ST!L41+CH!L41+TC!L41+LX!L41+HSU!L41+HVW!L41+MZ!L41+BUGMC!L41+HD!L41+LT!L41+FBG!L41+FSU!L41</f>
        <v>78340</v>
      </c>
      <c r="M41" s="16">
        <f>AS!M41+RI!M41+GA!M41+RLX!M41+SP!M41+WR!M41+MA!M41+TBD!M41+WA!M41+GB!M41+WM!M41+SU!M41+AX!M41+VW!M41+HY!M41+IN!M41+FR!M41+ST!M41+CH!M41+TC!M41+LX!M41+HSU!M41+HVW!M41+MZ!M41+BUGMC!M41+HD!M41+LT!M41+FBG!M41+FSU!M41</f>
        <v>78340</v>
      </c>
      <c r="N41" s="17">
        <f t="shared" si="7"/>
        <v>922370</v>
      </c>
      <c r="O41" s="18"/>
    </row>
    <row r="42" ht="13.5" customHeight="1">
      <c r="A42" s="32" t="s">
        <v>47</v>
      </c>
      <c r="B42" s="16">
        <f>AS!B42+RI!B42+GA!B42+RLX!B42+SP!B42+WR!B42+MA!B42+TBD!B42+WA!B42+GB!B42+WM!B42+SU!B42+AX!B42+VW!B42+HY!B42+IN!B42+FR!B42+ST!B42+CH!B42+TC!B42+LX!B42+HSU!B42+HVW!B42+MZ!B42+BUGMC!B42+HD!B42+LT!B42+FBG!B42+FSU!B42</f>
        <v>9680</v>
      </c>
      <c r="C42" s="16">
        <f>AS!C42+RI!C42+GA!C42+RLX!C42+SP!C42+WR!C42+MA!C42+TBD!C42+WA!C42+GB!C42+WM!C42+SU!C42+AX!C42+VW!C42+HY!C42+IN!C42+FR!C42+ST!C42+CH!C42+TC!C42+LX!C42+HSU!C42+HVW!C42+MZ!C42+BUGMC!C42+HD!C42+LT!C42+FBG!C42+FSU!C42</f>
        <v>10045</v>
      </c>
      <c r="D42" s="16">
        <f>AS!D42+RI!D42+GA!D42+RLX!D42+SP!D42+WR!D42+MA!D42+TBD!D42+WA!D42+GB!D42+WM!D42+SU!D42+AX!D42+VW!D42+HY!D42+IN!D42+FR!D42+ST!D42+CH!D42+TC!D42+LX!D42+HSU!D42+HVW!D42+MZ!D42+BUGMC!D42+HD!D42+LT!D42+FBG!D42+FSU!D42</f>
        <v>10045</v>
      </c>
      <c r="E42" s="16">
        <f>AS!E42+RI!E42+GA!E42+RLX!E42+SP!E42+WR!E42+MA!E42+TBD!E42+WA!E42+GB!E42+WM!E42+SU!E42+AX!E42+VW!E42+HY!E42+IN!E42+FR!E42+ST!E42+CH!E42+TC!E42+LX!E42+HSU!E42+HVW!E42+MZ!E42+BUGMC!E42+HD!E42+LT!E42+FBG!E42+FSU!E42</f>
        <v>10045</v>
      </c>
      <c r="F42" s="16">
        <f>AS!F42+RI!F42+GA!F42+RLX!F42+SP!F42+WR!F42+MA!F42+TBD!F42+WA!F42+GB!F42+WM!F42+SU!F42+AX!F42+VW!F42+HY!F42+IN!F42+FR!F42+ST!F42+CH!F42+TC!F42+LX!F42+HSU!F42+HVW!F42+MZ!F42+BUGMC!F42+HD!F42+LT!F42+FBG!F42+FSU!F42</f>
        <v>10045</v>
      </c>
      <c r="G42" s="16">
        <f>AS!G42+RI!G42+GA!G42+RLX!G42+SP!G42+WR!G42+MA!G42+TBD!G42+WA!G42+GB!G42+WM!G42+SU!G42+AX!G42+VW!G42+HY!G42+IN!G42+FR!G42+ST!G42+CH!G42+TC!G42+LX!G42+HSU!G42+HVW!G42+MZ!G42+BUGMC!G42+HD!G42+LT!G42+FBG!G42+FSU!G42</f>
        <v>10045</v>
      </c>
      <c r="H42" s="16">
        <f>AS!H42+RI!H42+GA!H42+RLX!H42+SP!H42+WR!H42+MA!H42+TBD!H42+WA!H42+GB!H42+WM!H42+SU!H42+AX!H42+VW!H42+HY!H42+IN!H42+FR!H42+ST!H42+CH!H42+TC!H42+LX!H42+HSU!H42+HVW!H42+MZ!H42+BUGMC!H42+HD!H42+LT!H42+FBG!H42+FSU!H42</f>
        <v>10045</v>
      </c>
      <c r="I42" s="16">
        <f>AS!I42+RI!I42+GA!I42+RLX!I42+SP!I42+WR!I42+MA!I42+TBD!I42+WA!I42+GB!I42+WM!I42+SU!I42+AX!I42+VW!I42+HY!I42+IN!I42+FR!I42+ST!I42+CH!I42+TC!I42+LX!I42+HSU!I42+HVW!I42+MZ!I42+BUGMC!I42+HD!I42+LT!I42+FBG!I42+FSU!I42</f>
        <v>10045</v>
      </c>
      <c r="J42" s="16">
        <f>AS!J42+RI!J42+GA!J42+RLX!J42+SP!J42+WR!J42+MA!J42+TBD!J42+WA!J42+GB!J42+WM!J42+SU!J42+AX!J42+VW!J42+HY!J42+IN!J42+FR!J42+ST!J42+CH!J42+TC!J42+LX!J42+HSU!J42+HVW!J42+MZ!J42+BUGMC!J42+HD!J42+LT!J42+FBG!J42+FSU!J42</f>
        <v>10045</v>
      </c>
      <c r="K42" s="16">
        <f>AS!K42+RI!K42+GA!K42+RLX!K42+SP!K42+WR!K42+MA!K42+TBD!K42+WA!K42+GB!K42+WM!K42+SU!K42+AX!K42+VW!K42+HY!K42+IN!K42+FR!K42+ST!K42+CH!K42+TC!K42+LX!K42+HSU!K42+HVW!K42+MZ!K42+BUGMC!K42+HD!K42+LT!K42+FBG!K42+FSU!K42</f>
        <v>10045</v>
      </c>
      <c r="L42" s="16">
        <f>AS!L42+RI!L42+GA!L42+RLX!L42+SP!L42+WR!L42+MA!L42+TBD!L42+WA!L42+GB!L42+WM!L42+SU!L42+AX!L42+VW!L42+HY!L42+IN!L42+FR!L42+ST!L42+CH!L42+TC!L42+LX!L42+HSU!L42+HVW!L42+MZ!L42+BUGMC!L42+HD!L42+LT!L42+FBG!L42+FSU!L42</f>
        <v>10045</v>
      </c>
      <c r="M42" s="16">
        <f>AS!M42+RI!M42+GA!M42+RLX!M42+SP!M42+WR!M42+MA!M42+TBD!M42+WA!M42+GB!M42+WM!M42+SU!M42+AX!M42+VW!M42+HY!M42+IN!M42+FR!M42+ST!M42+CH!M42+TC!M42+LX!M42+HSU!M42+HVW!M42+MZ!M42+BUGMC!M42+HD!M42+LT!M42+FBG!M42+FSU!M42</f>
        <v>10045</v>
      </c>
      <c r="N42" s="17">
        <f t="shared" si="7"/>
        <v>120175</v>
      </c>
      <c r="O42" s="18"/>
    </row>
    <row r="43" ht="13.5" customHeight="1">
      <c r="A43" s="31" t="s">
        <v>48</v>
      </c>
      <c r="B43" s="16">
        <f>AS!B43+RI!B43+GA!B43+RLX!B43+SP!B43+WR!B43+MA!B43+TBD!B43+WA!B43+GB!B43+WM!B43+SU!B43+AX!B43+VW!B43+HY!B43+IN!B43+FR!B43+ST!B43+CH!B43+TC!B43+LX!B43+HSU!B43+HVW!B43+MZ!B43+BUGMC!B43+HD!B43+LT!B43+FBG!B43+FSU!B43</f>
        <v>32883.39</v>
      </c>
      <c r="C43" s="16">
        <f>AS!C43+RI!C43+GA!C43+RLX!C43+SP!C43+WR!C43+MA!C43+TBD!C43+WA!C43+GB!C43+WM!C43+SU!C43+AX!C43+VW!C43+HY!C43+IN!C43+FR!C43+ST!C43+CH!C43+TC!C43+LX!C43+HSU!C43+HVW!C43+MZ!C43+BUGMC!C43+HD!C43+LT!C43+FBG!C43+FSU!C43</f>
        <v>32883.39</v>
      </c>
      <c r="D43" s="16">
        <f>AS!D43+RI!D43+GA!D43+RLX!D43+SP!D43+WR!D43+MA!D43+TBD!D43+WA!D43+GB!D43+WM!D43+SU!D43+AX!D43+VW!D43+HY!D43+IN!D43+FR!D43+ST!D43+CH!D43+TC!D43+LX!D43+HSU!D43+HVW!D43+MZ!D43+BUGMC!D43+HD!D43+LT!D43+FBG!D43+FSU!D43</f>
        <v>32883.39</v>
      </c>
      <c r="E43" s="16">
        <f>AS!E43+RI!E43+GA!E43+RLX!E43+SP!E43+WR!E43+MA!E43+TBD!E43+WA!E43+GB!E43+WM!E43+SU!E43+AX!E43+VW!E43+HY!E43+IN!E43+FR!E43+ST!E43+CH!E43+TC!E43+LX!E43+HSU!E43+HVW!E43+MZ!E43+BUGMC!E43+HD!E43+LT!E43+FBG!E43+FSU!E43</f>
        <v>32883.39</v>
      </c>
      <c r="F43" s="16">
        <f>AS!F43+RI!F43+GA!F43+RLX!F43+SP!F43+WR!F43+MA!F43+TBD!F43+WA!F43+GB!F43+WM!F43+SU!F43+AX!F43+VW!F43+HY!F43+IN!F43+FR!F43+ST!F43+CH!F43+TC!F43+LX!F43+HSU!F43+HVW!F43+MZ!F43+BUGMC!F43+HD!F43+LT!F43+FBG!F43+FSU!F43</f>
        <v>32883.39</v>
      </c>
      <c r="G43" s="16">
        <f>AS!G43+RI!G43+GA!G43+RLX!G43+SP!G43+WR!G43+MA!G43+TBD!G43+WA!G43+GB!G43+WM!G43+SU!G43+AX!G43+VW!G43+HY!G43+IN!G43+FR!G43+ST!G43+CH!G43+TC!G43+LX!G43+HSU!G43+HVW!G43+MZ!G43+BUGMC!G43+HD!G43+LT!G43+FBG!G43+FSU!G43</f>
        <v>32883.39</v>
      </c>
      <c r="H43" s="16">
        <f>AS!H43+RI!H43+GA!H43+RLX!H43+SP!H43+WR!H43+MA!H43+TBD!H43+WA!H43+GB!H43+WM!H43+SU!H43+AX!H43+VW!H43+HY!H43+IN!H43+FR!H43+ST!H43+CH!H43+TC!H43+LX!H43+HSU!H43+HVW!H43+MZ!H43+BUGMC!H43+HD!H43+LT!H43+FBG!H43+FSU!H43</f>
        <v>32883.39</v>
      </c>
      <c r="I43" s="16">
        <f>AS!I43+RI!I43+GA!I43+RLX!I43+SP!I43+WR!I43+MA!I43+TBD!I43+WA!I43+GB!I43+WM!I43+SU!I43+AX!I43+VW!I43+HY!I43+IN!I43+FR!I43+ST!I43+CH!I43+TC!I43+LX!I43+HSU!I43+HVW!I43+MZ!I43+BUGMC!I43+HD!I43+LT!I43+FBG!I43+FSU!I43</f>
        <v>33462.56</v>
      </c>
      <c r="J43" s="16">
        <f>AS!J43+RI!J43+GA!J43+RLX!J43+SP!J43+WR!J43+MA!J43+TBD!J43+WA!J43+GB!J43+WM!J43+SU!J43+AX!J43+VW!J43+HY!J43+IN!J43+FR!J43+ST!J43+CH!J43+TC!J43+LX!J43+HSU!J43+HVW!J43+MZ!J43+BUGMC!J43+HD!J43+LT!J43+FBG!J43+FSU!J43</f>
        <v>33462.56</v>
      </c>
      <c r="K43" s="16">
        <f>AS!K43+RI!K43+GA!K43+RLX!K43+SP!K43+WR!K43+MA!K43+TBD!K43+WA!K43+GB!K43+WM!K43+SU!K43+AX!K43+VW!K43+HY!K43+IN!K43+FR!K43+ST!K43+CH!K43+TC!K43+LX!K43+HSU!K43+HVW!K43+MZ!K43+BUGMC!K43+HD!K43+LT!K43+FBG!K43+FSU!K43</f>
        <v>33462.56</v>
      </c>
      <c r="L43" s="16">
        <f>AS!L43+RI!L43+GA!L43+RLX!L43+SP!L43+WR!L43+MA!L43+TBD!L43+WA!L43+GB!L43+WM!L43+SU!L43+AX!L43+VW!L43+HY!L43+IN!L43+FR!L43+ST!L43+CH!L43+TC!L43+LX!L43+HSU!L43+HVW!L43+MZ!L43+BUGMC!L43+HD!L43+LT!L43+FBG!L43+FSU!L43</f>
        <v>33462.56</v>
      </c>
      <c r="M43" s="16">
        <f>AS!M43+RI!M43+GA!M43+RLX!M43+SP!M43+WR!M43+MA!M43+TBD!M43+WA!M43+GB!M43+WM!M43+SU!M43+AX!M43+VW!M43+HY!M43+IN!M43+FR!M43+ST!M43+CH!M43+TC!M43+LX!M43+HSU!M43+HVW!M43+MZ!M43+BUGMC!M43+HD!M43+LT!M43+FBG!M43+FSU!M43</f>
        <v>33462.56</v>
      </c>
      <c r="N43" s="17">
        <f t="shared" si="7"/>
        <v>397496.53</v>
      </c>
      <c r="O43" s="18"/>
    </row>
    <row r="44" ht="13.5" customHeight="1">
      <c r="A44" s="31" t="s">
        <v>49</v>
      </c>
      <c r="B44" s="16">
        <f>AS!B44+RI!B44+GA!B44+RLX!B44+SP!B44+WR!B44+MA!B44+TBD!B44+WA!B44+GB!B44+WM!B44+SU!B44+AX!B44+VW!B44+HY!B44+IN!B44+FR!B44+ST!B44+CH!B44+TC!B44+LX!B44+HSU!B44+HVW!B44+MZ!B44+BUGMC!B44+HD!B44+LT!B44+FBG!B44+FSU!B44</f>
        <v>7234</v>
      </c>
      <c r="C44" s="16">
        <f>AS!C44+RI!C44+GA!C44+RLX!C44+SP!C44+WR!C44+MA!C44+TBD!C44+WA!C44+GB!C44+WM!C44+SU!C44+AX!C44+VW!C44+HY!C44+IN!C44+FR!C44+ST!C44+CH!C44+TC!C44+LX!C44+HSU!C44+HVW!C44+MZ!C44+BUGMC!C44+HD!C44+LT!C44+FBG!C44+FSU!C44</f>
        <v>7234</v>
      </c>
      <c r="D44" s="16">
        <f>AS!D44+RI!D44+GA!D44+RLX!D44+SP!D44+WR!D44+MA!D44+TBD!D44+WA!D44+GB!D44+WM!D44+SU!D44+AX!D44+VW!D44+HY!D44+IN!D44+FR!D44+ST!D44+CH!D44+TC!D44+LX!D44+HSU!D44+HVW!D44+MZ!D44+BUGMC!D44+HD!D44+LT!D44+FBG!D44+FSU!D44</f>
        <v>7234</v>
      </c>
      <c r="E44" s="16">
        <f>AS!E44+RI!E44+GA!E44+RLX!E44+SP!E44+WR!E44+MA!E44+TBD!E44+WA!E44+GB!E44+WM!E44+SU!E44+AX!E44+VW!E44+HY!E44+IN!E44+FR!E44+ST!E44+CH!E44+TC!E44+LX!E44+HSU!E44+HVW!E44+MZ!E44+BUGMC!E44+HD!E44+LT!E44+FBG!E44+FSU!E44</f>
        <v>7234</v>
      </c>
      <c r="F44" s="16">
        <f>AS!F44+RI!F44+GA!F44+RLX!F44+SP!F44+WR!F44+MA!F44+TBD!F44+WA!F44+GB!F44+WM!F44+SU!F44+AX!F44+VW!F44+HY!F44+IN!F44+FR!F44+ST!F44+CH!F44+TC!F44+LX!F44+HSU!F44+HVW!F44+MZ!F44+BUGMC!F44+HD!F44+LT!F44+FBG!F44+FSU!F44</f>
        <v>7234</v>
      </c>
      <c r="G44" s="16">
        <f>AS!G44+RI!G44+GA!G44+RLX!G44+SP!G44+WR!G44+MA!G44+TBD!G44+WA!G44+GB!G44+WM!G44+SU!G44+AX!G44+VW!G44+HY!G44+IN!G44+FR!G44+ST!G44+CH!G44+TC!G44+LX!G44+HSU!G44+HVW!G44+MZ!G44+BUGMC!G44+HD!G44+LT!G44+FBG!G44+FSU!G44</f>
        <v>7234</v>
      </c>
      <c r="H44" s="16">
        <f>AS!H44+RI!H44+GA!H44+RLX!H44+SP!H44+WR!H44+MA!H44+TBD!H44+WA!H44+GB!H44+WM!H44+SU!H44+AX!H44+VW!H44+HY!H44+IN!H44+FR!H44+ST!H44+CH!H44+TC!H44+LX!H44+HSU!H44+HVW!H44+MZ!H44+BUGMC!H44+HD!H44+LT!H44+FBG!H44+FSU!H44</f>
        <v>7234</v>
      </c>
      <c r="I44" s="16">
        <f>AS!I44+RI!I44+GA!I44+RLX!I44+SP!I44+WR!I44+MA!I44+TBD!I44+WA!I44+GB!I44+WM!I44+SU!I44+AX!I44+VW!I44+HY!I44+IN!I44+FR!I44+ST!I44+CH!I44+TC!I44+LX!I44+HSU!I44+HVW!I44+MZ!I44+BUGMC!I44+HD!I44+LT!I44+FBG!I44+FSU!I44</f>
        <v>7234</v>
      </c>
      <c r="J44" s="16">
        <f>AS!J44+RI!J44+GA!J44+RLX!J44+SP!J44+WR!J44+MA!J44+TBD!J44+WA!J44+GB!J44+WM!J44+SU!J44+AX!J44+VW!J44+HY!J44+IN!J44+FR!J44+ST!J44+CH!J44+TC!J44+LX!J44+HSU!J44+HVW!J44+MZ!J44+BUGMC!J44+HD!J44+LT!J44+FBG!J44+FSU!J44</f>
        <v>7234</v>
      </c>
      <c r="K44" s="16">
        <f>AS!K44+RI!K44+GA!K44+RLX!K44+SP!K44+WR!K44+MA!K44+TBD!K44+WA!K44+GB!K44+WM!K44+SU!K44+AX!K44+VW!K44+HY!K44+IN!K44+FR!K44+ST!K44+CH!K44+TC!K44+LX!K44+HSU!K44+HVW!K44+MZ!K44+BUGMC!K44+HD!K44+LT!K44+FBG!K44+FSU!K44</f>
        <v>7234</v>
      </c>
      <c r="L44" s="16">
        <f>AS!L44+RI!L44+GA!L44+RLX!L44+SP!L44+WR!L44+MA!L44+TBD!L44+WA!L44+GB!L44+WM!L44+SU!L44+AX!L44+VW!L44+HY!L44+IN!L44+FR!L44+ST!L44+CH!L44+TC!L44+LX!L44+HSU!L44+HVW!L44+MZ!L44+BUGMC!L44+HD!L44+LT!L44+FBG!L44+FSU!L44</f>
        <v>7234</v>
      </c>
      <c r="M44" s="16">
        <f>AS!M44+RI!M44+GA!M44+RLX!M44+SP!M44+WR!M44+MA!M44+TBD!M44+WA!M44+GB!M44+WM!M44+SU!M44+AX!M44+VW!M44+HY!M44+IN!M44+FR!M44+ST!M44+CH!M44+TC!M44+LX!M44+HSU!M44+HVW!M44+MZ!M44+BUGMC!M44+HD!M44+LT!M44+FBG!M44+FSU!M44</f>
        <v>7234</v>
      </c>
      <c r="N44" s="17">
        <f t="shared" si="7"/>
        <v>86808</v>
      </c>
      <c r="O44" s="18"/>
    </row>
    <row r="45" ht="13.5" customHeight="1">
      <c r="A45" s="31" t="s">
        <v>50</v>
      </c>
      <c r="B45" s="16">
        <f>AS!B45+RI!B45+GA!B45+RLX!B45+SP!B45+WR!B45+MA!B45+TBD!B45+WA!B45+GB!B45+WM!B45+SU!B45+AX!B45+VW!B45+HY!B45+IN!B45+FR!B45+ST!B45+CH!B45+TC!B45+LX!B45+HSU!B45+HVW!B45+MZ!B45+BUGMC!B45+HD!B45+LT!B45+FBG!B45+FSU!B45</f>
        <v>7098.62</v>
      </c>
      <c r="C45" s="16">
        <f>AS!C45+RI!C45+GA!C45+RLX!C45+SP!C45+WR!C45+MA!C45+TBD!C45+WA!C45+GB!C45+WM!C45+SU!C45+AX!C45+VW!C45+HY!C45+IN!C45+FR!C45+ST!C45+CH!C45+TC!C45+LX!C45+HSU!C45+HVW!C45+MZ!C45+BUGMC!C45+HD!C45+LT!C45+FBG!C45+FSU!C45</f>
        <v>7369.85</v>
      </c>
      <c r="D45" s="16">
        <f>AS!D45+RI!D45+GA!D45+RLX!D45+SP!D45+WR!D45+MA!D45+TBD!D45+WA!D45+GB!D45+WM!D45+SU!D45+AX!D45+VW!D45+HY!D45+IN!D45+FR!D45+ST!D45+CH!D45+TC!D45+LX!D45+HSU!D45+HVW!D45+MZ!D45+BUGMC!D45+HD!D45+LT!D45+FBG!D45+FSU!D45</f>
        <v>7369.85</v>
      </c>
      <c r="E45" s="16">
        <f>AS!E45+RI!E45+GA!E45+RLX!E45+SP!E45+WR!E45+MA!E45+TBD!E45+WA!E45+GB!E45+WM!E45+SU!E45+AX!E45+VW!E45+HY!E45+IN!E45+FR!E45+ST!E45+CH!E45+TC!E45+LX!E45+HSU!E45+HVW!E45+MZ!E45+BUGMC!E45+HD!E45+LT!E45+FBG!E45+FSU!E45</f>
        <v>7143.62</v>
      </c>
      <c r="F45" s="16">
        <f>AS!F45+RI!F45+GA!F45+RLX!F45+SP!F45+WR!F45+MA!F45+TBD!F45+WA!F45+GB!F45+WM!F45+SU!F45+AX!F45+VW!F45+HY!F45+IN!F45+FR!F45+ST!F45+CH!F45+TC!F45+LX!F45+HSU!F45+HVW!F45+MZ!F45+BUGMC!F45+HD!F45+LT!F45+FBG!F45+FSU!F45</f>
        <v>7143.62</v>
      </c>
      <c r="G45" s="16">
        <f>AS!G45+RI!G45+GA!G45+RLX!G45+SP!G45+WR!G45+MA!G45+TBD!G45+WA!G45+GB!G45+WM!G45+SU!G45+AX!G45+VW!G45+HY!G45+IN!G45+FR!G45+ST!G45+CH!G45+TC!G45+LX!G45+HSU!G45+HVW!G45+MZ!G45+BUGMC!G45+HD!G45+LT!G45+FBG!G45+FSU!G45</f>
        <v>7143.62</v>
      </c>
      <c r="H45" s="16">
        <f>AS!H45+RI!H45+GA!H45+RLX!H45+SP!H45+WR!H45+MA!H45+TBD!H45+WA!H45+GB!H45+WM!H45+SU!H45+AX!H45+VW!H45+HY!H45+IN!H45+FR!H45+ST!H45+CH!H45+TC!H45+LX!H45+HSU!H45+HVW!H45+MZ!H45+BUGMC!H45+HD!H45+LT!H45+FBG!H45+FSU!H45</f>
        <v>7143.62</v>
      </c>
      <c r="I45" s="16">
        <f>AS!I45+RI!I45+GA!I45+RLX!I45+SP!I45+WR!I45+MA!I45+TBD!I45+WA!I45+GB!I45+WM!I45+SU!I45+AX!I45+VW!I45+HY!I45+IN!I45+FR!I45+ST!I45+CH!I45+TC!I45+LX!I45+HSU!I45+HVW!I45+MZ!I45+BUGMC!I45+HD!I45+LT!I45+FBG!I45+FSU!I45</f>
        <v>7143.62</v>
      </c>
      <c r="J45" s="16">
        <f>AS!J45+RI!J45+GA!J45+RLX!J45+SP!J45+WR!J45+MA!J45+TBD!J45+WA!J45+GB!J45+WM!J45+SU!J45+AX!J45+VW!J45+HY!J45+IN!J45+FR!J45+ST!J45+CH!J45+TC!J45+LX!J45+HSU!J45+HVW!J45+MZ!J45+BUGMC!J45+HD!J45+LT!J45+FBG!J45+FSU!J45</f>
        <v>7143.62</v>
      </c>
      <c r="K45" s="16">
        <f>AS!K45+RI!K45+GA!K45+RLX!K45+SP!K45+WR!K45+MA!K45+TBD!K45+WA!K45+GB!K45+WM!K45+SU!K45+AX!K45+VW!K45+HY!K45+IN!K45+FR!K45+ST!K45+CH!K45+TC!K45+LX!K45+HSU!K45+HVW!K45+MZ!K45+BUGMC!K45+HD!K45+LT!K45+FBG!K45+FSU!K45</f>
        <v>7143.62</v>
      </c>
      <c r="L45" s="16">
        <f>AS!L45+RI!L45+GA!L45+RLX!L45+SP!L45+WR!L45+MA!L45+TBD!L45+WA!L45+GB!L45+WM!L45+SU!L45+AX!L45+VW!L45+HY!L45+IN!L45+FR!L45+ST!L45+CH!L45+TC!L45+LX!L45+HSU!L45+HVW!L45+MZ!L45+BUGMC!L45+HD!L45+LT!L45+FBG!L45+FSU!L45</f>
        <v>7143.62</v>
      </c>
      <c r="M45" s="16">
        <f>AS!M45+RI!M45+GA!M45+RLX!M45+SP!M45+WR!M45+MA!M45+TBD!M45+WA!M45+GB!M45+WM!M45+SU!M45+AX!M45+VW!M45+HY!M45+IN!M45+FR!M45+ST!M45+CH!M45+TC!M45+LX!M45+HSU!M45+HVW!M45+MZ!M45+BUGMC!M45+HD!M45+LT!M45+FBG!M45+FSU!M45</f>
        <v>7143.62</v>
      </c>
      <c r="N45" s="17">
        <f t="shared" si="7"/>
        <v>86130.9</v>
      </c>
      <c r="O45" s="18"/>
    </row>
    <row r="46" ht="13.5" customHeight="1">
      <c r="A46" s="32" t="s">
        <v>51</v>
      </c>
      <c r="B46" s="16">
        <f>AS!B46+RI!B46+GA!B46+RLX!B46+SP!B46+WR!B46+MA!B46+TBD!B46+WA!B46+GB!B46+WM!B46+SU!B46+AX!B46+VW!B46+HY!B46+IN!B46+FR!B46+ST!B46+CH!B46+TC!B46+LX!B46+HSU!B46+HVW!B46+MZ!B46+BUGMC!B46+HD!B46+LT!B46+FBG!B46+FSU!B46</f>
        <v>0</v>
      </c>
      <c r="C46" s="16">
        <f>AS!C46+RI!C46+GA!C46+RLX!C46+SP!C46+WR!C46+MA!C46+TBD!C46+WA!C46+GB!C46+WM!C46+SU!C46+AX!C46+VW!C46+HY!C46+IN!C46+FR!C46+ST!C46+CH!C46+TC!C46+LX!C46+HSU!C46+HVW!C46+MZ!C46+BUGMC!C46+HD!C46+LT!C46+FBG!C46+FSU!C46</f>
        <v>0</v>
      </c>
      <c r="D46" s="16">
        <f>AS!D46+RI!D46+GA!D46+RLX!D46+SP!D46+WR!D46+MA!D46+TBD!D46+WA!D46+GB!D46+WM!D46+SU!D46+AX!D46+VW!D46+HY!D46+IN!D46+FR!D46+ST!D46+CH!D46+TC!D46+LX!D46+HSU!D46+HVW!D46+MZ!D46+BUGMC!D46+HD!D46+LT!D46+FBG!D46+FSU!D46</f>
        <v>0</v>
      </c>
      <c r="E46" s="16">
        <f>AS!E46+RI!E46+GA!E46+RLX!E46+SP!E46+WR!E46+MA!E46+TBD!E46+WA!E46+GB!E46+WM!E46+SU!E46+AX!E46+VW!E46+HY!E46+IN!E46+FR!E46+ST!E46+CH!E46+TC!E46+LX!E46+HSU!E46+HVW!E46+MZ!E46+BUGMC!E46+HD!E46+LT!E46+FBG!E46+FSU!E46</f>
        <v>0</v>
      </c>
      <c r="F46" s="16">
        <f>AS!F46+RI!F46+GA!F46+RLX!F46+SP!F46+WR!F46+MA!F46+TBD!F46+WA!F46+GB!F46+WM!F46+SU!F46+AX!F46+VW!F46+HY!F46+IN!F46+FR!F46+ST!F46+CH!F46+TC!F46+LX!F46+HSU!F46+HVW!F46+MZ!F46+BUGMC!F46+HD!F46+LT!F46+FBG!F46+FSU!F46</f>
        <v>0</v>
      </c>
      <c r="G46" s="16">
        <f>AS!G46+RI!G46+GA!G46+RLX!G46+SP!G46+WR!G46+MA!G46+TBD!G46+WA!G46+GB!G46+WM!G46+SU!G46+AX!G46+VW!G46+HY!G46+IN!G46+FR!G46+ST!G46+CH!G46+TC!G46+LX!G46+HSU!G46+HVW!G46+MZ!G46+BUGMC!G46+HD!G46+LT!G46+FBG!G46+FSU!G46</f>
        <v>0</v>
      </c>
      <c r="H46" s="16">
        <f>AS!H46+RI!H46+GA!H46+RLX!H46+SP!H46+WR!H46+MA!H46+TBD!H46+WA!H46+GB!H46+WM!H46+SU!H46+AX!H46+VW!H46+HY!H46+IN!H46+FR!H46+ST!H46+CH!H46+TC!H46+LX!H46+HSU!H46+HVW!H46+MZ!H46+BUGMC!H46+HD!H46+LT!H46+FBG!H46+FSU!H46</f>
        <v>0</v>
      </c>
      <c r="I46" s="16">
        <f>AS!I46+RI!I46+GA!I46+RLX!I46+SP!I46+WR!I46+MA!I46+TBD!I46+WA!I46+GB!I46+WM!I46+SU!I46+AX!I46+VW!I46+HY!I46+IN!I46+FR!I46+ST!I46+CH!I46+TC!I46+LX!I46+HSU!I46+HVW!I46+MZ!I46+BUGMC!I46+HD!I46+LT!I46+FBG!I46+FSU!I46</f>
        <v>0</v>
      </c>
      <c r="J46" s="16">
        <f>AS!J46+RI!J46+GA!J46+RLX!J46+SP!J46+WR!J46+MA!J46+TBD!J46+WA!J46+GB!J46+WM!J46+SU!J46+AX!J46+VW!J46+HY!J46+IN!J46+FR!J46+ST!J46+CH!J46+TC!J46+LX!J46+HSU!J46+HVW!J46+MZ!J46+BUGMC!J46+HD!J46+LT!J46+FBG!J46+FSU!J46</f>
        <v>0</v>
      </c>
      <c r="K46" s="16">
        <f>AS!K46+RI!K46+GA!K46+RLX!K46+SP!K46+WR!K46+MA!K46+TBD!K46+WA!K46+GB!K46+WM!K46+SU!K46+AX!K46+VW!K46+HY!K46+IN!K46+FR!K46+ST!K46+CH!K46+TC!K46+LX!K46+HSU!K46+HVW!K46+MZ!K46+BUGMC!K46+HD!K46+LT!K46+FBG!K46+FSU!K46</f>
        <v>0</v>
      </c>
      <c r="L46" s="16">
        <f>AS!L46+RI!L46+GA!L46+RLX!L46+SP!L46+WR!L46+MA!L46+TBD!L46+WA!L46+GB!L46+WM!L46+SU!L46+AX!L46+VW!L46+HY!L46+IN!L46+FR!L46+ST!L46+CH!L46+TC!L46+LX!L46+HSU!L46+HVW!L46+MZ!L46+BUGMC!L46+HD!L46+LT!L46+FBG!L46+FSU!L46</f>
        <v>0</v>
      </c>
      <c r="M46" s="16">
        <f>AS!M46+RI!M46+GA!M46+RLX!M46+SP!M46+WR!M46+MA!M46+TBD!M46+WA!M46+GB!M46+WM!M46+SU!M46+AX!M46+VW!M46+HY!M46+IN!M46+FR!M46+ST!M46+CH!M46+TC!M46+LX!M46+HSU!M46+HVW!M46+MZ!M46+BUGMC!M46+HD!M46+LT!M46+FBG!M46+FSU!M46</f>
        <v>0</v>
      </c>
      <c r="N46" s="17">
        <f t="shared" si="7"/>
        <v>0</v>
      </c>
      <c r="O46" s="18"/>
    </row>
    <row r="47" ht="13.5" customHeight="1">
      <c r="A47" s="31" t="s">
        <v>52</v>
      </c>
      <c r="B47" s="16">
        <f>AS!B47+RI!B47+GA!B47+RLX!B47+SP!B47+WR!B47+MA!B47+TBD!B47+WA!B47+GB!B47+WM!B47+SU!B47+AX!B47+VW!B47+HY!B47+IN!B47+FR!B47+ST!B47+CH!B47+TC!B47+LX!B47+HSU!B47+HVW!B47+MZ!B47+BUGMC!B47+HD!B47+LT!B47+FBG!B47+FSU!B47</f>
        <v>98800</v>
      </c>
      <c r="C47" s="16">
        <f>AS!C47+RI!C47+GA!C47+RLX!C47+SP!C47+WR!C47+MA!C47+TBD!C47+WA!C47+GB!C47+WM!C47+SU!C47+AX!C47+VW!C47+HY!C47+IN!C47+FR!C47+ST!C47+CH!C47+TC!C47+LX!C47+HSU!C47+HVW!C47+MZ!C47+BUGMC!C47+HD!C47+LT!C47+FBG!C47+FSU!C47</f>
        <v>102350</v>
      </c>
      <c r="D47" s="16">
        <f>AS!D47+RI!D47+GA!D47+RLX!D47+SP!D47+WR!D47+MA!D47+TBD!D47+WA!D47+GB!D47+WM!D47+SU!D47+AX!D47+VW!D47+HY!D47+IN!D47+FR!D47+ST!D47+CH!D47+TC!D47+LX!D47+HSU!D47+HVW!D47+MZ!D47+BUGMC!D47+HD!D47+LT!D47+FBG!D47+FSU!D47</f>
        <v>101350</v>
      </c>
      <c r="E47" s="16">
        <f>AS!E47+RI!E47+GA!E47+RLX!E47+SP!E47+WR!E47+MA!E47+TBD!E47+WA!E47+GB!E47+WM!E47+SU!E47+AX!E47+VW!E47+HY!E47+IN!E47+FR!E47+ST!E47+CH!E47+TC!E47+LX!E47+HSU!E47+HVW!E47+MZ!E47+BUGMC!E47+HD!E47+LT!E47+FBG!E47+FSU!E47</f>
        <v>101350</v>
      </c>
      <c r="F47" s="16">
        <f>AS!F47+RI!F47+GA!F47+RLX!F47+SP!F47+WR!F47+MA!F47+TBD!F47+WA!F47+GB!F47+WM!F47+SU!F47+AX!F47+VW!F47+HY!F47+IN!F47+FR!F47+ST!F47+CH!F47+TC!F47+LX!F47+HSU!F47+HVW!F47+MZ!F47+BUGMC!F47+HD!F47+LT!F47+FBG!F47+FSU!F47</f>
        <v>101350</v>
      </c>
      <c r="G47" s="16">
        <f>AS!G47+RI!G47+GA!G47+RLX!G47+SP!G47+WR!G47+MA!G47+TBD!G47+WA!G47+GB!G47+WM!G47+SU!G47+AX!G47+VW!G47+HY!G47+IN!G47+FR!G47+ST!G47+CH!G47+TC!G47+LX!G47+HSU!G47+HVW!G47+MZ!G47+BUGMC!G47+HD!G47+LT!G47+FBG!G47+FSU!G47</f>
        <v>101350</v>
      </c>
      <c r="H47" s="16">
        <f>AS!H47+RI!H47+GA!H47+RLX!H47+SP!H47+WR!H47+MA!H47+TBD!H47+WA!H47+GB!H47+WM!H47+SU!H47+AX!H47+VW!H47+HY!H47+IN!H47+FR!H47+ST!H47+CH!H47+TC!H47+LX!H47+HSU!H47+HVW!H47+MZ!H47+BUGMC!H47+HD!H47+LT!H47+FBG!H47+FSU!H47</f>
        <v>101350</v>
      </c>
      <c r="I47" s="16">
        <f>AS!I47+RI!I47+GA!I47+RLX!I47+SP!I47+WR!I47+MA!I47+TBD!I47+WA!I47+GB!I47+WM!I47+SU!I47+AX!I47+VW!I47+HY!I47+IN!I47+FR!I47+ST!I47+CH!I47+TC!I47+LX!I47+HSU!I47+HVW!I47+MZ!I47+BUGMC!I47+HD!I47+LT!I47+FBG!I47+FSU!I47</f>
        <v>101350</v>
      </c>
      <c r="J47" s="16">
        <f>AS!J47+RI!J47+GA!J47+RLX!J47+SP!J47+WR!J47+MA!J47+TBD!J47+WA!J47+GB!J47+WM!J47+SU!J47+AX!J47+VW!J47+HY!J47+IN!J47+FR!J47+ST!J47+CH!J47+TC!J47+LX!J47+HSU!J47+HVW!J47+MZ!J47+BUGMC!J47+HD!J47+LT!J47+FBG!J47+FSU!J47</f>
        <v>101450</v>
      </c>
      <c r="K47" s="16">
        <f>AS!K47+RI!K47+GA!K47+RLX!K47+SP!K47+WR!K47+MA!K47+TBD!K47+WA!K47+GB!K47+WM!K47+SU!K47+AX!K47+VW!K47+HY!K47+IN!K47+FR!K47+ST!K47+CH!K47+TC!K47+LX!K47+HSU!K47+HVW!K47+MZ!K47+BUGMC!K47+HD!K47+LT!K47+FBG!K47+FSU!K47</f>
        <v>101450</v>
      </c>
      <c r="L47" s="16">
        <f>AS!L47+RI!L47+GA!L47+RLX!L47+SP!L47+WR!L47+MA!L47+TBD!L47+WA!L47+GB!L47+WM!L47+SU!L47+AX!L47+VW!L47+HY!L47+IN!L47+FR!L47+ST!L47+CH!L47+TC!L47+LX!L47+HSU!L47+HVW!L47+MZ!L47+BUGMC!L47+HD!L47+LT!L47+FBG!L47+FSU!L47</f>
        <v>101450</v>
      </c>
      <c r="M47" s="16">
        <f>AS!M47+RI!M47+GA!M47+RLX!M47+SP!M47+WR!M47+MA!M47+TBD!M47+WA!M47+GB!M47+WM!M47+SU!M47+AX!M47+VW!M47+HY!M47+IN!M47+FR!M47+ST!M47+CH!M47+TC!M47+LX!M47+HSU!M47+HVW!M47+MZ!M47+BUGMC!M47+HD!M47+LT!M47+FBG!M47+FSU!M47</f>
        <v>101450</v>
      </c>
      <c r="N47" s="17">
        <f t="shared" si="7"/>
        <v>1215050</v>
      </c>
      <c r="O47" s="18"/>
    </row>
    <row r="48" ht="13.5" customHeight="1">
      <c r="A48" s="32" t="s">
        <v>53</v>
      </c>
      <c r="B48" s="16">
        <f>AS!B48+RI!B48+GA!B48+RLX!B48+SP!B48+WR!B48+MA!B49+TBD!B48+WA!B48+GB!B48+WM!B48+SU!B48+AX!B48+VW!B48+HY!B48+IN!B48+FR!B48+ST!B48+CH!B48+TC!B48+LX!B48+HSU!B48+HVW!B48+MZ!B48+BUGMC!B48+HD!B48+LT!B48+FBG!B48+FSU!B48</f>
        <v>12403.52</v>
      </c>
      <c r="C48" s="16">
        <f>AS!C48+RI!C48+GA!C48+RLX!C48+SP!C48+WR!C48+MA!C49+TBD!C48+WA!C48+GB!C48+WM!C48+SU!C48+AX!C48+VW!C48+HY!C48+IN!C48+FR!C48+ST!C48+CH!C48+TC!C48+LX!C48+HSU!C48+HVW!C48+MZ!C48+BUGMC!C48+HD!C48+LT!C48+FBG!C48+FSU!C48</f>
        <v>12782.52</v>
      </c>
      <c r="D48" s="16">
        <f>AS!D48+RI!D48+GA!D48+RLX!D48+SP!D48+WR!D48+MA!D49+TBD!D48+WA!D48+GB!D48+WM!D48+SU!D48+AX!D48+VW!D48+HY!D48+IN!D48+FR!D48+ST!D48+CH!D48+TC!D48+LX!D48+HSU!D48+HVW!D48+MZ!D48+BUGMC!D48+HD!D48+LT!D48+FBG!D48+FSU!D48</f>
        <v>12782.52</v>
      </c>
      <c r="E48" s="16">
        <f>AS!E48+RI!E48+GA!E48+RLX!E48+SP!E48+WR!E48+MA!E49+TBD!E48+WA!E48+GB!E48+WM!E48+SU!E48+AX!E48+VW!E48+HY!E48+IN!E48+FR!E48+ST!E48+CH!E48+TC!E48+LX!E48+HSU!E48+HVW!E48+MZ!E48+BUGMC!E48+HD!E48+LT!E48+FBG!E48+FSU!E48</f>
        <v>12782.52</v>
      </c>
      <c r="F48" s="16">
        <f>AS!F48+RI!F48+GA!F48+RLX!F48+SP!F48+WR!F48+MA!F49+TBD!F48+WA!F48+GB!F48+WM!F48+SU!F48+AX!F48+VW!F48+HY!F48+IN!F48+FR!F48+ST!F48+CH!F48+TC!F48+LX!F48+HSU!F48+HVW!F48+MZ!F48+BUGMC!F48+HD!F48+LT!F48+FBG!F48+FSU!F48</f>
        <v>12782.52</v>
      </c>
      <c r="G48" s="16">
        <f>AS!G48+RI!G48+GA!G48+RLX!G48+SP!G48+WR!G48+MA!G49+TBD!G48+WA!G48+GB!G48+WM!G48+SU!G48+AX!G48+VW!G48+HY!G48+IN!G48+FR!G48+ST!G48+CH!G48+TC!G48+LX!G48+HSU!G48+HVW!G48+MZ!G48+BUGMC!G48+HD!G48+LT!G48+FBG!G48+FSU!G48</f>
        <v>12782.52</v>
      </c>
      <c r="H48" s="16">
        <f>AS!H48+RI!H48+GA!H48+RLX!H48+SP!H48+WR!H48+MA!H49+TBD!H48+WA!H48+GB!H48+WM!H48+SU!H48+AX!H48+VW!H48+HY!H48+IN!H48+FR!H48+ST!H48+CH!H48+TC!H48+LX!H48+HSU!H48+HVW!H48+MZ!H48+BUGMC!H48+HD!H48+LT!H48+FBG!H48+FSU!H48</f>
        <v>12782.52</v>
      </c>
      <c r="I48" s="16">
        <f>AS!I48+RI!I48+GA!I48+RLX!I48+SP!I48+WR!I48+MA!I49+TBD!I48+WA!I48+GB!I48+WM!I48+SU!I48+AX!I48+VW!I48+HY!I48+IN!I48+FR!I48+ST!I48+CH!I48+TC!I48+LX!I48+HSU!I48+HVW!I48+MZ!I48+BUGMC!I48+HD!I48+LT!I48+FBG!I48+FSU!I48</f>
        <v>12782.52</v>
      </c>
      <c r="J48" s="16">
        <f>AS!J48+RI!J48+GA!J48+RLX!J48+SP!J48+WR!J48+MA!J49+TBD!J48+WA!J48+GB!J48+WM!J48+SU!J48+AX!J48+VW!J48+HY!J48+IN!J48+FR!J48+ST!J48+CH!J48+TC!J48+LX!J48+HSU!J48+HVW!J48+MZ!J48+BUGMC!J48+HD!J48+LT!J48+FBG!J48+FSU!J48</f>
        <v>12782.52</v>
      </c>
      <c r="K48" s="16">
        <f>AS!K48+RI!K48+GA!K48+RLX!K48+SP!K48+WR!K48+MA!K49+TBD!K48+WA!K48+GB!K48+WM!K48+SU!K48+AX!K48+VW!K48+HY!K48+IN!K48+FR!K48+ST!K48+CH!K48+TC!K48+LX!K48+HSU!K48+HVW!K48+MZ!K48+BUGMC!K48+HD!K48+LT!K48+FBG!K48+FSU!K48</f>
        <v>12782.52</v>
      </c>
      <c r="L48" s="16">
        <f>AS!L48+RI!L48+GA!L48+RLX!L48+SP!L48+WR!L48+MA!L49+TBD!L48+WA!L48+GB!L48+WM!L48+SU!L48+AX!L48+VW!L48+HY!L48+IN!L48+FR!L48+ST!L48+CH!L48+TC!L48+LX!L48+HSU!L48+HVW!L48+MZ!L48+BUGMC!L48+HD!L48+LT!L48+FBG!L48+FSU!L48</f>
        <v>12782.52</v>
      </c>
      <c r="M48" s="16">
        <f>AS!M48+RI!M48+GA!M48+RLX!M48+SP!M48+WR!M48+MA!M49+TBD!M48+WA!M48+GB!M48+WM!M48+SU!M48+AX!M48+VW!M48+HY!M48+IN!M48+FR!M48+ST!M48+CH!M48+TC!M48+LX!M48+HSU!M48+HVW!M48+MZ!M48+BUGMC!M48+HD!M48+LT!M48+FBG!M48+FSU!M48</f>
        <v>12782.52</v>
      </c>
      <c r="N48" s="17">
        <f t="shared" si="7"/>
        <v>153011.24</v>
      </c>
      <c r="O48" s="18"/>
    </row>
    <row r="49" ht="13.5" customHeight="1">
      <c r="A49" s="35" t="s">
        <v>54</v>
      </c>
      <c r="B49" s="16">
        <f>AS!B49+RI!B49+GA!B49+RLX!B49+SP!B49+WR!B49+MA!B50+TBD!B49+WA!B49+GB!B49+WM!B49+SU!B49+AX!B49+VW!B49+HY!B49+IN!B49+FR!B49+ST!B49+CH!B49+TC!B49+LX!B49+HSU!B49+HVW!B49+MZ!B49+BUGMC!B49+HD!B49+LT!B49+FBG!B49+FSU!B49</f>
        <v>0</v>
      </c>
      <c r="C49" s="16">
        <f>AS!C49+RI!C49+GA!C49+RLX!C49+SP!C49+WR!C49+MA!C50+TBD!C49+WA!C49+GB!C49+WM!C49+SU!C49+AX!C49+VW!C49+HY!C49+IN!C49+FR!C49+ST!C49+CH!C49+TC!C49+LX!C49+HSU!C49+HVW!C49+MZ!C49+BUGMC!C49+HD!C49+LT!C49+FBG!C49+FSU!C49</f>
        <v>0</v>
      </c>
      <c r="D49" s="16">
        <f>AS!D49+RI!D49+GA!D49+RLX!D49+SP!D49+WR!D49+MA!D50+TBD!D49+WA!D49+GB!D49+WM!D49+SU!D49+AX!D49+VW!D49+HY!D49+IN!D49+FR!D49+ST!D49+CH!D49+TC!D49+LX!D49+HSU!D49+HVW!D49+MZ!D49+BUGMC!D49+HD!D49+LT!D49+FBG!D49+FSU!D49</f>
        <v>0</v>
      </c>
      <c r="E49" s="16">
        <f>AS!E49+RI!E49+GA!E49+RLX!E49+SP!E49+WR!E49+MA!E50+TBD!E49+WA!E49+GB!E49+WM!E49+SU!E49+AX!E49+VW!E49+HY!E49+IN!E49+FR!E49+ST!E49+CH!E49+TC!E49+LX!E49+HSU!E49+HVW!E49+MZ!E49+BUGMC!E49+HD!E49+LT!E49+FBG!E49+FSU!E49</f>
        <v>0</v>
      </c>
      <c r="F49" s="16">
        <f>AS!F49+RI!F49+GA!F49+RLX!F49+SP!F49+WR!F49+MA!F50+TBD!F49+WA!F49+GB!F49+WM!F49+SU!F49+AX!F49+VW!F49+HY!F49+IN!F49+FR!F49+ST!F49+CH!F49+TC!F49+LX!F49+HSU!F49+HVW!F49+MZ!F49+BUGMC!F49+HD!F49+LT!F49+FBG!F49+FSU!F49</f>
        <v>0</v>
      </c>
      <c r="G49" s="16">
        <f>AS!G49+RI!G49+GA!G49+RLX!G49+SP!G49+WR!G49+MA!G50+TBD!G49+WA!G49+GB!G49+WM!G49+SU!G49+AX!G49+VW!G49+HY!G49+IN!G49+FR!G49+ST!G49+CH!G49+TC!G49+LX!G49+HSU!G49+HVW!G49+MZ!G49+BUGMC!G49+HD!G49+LT!G49+FBG!G49+FSU!G49</f>
        <v>0</v>
      </c>
      <c r="H49" s="16">
        <f>AS!H49+RI!H49+GA!H49+RLX!H49+SP!H49+WR!H49+MA!H50+TBD!H49+WA!H49+GB!H49+WM!H49+SU!H49+AX!H49+VW!H49+HY!H49+IN!H49+FR!H49+ST!H49+CH!H49+TC!H49+LX!H49+HSU!H49+HVW!H49+MZ!H49+BUGMC!H49+HD!H49+LT!H49+FBG!H49+FSU!H49</f>
        <v>0</v>
      </c>
      <c r="I49" s="16">
        <f>AS!I49+RI!I49+GA!I49+RLX!I49+SP!I49+WR!I49+MA!I50+TBD!I49+WA!I49+GB!I49+WM!I49+SU!I49+AX!I49+VW!I49+HY!I49+IN!I49+FR!I49+ST!I49+CH!I49+TC!I49+LX!I49+HSU!I49+HVW!I49+MZ!I49+BUGMC!I49+HD!I49+LT!I49+FBG!I49+FSU!I49</f>
        <v>0</v>
      </c>
      <c r="J49" s="16">
        <f>AS!J49+RI!J49+GA!J49+RLX!J49+SP!J49+WR!J49+MA!J50+TBD!J49+WA!J49+GB!J49+WM!J49+SU!J49+AX!J49+VW!J49+HY!J49+IN!J49+FR!J49+ST!J49+CH!J49+TC!J49+LX!J49+HSU!J49+HVW!J49+MZ!J49+BUGMC!J49+HD!J49+LT!J49+FBG!J49+FSU!J49</f>
        <v>0</v>
      </c>
      <c r="K49" s="16">
        <f>AS!K49+RI!K49+GA!K49+RLX!K49+SP!K49+WR!K49+MA!K50+TBD!K49+WA!K49+GB!K49+WM!K49+SU!K49+AX!K49+VW!K49+HY!K49+IN!K49+FR!K49+ST!K49+CH!K49+TC!K49+LX!K49+HSU!K49+HVW!K49+MZ!K49+BUGMC!K49+HD!K49+LT!K49+FBG!K49+FSU!K49</f>
        <v>0</v>
      </c>
      <c r="L49" s="16">
        <f>AS!L49+RI!L49+GA!L49+RLX!L49+SP!L49+WR!L49+MA!L50+TBD!L49+WA!L49+GB!L49+WM!L49+SU!L49+AX!L49+VW!L49+HY!L49+IN!L49+FR!L49+ST!L49+CH!L49+TC!L49+LX!L49+HSU!L49+HVW!L49+MZ!L49+BUGMC!L49+HD!L49+LT!L49+FBG!L49+FSU!L49</f>
        <v>0</v>
      </c>
      <c r="M49" s="16">
        <f>AS!M49+RI!M49+GA!M49+RLX!M49+SP!M49+WR!M49+MA!M50+TBD!M49+WA!M49+GB!M49+WM!M49+SU!M49+AX!M49+VW!M49+HY!M49+IN!M49+FR!M49+ST!M49+CH!M49+TC!M49+LX!M49+HSU!M49+HVW!M49+MZ!M49+BUGMC!M49+HD!M49+LT!M49+FBG!M49+FSU!M49</f>
        <v>0</v>
      </c>
      <c r="N49" s="17">
        <f t="shared" si="7"/>
        <v>0</v>
      </c>
      <c r="O49" s="18"/>
    </row>
    <row r="50" ht="13.5" customHeight="1">
      <c r="A50" s="27" t="s">
        <v>55</v>
      </c>
      <c r="B50" s="16">
        <f>AS!B50+RI!B50+GA!B50+RLX!B50+SP!B50+WR!B50+MA!B51+TBD!B50+WA!B50+GB!B50+WM!B50+SU!B50+AX!B50+VW!B50+HY!B50+IN!B50+FR!B50+ST!B50+CH!B50+TC!B50+LX!B50+HSU!B50+HVW!B50+MZ!B50+BUGMC!B50+HD!B50+LT!B50+FBG!B50+FSU!B50</f>
        <v>43705</v>
      </c>
      <c r="C50" s="16">
        <f>AS!C50+RI!C50+GA!C50+RLX!C50+SP!C50+WR!C50+MA!C51+TBD!C50+WA!C50+GB!C50+WM!C50+SU!C50+AX!C50+VW!C50+HY!C50+IN!C50+FR!C50+ST!C50+CH!C50+TC!C50+LX!C50+HSU!C50+HVW!C50+MZ!C50+BUGMC!C50+HD!C50+LT!C50+FBG!C50+FSU!C50</f>
        <v>39725</v>
      </c>
      <c r="D50" s="16">
        <f>AS!D50+RI!D50+GA!D50+RLX!D50+SP!D50+WR!D50+MA!D51+TBD!D50+WA!D50+GB!D50+WM!D50+SU!D50+AX!D50+VW!D50+HY!D50+IN!D50+FR!D50+ST!D50+CH!D50+TC!D50+LX!D50+HSU!D50+HVW!D50+MZ!D50+BUGMC!D50+HD!D50+LT!D50+FBG!D50+FSU!D50</f>
        <v>39725</v>
      </c>
      <c r="E50" s="16">
        <f>AS!E50+RI!E50+GA!E50+RLX!E50+SP!E50+WR!E50+MA!E51+TBD!E50+WA!E50+GB!E50+WM!E50+SU!E50+AX!E50+VW!E50+HY!E50+IN!E50+FR!E50+ST!E50+CH!E50+TC!E50+LX!E50+HSU!E50+HVW!E50+MZ!E50+BUGMC!E50+HD!E50+LT!E50+FBG!E50+FSU!E50</f>
        <v>39725</v>
      </c>
      <c r="F50" s="16">
        <f>AS!F50+RI!F50+GA!F50+RLX!F50+SP!F50+WR!F50+MA!F51+TBD!F50+WA!F50+GB!F50+WM!F50+SU!F50+AX!F50+VW!F50+HY!F50+IN!F50+FR!F50+ST!F50+CH!F50+TC!F50+LX!F50+HSU!F50+HVW!F50+MZ!F50+BUGMC!F50+HD!F50+LT!F50+FBG!F50+FSU!F50</f>
        <v>39725</v>
      </c>
      <c r="G50" s="16">
        <f>AS!G50+RI!G50+GA!G50+RLX!G50+SP!G50+WR!G50+MA!G51+TBD!G50+WA!G50+GB!G50+WM!G50+SU!G50+AX!G50+VW!G50+HY!G50+IN!G50+FR!G50+ST!G50+CH!G50+TC!G50+LX!G50+HSU!G50+HVW!G50+MZ!G50+BUGMC!G50+HD!G50+LT!G50+FBG!G50+FSU!G50</f>
        <v>39725</v>
      </c>
      <c r="H50" s="16">
        <f>AS!H50+RI!H50+GA!H50+RLX!H50+SP!H50+WR!H50+MA!H51+TBD!H50+WA!H50+GB!H50+WM!H50+SU!H50+AX!H50+VW!H50+HY!H50+IN!H50+FR!H50+ST!H50+CH!H50+TC!H50+LX!H50+HSU!H50+HVW!H50+MZ!H50+BUGMC!H50+HD!H50+LT!H50+FBG!H50+FSU!H50</f>
        <v>39725</v>
      </c>
      <c r="I50" s="16">
        <f>AS!I50+RI!I50+GA!I50+RLX!I50+SP!I50+WR!I50+MA!I51+TBD!I50+WA!I50+GB!I50+WM!I50+SU!I50+AX!I50+VW!I50+HY!I50+IN!I50+FR!I50+ST!I50+CH!I50+TC!I50+LX!I50+HSU!I50+HVW!I50+MZ!I50+BUGMC!I50+HD!I50+LT!I50+FBG!I50+FSU!I50</f>
        <v>39725</v>
      </c>
      <c r="J50" s="16">
        <f>AS!J50+RI!J50+GA!J50+RLX!J50+SP!J50+WR!J50+MA!J51+TBD!J50+WA!J50+GB!J50+WM!J50+SU!J50+AX!J50+VW!J50+HY!J50+IN!J50+FR!J50+ST!J50+CH!J50+TC!J50+LX!J50+HSU!J50+HVW!J50+MZ!J50+BUGMC!J50+HD!J50+LT!J50+FBG!J50+FSU!J50</f>
        <v>39725</v>
      </c>
      <c r="K50" s="16">
        <f>AS!K50+RI!K50+GA!K50+RLX!K50+SP!K50+WR!K50+MA!K51+TBD!K50+WA!K50+GB!K50+WM!K50+SU!K50+AX!K50+VW!K50+HY!K50+IN!K50+FR!K50+ST!K50+CH!K50+TC!K50+LX!K50+HSU!K50+HVW!K50+MZ!K50+BUGMC!K50+HD!K50+LT!K50+FBG!K50+FSU!K50</f>
        <v>39725</v>
      </c>
      <c r="L50" s="16">
        <f>AS!L50+RI!L50+GA!L50+RLX!L50+SP!L50+WR!L50+MA!L51+TBD!L50+WA!L50+GB!L50+WM!L50+SU!L50+AX!L50+VW!L50+HY!L50+IN!L50+FR!L50+ST!L50+CH!L50+TC!L50+LX!L50+HSU!L50+HVW!L50+MZ!L50+BUGMC!L50+HD!L50+LT!L50+FBG!L50+FSU!L50</f>
        <v>39725</v>
      </c>
      <c r="M50" s="16">
        <f>AS!M50+RI!M50+GA!M50+RLX!M50+SP!M50+WR!M50+MA!M51+TBD!M50+WA!M50+GB!M50+WM!M50+SU!M50+AX!M50+VW!M50+HY!M50+IN!M50+FR!M50+ST!M50+CH!M50+TC!M50+LX!M50+HSU!M50+HVW!M50+MZ!M50+BUGMC!M50+HD!M50+LT!M50+FBG!M50+FSU!M50</f>
        <v>39725</v>
      </c>
      <c r="N50" s="17">
        <f t="shared" si="7"/>
        <v>480680</v>
      </c>
      <c r="O50" s="18"/>
    </row>
    <row r="51" ht="13.5" customHeight="1">
      <c r="A51" s="32"/>
      <c r="B51" s="16">
        <f>AS!B51+RI!B51+GA!B51+RLX!B51+SP!B51+WR!B51+MA!B52+TBD!B51+WA!B51+GB!B51+WM!B51+SU!B51+AX!B51+VW!B51+HY!B51+IN!B51+FR!B51+ST!B51+CH!B51+TC!B51+LX!B51+HSU!B51+HVW!B51+MZ!B51+BUGMC!B51+HD!B51+LT!B51</f>
        <v>0</v>
      </c>
      <c r="C51" s="16">
        <f>AS!C51+RI!C51+GA!C51+RLX!C51+SP!C51+WR!C51+MA!C52+TBD!C51+WA!C51+GB!C51+WM!C51+SU!C51+AX!C51+VW!C51+HY!C51+IN!C51+FR!C51+ST!C51+CH!C51+TC!C51+LX!C51+HSU!C51+HVW!C51+MZ!C51+BUGMC!C51+HD!C51+LT!C51</f>
        <v>0</v>
      </c>
      <c r="D51" s="16">
        <f>AS!D51+RI!D51+GA!D51+RLX!D51+SP!D51+WR!D51+MA!D52+TBD!D51+WA!D51+GB!D51+WM!D51+SU!D51+AX!D51+VW!D51+HY!D51+IN!D51+FR!D51+ST!D51+CH!D51+TC!D51+LX!D51+HSU!D51+HVW!D51+MZ!D51+BUGMC!D51+HD!D51+LT!D51</f>
        <v>0</v>
      </c>
      <c r="E51" s="16">
        <f>AS!E51+RI!E51+GA!E51+RLX!E51+SP!E51+WR!E51+MA!E52+TBD!E51+WA!E51+GB!E51+WM!E51+SU!E51+AX!E51+VW!E51+HY!E51+IN!E51+FR!E51+ST!E51+CH!E51+TC!E51+LX!E51+HSU!E51+HVW!E51+MZ!E51+BUGMC!E51+HD!E51+LT!E51</f>
        <v>0</v>
      </c>
      <c r="F51" s="16">
        <f>AS!F51+RI!F51+GA!F51+RLX!F51+SP!F51+WR!F51+MA!F52+TBD!F51+WA!F51+GB!F51+WM!F51+SU!F51+AX!F51+VW!F51+HY!F51+IN!F51+FR!F51+ST!F51+CH!F51+TC!F51+LX!F51+HSU!F51+HVW!F51+MZ!F51+BUGMC!F51+HD!F51+LT!F51</f>
        <v>0</v>
      </c>
      <c r="G51" s="16">
        <f>AS!G51+RI!G51+GA!G51+RLX!G51+SP!G51+WR!G51+MA!G52+TBD!G51+WA!G51+GB!G51+WM!G51+SU!G51+AX!G51+VW!G51+HY!G51+IN!G51+FR!G51+ST!G51+CH!G51+TC!G51+LX!G51+HSU!G51+HVW!G51+MZ!G51+BUGMC!G51+HD!G51+LT!G51</f>
        <v>0</v>
      </c>
      <c r="H51" s="16">
        <f>AS!H51+RI!H51+GA!H51+RLX!H51+SP!H51+WR!H51+MA!H52+TBD!H51+WA!H51+GB!H51+WM!H51+SU!H51+AX!H51+VW!H51+HY!H51+IN!H51+FR!H51+ST!H51+CH!H51+TC!H51+LX!H51+HSU!H51+HVW!H51+MZ!H51+BUGMC!H51+HD!H51+LT!H51</f>
        <v>0</v>
      </c>
      <c r="I51" s="16">
        <f>AS!I51+RI!I51+GA!I51+RLX!I51+SP!I51+WR!I51+MA!I52+TBD!I51+WA!I51+GB!I51+WM!I51+SU!I51+AX!I51+VW!I51+HY!I51+IN!I51+FR!I51+ST!I51+CH!I51+TC!I51+LX!I51+HSU!I51+HVW!I51+MZ!I51+BUGMC!I51+HD!I51+LT!I51</f>
        <v>0</v>
      </c>
      <c r="J51" s="16">
        <f>AS!J51+RI!J51+GA!J51+RLX!J51+SP!J51+WR!J51+MA!J52+TBD!J51+WA!J51+GB!J51+WM!J51+SU!J51+AX!J51+VW!J51+HY!J51+IN!J51+FR!J51+ST!J51+CH!J51+TC!J51+LX!J51+HSU!J51+HVW!J51+MZ!J51+BUGMC!J51+HD!J51+LT!J51</f>
        <v>0</v>
      </c>
      <c r="K51" s="16">
        <f>AS!K51+RI!K51+GA!K51+RLX!K51+SP!K51+WR!K51+MA!K52+TBD!K51+WA!K51+GB!K51+WM!K51+SU!K51+AX!K51+VW!K51+HY!K51+IN!K51+FR!K51+ST!K51+CH!K51+TC!K51+LX!K51+HSU!K51+HVW!K51+MZ!K51+BUGMC!K51+HD!K51+LT!K51</f>
        <v>0</v>
      </c>
      <c r="L51" s="16">
        <f>AS!L51+RI!L51+GA!L51+RLX!L51+SP!L51+WR!L51+MA!L52+TBD!L51+WA!L51+GB!L51+WM!L51+SU!L51+AX!L51+VW!L51+HY!L51+IN!L51+FR!L51+ST!L51+CH!L51+TC!L51+LX!L51+HSU!L51+HVW!L51+MZ!L51+BUGMC!L51+HD!L51+LT!L51</f>
        <v>0</v>
      </c>
      <c r="M51" s="16">
        <f>AS!M51+RI!M51+GA!M51+RLX!M51+SP!M51+WR!M51+MA!M52+TBD!M51+WA!M51+GB!M51+WM!M51+SU!M51+AX!M51+VW!M51+HY!M51+IN!M51+FR!M51+ST!M51+CH!M51+TC!M51+LX!M51+HSU!M51+HVW!M51+MZ!M51+BUGMC!M51+HD!M51+LT!M51</f>
        <v>0</v>
      </c>
      <c r="N51" s="17">
        <f t="shared" si="7"/>
        <v>0</v>
      </c>
      <c r="O51" s="18"/>
    </row>
    <row r="52" ht="13.5" customHeight="1">
      <c r="A52" s="21" t="s">
        <v>23</v>
      </c>
      <c r="B52" s="22">
        <f t="shared" ref="B52:N52" si="8">SUM(B34:B51)</f>
        <v>375113.91</v>
      </c>
      <c r="C52" s="22">
        <f t="shared" si="8"/>
        <v>375699.14</v>
      </c>
      <c r="D52" s="22">
        <f t="shared" si="8"/>
        <v>382754.14</v>
      </c>
      <c r="E52" s="22">
        <f t="shared" si="8"/>
        <v>381987.91</v>
      </c>
      <c r="F52" s="22">
        <f t="shared" si="8"/>
        <v>382827.16</v>
      </c>
      <c r="G52" s="22">
        <f t="shared" si="8"/>
        <v>382827.16</v>
      </c>
      <c r="H52" s="22">
        <f t="shared" si="8"/>
        <v>382827.16</v>
      </c>
      <c r="I52" s="22">
        <f t="shared" si="8"/>
        <v>383406.33</v>
      </c>
      <c r="J52" s="22">
        <f t="shared" si="8"/>
        <v>383506.33</v>
      </c>
      <c r="K52" s="22">
        <f t="shared" si="8"/>
        <v>383506.33</v>
      </c>
      <c r="L52" s="22">
        <f t="shared" si="8"/>
        <v>383506.33</v>
      </c>
      <c r="M52" s="22">
        <f t="shared" si="8"/>
        <v>383506.33</v>
      </c>
      <c r="N52" s="28">
        <f t="shared" si="8"/>
        <v>4581468.23</v>
      </c>
      <c r="O52" s="29" t="str">
        <f>(N52/N109)</f>
        <v>#REF!</v>
      </c>
    </row>
    <row r="53" ht="13.5" customHeight="1">
      <c r="A53" s="34" t="s">
        <v>56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14"/>
      <c r="O53" s="18"/>
    </row>
    <row r="54" ht="13.5" customHeight="1">
      <c r="A54" s="32" t="s">
        <v>57</v>
      </c>
      <c r="B54" s="16">
        <f>AS!B54+RI!B54+GA!B54+RLX!B54+SP!B54+WR!B54+MA!B55+TBD!B54+WA!B54+GB!B54+WM!B54+SU!B54+AX!B54+VW!B54+HY!B54+IN!B54+FR!B54+ST!B54+CH!B54+TC!B54+LX!B54+HSU!B54+HVW!B54+MZ!B54+BUGMC!B54+HD!B54+LT!B54+FBG!B54+FSU!B54</f>
        <v>48326</v>
      </c>
      <c r="C54" s="16">
        <f>AS!C54+RI!C54+GA!C54+RLX!C54+SP!C54+WR!C54+MA!C55+TBD!C54+WA!C54+GB!C54+WM!C54+SU!C54+AX!C54+VW!C54+HY!C54+IN!C54+FR!C54+ST!C54+CH!C54+TC!C54+LX!C54+HSU!C54+HVW!C54+MZ!C54+BUGMC!C54+HD!C54+LT!C54+FBG!C54+FSU!C54</f>
        <v>45615.34</v>
      </c>
      <c r="D54" s="16">
        <f>AS!D54+RI!D54+GA!D54+RLX!D54+SP!D54+WR!D54+MA!D55+TBD!D54+WA!D54+GB!D54+WM!D54+SU!D54+AX!D54+VW!D54+HY!D54+IN!D54+FR!D54+ST!D54+CH!D54+TC!D54+LX!D54+HSU!D54+HVW!D54+MZ!D54+BUGMC!D54+HD!D54+LT!D54+FBG!D54+FSU!D54</f>
        <v>40375</v>
      </c>
      <c r="E54" s="16">
        <f>AS!E54+RI!E54+GA!E54+RLX!E54+SP!E54+WR!E54+MA!E55+TBD!E54+WA!E54+GB!E54+WM!E54+SU!E54+AX!E54+VW!E54+HY!E54+IN!E54+FR!E54+ST!E54+CH!E54+TC!E54+LX!E54+HSU!E54+HVW!E54+MZ!E54+BUGMC!E54+HD!E54+LT!E54+FBG!E54+FSU!E54</f>
        <v>43198</v>
      </c>
      <c r="F54" s="16">
        <f>AS!F54+RI!F54+GA!F54+RLX!F54+SP!F54+WR!F54+MA!F55+TBD!F54+WA!F54+GB!F54+WM!F54+SU!F54+AX!F54+VW!F54+HY!F54+IN!F54+FR!F54+ST!F54+CH!F54+TC!F54+LX!F54+HSU!F54+HVW!F54+MZ!F54+BUGMC!F54+HD!F54+LT!F54+FBG!F54+FSU!F54</f>
        <v>39198</v>
      </c>
      <c r="G54" s="16">
        <f>AS!G54+RI!G54+GA!G54+RLX!G54+SP!G54+WR!G54+MA!G55+TBD!G54+WA!G54+GB!G54+WM!G54+SU!G54+AX!G54+VW!G54+HY!G54+IN!G54+FR!G54+ST!G54+CH!G54+TC!G54+LX!G54+HSU!G54+HVW!G54+MZ!G54+BUGMC!G54+HD!G54+LT!G54+FBG!G54+FSU!G54</f>
        <v>41460.6</v>
      </c>
      <c r="H54" s="16">
        <f>AS!H54+RI!H54+GA!H54+RLX!H54+SP!H54+WR!H54+MA!H55+TBD!H54+WA!H54+GB!H54+WM!H54+SU!H54+AX!H54+VW!H54+HY!H54+IN!H54+FR!H54+ST!H54+CH!H54+TC!H54+LX!H54+HSU!H54+HVW!H54+MZ!H54+BUGMC!H54+HD!H54+LT!H54+FBG!H54+FSU!H54</f>
        <v>43198</v>
      </c>
      <c r="I54" s="16">
        <f>AS!I54+RI!I54+GA!I54+RLX!I54+SP!I54+WR!I54+MA!I55+TBD!I54+WA!I54+GB!I54+WM!I54+SU!I54+AX!I54+VW!I54+HY!I54+IN!I54+FR!I54+ST!I54+CH!I54+TC!I54+LX!I54+HSU!I54+HVW!I54+MZ!I54+BUGMC!I54+HD!I54+LT!I54+FBG!I54+FSU!I54</f>
        <v>41460.6</v>
      </c>
      <c r="J54" s="16">
        <f>AS!J54+RI!J54+GA!J54+RLX!J54+SP!J54+WR!J54+MA!J55+TBD!J54+WA!J54+GB!J54+WM!J54+SU!J54+AX!J54+VW!J54+HY!J54+IN!J54+FR!J54+ST!J54+CH!J54+TC!J54+LX!J54+HSU!J54+HVW!J54+MZ!J54+BUGMC!J54+HD!J54+LT!J54+FBG!J54+FSU!J54</f>
        <v>35466</v>
      </c>
      <c r="K54" s="16">
        <f>AS!K54+RI!K54+GA!K54+RLX!K54+SP!K54+WR!K54+MA!K55+TBD!K54+WA!K54+GB!K54+WM!K54+SU!K54+AX!K54+VW!K54+HY!K54+IN!K54+FR!K54+ST!K54+CH!K54+TC!K54+LX!K54+HSU!K54+HVW!K54+MZ!K54+BUGMC!K54+HD!K54+LT!K54+FBG!K54+FSU!K54</f>
        <v>50199.6</v>
      </c>
      <c r="L54" s="16">
        <f>AS!L54+RI!L54+GA!L54+RLX!L54+SP!L54+WR!L54+MA!L55+TBD!L54+WA!L54+GB!L54+WM!L54+SU!L54+AX!L54+VW!L54+HY!L54+IN!L54+FR!L54+ST!L54+CH!L54+TC!L54+LX!L54+HSU!L54+HVW!L54+MZ!L54+BUGMC!L54+HD!L54+LT!L54+FBG!L54+FSU!L54</f>
        <v>46906</v>
      </c>
      <c r="M54" s="16">
        <f>AS!M54+RI!M54+GA!M54+RLX!M54+SP!M54+WR!M54+MA!M55+TBD!M54+WA!M54+GB!M54+WM!M54+SU!M54+AX!M54+VW!M54+HY!M54+IN!M54+FR!M54+ST!M54+CH!M54+TC!M54+LX!M54+HSU!M54+HVW!M54+MZ!M54+BUGMC!M54+HD!M54+LT!M54+FBG!M54+FSU!M54</f>
        <v>46906</v>
      </c>
      <c r="N54" s="17">
        <f t="shared" ref="N54:N58" si="9">SUM(B54:M54)</f>
        <v>522309.14</v>
      </c>
      <c r="O54" s="18"/>
    </row>
    <row r="55" ht="13.5" customHeight="1">
      <c r="A55" s="32" t="s">
        <v>58</v>
      </c>
      <c r="B55" s="16">
        <f>AS!B55+RI!B55+GA!B55+SP!B55+WR!B55+MA!B56+TBD!B55+WA!B55+GB!B55+WM!B55+SU!B55+AX!B55+VW!B55+HY!B55+IN!B55+FR!B55+ST!B55+CH!B55+TC!B55+LX!B55+HSU!B55+HVW!B55+MZ!B55+BUGMC!B55+HD!B55+LT!B55+FBG!B55+FSU!B55+RLX!B55</f>
        <v>71600</v>
      </c>
      <c r="C55" s="16">
        <f>AS!C55+RI!C55+GA!C55+SP!C55+WR!C55+MA!C56+TBD!C55+WA!C55+GB!C55+WM!C55+SU!C55+AX!C55+VW!C55+HY!C55+IN!C55+FR!C55+ST!C55+CH!C55+TC!C55+LX!C55+HSU!C55+HVW!C55+MZ!C55+BUGMC!C55+HD!C55+LT!C55+FBG!C55+FSU!C55+RLX!C55</f>
        <v>81398</v>
      </c>
      <c r="D55" s="16">
        <f>AS!D55+RI!D55+GA!D55+SP!D55+WR!D55+MA!D56+TBD!D55+WA!D55+GB!D55+WM!D55+SU!D55+AX!D55+VW!D55+HY!D55+IN!D55+FR!D55+ST!D55+CH!D55+TC!D55+LX!D55+HSU!D55+HVW!D55+MZ!D55+BUGMC!D55+HD!D55+LT!D55+FBG!D55+FSU!D55+RLX!D55</f>
        <v>83388</v>
      </c>
      <c r="E55" s="16">
        <f>AS!E55+RI!E55+GA!E55+SP!E55+WR!E55+MA!E56+TBD!E55+WA!E55+GB!E55+WM!E55+SU!E55+AX!E55+VW!E55+HY!E55+IN!E55+FR!E55+ST!E55+CH!E55+TC!E55+LX!E55+HSU!E55+HVW!E55+MZ!E55+BUGMC!E55+HD!E55+LT!E55+FBG!E55+FSU!E55+RLX!E55</f>
        <v>82888</v>
      </c>
      <c r="F55" s="16">
        <f>AS!F55+RI!F55+GA!F55+SP!F55+WR!F55+MA!F56+TBD!F55+WA!F55+GB!F55+WM!F55+SU!F55+AX!F55+VW!F55+HY!F55+IN!F55+FR!F55+ST!F55+CH!F55+TC!F55+LX!F55+HSU!F55+HVW!F55+MZ!F55+BUGMC!F55+HD!F55+LT!F55+FBG!F55+FSU!F55+RLX!F55</f>
        <v>82888</v>
      </c>
      <c r="G55" s="16">
        <f>AS!G55+RI!G55+GA!G55+SP!G55+WR!G55+MA!G56+TBD!G55+WA!G55+GB!G55+WM!G55+SU!G55+AX!G55+VW!G55+HY!G55+IN!G55+FR!G55+ST!G55+CH!G55+TC!G55+LX!G55+HSU!G55+HVW!G55+MZ!G55+BUGMC!G55+HD!G55+LT!G55+FBG!G55+FSU!G55+RLX!G55</f>
        <v>81888</v>
      </c>
      <c r="H55" s="16">
        <f>AS!H55+RI!H55+GA!H55+SP!H55+WR!H55+MA!H56+TBD!H55+WA!H55+GB!H55+WM!H55+SU!H55+AX!H55+VW!H55+HY!H55+IN!H55+FR!H55+ST!H55+CH!H55+TC!H55+LX!H55+HSU!H55+HVW!H55+MZ!H55+BUGMC!H55+HD!H55+LT!H55+FBG!H55+FSU!H55+RLX!H55</f>
        <v>79940</v>
      </c>
      <c r="I55" s="16">
        <f>AS!I55+RI!I55+GA!I55+SP!I55+WR!I55+MA!I56+TBD!I55+WA!I55+GB!I55+WM!I55+SU!I55+AX!I55+VW!I55+HY!I55+IN!I55+FR!I55+ST!I55+CH!I55+TC!I55+LX!I55+HSU!I55+HVW!I55+MZ!I55+BUGMC!I55+HD!I55+LT!I55+FBG!I55+FSU!I55+RLX!I55</f>
        <v>79865</v>
      </c>
      <c r="J55" s="16">
        <f>AS!J55+RI!J55+GA!J55+SP!J55+WR!J55+MA!J56+TBD!J55+WA!J55+GB!J55+WM!J55+SU!J55+AX!J55+VW!J55+HY!J55+IN!J55+FR!J55+ST!J55+CH!J55+TC!J55+LX!J55+HSU!J55+HVW!J55+MZ!J55+BUGMC!J55+HD!J55+LT!J55+FBG!J55+FSU!J55+RLX!J55</f>
        <v>80940</v>
      </c>
      <c r="K55" s="16">
        <f>AS!K55+RI!K55+GA!K55+SP!K55+WR!K55+MA!K56+TBD!K55+WA!K55+GB!K55+WM!K55+SU!K55+AX!K55+VW!K55+HY!K55+IN!K55+FR!K55+ST!K55+CH!K55+TC!K55+LX!K55+HSU!K55+HVW!K55+MZ!K55+BUGMC!K55+HD!K55+LT!K55+FBG!K55+FSU!K55+RLX!K55</f>
        <v>80940</v>
      </c>
      <c r="L55" s="16">
        <f>AS!L55+RI!L55+GA!L55+SP!L55+WR!L55+MA!L56+TBD!L55+WA!L55+GB!L55+WM!L55+SU!L55+AX!L55+VW!L55+HY!L55+IN!L55+FR!L55+ST!L55+CH!L55+TC!L55+LX!L55+HSU!L55+HVW!L55+MZ!L55+BUGMC!L55+HD!L55+LT!L55+FBG!L55+FSU!L55+RLX!L55</f>
        <v>80940</v>
      </c>
      <c r="M55" s="16">
        <f>AS!M55+RI!M55+GA!M55+SP!M55+WR!M55+MA!M56+TBD!M55+WA!M55+GB!M55+WM!M55+SU!M55+AX!M55+VW!M55+HY!M55+IN!M55+FR!M55+ST!M55+CH!M55+TC!M55+LX!M55+HSU!M55+HVW!M55+MZ!M55+BUGMC!M55+HD!M55+LT!M55+FBG!M55+FSU!M55+RLX!M55</f>
        <v>80940</v>
      </c>
      <c r="N55" s="17">
        <f t="shared" si="9"/>
        <v>967615</v>
      </c>
      <c r="O55" s="18"/>
    </row>
    <row r="56" ht="13.5" customHeight="1">
      <c r="A56" s="31" t="s">
        <v>59</v>
      </c>
      <c r="B56" s="16">
        <f>AS!B56+RI!B56+GA!B56+RLX!B56+SP!B56+WR!B56+MA!B57+TBD!B56+WA!B56+GB!B56+WM!B56+SU!B56+AX!B56+VW!B56+HY!B56+IN!B56+FR!B56+ST!B56+CH!B56+TC!B56+LX!B56+HSU!B56+HVW!B56+MZ!B56+BUGMC!B56+HD!B56+LT!B56+FBG!B56+FSU!B56</f>
        <v>22789</v>
      </c>
      <c r="C56" s="16">
        <f>AS!C56+RI!C56+GA!C56+RLX!C56+SP!C56+WR!C56+MA!C57+TBD!C56+WA!C56+GB!C56+WM!C56+SU!C56+AX!C56+VW!C56+HY!C56+IN!C56+FR!C56+ST!C56+CH!C56+TC!C56+LX!C56+HSU!C56+HVW!C56+MZ!C56+BUGMC!C56+HD!C56+LT!C56+FBG!C56+FSU!C56</f>
        <v>23396</v>
      </c>
      <c r="D56" s="16">
        <f>AS!D56+RI!D56+GA!D56+RLX!D56+SP!D56+WR!D56+MA!D57+TBD!D56+WA!D56+GB!D56+WM!D56+SU!D56+AX!D56+VW!D56+HY!D56+IN!D56+FR!D56+ST!D56+CH!D56+TC!D56+LX!D56+HSU!D56+HVW!D56+MZ!D56+BUGMC!D56+HD!D56+LT!D56+FBG!D56+FSU!D56</f>
        <v>23396</v>
      </c>
      <c r="E56" s="16">
        <f>AS!E56+RI!E56+GA!E56+RLX!E56+SP!E56+WR!E56+MA!E57+TBD!E56+WA!E56+GB!E56+WM!E56+SU!E56+AX!E56+VW!E56+HY!E56+IN!E56+FR!E56+ST!E56+CH!E56+TC!E56+LX!E56+HSU!E56+HVW!E56+MZ!E56+BUGMC!E56+HD!E56+LT!E56+FBG!E56+FSU!E56</f>
        <v>23396</v>
      </c>
      <c r="F56" s="16">
        <f>AS!F56+RI!F56+GA!F56+RLX!F56+SP!F56+WR!F56+MA!F57+TBD!F56+WA!F56+GB!F56+WM!F56+SU!F56+AX!F56+VW!F56+HY!F56+IN!F56+FR!F56+ST!F56+CH!F56+TC!F56+LX!F56+HSU!F56+HVW!F56+MZ!F56+BUGMC!F56+HD!F56+LT!F56+FBG!F56+FSU!F56</f>
        <v>23396</v>
      </c>
      <c r="G56" s="16">
        <f>AS!G56+RI!G56+GA!G56+RLX!G56+SP!G56+WR!G56+MA!G57+TBD!G56+WA!G56+GB!G56+WM!G56+SU!G56+AX!G56+VW!G56+HY!G56+IN!G56+FR!G56+ST!G56+CH!G56+TC!G56+LX!G56+HSU!G56+HVW!G56+MZ!G56+BUGMC!G56+HD!G56+LT!G56+FBG!G56+FSU!G56</f>
        <v>23396</v>
      </c>
      <c r="H56" s="16">
        <f>AS!H56+RI!H56+GA!H56+RLX!H56+SP!H56+WR!H56+MA!H57+TBD!H56+WA!H56+GB!H56+WM!H56+SU!H56+AX!H56+VW!H56+HY!H56+IN!H56+FR!H56+ST!H56+CH!H56+TC!H56+LX!H56+HSU!H56+HVW!H56+MZ!H56+BUGMC!H56+HD!H56+LT!H56+FBG!H56+FSU!H56</f>
        <v>22589</v>
      </c>
      <c r="I56" s="16">
        <f>AS!I56+RI!I56+GA!I56+RLX!I56+SP!I56+WR!I56+MA!I57+TBD!I56+WA!I56+GB!I56+WM!I56+SU!I56+AX!I56+VW!I56+HY!I56+IN!I56+FR!I56+ST!I56+CH!I56+TC!I56+LX!I56+HSU!I56+HVW!I56+MZ!I56+BUGMC!I56+HD!I56+LT!I56+FBG!I56+FSU!I56</f>
        <v>23396</v>
      </c>
      <c r="J56" s="16">
        <f>AS!J56+RI!J56+GA!J56+RLX!J56+SP!J56+WR!J56+MA!J57+TBD!J56+WA!J56+GB!J56+WM!J56+SU!J56+AX!J56+VW!J56+HY!J56+IN!J56+FR!J56+ST!J56+CH!J56+TC!J56+LX!J56+HSU!J56+HVW!J56+MZ!J56+BUGMC!J56+HD!J56+LT!J56+FBG!J56+FSU!J56</f>
        <v>23396</v>
      </c>
      <c r="K56" s="16">
        <f>AS!K56+RI!K56+GA!K56+RLX!K56+SP!K56+WR!K56+MA!K57+TBD!K56+WA!K56+GB!K56+WM!K56+SU!K56+AX!K56+VW!K56+HY!K56+IN!K56+FR!K56+ST!K56+CH!K56+TC!K56+LX!K56+HSU!K56+HVW!K56+MZ!K56+BUGMC!K56+HD!K56+LT!K56+FBG!K56+FSU!K56</f>
        <v>23396</v>
      </c>
      <c r="L56" s="16">
        <f>AS!L56+RI!L56+GA!L56+RLX!L56+SP!L56+WR!L56+MA!L57+TBD!L56+WA!L56+GB!L56+WM!L56+SU!L56+AX!L56+VW!L56+HY!L56+IN!L56+FR!L56+ST!L56+CH!L56+TC!L56+LX!L56+HSU!L56+HVW!L56+MZ!L56+BUGMC!L56+HD!L56+LT!L56+FBG!L56+FSU!L56</f>
        <v>23396</v>
      </c>
      <c r="M56" s="16">
        <f>AS!M56+RI!M56+GA!M56+RLX!M56+SP!M56+WR!M56+MA!M57+TBD!M56+WA!M56+GB!M56+WM!M56+SU!M56+AX!M56+VW!M56+HY!M56+IN!M56+FR!M56+ST!M56+CH!M56+TC!M56+LX!M56+HSU!M56+HVW!M56+MZ!M56+BUGMC!M56+HD!M56+LT!M56+FBG!M56+FSU!M56</f>
        <v>23396</v>
      </c>
      <c r="N56" s="17">
        <f t="shared" si="9"/>
        <v>279338</v>
      </c>
      <c r="O56" s="18"/>
    </row>
    <row r="57" ht="13.5" customHeight="1">
      <c r="A57" s="32" t="s">
        <v>60</v>
      </c>
      <c r="B57" s="16">
        <f>AS!B57+RI!B57+GA!B57+RLX!B57+SP!B57+WR!B57+MA!B58+TBD!B57+WA!B57+GB!B57+WM!B57+SU!B57+AX!B57+VW!B57+HY!B57+IN!B57+FR!B57+ST!B57+CH!B57+TC!B57+LX!B57+HSU!B57+HVW!B57+MZ!B57+BUGMC!B57+HD!B57+LT!B57+FBG!B57+FSU!B57</f>
        <v>0</v>
      </c>
      <c r="C57" s="16">
        <f>AS!C57+RI!C57+GA!C57+RLX!C57+SP!C57+WR!C57+MA!C58+TBD!C57+WA!C57+GB!C57+WM!C57+SU!C57+AX!C57+VW!C57+HY!C57+IN!C57+FR!C57+ST!C57+CH!C57+TC!C57+LX!C57+HSU!C57+HVW!C57+MZ!C57+BUGMC!C57+HD!C57+LT!C57+FBG!C57+FSU!C57</f>
        <v>0</v>
      </c>
      <c r="D57" s="16">
        <f>AS!D57+RI!D57+GA!D57+RLX!D57+SP!D57+WR!D57+MA!D58+TBD!D57+WA!D57+GB!D57+WM!D57+SU!D57+AX!D57+VW!D57+HY!D57+IN!D57+FR!D57+ST!D57+CH!D57+TC!D57+LX!D57+HSU!D57+HVW!D57+MZ!D57+BUGMC!D57+HD!D57+LT!D57+FBG!D57+FSU!D57</f>
        <v>0</v>
      </c>
      <c r="E57" s="16">
        <f>AS!E57+RI!E57+GA!E57+RLX!E57+SP!E57+WR!E57+MA!E58+TBD!E57+WA!E57+GB!E57+WM!E57+SU!E57+AX!E57+VW!E57+HY!E57+IN!E57+FR!E57+ST!E57+CH!E57+TC!E57+LX!E57+HSU!E57+HVW!E57+MZ!E57+BUGMC!E57+HD!E57+LT!E57+FBG!E57+FSU!E57</f>
        <v>0</v>
      </c>
      <c r="F57" s="16">
        <f>AS!F57+RI!F57+GA!F57+RLX!F57+SP!F57+WR!F57+MA!F58+TBD!F57+WA!F57+GB!F57+WM!F57+SU!F57+AX!F57+VW!F57+HY!F57+IN!F57+FR!F57+ST!F57+CH!F57+TC!F57+LX!F57+HSU!F57+HVW!F57+MZ!F57+BUGMC!F57+HD!F57+LT!F57+FBG!F57+FSU!F57</f>
        <v>0</v>
      </c>
      <c r="G57" s="16">
        <f>AS!G57+RI!G57+GA!G57+RLX!G57+SP!G57+WR!G57+MA!G58+TBD!G57+WA!G57+GB!G57+WM!G57+SU!G57+AX!G57+VW!G57+HY!G57+IN!G57+FR!G57+ST!G57+CH!G57+TC!G57+LX!G57+HSU!G57+HVW!G57+MZ!G57+BUGMC!G57+HD!G57+LT!G57+FBG!G57+FSU!G57</f>
        <v>0</v>
      </c>
      <c r="H57" s="16">
        <f>AS!H57+RI!H57+GA!H57+RLX!H57+SP!H57+WR!H57+MA!H58+TBD!H57+WA!H57+GB!H57+WM!H57+SU!H57+AX!H57+VW!H57+HY!H57+IN!H57+FR!H57+ST!H57+CH!H57+TC!H57+LX!H57+HSU!H57+HVW!H57+MZ!H57+BUGMC!H57+HD!H57+LT!H57+FBG!H57+FSU!H57</f>
        <v>0</v>
      </c>
      <c r="I57" s="16">
        <f>AS!I57+RI!I57+GA!I57+RLX!I57+SP!I57+WR!I57+MA!I58+TBD!I57+WA!I57+GB!I57+WM!I57+SU!I57+AX!I57+VW!I57+HY!I57+IN!I57+FR!I57+ST!I57+CH!I57+TC!I57+LX!I57+HSU!I57+HVW!I57+MZ!I57+BUGMC!I57+HD!I57+LT!I57+FBG!I57+FSU!I57</f>
        <v>0</v>
      </c>
      <c r="J57" s="16">
        <f>AS!J57+RI!J57+GA!J57+RLX!J57+SP!J57+WR!J57+MA!J58+TBD!J57+WA!J57+GB!J57+WM!J57+SU!J57+AX!J57+VW!J57+HY!J57+IN!J57+FR!J57+ST!J57+CH!J57+TC!J57+LX!J57+HSU!J57+HVW!J57+MZ!J57+BUGMC!J57+HD!J57+LT!J57+FBG!J57+FSU!J57</f>
        <v>0</v>
      </c>
      <c r="K57" s="16">
        <f>AS!K57+RI!K57+GA!K57+RLX!K57+SP!K57+WR!K57+MA!K58+TBD!K57+WA!K57+GB!K57+WM!K57+SU!K57+AX!K57+VW!K57+HY!K57+IN!K57+FR!K57+ST!K57+CH!K57+TC!K57+LX!K57+HSU!K57+HVW!K57+MZ!K57+BUGMC!K57+HD!K57+LT!K57+FBG!K57+FSU!K57</f>
        <v>0</v>
      </c>
      <c r="L57" s="16">
        <f>AS!L57+RI!L57+GA!L57+RLX!L57+SP!L57+WR!L57+MA!L58+TBD!L57+WA!L57+GB!L57+WM!L57+SU!L57+AX!L57+VW!L57+HY!L57+IN!L57+FR!L57+ST!L57+CH!L57+TC!L57+LX!L57+HSU!L57+HVW!L57+MZ!L57+BUGMC!L57+HD!L57+LT!L57+FBG!L57+FSU!L57</f>
        <v>0</v>
      </c>
      <c r="M57" s="16">
        <f>AS!M57+RI!M57+GA!M57+RLX!M57+SP!M57+WR!M57+MA!M58+TBD!M57+WA!M57+GB!M57+WM!M57+SU!M57+AX!M57+VW!M57+HY!M57+IN!M57+FR!M57+ST!M57+CH!M57+TC!M57+LX!M57+HSU!M57+HVW!M57+MZ!M57+BUGMC!M57+HD!M57+LT!M57+FBG!M57+FSU!M57</f>
        <v>0</v>
      </c>
      <c r="N57" s="17">
        <f t="shared" si="9"/>
        <v>0</v>
      </c>
      <c r="O57" s="18"/>
    </row>
    <row r="58" ht="13.5" customHeight="1">
      <c r="A58" s="31"/>
      <c r="B58" s="16">
        <f>AS!B58+RI!B58+GA!B58+RLX!B58+SP!B58+WR!B58+MA!B59+TBD!B58+WA!B58+GB!B58+WM!B58+SU!B58+AX!B58+VW!B58+HY!B58+IN!B58+FR!B58+ST!B58+CH!B58+TC!B58+LX!B58+HSU!B58+HVW!B58+MZ!B58+BUGMC!B58+HD!B58+LT!B58+FBG!B58+FSU!B58</f>
        <v>0</v>
      </c>
      <c r="C58" s="16">
        <f>AS!C58+RI!C58+GA!C58+RLX!C59+SP!C58+WR!C58+MA!C59+TBD!C58+WA!C58+GB!C58+WM!C58+SU!C58+AX!C58+VW!C58+HY!C58+IN!C58+FR!C58+ST!C58+CH!C58+TC!C58+LX!C58+HSU!C58+HVW!C58+MZ!C58+BUGMC!C58+HD!C58+LT!C58+FBG!C58+FSU!C58</f>
        <v>713.5</v>
      </c>
      <c r="D58" s="16">
        <f>AS!D58+RI!D58+GA!D58+RLX!D59+SP!D58+WR!D58+MA!D59+TBD!D58+WA!D58+GB!D58+WM!D58+SU!D58+AX!D58+VW!D58+HY!D58+IN!D58+FR!D58+ST!D58+CH!D58+TC!D58+LX!D58+HSU!D58+HVW!D58+MZ!D58+BUGMC!D58+HD!D58+LT!D58+FBG!D58+FSU!D58</f>
        <v>713.5</v>
      </c>
      <c r="E58" s="16">
        <f>AS!E58+RI!E58+GA!E58+RLX!E59+SP!E58+WR!E58+MA!E59+TBD!E58+WA!E58+GB!E58+WM!E58+SU!E58+AX!E58+VW!E58+HY!E58+IN!E58+FR!E58+ST!E58+CH!E58+TC!E58+LX!E58+HSU!E58+HVW!E58+MZ!E58+BUGMC!E58+HD!E58+LT!E58+FBG!E58+FSU!E58</f>
        <v>713.5</v>
      </c>
      <c r="F58" s="16">
        <f>AS!F58+RI!F58+GA!F58+RLX!F59+SP!F58+WR!F58+MA!F59+TBD!F58+WA!F58+GB!F58+WM!F58+SU!F58+AX!F58+VW!F58+HY!F58+IN!F58+FR!F58+ST!F58+CH!F58+TC!F58+LX!F58+HSU!F58+HVW!F58+MZ!F58+BUGMC!F58+HD!F58+LT!F58+FBG!F58+FSU!F58</f>
        <v>713.5</v>
      </c>
      <c r="G58" s="16">
        <f>AS!G58+RI!G58+GA!G58+RLX!G59+SP!G58+WR!G58+MA!G59+TBD!G58+WA!G58+GB!G58+WM!G58+SU!G58+AX!G58+VW!G58+HY!G58+IN!G58+FR!G58+ST!G58+CH!G58+TC!G58+LX!G58+HSU!G58+HVW!G58+MZ!G58+BUGMC!G58+HD!G58+LT!G58+FBG!G58+FSU!G58</f>
        <v>713.5</v>
      </c>
      <c r="H58" s="16">
        <f>AS!H58+RI!H58+GA!H58+RLX!H59+SP!H58+WR!H58+MA!H59+TBD!H58+WA!H58+GB!H58+WM!H58+SU!H58+AX!H58+VW!H58+HY!H58+IN!H58+FR!H58+ST!H58+CH!H58+TC!H58+LX!H58+HSU!H58+HVW!H58+MZ!H58+BUGMC!H58+HD!H58+LT!H58+FBG!H58+FSU!H58</f>
        <v>713.5</v>
      </c>
      <c r="I58" s="16">
        <f>AS!I58+RI!I58+GA!I58+RLX!I59+SP!I58+WR!I58+MA!I59+TBD!I58+WA!I58+GB!I58+WM!I58+SU!I58+AX!I58+VW!I58+HY!I58+IN!I58+FR!I58+ST!I58+CH!I58+TC!I58+LX!I58+HSU!I58+HVW!I58+MZ!I58+BUGMC!I58+HD!I58+LT!I58+FBG!I58+FSU!I58</f>
        <v>713.5</v>
      </c>
      <c r="J58" s="16">
        <f>AS!J58+RI!J58+GA!J58+RLX!J59+SP!J58+WR!J58+MA!J59+TBD!J58+WA!J58+GB!J58+WM!J58+SU!J58+AX!J58+VW!J58+HY!J58+IN!J58+FR!J58+ST!J58+CH!J58+TC!J58+LX!J58+HSU!J58+HVW!J58+MZ!J58+BUGMC!J58+HD!J58+LT!J58+FBG!J58+FSU!J58</f>
        <v>713.5</v>
      </c>
      <c r="K58" s="16">
        <f>AS!K58+RI!K58+GA!K58+RLX!K59+SP!K58+WR!K58+MA!K59+TBD!K58+WA!K58+GB!K58+WM!K58+SU!K58+AX!K58+VW!K58+HY!K58+IN!K58+FR!K58+ST!K58+CH!K58+TC!K58+LX!K58+HSU!K58+HVW!K58+MZ!K58+BUGMC!K58+HD!K58+LT!K58+FBG!K58+FSU!K58</f>
        <v>713.5</v>
      </c>
      <c r="L58" s="16">
        <f>AS!L58+RI!L58+GA!L58+RLX!L59+SP!L58+WR!L58+MA!L59+TBD!L58+WA!L58+GB!L58+WM!L58+SU!L58+AX!L58+VW!L58+HY!L58+IN!L58+FR!L58+ST!L58+CH!L58+TC!L58+LX!L58+HSU!L58+HVW!L58+MZ!L58+BUGMC!L58+HD!L58+LT!L58+FBG!L58+FSU!L58</f>
        <v>713.5</v>
      </c>
      <c r="M58" s="16">
        <f>AS!M58+RI!M58+GA!M58+RLX!M59+SP!M58+WR!M58+MA!M59+TBD!M58+WA!M58+GB!M58+WM!M58+SU!M58+AX!M58+VW!M58+HY!M58+IN!M58+FR!M58+ST!M58+CH!M58+TC!M58+LX!M58+HSU!M58+HVW!M58+MZ!M58+BUGMC!M58+HD!M58+LT!M58+FBG!M58+FSU!M58</f>
        <v>713.5</v>
      </c>
      <c r="N58" s="17">
        <f t="shared" si="9"/>
        <v>7848.5</v>
      </c>
      <c r="O58" s="18"/>
    </row>
    <row r="59" ht="13.5" customHeight="1">
      <c r="A59" s="36" t="s">
        <v>61</v>
      </c>
      <c r="B59" s="16">
        <f>AS!B59+RI!B59+GA!B59+RLX!B59+SP!B59+WR!B59+MA!B60+TBD!B59+WA!B59+GB!B59+WM!B59+SU!B59+AX!B59+VW!B59+HY!B59+IN!B59+FR!B59+ST!B59+CH!B59+TC!B59+LX!B59+HSU!B59+HVW!B59+MZ!B59+BUGMC!B59+HD!B59+LT!B59+FBG!B59+FSU!B59</f>
        <v>22215.5</v>
      </c>
      <c r="C59" s="16" t="str">
        <f>AS!C59+RI!C59+GA!C59+#REF!+SP!C59+WR!C59+MA!C60+TBD!C59+WA!C59+GB!C59+WM!C59+SU!C59+AX!C59+VW!C59+HY!C59+IN!C59+FR!C59+ST!C59+CH!C59+TC!C59+LX!C59+HSU!C59+HVW!C59+MZ!C59+BUGMC!C59+HD!C59+LT!C59+FBG!C59+FSU!C59</f>
        <v>#REF!</v>
      </c>
      <c r="D59" s="16" t="str">
        <f>AS!D59+RI!D59+GA!D59+#REF!+SP!D59+WR!D59+MA!D60+TBD!D59+WA!D59+GB!D59+WM!D59+SU!D59+AX!D59+VW!D59+HY!D59+IN!D59+FR!D59+ST!D59+CH!D59+TC!D59+LX!D59+HSU!D59+HVW!D59+MZ!D59+BUGMC!D59+HD!D59+LT!D59+FBG!D59+FSU!D59</f>
        <v>#REF!</v>
      </c>
      <c r="E59" s="16" t="str">
        <f>AS!E59+RI!E59+GA!E59+#REF!+SP!E59+WR!E59+MA!E60+TBD!E59+WA!E59+GB!E59+WM!E59+SU!E59+AX!E59+VW!E59+HY!E59+IN!E59+FR!E59+ST!E59+CH!E59+TC!E59+LX!E59+HSU!E59+HVW!E59+MZ!E59+BUGMC!E59+HD!E59+LT!E59+FBG!E59+FSU!E59</f>
        <v>#REF!</v>
      </c>
      <c r="F59" s="16" t="str">
        <f>AS!F59+RI!F59+GA!F59+#REF!+SP!F59+WR!F59+MA!F60+TBD!F59+WA!F59+GB!F59+WM!F59+SU!F59+AX!F59+VW!F59+HY!F59+IN!F59+FR!F59+ST!F59+CH!F59+TC!F59+LX!F59+HSU!F59+HVW!F59+MZ!F59+BUGMC!F59+HD!F59+LT!F59+FBG!F59+FSU!F59</f>
        <v>#REF!</v>
      </c>
      <c r="G59" s="16" t="str">
        <f>AS!G59+RI!G59+GA!G59+#REF!+SP!G59+WR!G59+MA!G60+TBD!G59+WA!G59+GB!G59+WM!G59+SU!G59+AX!G59+VW!G59+HY!G59+IN!G59+FR!G59+ST!G59+CH!G59+TC!G59+LX!G59+HSU!G59+HVW!G59+MZ!G59+BUGMC!G59+HD!G59+LT!G59+FBG!G59+FSU!G59</f>
        <v>#REF!</v>
      </c>
      <c r="H59" s="16" t="str">
        <f>AS!H59+RI!H59+GA!H59+#REF!+SP!H59+WR!H59+MA!H60+TBD!H59+WA!H59+GB!H59+WM!H59+SU!H59+AX!H59+VW!H59+HY!H59+IN!H59+FR!H59+ST!H59+CH!H59+TC!H59+LX!H59+HSU!H59+HVW!H59+MZ!H59+BUGMC!H59+HD!H59+LT!H59+FBG!H59+FSU!H59</f>
        <v>#REF!</v>
      </c>
      <c r="I59" s="16" t="str">
        <f>AS!I59+RI!I59+GA!I59+#REF!+SP!I59+WR!I59+MA!I60+TBD!I59+WA!I59+GB!I59+WM!I59+SU!I59+AX!I59+VW!I59+HY!I59+IN!I59+FR!I59+ST!I59+CH!I59+TC!I59+LX!I59+HSU!I59+HVW!I59+MZ!I59+BUGMC!I59+HD!I59+LT!I59+FBG!I59+FSU!I59</f>
        <v>#REF!</v>
      </c>
      <c r="J59" s="16" t="str">
        <f>AS!J59+RI!J59+GA!J59+#REF!+SP!J59+WR!J59+MA!J60+TBD!J59+WA!J59+GB!J59+WM!J59+SU!J59+AX!J59+VW!J59+HY!J59+IN!J59+FR!J59+ST!J59+CH!J59+TC!J59+LX!J59+HSU!J59+HVW!J59+MZ!J59+BUGMC!J59+HD!J59+LT!J59+FBG!J59+FSU!J59</f>
        <v>#REF!</v>
      </c>
      <c r="K59" s="16" t="str">
        <f>AS!K59+RI!K59+GA!K59+#REF!+SP!K59+WR!K59+MA!K60+TBD!K59+WA!K59+GB!K59+WM!K59+SU!K59+AX!K59+VW!K59+HY!K59+IN!K59+FR!K59+ST!K59+CH!K59+TC!K59+LX!K59+HSU!K59+HVW!K59+MZ!K59+BUGMC!K59+HD!K59+LT!K59+FBG!K59+FSU!K59</f>
        <v>#REF!</v>
      </c>
      <c r="L59" s="16" t="str">
        <f>AS!L59+RI!L59+GA!L59+#REF!+SP!L59+WR!L59+MA!L60+TBD!L59+WA!L59+GB!L59+WM!L59+SU!L59+AX!L59+VW!L59+HY!L59+IN!L59+FR!L59+ST!L59+CH!L59+TC!L59+LX!L59+HSU!L59+HVW!L59+MZ!L59+BUGMC!L59+HD!L59+LT!L59+FBG!L59+FSU!L59</f>
        <v>#REF!</v>
      </c>
      <c r="M59" s="16" t="str">
        <f>AS!M59+RI!M59+GA!M59+#REF!+SP!M59+WR!M59+MA!M60+TBD!M59+WA!M59+GB!M59+WM!M59+SU!M59+AX!M59+VW!M59+HY!M59+IN!M59+FR!M59+ST!M59+CH!M59+TC!M59+LX!M59+HSU!M59+HVW!M59+MZ!M59+BUGMC!M59+HD!M59+LT!M59+FBG!M59+FSU!M59</f>
        <v>#REF!</v>
      </c>
      <c r="N59" s="37">
        <f>AS!N59+RI!N59+GA!N59+RLX!N59+SP!N59+WR!N59+MA!N60+TBD!N59+WA!N59+GB!N59+WM!N59+SU!N59+AX!N59+VW!N59+HY!N59+IN!N59+FR!N59+ST!N59+CH!N59+TC!N59+LX!N59+HSU!N59+HVW!N59+MZ!N59+BUGMC!N59+HD!N59</f>
        <v>244848.5</v>
      </c>
      <c r="O59" s="18"/>
    </row>
    <row r="60" ht="13.5" customHeight="1">
      <c r="A60" s="38" t="s">
        <v>62</v>
      </c>
      <c r="B60" s="16">
        <f>AS!B60+RI!B60+GA!B60+RLX!B60+SP!B60+WR!B60+MA!B61+TBD!B60+WA!B60+GB!B60+WM!B60+SU!B60+AX!B60+VW!B60+HY!B60+IN!B60+FR!B60+ST!B60+CH!B60+TC!B60+LX!B60+HSU!B60+HVW!B60+MZ!B60+BUGMC!B60+HD!B60+LT!B60+FBG!B60+FSU!B60</f>
        <v>99</v>
      </c>
      <c r="C60" s="16">
        <f>AS!C60+RI!C60+GA!C60+RLX!C60+SP!C60+WR!C60+MA!C61+TBD!C60+WA!C60+GB!C60+WM!C60+SU!C60+AX!C60+VW!C60+HY!C60+IN!C60+FR!C60+ST!C60+CH!C60+TC!C60+LX!C60+HSU!C60+HVW!C60+MZ!C60+BUGMC!C60+HD!C60+LT!C60+FBG!C60+FSU!C60</f>
        <v>99</v>
      </c>
      <c r="D60" s="16">
        <f>AS!D60+RI!D60+GA!D60+RLX!D60+SP!D60+WR!D60+MA!D61+TBD!D60+WA!D60+GB!D60+WM!D60+SU!D60+AX!D60+VW!D60+HY!D60+IN!D60+FR!D60+ST!D60+CH!D60+TC!D60+LX!D60+HSU!D60+HVW!D60+MZ!D60+BUGMC!D60+HD!D60+LT!D60+FBG!D60+FSU!D60</f>
        <v>99</v>
      </c>
      <c r="E60" s="16">
        <f>AS!E60+RI!E60+GA!E60+RLX!E60+SP!E60+WR!E60+MA!E61+TBD!E60+WA!E60+GB!E60+WM!E60+SU!E60+AX!E60+VW!E60+HY!E60+IN!E60+FR!E60+ST!E60+CH!E60+TC!E60+LX!E60+HSU!E60+HVW!E60+MZ!E60+BUGMC!E60+HD!E60+LT!E60+FBG!E60+FSU!E60</f>
        <v>99</v>
      </c>
      <c r="F60" s="16">
        <f>AS!F60+RI!F60+GA!F60+RLX!F60+SP!F60+WR!F60+MA!F61+TBD!F60+WA!F60+GB!F60+WM!F60+SU!F60+AX!F60+VW!F60+HY!F60+IN!F60+FR!F60+ST!F60+CH!F60+TC!F60+LX!F60+HSU!F60+HVW!F60+MZ!F60+BUGMC!F60+HD!F60+LT!F60+FBG!F60+FSU!F60</f>
        <v>99</v>
      </c>
      <c r="G60" s="16">
        <f>AS!G60+RI!G60+GA!G60+RLX!G60+SP!G60+WR!G60+MA!G61+TBD!G60+WA!G60+GB!G60+WM!G60+SU!G60+AX!G60+VW!G60+HY!G60+IN!G60+FR!G60+ST!G60+CH!G60+TC!G60+LX!G60+HSU!G60+HVW!G60+MZ!G60+BUGMC!G60+HD!G60+LT!G60+FBG!G60+FSU!G60</f>
        <v>99</v>
      </c>
      <c r="H60" s="16">
        <f>AS!H60+RI!H60+GA!H60+RLX!H60+SP!H60+WR!H60+MA!H61+TBD!H60+WA!H60+GB!H60+WM!H60+SU!H60+AX!H60+VW!H60+HY!H60+IN!H60+FR!H60+ST!H60+CH!H60+TC!H60+LX!H60+HSU!H60+HVW!H60+MZ!H60+BUGMC!H60+HD!H60+LT!H60+FBG!H60+FSU!H60</f>
        <v>99</v>
      </c>
      <c r="I60" s="16">
        <f>AS!I60+RI!I60+GA!I60+RLX!I60+SP!I60+WR!I60+MA!I61+TBD!I60+WA!I60+GB!I60+WM!I60+SU!I60+AX!I60+VW!I60+HY!I60+IN!I60+FR!I60+ST!I60+CH!I60+TC!I60+LX!I60+HSU!I60+HVW!I60+MZ!I60+BUGMC!I60+HD!I60+LT!I60+FBG!I60+FSU!I60</f>
        <v>99</v>
      </c>
      <c r="J60" s="16">
        <f>AS!J60+RI!J60+GA!J60+RLX!J60+SP!J60+WR!J60+MA!J61+TBD!J60+WA!J60+GB!J60+WM!J60+SU!J60+AX!J60+VW!J60+HY!J60+IN!J60+FR!J60+ST!J60+CH!J60+TC!J60+LX!J60+HSU!J60+HVW!J60+MZ!J60+BUGMC!J60+HD!J60+LT!J60+FBG!J60+FSU!J60</f>
        <v>99</v>
      </c>
      <c r="K60" s="16">
        <f>AS!K60+RI!K60+GA!K60+RLX!K60+SP!K60+WR!K60+MA!K61+TBD!K60+WA!K60+GB!K60+WM!K60+SU!K60+AX!K60+VW!K60+HY!K60+IN!K60+FR!K60+ST!K60+CH!K60+TC!K60+LX!K60+HSU!K60+HVW!K60+MZ!K60+BUGMC!K60+HD!K60+LT!K60+FBG!K60+FSU!K60</f>
        <v>99</v>
      </c>
      <c r="L60" s="16">
        <f>AS!L60+RI!L60+GA!L60+RLX!L60+SP!L60+WR!L60+MA!L61+TBD!L60+WA!L60+GB!L60+WM!L60+SU!L60+AX!L60+VW!L60+HY!L60+IN!L60+FR!L60+ST!L60+CH!L60+TC!L60+LX!L60+HSU!L60+HVW!L60+MZ!L60+BUGMC!L60+HD!L60+LT!L60+FBG!L60+FSU!L60</f>
        <v>99</v>
      </c>
      <c r="M60" s="16">
        <f>AS!M60+RI!M60+GA!M60+RLX!M60+SP!M60+WR!M60+MA!M61+TBD!M60+WA!M60+GB!M60+WM!M60+SU!M60+AX!M60+VW!M60+HY!M60+IN!M60+FR!M60+ST!M60+CH!M60+TC!M60+LX!M60+HSU!M60+HVW!M60+MZ!M60+BUGMC!M60+HD!M60+LT!M60+FBG!M60+FSU!M60</f>
        <v>99</v>
      </c>
      <c r="N60" s="17">
        <f t="shared" ref="N60:N69" si="10">SUM(B60:M60)</f>
        <v>1188</v>
      </c>
      <c r="O60" s="18"/>
    </row>
    <row r="61" ht="13.5" customHeight="1">
      <c r="A61" s="32"/>
      <c r="B61" s="16">
        <f>AS!B61+RI!B61+GA!B61+RLX!B61+SP!B61+WR!B61+MA!B62+TBD!B61+WA!B61+GB!B61+WM!B61+SU!B61+AX!B61+VW!B61+HY!B61+IN!B61+FR!B61+ST!B61+CH!B61+TC!B61+LX!B61+HSU!B61+HVW!B61+MZ!B61+BUGMC!B61+HD!B61+LT!B61+FBG!B61+FSU!B61</f>
        <v>0</v>
      </c>
      <c r="C61" s="16">
        <f>AS!C61+RI!C61+GA!C61+RLX!C61+SP!C61+WR!C61+MA!C62+TBD!C61+WA!C61+GB!C61+WM!C61+SU!C61+AX!C61+VW!C61+HY!C61+IN!C61+FR!C61+ST!C61+CH!C61+TC!C61+LX!C61+HSU!C61+HVW!C61+MZ!C61+BUGMC!C61+HD!C61+LT!C61+FBG!C61+FSU!C61</f>
        <v>0</v>
      </c>
      <c r="D61" s="16">
        <f>AS!D61+RI!D61+GA!D61+RLX!D61+SP!D61+WR!D61+MA!D62+TBD!D61+WA!D61+GB!D61+WM!D61+SU!D61+AX!D61+VW!D61+HY!D61+IN!D61+FR!D61+ST!D61+CH!D61+TC!D61+LX!D61+HSU!D61+HVW!D61+MZ!D61+BUGMC!D61+HD!D61+LT!D61+FBG!D61+FSU!D61</f>
        <v>0</v>
      </c>
      <c r="E61" s="16">
        <f>AS!E61+RI!E61+GA!E61+RLX!E61+SP!E61+WR!E61+MA!E62+TBD!E61+WA!E61+GB!E61+WM!E61+SU!E61+AX!E61+VW!E61+HY!E61+IN!E61+FR!E61+ST!E61+CH!E61+TC!E61+LX!E61+HSU!E61+HVW!E61+MZ!E61+BUGMC!E61+HD!E61+LT!E61+FBG!E61+FSU!E61</f>
        <v>0</v>
      </c>
      <c r="F61" s="16">
        <f>AS!F61+RI!F61+GA!F61+RLX!F61+SP!F61+WR!F61+MA!F62+TBD!F61+WA!F61+GB!F61+WM!F61+SU!F61+AX!F61+VW!F61+HY!F61+IN!F61+FR!F61+ST!F61+CH!F61+TC!F61+LX!F61+HSU!F61+HVW!F61+MZ!F61+BUGMC!F61+HD!F61+LT!F61+FBG!F61+FSU!F61</f>
        <v>0</v>
      </c>
      <c r="G61" s="16">
        <f>AS!G61+RI!G61+GA!G61+RLX!G61+SP!G61+WR!G61+MA!G62+TBD!G61+WA!G61+GB!G61+WM!G61+SU!G61+AX!G61+VW!G61+HY!G61+IN!G61+FR!G61+ST!G61+CH!G61+TC!G61+LX!G61+HSU!G61+HVW!G61+MZ!G61+BUGMC!G61+HD!G61+LT!G61+FBG!G61+FSU!G61</f>
        <v>0</v>
      </c>
      <c r="H61" s="16">
        <f>AS!H61+RI!H61+GA!H61+RLX!H61+SP!H61+WR!H61+MA!H62+TBD!H61+WA!H61+GB!H61+WM!H61+SU!H61+AX!H61+VW!H61+HY!H61+IN!H61+FR!H61+ST!H61+CH!H61+TC!H61+LX!H61+HSU!H61+HVW!H61+MZ!H61+BUGMC!H61+HD!H61+LT!H61+FBG!H61+FSU!H61</f>
        <v>0</v>
      </c>
      <c r="I61" s="16">
        <f>AS!I61+RI!I61+GA!I61+RLX!I61+SP!I61+WR!I61+MA!I62+TBD!I61+WA!I61+GB!I61+WM!I61+SU!I61+AX!I61+VW!I61+HY!I61+IN!I61+FR!I61+ST!I61+CH!I61+TC!I61+LX!I61+HSU!I61+HVW!I61+MZ!I61+BUGMC!I61+HD!I61+LT!I61+FBG!I61+FSU!I61</f>
        <v>0</v>
      </c>
      <c r="J61" s="16">
        <f>AS!J61+RI!J61+GA!J61+RLX!J61+SP!J61+WR!J61+MA!J62+TBD!J61+WA!J61+GB!J61+WM!J61+SU!J61+AX!J61+VW!J61+HY!J61+IN!J61+FR!J61+ST!J61+CH!J61+TC!J61+LX!J61+HSU!J61+HVW!J61+MZ!J61+BUGMC!J61+HD!J61+LT!J61+FBG!J61+FSU!J61</f>
        <v>0</v>
      </c>
      <c r="K61" s="16">
        <f>AS!K61+RI!K61+GA!K61+RLX!K61+SP!K61+WR!K61+MA!K62+TBD!K61+WA!K61+GB!K61+WM!K61+SU!K61+AX!K61+VW!K61+HY!K61+IN!K61+FR!K61+ST!K61+CH!K61+TC!K61+LX!K61+HSU!K61+HVW!K61+MZ!K61+BUGMC!K61+HD!K61+LT!K61+FBG!K61+FSU!K61</f>
        <v>0</v>
      </c>
      <c r="L61" s="16">
        <f>AS!L61+RI!L61+GA!L61+RLX!L61+SP!L61+WR!L61+MA!L62+TBD!L61+WA!L61+GB!L61+WM!L61+SU!L61+AX!L61+VW!L61+HY!L61+IN!L61+FR!L61+ST!L61+CH!L61+TC!L61+LX!L61+HSU!L61+HVW!L61+MZ!L61+BUGMC!L61+HD!L61+LT!L61+FBG!L61+FSU!L61</f>
        <v>0</v>
      </c>
      <c r="M61" s="16">
        <f>AS!M61+RI!M61+GA!M61+RLX!M61+SP!M61+WR!M61+MA!M62+TBD!M61+WA!M61+GB!M61+WM!M61+SU!M61+AX!M61+VW!M61+HY!M61+IN!M61+FR!M61+ST!M61+CH!M61+TC!M61+LX!M61+HSU!M61+HVW!M61+MZ!M61+BUGMC!M61+HD!M61+LT!M61+FBG!M61+FSU!M61</f>
        <v>0</v>
      </c>
      <c r="N61" s="17">
        <f t="shared" si="10"/>
        <v>0</v>
      </c>
      <c r="O61" s="18"/>
    </row>
    <row r="62" ht="13.5" customHeight="1">
      <c r="A62" s="32" t="s">
        <v>63</v>
      </c>
      <c r="B62" s="16">
        <f>AS!B62+RI!B62+GA!B62+RLX!B62+SP!B62+WR!B62+MA!B63+TBD!B62+WA!B62+GB!B62+WM!B62+SU!B62+AX!B62+VW!B62+HY!B62+IN!B62+FR!B62+ST!B62+CH!B62+TC!B62+LX!B62+HSU!B62+HVW!B62+MZ!B62+BUGMC!B62+HD!B62+LT!B62+FBG!B62+FSU!B62</f>
        <v>0</v>
      </c>
      <c r="C62" s="16">
        <f>AS!C62+RI!C62+GA!C62+RLX!C62+SP!C62+WR!C62+MA!C63+TBD!C62+WA!C62+GB!C62+WM!C62+SU!C62+AX!C62+VW!C62+HY!C62+IN!C62+FR!C62+ST!C62+CH!C62+TC!C62+LX!C62+HSU!C62+HVW!C62+MZ!C62+BUGMC!C62+HD!C62+LT!C62+FBG!C62+FSU!C62</f>
        <v>0</v>
      </c>
      <c r="D62" s="16">
        <f>AS!D62+RI!D62+GA!D62+RLX!D62+SP!D62+WR!D62+MA!D63+TBD!D62+WA!D62+GB!D62+WM!D62+SU!D62+AX!D62+VW!D62+HY!D62+IN!D62+FR!D62+ST!D62+CH!D62+TC!D62+LX!D62+HSU!D62+HVW!D62+MZ!D62+BUGMC!D62+HD!D62+LT!D62+FBG!D62+FSU!D62</f>
        <v>0</v>
      </c>
      <c r="E62" s="16">
        <f>AS!E62+RI!E62+GA!E62+RLX!E62+SP!E62+WR!E62+MA!E63+TBD!E62+WA!E62+GB!E62+WM!E62+SU!E62+AX!E62+VW!E62+HY!E62+IN!E62+FR!E62+ST!E62+CH!E62+TC!E62+LX!E62+HSU!E62+HVW!E62+MZ!E62+BUGMC!E62+HD!E62+LT!E62+FBG!E62+FSU!E62</f>
        <v>0</v>
      </c>
      <c r="F62" s="16">
        <f>AS!F62+RI!F62+GA!F62+RLX!F62+SP!F62+WR!F62+MA!F63+TBD!F62+WA!F62+GB!F62+WM!F62+SU!F62+AX!F62+VW!F62+HY!F62+IN!F62+FR!F62+ST!F62+CH!F62+TC!F62+LX!F62+HSU!F62+HVW!F62+MZ!F62+BUGMC!F62+HD!F62+LT!F62+FBG!F62+FSU!F62</f>
        <v>0</v>
      </c>
      <c r="G62" s="16">
        <f>AS!G62+RI!G62+GA!G62+RLX!G62+SP!G62+WR!G62+MA!G63+TBD!G62+WA!G62+GB!G62+WM!G62+SU!G62+AX!G62+VW!G62+HY!G62+IN!G62+FR!G62+ST!G62+CH!G62+TC!G62+LX!G62+HSU!G62+HVW!G62+MZ!G62+BUGMC!G62+HD!G62+LT!G62+FBG!G62+FSU!G62</f>
        <v>0</v>
      </c>
      <c r="H62" s="16">
        <f>AS!H62+RI!H62+GA!H62+RLX!H62+SP!H62+WR!H62+MA!H63+TBD!H62+WA!H62+GB!H62+WM!H62+SU!H62+AX!H62+VW!H62+HY!H62+IN!H62+FR!H62+ST!H62+CH!H62+TC!H62+LX!H62+HSU!H62+HVW!H62+MZ!H62+BUGMC!H62+HD!H62+LT!H62+FBG!H62+FSU!H62</f>
        <v>0</v>
      </c>
      <c r="I62" s="16">
        <f>AS!I62+RI!I62+GA!I62+RLX!I62+SP!I62+WR!I62+MA!I63+TBD!I62+WA!I62+GB!I62+WM!I62+SU!I62+AX!I62+VW!I62+HY!I62+IN!I62+FR!I62+ST!I62+CH!I62+TC!I62+LX!I62+HSU!I62+HVW!I62+MZ!I62+BUGMC!I62+HD!I62+LT!I62+FBG!I62+FSU!I62</f>
        <v>0</v>
      </c>
      <c r="J62" s="16">
        <f>AS!J62+RI!J62+GA!J62+RLX!J62+SP!J62+WR!J62+MA!J63+TBD!J62+WA!J62+GB!J62+WM!J62+SU!J62+AX!J62+VW!J62+HY!J62+IN!J62+FR!J62+ST!J62+CH!J62+TC!J62+LX!J62+HSU!J62+HVW!J62+MZ!J62+BUGMC!J62+HD!J62+LT!J62+FBG!J62+FSU!J62</f>
        <v>0</v>
      </c>
      <c r="K62" s="16">
        <f>AS!K62+RI!K62+GA!K62+RLX!K62+SP!K62+WR!K62+MA!K63+TBD!K62+WA!K62+GB!K62+WM!K62+SU!K62+AX!K62+VW!K62+HY!K62+IN!K62+FR!K62+ST!K62+CH!K62+TC!K62+LX!K62+HSU!K62+HVW!K62+MZ!K62+BUGMC!K62+HD!K62+LT!K62+FBG!K62+FSU!K62</f>
        <v>0</v>
      </c>
      <c r="L62" s="16">
        <f>AS!L62+RI!L62+GA!L62+RLX!L62+SP!L62+WR!L62+MA!L63+TBD!L62+WA!L62+GB!L62+WM!L62+SU!L62+AX!L62+VW!L62+HY!L62+IN!L62+FR!L62+ST!L62+CH!L62+TC!L62+LX!L62+HSU!L62+HVW!L62+MZ!L62+BUGMC!L62+HD!L62+LT!L62+FBG!L62+FSU!L62</f>
        <v>0</v>
      </c>
      <c r="M62" s="16">
        <f>AS!M62+RI!M62+GA!M62+RLX!M62+SP!M62+WR!M62+MA!M63+TBD!M62+WA!M62+GB!M62+WM!M62+SU!M62+AX!M62+VW!M62+HY!M62+IN!M62+FR!M62+ST!M62+CH!M62+TC!M62+LX!M62+HSU!M62+HVW!M62+MZ!M62+BUGMC!M62+HD!M62+LT!M62+FBG!M62+FSU!M62</f>
        <v>0</v>
      </c>
      <c r="N62" s="17">
        <f t="shared" si="10"/>
        <v>0</v>
      </c>
      <c r="O62" s="18"/>
    </row>
    <row r="63" ht="13.5" customHeight="1">
      <c r="A63" s="31" t="s">
        <v>64</v>
      </c>
      <c r="B63" s="16">
        <f>AS!B63+RI!B63+GA!B63+RLX!B63+SP!B63+WR!B63+MA!B64+TBD!B63+WA!B63+GB!B63+WM!B63+SU!B63+AX!B63+VW!B63+HY!B63+IN!B63+FR!B63+ST!B63+CH!B63+TC!B63+LX!B63+HSU!B63+HVW!B63+MZ!B63+BUGMC!B63+HD!B63+LT!B63+FBG!B63+FSU!B63</f>
        <v>247870.3</v>
      </c>
      <c r="C63" s="16">
        <f>AS!C63+RI!C63+GA!C63+RLX!C63+SP!C63+WR!C63+MA!C64+TBD!C63+WA!C63+GB!C63+WM!C63+SU!C63+AX!C63+VW!C63+HY!C63+IN!C63+FR!C63+ST!C63+CH!C63+TC!C63+LX!C63+HSU!C63+HVW!C63+MZ!C63+BUGMC!C63+HD!C63+LT!C63+FBG!C63+FSU!C63</f>
        <v>250220.3</v>
      </c>
      <c r="D63" s="16">
        <f>AS!D63+RI!D63+GA!D63+RLX!D63+SP!D63+WR!D63+MA!D64+TBD!D63+WA!D63+GB!D63+WM!D63+SU!D63+AX!D63+VW!D63+HY!D63+IN!D63+FR!D63+ST!D63+CH!D63+TC!D63+LX!D63+HSU!D63+HVW!D63+MZ!D63+BUGMC!D63+HD!D63+LT!D63+FBG!D63+FSU!D63</f>
        <v>251520.3</v>
      </c>
      <c r="E63" s="16">
        <f>AS!E63+RI!E63+GA!E63+RLX!E63+SP!E63+WR!E63+MA!E64+TBD!E63+WA!E63+GB!E63+WM!E63+SU!E63+AX!E63+VW!E63+HY!E63+IN!E63+FR!E63+ST!E63+CH!E63+TC!E63+LX!E63+HSU!E63+HVW!E63+MZ!E63+BUGMC!E63+HD!E63+LT!E63+FBG!E63+FSU!E63</f>
        <v>252820.3</v>
      </c>
      <c r="F63" s="16">
        <f>AS!F63+RI!F63+GA!F63+RLX!F63+SP!F63+WR!F63+MA!F64+TBD!F63+WA!F63+GB!F63+WM!F63+SU!F63+AX!F63+VW!F63+HY!F63+IN!F63+FR!F63+ST!F63+CH!F63+TC!F63+LX!F63+HSU!F63+HVW!F63+MZ!F63+BUGMC!F63+HD!F63+LT!F63+FBG!F63+FSU!F63</f>
        <v>252820.3</v>
      </c>
      <c r="G63" s="16">
        <f>AS!G63+RI!G63+GA!G63+RLX!G63+SP!G63+WR!G63+MA!G64+TBD!G63+WA!G63+GB!G63+WM!G63+SU!G63+AX!G63+VW!G63+HY!G63+IN!G63+FR!G63+ST!G63+CH!G63+TC!G63+LX!G63+HSU!G63+HVW!G63+MZ!G63+BUGMC!G63+HD!G63+LT!G63+FBG!G63+FSU!G63</f>
        <v>252820.3</v>
      </c>
      <c r="H63" s="16">
        <f>AS!H63+RI!H63+GA!H63+RLX!H63+SP!H63+WR!H63+MA!H64+TBD!H63+WA!H63+GB!H63+WM!H63+SU!H63+AX!H63+VW!H63+HY!H63+IN!H63+FR!H63+ST!H63+CH!H63+TC!H63+LX!H63+HSU!H63+HVW!H63+MZ!H63+BUGMC!H63+HD!H63+LT!H63+FBG!H63+FSU!H63</f>
        <v>252820.3</v>
      </c>
      <c r="I63" s="16">
        <f>AS!I63+RI!I63+GA!I63+RLX!I63+SP!I63+WR!I63+MA!I64+TBD!I63+WA!I63+GB!I63+WM!I63+SU!I63+AX!I63+VW!I63+HY!I63+IN!I63+FR!I63+ST!I63+CH!I63+TC!I63+LX!I63+HSU!I63+HVW!I63+MZ!I63+BUGMC!I63+HD!I63+LT!I63+FBG!I63+FSU!I63</f>
        <v>252220.3</v>
      </c>
      <c r="J63" s="16">
        <f>AS!J63+RI!J63+GA!J63+RLX!J63+SP!J63+WR!J63+MA!J64+TBD!J63+WA!J63+GB!J63+WM!J63+SU!J63+AX!J63+VW!J63+HY!J63+IN!J63+FR!J63+ST!J63+CH!J63+TC!J63+LX!J63+HSU!J63+HVW!J63+MZ!J63+BUGMC!J63+HD!J63+LT!J63+FBG!J63+FSU!J63</f>
        <v>251220.3</v>
      </c>
      <c r="K63" s="16">
        <f>AS!K63+RI!K63+GA!K63+RLX!K63+SP!K63+WR!K63+MA!K64+TBD!K63+WA!K63+GB!K63+WM!K63+SU!K63+AX!K63+VW!K63+HY!K63+IN!K63+FR!K63+ST!K63+CH!K63+TC!K63+LX!K63+HSU!K63+HVW!K63+MZ!K63+BUGMC!K63+HD!K63+LT!K63+FBG!K63+FSU!K63</f>
        <v>250220.3</v>
      </c>
      <c r="L63" s="16">
        <f>AS!L63+RI!L63+GA!L63+RLX!L63+SP!L63+WR!L63+MA!L64+TBD!L63+WA!L63+GB!L63+WM!L63+SU!L63+AX!L63+VW!L63+HY!L63+IN!L63+FR!L63+ST!L63+CH!L63+TC!L63+LX!L63+HSU!L63+HVW!L63+MZ!L63+BUGMC!L63+HD!L63+LT!L63+FBG!L63+FSU!L63</f>
        <v>250220.3</v>
      </c>
      <c r="M63" s="16">
        <f>AS!M63+RI!M63+GA!M63+RLX!M63+SP!M63+WR!M63+MA!M64+TBD!M63+WA!M63+GB!M63+WM!M63+SU!M63+AX!M63+VW!M63+HY!M63+IN!M63+FR!M63+ST!M63+CH!M63+TC!M63+LX!M63+HSU!M63+HVW!M63+MZ!M63+BUGMC!M63+HD!M63+LT!M63+FBG!M63+FSU!M63</f>
        <v>250220.3</v>
      </c>
      <c r="N63" s="17">
        <f t="shared" si="10"/>
        <v>3014993.6</v>
      </c>
      <c r="O63" s="18"/>
    </row>
    <row r="64" ht="13.5" customHeight="1">
      <c r="A64" s="32" t="s">
        <v>65</v>
      </c>
      <c r="B64" s="16">
        <f>AS!B64+RI!B64+GA!B64+RLX!B64+SP!B64+WR!B64+MA!B65+TBD!B64+WA!B64+GB!B64+WM!B64+SU!B64+AX!B64+VW!B64+HY!B64+IN!B64+FR!B64+ST!B64+CH!B64+TC!B64+LX!B64+HSU!B64+HVW!B64+MZ!B64+BUGMC!B64+HD!B64+LT!B64+FBG!B64+FSU!B64</f>
        <v>10910</v>
      </c>
      <c r="C64" s="16">
        <f>AS!C64+RI!C64+GA!C64+RLX!C64+SP!C64+WR!C64+MA!C65+TBD!C64+WA!C64+GB!C64+WM!C64+SU!C64+AX!C64+VW!C64+HY!C64+IN!C64+FR!C64+ST!C64+CH!C64+TC!C64+LX!C64+HSU!C64+HVW!C64+MZ!C64+BUGMC!C64+HD!C64+LT!C64+FBG!C64+FSU!C64</f>
        <v>10910</v>
      </c>
      <c r="D64" s="16">
        <f>AS!D64+RI!D64+GA!D64+RLX!D64+SP!D64+WR!D64+MA!D65+TBD!D64+WA!D64+GB!D64+WM!D64+SU!D64+AX!D64+VW!D64+HY!D64+IN!D64+FR!D64+ST!D64+CH!D64+TC!D64+LX!D64+HSU!D64+HVW!D64+MZ!D64+BUGMC!D64+HD!D64+LT!D64+FBG!D64+FSU!D64</f>
        <v>10910</v>
      </c>
      <c r="E64" s="16">
        <f>AS!E64+RI!E64+GA!E64+RLX!E64+SP!E64+WR!E64+MA!E65+TBD!E64+WA!E64+GB!E64+WM!E64+SU!E64+AX!E64+VW!E64+HY!E64+IN!E64+FR!E64+ST!E64+CH!E64+TC!E64+LX!E64+HSU!E64+HVW!E64+MZ!E64+BUGMC!E64+HD!E64+LT!E64+FBG!E64+FSU!E64</f>
        <v>10910</v>
      </c>
      <c r="F64" s="16">
        <f>AS!F64+RI!F64+GA!F64+RLX!F64+SP!F64+WR!F64+MA!F65+TBD!F64+WA!F64+GB!F64+WM!F64+SU!F64+AX!F64+VW!F64+HY!F64+IN!F64+FR!F64+ST!F64+CH!F64+TC!F64+LX!F64+HSU!F64+HVW!F64+MZ!F64+BUGMC!F64+HD!F64+LT!F64+FBG!F64+FSU!F64</f>
        <v>10910</v>
      </c>
      <c r="G64" s="16">
        <f>AS!G64+RI!G64+GA!G64+RLX!G64+SP!G64+WR!G64+MA!G65+TBD!G64+WA!G64+GB!G64+WM!G64+SU!G64+AX!G64+VW!G64+HY!G64+IN!G64+FR!G64+ST!G64+CH!G64+TC!G64+LX!G64+HSU!G64+HVW!G64+MZ!G64+BUGMC!G64+HD!G64+LT!G64+FBG!G64+FSU!G64</f>
        <v>10910</v>
      </c>
      <c r="H64" s="16">
        <f>AS!H64+RI!H64+GA!H64+RLX!H64+SP!H64+WR!H64+MA!H65+TBD!H64+WA!H64+GB!H64+WM!H64+SU!H64+AX!H64+VW!H64+HY!H64+IN!H64+FR!H64+ST!H64+CH!H64+TC!H64+LX!H64+HSU!H64+HVW!H64+MZ!H64+BUGMC!H64+HD!H64+LT!H64+FBG!H64+FSU!H64</f>
        <v>10910</v>
      </c>
      <c r="I64" s="16">
        <f>AS!I64+RI!I64+GA!I64+RLX!I64+SP!I64+WR!I64+MA!I65+TBD!I64+WA!I64+GB!I64+WM!I64+SU!I64+AX!I64+VW!I64+HY!I64+IN!I64+FR!I64+ST!I64+CH!I64+TC!I64+LX!I64+HSU!I64+HVW!I64+MZ!I64+BUGMC!I64+HD!I64+LT!I64+FBG!I64+FSU!I64</f>
        <v>10910</v>
      </c>
      <c r="J64" s="16">
        <f>AS!J64+RI!J64+GA!J64+RLX!J64+SP!J64+WR!J64+MA!J65+TBD!J64+WA!J64+GB!J64+WM!J64+SU!J64+AX!J64+VW!J64+HY!J64+IN!J64+FR!J64+ST!J64+CH!J64+TC!J64+LX!J64+HSU!J64+HVW!J64+MZ!J64+BUGMC!J64+HD!J64+LT!J64+FBG!J64+FSU!J64</f>
        <v>10910</v>
      </c>
      <c r="K64" s="16">
        <f>AS!K64+RI!K64+GA!K64+RLX!K64+SP!K64+WR!K64+MA!K65+TBD!K64+WA!K64+GB!K64+WM!K64+SU!K64+AX!K64+VW!K64+HY!K64+IN!K64+FR!K64+ST!K64+CH!K64+TC!K64+LX!K64+HSU!K64+HVW!K64+MZ!K64+BUGMC!K64+HD!K64+LT!K64+FBG!K64+FSU!K64</f>
        <v>10910</v>
      </c>
      <c r="L64" s="16">
        <f>AS!L64+RI!L64+GA!L64+RLX!L64+SP!L64+WR!L64+MA!L65+TBD!L64+WA!L64+GB!L64+WM!L64+SU!L64+AX!L64+VW!L64+HY!L64+IN!L64+FR!L64+ST!L64+CH!L64+TC!L64+LX!L64+HSU!L64+HVW!L64+MZ!L64+BUGMC!L64+HD!L64+LT!L64+FBG!L64+FSU!L64</f>
        <v>10910</v>
      </c>
      <c r="M64" s="16">
        <f>AS!M64+RI!M64+GA!M64+RLX!M64+SP!M64+WR!M64+MA!M65+TBD!M64+WA!M64+GB!M64+WM!M64+SU!M64+AX!M64+VW!M64+HY!M64+IN!M64+FR!M64+ST!M64+CH!M64+TC!M64+LX!M64+HSU!M64+HVW!M64+MZ!M64+BUGMC!M64+HD!M64+LT!M64+FBG!M64+FSU!M64</f>
        <v>10910</v>
      </c>
      <c r="N64" s="17">
        <f t="shared" si="10"/>
        <v>130920</v>
      </c>
      <c r="O64" s="18"/>
    </row>
    <row r="65" ht="13.5" customHeight="1">
      <c r="A65" s="31" t="s">
        <v>66</v>
      </c>
      <c r="B65" s="16">
        <f>AS!B65+RI!B65+GA!B65+RLX!B65+SP!B65+WR!B65+MA!B66+TBD!B65+WA!B65+GB!B65+WM!B65+SU!B65+AX!B65+VW!B65+HY!B65+IN!B65+FR!B65+ST!B65+CH!B65+TC!B65+LX!B65+HSU!B65+HVW!B65+MZ!B65+BUGMC!B65+HD!B65+LT!B65+FBG!B65+FSU!B65</f>
        <v>0</v>
      </c>
      <c r="C65" s="16">
        <f>AS!C65+RI!C65+GA!C65+RLX!C65+SP!C65+WR!C65+MA!C66+TBD!C65+WA!C65+GB!C65+WM!C65+SU!C65+AX!C65+VW!C65+HY!C65+IN!C65+FR!C65+ST!C65+CH!C65+TC!C65+LX!C65+HSU!C65+HVW!C65+MZ!C65+BUGMC!C65+HD!C65+LT!C65+FBG!C65+FSU!C65</f>
        <v>0</v>
      </c>
      <c r="D65" s="16">
        <f>AS!D65+RI!D65+GA!D65+RLX!D65+SP!D65+WR!D65+MA!D66+TBD!D65+WA!D65+GB!D65+WM!D65+SU!D65+AX!D65+VW!D65+HY!D65+IN!D65+FR!D65+ST!D65+CH!D65+TC!D65+LX!D65+HSU!D65+HVW!D65+MZ!D65+BUGMC!D65+HD!D65+LT!D65+FBG!D65+FSU!D65</f>
        <v>0</v>
      </c>
      <c r="E65" s="16">
        <f>AS!E65+RI!E65+GA!E65+RLX!E65+SP!E65+WR!E65+MA!E66+TBD!E65+WA!E65+GB!E65+WM!E65+SU!E65+AX!E65+VW!E65+HY!E65+IN!E65+FR!E65+ST!E65+CH!E65+TC!E65+LX!E65+HSU!E65+HVW!E65+MZ!E65+BUGMC!E65+HD!E65+LT!E65+FBG!E65+FSU!E65</f>
        <v>0</v>
      </c>
      <c r="F65" s="16">
        <f>AS!F65+RI!F65+GA!F65+RLX!F65+SP!F65+WR!F65+MA!F66+TBD!F65+WA!F65+GB!F65+WM!F65+SU!F65+AX!F65+VW!F65+HY!F65+IN!F65+FR!F65+ST!F65+CH!F65+TC!F65+LX!F65+HSU!F65+HVW!F65+MZ!F65+BUGMC!F65+HD!F65+LT!F65+FBG!F65+FSU!F65</f>
        <v>0</v>
      </c>
      <c r="G65" s="16">
        <f>AS!G65+RI!G65+GA!G65+RLX!G65+SP!G65+WR!G65+MA!G66+TBD!G65+WA!G65+GB!G65+WM!G65+SU!G65+AX!G65+VW!G65+HY!G65+IN!G65+FR!G65+ST!G65+CH!G65+TC!G65+LX!G65+HSU!G65+HVW!G65+MZ!G65+BUGMC!G65+HD!G65+LT!G65+FBG!G65+FSU!G65</f>
        <v>0</v>
      </c>
      <c r="H65" s="16">
        <f>AS!H65+RI!H65+GA!H65+RLX!H65+SP!H65+WR!H65+MA!H66+TBD!H65+WA!H65+GB!H65+WM!H65+SU!H65+AX!H65+VW!H65+HY!H65+IN!H65+FR!H65+ST!H65+CH!H65+TC!H65+LX!H65+HSU!H65+HVW!H65+MZ!H65+BUGMC!H65+HD!H65+LT!H65+FBG!H65+FSU!H65</f>
        <v>0</v>
      </c>
      <c r="I65" s="16">
        <f>AS!I65+RI!I65+GA!I65+RLX!I65+SP!I65+WR!I65+MA!I66+TBD!I65+WA!I65+GB!I65+WM!I65+SU!I65+AX!I65+VW!I65+HY!I65+IN!I65+FR!I65+ST!I65+CH!I65+TC!I65+LX!I65+HSU!I65+HVW!I65+MZ!I65+BUGMC!I65+HD!I65+LT!I65+FBG!I65+FSU!I65</f>
        <v>0</v>
      </c>
      <c r="J65" s="16">
        <f>AS!J65+RI!J65+GA!J65+RLX!J65+SP!J65+WR!J65+MA!J66+TBD!J65+WA!J65+GB!J65+WM!J65+SU!J65+AX!J65+VW!J65+HY!J65+IN!J65+FR!J65+ST!J65+CH!J65+TC!J65+LX!J65+HSU!J65+HVW!J65+MZ!J65+BUGMC!J65+HD!J65+LT!J65+FBG!J65+FSU!J65</f>
        <v>0</v>
      </c>
      <c r="K65" s="16">
        <f>AS!K65+RI!K65+GA!K65+RLX!K65+SP!K65+WR!K65+MA!K66+TBD!K65+WA!K65+GB!K65+WM!K65+SU!K65+AX!K65+VW!K65+HY!K65+IN!K65+FR!K65+ST!K65+CH!K65+TC!K65+LX!K65+HSU!K65+HVW!K65+MZ!K65+BUGMC!K65+HD!K65+LT!K65+FBG!K65+FSU!K65</f>
        <v>0</v>
      </c>
      <c r="L65" s="16">
        <f>AS!L65+RI!L65+GA!L65+RLX!L65+SP!L65+WR!L65+MA!L66+TBD!L65+WA!L65+GB!L65+WM!L65+SU!L65+AX!L65+VW!L65+HY!L65+IN!L65+FR!L65+ST!L65+CH!L65+TC!L65+LX!L65+HSU!L65+HVW!L65+MZ!L65+BUGMC!L65+HD!L65+LT!L65+FBG!L65+FSU!L65</f>
        <v>0</v>
      </c>
      <c r="M65" s="16">
        <f>AS!M65+RI!M65+GA!M65+RLX!M65+SP!M65+WR!M65+MA!M66+TBD!M65+WA!M65+GB!M65+WM!M65+SU!M65+AX!M65+VW!M65+HY!M65+IN!M65+FR!M65+ST!M65+CH!M65+TC!M65+LX!M65+HSU!M65+HVW!M65+MZ!M65+BUGMC!M65+HD!M65+LT!M65+FBG!M65+FSU!M65</f>
        <v>0</v>
      </c>
      <c r="N65" s="17">
        <f t="shared" si="10"/>
        <v>0</v>
      </c>
      <c r="O65" s="18"/>
    </row>
    <row r="66" ht="13.5" customHeight="1">
      <c r="A66" s="31" t="s">
        <v>67</v>
      </c>
      <c r="B66" s="16">
        <f>AS!B66+RI!B66+GA!B66+RLX!B66+SP!B66+WR!B66+MA!B67+TBD!B66+WA!B66+GB!B66+WM!B66+SU!B66+AX!B66+VW!B66+HY!B66+IN!B66+FR!B66+ST!B66+CH!B66+TC!B66+LX!B66+HSU!B66+HVW!B66+MZ!B66+BUGMC!B66+HD!B66+LT!B66+FBG!B66+FSU!B66</f>
        <v>0</v>
      </c>
      <c r="C66" s="16">
        <f>AS!C66+RI!C66+GA!C66+RLX!C66+SP!C66+WR!C66+MA!C67+TBD!C66+WA!C66+GB!C66+WM!C66+SU!C66+AX!C66+VW!C66+HY!C66+IN!C66+FR!C66+ST!C66+CH!C66+TC!C66+LX!C66+HSU!C66+HVW!C66+MZ!C66+BUGMC!C66+HD!C66+LT!C66+FBG!C66+FSU!C66</f>
        <v>0</v>
      </c>
      <c r="D66" s="16">
        <f>AS!D66+RI!D66+GA!D66+RLX!D66+SP!D66+WR!D66+MA!D67+TBD!D66+WA!D66+GB!D66+WM!D66+SU!D66+AX!D66+VW!D66+HY!D66+IN!D66+FR!D66+ST!D66+CH!D66+TC!D66+LX!D66+HSU!D66+HVW!D66+MZ!D66+BUGMC!D66+HD!D66+LT!D66+FBG!D66+FSU!D66</f>
        <v>0</v>
      </c>
      <c r="E66" s="16">
        <f>AS!E66+RI!E66+GA!E66+RLX!E66+SP!E66+WR!E66+MA!E67+TBD!E66+WA!E66+GB!E66+WM!E66+SU!E66+AX!E66+VW!E66+HY!E66+IN!E66+FR!E66+ST!E66+CH!E66+TC!E66+LX!E66+HSU!E66+HVW!E66+MZ!E66+BUGMC!E66+HD!E66+LT!E66+FBG!E66+FSU!E66</f>
        <v>0</v>
      </c>
      <c r="F66" s="16">
        <f>AS!F66+RI!F66+GA!F66+RLX!F66+SP!F66+WR!F66+MA!F67+TBD!F66+WA!F66+GB!F66+WM!F66+SU!F66+AX!F66+VW!F66+HY!F66+IN!F66+FR!F66+ST!F66+CH!F66+TC!F66+LX!F66+HSU!F66+HVW!F66+MZ!F66+BUGMC!F66+HD!F66+LT!F66+FBG!F66+FSU!F66</f>
        <v>0</v>
      </c>
      <c r="G66" s="16">
        <f>AS!G66+RI!G66+GA!G66+RLX!G66+SP!G66+WR!G66+MA!G67+TBD!G66+WA!G66+GB!G66+WM!G66+SU!G66+AX!G66+VW!G66+HY!G66+IN!G66+FR!G66+ST!G66+CH!G66+TC!G66+LX!G66+HSU!G66+HVW!G66+MZ!G66+BUGMC!G66+HD!G66+LT!G66+FBG!G66+FSU!G66</f>
        <v>0</v>
      </c>
      <c r="H66" s="16">
        <f>AS!H66+RI!H66+GA!H66+RLX!H66+SP!H66+WR!H66+MA!H67+TBD!H66+WA!H66+GB!H66+WM!H66+SU!H66+AX!H66+VW!H66+HY!H66+IN!H66+FR!H66+ST!H66+CH!H66+TC!H66+LX!H66+HSU!H66+HVW!H66+MZ!H66+BUGMC!H66+HD!H66+LT!H66+FBG!H66+FSU!H66</f>
        <v>0</v>
      </c>
      <c r="I66" s="16">
        <f>AS!I66+RI!I66+GA!I66+RLX!I66+SP!I66+WR!I66+MA!I67+TBD!I66+WA!I66+GB!I66+WM!I66+SU!I66+AX!I66+VW!I66+HY!I66+IN!I66+FR!I66+ST!I66+CH!I66+TC!I66+LX!I66+HSU!I66+HVW!I66+MZ!I66+BUGMC!I66+HD!I66+LT!I66+FBG!I66+FSU!I66</f>
        <v>0</v>
      </c>
      <c r="J66" s="16">
        <f>AS!J66+RI!J66+GA!J66+RLX!J66+SP!J66+WR!J66+MA!J67+TBD!J66+WA!J66+GB!J66+WM!J66+SU!J66+AX!J66+VW!J66+HY!J66+IN!J66+FR!J66+ST!J66+CH!J66+TC!J66+LX!J66+HSU!J66+HVW!J66+MZ!J66+BUGMC!J66+HD!J66+LT!J66+FBG!J66+FSU!J66</f>
        <v>0</v>
      </c>
      <c r="K66" s="16">
        <f>AS!K66+RI!K66+GA!K66+RLX!K66+SP!K66+WR!K66+MA!K67+TBD!K66+WA!K66+GB!K66+WM!K66+SU!K66+AX!K66+VW!K66+HY!K66+IN!K66+FR!K66+ST!K66+CH!K66+TC!K66+LX!K66+HSU!K66+HVW!K66+MZ!K66+BUGMC!K66+HD!K66+LT!K66+FBG!K66+FSU!K66</f>
        <v>0</v>
      </c>
      <c r="L66" s="16">
        <f>AS!L66+RI!L66+GA!L66+RLX!L66+SP!L66+WR!L66+MA!L67+TBD!L66+WA!L66+GB!L66+WM!L66+SU!L66+AX!L66+VW!L66+HY!L66+IN!L66+FR!L66+ST!L66+CH!L66+TC!L66+LX!L66+HSU!L66+HVW!L66+MZ!L66+BUGMC!L66+HD!L66+LT!L66+FBG!L66+FSU!L66</f>
        <v>0</v>
      </c>
      <c r="M66" s="16">
        <f>AS!M66+RI!M66+GA!M66+RLX!M66+SP!M66+WR!M66+MA!M67+TBD!M66+WA!M66+GB!M66+WM!M66+SU!M66+AX!M66+VW!M66+HY!M66+IN!M66+FR!M66+ST!M66+CH!M66+TC!M66+LX!M66+HSU!M66+HVW!M66+MZ!M66+BUGMC!M66+HD!M66+LT!M66+FBG!M66+FSU!M66</f>
        <v>0</v>
      </c>
      <c r="N66" s="17">
        <f t="shared" si="10"/>
        <v>0</v>
      </c>
      <c r="O66" s="18"/>
    </row>
    <row r="67" ht="13.5" customHeight="1">
      <c r="A67" s="25" t="s">
        <v>68</v>
      </c>
      <c r="B67" s="16">
        <f>AS!B67+RI!B67+GA!B67+RLX!B67+SP!B67+WR!B67+MA!B68+TBD!B67+WA!B67+GB!B67+WM!B67+SU!B67+AX!B67+VW!B67+HY!B67+IN!B67+FR!B67+ST!B67+CH!B67+TC!B67+LX!B67+HSU!B67+HVW!B67+MZ!B67+BUGMC!B67+HD!B67+LT!B67+FBG!B67+FSU!B67</f>
        <v>0</v>
      </c>
      <c r="C67" s="16">
        <f>AS!C67+RI!C67+GA!C67+RLX!C67+SP!C67+WR!C67+MA!C68+TBD!C67+WA!C67+GB!C67+WM!C67+SU!C67+AX!C67+VW!C67+HY!C67+IN!C67+FR!C67+ST!C67+CH!C67+TC!C67+LX!C67+HSU!C67+HVW!C67+MZ!C67+BUGMC!C67+HD!C67+LT!C67+FBG!C67+FSU!C67</f>
        <v>0</v>
      </c>
      <c r="D67" s="16">
        <f>AS!D67+RI!D67+GA!D67+RLX!D67+SP!D67+WR!D67+MA!D68+TBD!D67+WA!D67+GB!D67+WM!D67+SU!D67+AX!D67+VW!D67+HY!D67+IN!D67+FR!D67+ST!D67+CH!D67+TC!D67+LX!D67+HSU!D67+HVW!D67+MZ!D67+BUGMC!D67+HD!D67+LT!D67+FBG!D67+FSU!D67</f>
        <v>0</v>
      </c>
      <c r="E67" s="16">
        <f>AS!E67+RI!E67+GA!E67+RLX!E67+SP!E67+WR!E67+MA!E68+TBD!E67+WA!E67+GB!E67+WM!E67+SU!E67+AX!E67+VW!E67+HY!E67+IN!E67+FR!E67+ST!E67+CH!E67+TC!E67+LX!E67+HSU!E67+HVW!E67+MZ!E67+BUGMC!E67+HD!E67+LT!E67+FBG!E67+FSU!E67</f>
        <v>0</v>
      </c>
      <c r="F67" s="16">
        <f>AS!F67+RI!F67+GA!F67+RLX!F67+SP!F67+WR!F67+MA!F68+TBD!F67+WA!F67+GB!F67+WM!F67+SU!F67+AX!F67+VW!F67+HY!F67+IN!F67+FR!F67+ST!F67+CH!F67+TC!F67+LX!F67+HSU!F67+HVW!F67+MZ!F67+BUGMC!F67+HD!F67+LT!F67+FBG!F67+FSU!F67</f>
        <v>0</v>
      </c>
      <c r="G67" s="16">
        <f>AS!G67+RI!G67+GA!G67+RLX!G67+SP!G67+WR!G67+MA!G68+TBD!G67+WA!G67+GB!G67+WM!G67+SU!G67+AX!G67+VW!G67+HY!G67+IN!G67+FR!G67+ST!G67+CH!G67+TC!G67+LX!G67+HSU!G67+HVW!G67+MZ!G67+BUGMC!G67+HD!G67+LT!G67+FBG!G67+FSU!G67</f>
        <v>0</v>
      </c>
      <c r="H67" s="16">
        <f>AS!H67+RI!H67+GA!H67+RLX!H67+SP!H67+WR!H67+MA!H68+TBD!H67+WA!H67+GB!H67+WM!H67+SU!H67+AX!H67+VW!H67+HY!H67+IN!H67+FR!H67+ST!H67+CH!H67+TC!H67+LX!H67+HSU!H67+HVW!H67+MZ!H67+BUGMC!H67+HD!H67+LT!H67+FBG!H67+FSU!H67</f>
        <v>0</v>
      </c>
      <c r="I67" s="16">
        <f>AS!I67+RI!I67+GA!I67+RLX!I67+SP!I67+WR!I67+MA!I68+TBD!I67+WA!I67+GB!I67+WM!I67+SU!I67+AX!I67+VW!I67+HY!I67+IN!I67+FR!I67+ST!I67+CH!I67+TC!I67+LX!I67+HSU!I67+HVW!I67+MZ!I67+BUGMC!I67+HD!I67+LT!I67+FBG!I67+FSU!I67</f>
        <v>0</v>
      </c>
      <c r="J67" s="16">
        <f>AS!J67+RI!J67+GA!J67+RLX!J67+SP!J67+WR!J67+MA!J68+TBD!J67+WA!J67+GB!J67+WM!J67+SU!J67+AX!J67+VW!J67+HY!J67+IN!J67+FR!J67+ST!J67+CH!J67+TC!J67+LX!J67+HSU!J67+HVW!J67+MZ!J67+BUGMC!J67+HD!J67+LT!J67+FBG!J67+FSU!J67</f>
        <v>0</v>
      </c>
      <c r="K67" s="16">
        <f>AS!K67+RI!K67+GA!K67+RLX!K67+SP!K67+WR!K67+MA!K68+TBD!K67+WA!K67+GB!K67+WM!K67+SU!K67+AX!K67+VW!K67+HY!K67+IN!K67+FR!K67+ST!K67+CH!K67+TC!K67+LX!K67+HSU!K67+HVW!K67+MZ!K67+BUGMC!K67+HD!K67+LT!K67+FBG!K67+FSU!K67</f>
        <v>0</v>
      </c>
      <c r="L67" s="16">
        <f>AS!L67+RI!L67+GA!L67+RLX!L67+SP!L67+WR!L67+MA!L68+TBD!L67+WA!L67+GB!L67+WM!L67+SU!L67+AX!L67+VW!L67+HY!L67+IN!L67+FR!L67+ST!L67+CH!L67+TC!L67+LX!L67+HSU!L67+HVW!L67+MZ!L67+BUGMC!L67+HD!L67+LT!L67+FBG!L67+FSU!L67</f>
        <v>0</v>
      </c>
      <c r="M67" s="16">
        <f>AS!M67+RI!M67+GA!M67+RLX!M67+SP!M67+WR!M67+MA!M68+TBD!M67+WA!M67+GB!M67+WM!M67+SU!M67+AX!M67+VW!M67+HY!M67+IN!M67+FR!M67+ST!M67+CH!M67+TC!M67+LX!M67+HSU!M67+HVW!M67+MZ!M67+BUGMC!M67+HD!M67+LT!M67+FBG!M67+FSU!M67</f>
        <v>0</v>
      </c>
      <c r="N67" s="17">
        <f t="shared" si="10"/>
        <v>0</v>
      </c>
      <c r="O67" s="18"/>
    </row>
    <row r="68" ht="13.5" customHeight="1">
      <c r="A68" s="25" t="s">
        <v>69</v>
      </c>
      <c r="B68" s="16">
        <f>AS!B68+RI!B68+GA!B68+RLX!B68+SP!B68+WR!B68+MA!B69+TBD!B68+WA!B68+GB!B68+WM!B68+SU!B68+AX!B68+VW!B68+HY!B68+IN!B68+FR!B68+ST!B68+CH!B68+TC!B68+LX!B68+HSU!B68+HVW!B68+MZ!B68+BUGMC!B68+HD!B68+LT!B68+FBG!B68+FSU!B68</f>
        <v>0</v>
      </c>
      <c r="C68" s="16">
        <f>AS!C68+RI!C68+GA!C68+RLX!C68+SP!C68+WR!C68+MA!C69+TBD!C68+WA!C68+GB!C68+WM!C68+SU!C68+AX!C68+VW!C68+HY!C68+IN!C68+FR!C68+ST!C68+CH!C68+TC!C68+LX!C68+HSU!C68+HVW!C68+MZ!C68+BUGMC!C68+HD!C68+LT!C68+FBG!C68+FSU!C68</f>
        <v>0</v>
      </c>
      <c r="D68" s="16">
        <f>AS!D68+RI!D68+GA!D68+RLX!D68+SP!D68+WR!D68+MA!D69+TBD!D68+WA!D68+GB!D68+WM!D68+SU!D68+AX!D68+VW!D68+HY!D68+IN!D68+FR!D68+ST!D68+CH!D68+TC!D68+LX!D68+HSU!D68+HVW!D68+MZ!D68+BUGMC!D68+HD!D68+LT!D68+FBG!D68+FSU!D68</f>
        <v>0</v>
      </c>
      <c r="E68" s="16">
        <f>AS!E68+RI!E68+GA!E68+RLX!E68+SP!E68+WR!E68+MA!E69+TBD!E68+WA!E68+GB!E68+WM!E68+SU!E68+AX!E68+VW!E68+HY!E68+IN!E68+FR!E68+ST!E68+CH!E68+TC!E68+LX!E68+HSU!E68+HVW!E68+MZ!E68+BUGMC!E68+HD!E68+LT!E68+FBG!E68+FSU!E68</f>
        <v>0</v>
      </c>
      <c r="F68" s="16">
        <f>AS!F68+RI!F68+GA!F68+RLX!F68+SP!F68+WR!F68+MA!F69+TBD!F68+WA!F68+GB!F68+WM!F68+SU!F68+AX!F68+VW!F68+HY!F68+IN!F68+FR!F68+ST!F68+CH!F68+TC!F68+LX!F68+HSU!F68+HVW!F68+MZ!F68+BUGMC!F68+HD!F68+LT!F68+FBG!F68+FSU!F68</f>
        <v>0</v>
      </c>
      <c r="G68" s="16">
        <f>AS!G68+RI!G68+GA!G68+RLX!G68+SP!G68+WR!G68+MA!G69+TBD!G68+WA!G68+GB!G68+WM!G68+SU!G68+AX!G68+VW!G68+HY!G68+IN!G68+FR!G68+ST!G68+CH!G68+TC!G68+LX!G68+HSU!G68+HVW!G68+MZ!G68+BUGMC!G68+HD!G68+LT!G68+FBG!G68+FSU!G68</f>
        <v>0</v>
      </c>
      <c r="H68" s="16">
        <f>AS!H68+RI!H68+GA!H68+RLX!H68+SP!H68+WR!H68+MA!H69+TBD!H68+WA!H68+GB!H68+WM!H68+SU!H68+AX!H68+VW!H68+HY!H68+IN!H68+FR!H68+ST!H68+CH!H68+TC!H68+LX!H68+HSU!H68+HVW!H68+MZ!H68+BUGMC!H68+HD!H68+LT!H68+FBG!H68+FSU!H68</f>
        <v>0</v>
      </c>
      <c r="I68" s="16">
        <f>AS!I68+RI!I68+GA!I68+RLX!I68+SP!I68+WR!I68+MA!I69+TBD!I68+WA!I68+GB!I68+WM!I68+SU!I68+AX!I68+VW!I68+HY!I68+IN!I68+FR!I68+ST!I68+CH!I68+TC!I68+LX!I68+HSU!I68+HVW!I68+MZ!I68+BUGMC!I68+HD!I68+LT!I68+FBG!I68+FSU!I68</f>
        <v>0</v>
      </c>
      <c r="J68" s="16">
        <f>AS!J68+RI!J68+GA!J68+RLX!J68+SP!J68+WR!J68+MA!J69+TBD!J68+WA!J68+GB!J68+WM!J68+SU!J68+AX!J68+VW!J68+HY!J68+IN!J68+FR!J68+ST!J68+CH!J68+TC!J68+LX!J68+HSU!J68+HVW!J68+MZ!J68+BUGMC!J68+HD!J68+LT!J68+FBG!J68+FSU!J68</f>
        <v>0</v>
      </c>
      <c r="K68" s="16">
        <f>AS!K68+RI!K68+GA!K68+RLX!K68+SP!K68+WR!K68+MA!K69+TBD!K68+WA!K68+GB!K68+WM!K68+SU!K68+AX!K68+VW!K68+HY!K68+IN!K68+FR!K68+ST!K68+CH!K68+TC!K68+LX!K68+HSU!K68+HVW!K68+MZ!K68+BUGMC!K68+HD!K68+LT!K68+FBG!K68+FSU!K68</f>
        <v>0</v>
      </c>
      <c r="L68" s="16">
        <f>AS!L68+RI!L68+GA!L68+RLX!L68+SP!L68+WR!L68+MA!L69+TBD!L68+WA!L68+GB!L68+WM!L68+SU!L68+AX!L68+VW!L68+HY!L68+IN!L68+FR!L68+ST!L68+CH!L68+TC!L68+LX!L68+HSU!L68+HVW!L68+MZ!L68+BUGMC!L68+HD!L68+LT!L68+FBG!L68+FSU!L68</f>
        <v>0</v>
      </c>
      <c r="M68" s="16">
        <f>AS!M68+RI!M68+GA!M68+RLX!M68+SP!M68+WR!M68+MA!M69+TBD!M68+WA!M68+GB!M68+WM!M68+SU!M68+AX!M68+VW!M68+HY!M68+IN!M68+FR!M68+ST!M68+CH!M68+TC!M68+LX!M68+HSU!M68+HVW!M68+MZ!M68+BUGMC!M68+HD!M68+LT!M68+FBG!M68+FSU!M68</f>
        <v>0</v>
      </c>
      <c r="N68" s="17">
        <f t="shared" si="10"/>
        <v>0</v>
      </c>
      <c r="O68" s="18"/>
    </row>
    <row r="69" ht="13.5" customHeight="1">
      <c r="A69" s="39" t="s">
        <v>70</v>
      </c>
      <c r="B69" s="16">
        <f>AS!B69+RI!B69+GA!B69+RLX!B69+SP!B69+WR!B69+MA!B70+TBD!B69+WA!B69+GB!B69+WM!B69+SU!B69+AX!B69+VW!B69+HY!B69+IN!B69+FR!B69+ST!B69+CH!B69+TC!B69+LX!B69+HSU!B69+HVW!B69+MZ!B69+BUGMC!B69+HD!B69+LT!B69+FBG!B69+FSU!B69</f>
        <v>0</v>
      </c>
      <c r="C69" s="16">
        <f>AS!C69+RI!C69+GA!C69+RLX!C69+SP!C69+WR!C69+MA!C70+TBD!C69+WA!C69+GB!C69+WM!C69+SU!C69+AX!C69+VW!C69+HY!C69+IN!C69+FR!C69+ST!C69+CH!C69+TC!C69+LX!C69+HSU!C69+HVW!C69+MZ!C69+BUGMC!C69+HD!C69+LT!C69+FBG!C69+FSU!C69</f>
        <v>0</v>
      </c>
      <c r="D69" s="16">
        <f>AS!D69+RI!D69+GA!D69+RLX!D69+SP!D69+WR!D69+MA!D70+TBD!D69+WA!D69+GB!D69+WM!D69+SU!D69+AX!D69+VW!D69+HY!D69+IN!D69+FR!D69+ST!D69+CH!D69+TC!D69+LX!D69+HSU!D69+HVW!D69+MZ!D69+BUGMC!D69+HD!D69+LT!D69+FBG!D69+FSU!D69</f>
        <v>0</v>
      </c>
      <c r="E69" s="16">
        <f>AS!E69+RI!E69+GA!E69+RLX!E69+SP!E69+WR!E69+MA!E70+TBD!E69+WA!E69+GB!E69+WM!E69+SU!E69+AX!E69+VW!E69+HY!E69+IN!E69+FR!E69+ST!E69+CH!E69+TC!E69+LX!E69+HSU!E69+HVW!E69+MZ!E69+BUGMC!E69+HD!E69+LT!E69+FBG!E69+FSU!E69</f>
        <v>0</v>
      </c>
      <c r="F69" s="16">
        <f>AS!F69+RI!F69+GA!F69+RLX!F69+SP!F69+WR!F69+MA!F70+TBD!F69+WA!F69+GB!F69+WM!F69+SU!F69+AX!F69+VW!F69+HY!F69+IN!F69+FR!F69+ST!F69+CH!F69+TC!F69+LX!F69+HSU!F69+HVW!F69+MZ!F69+BUGMC!F69+HD!F69+LT!F69+FBG!F69+FSU!F69</f>
        <v>0</v>
      </c>
      <c r="G69" s="16">
        <f>AS!G69+RI!G69+GA!G69+RLX!G69+SP!G69+WR!G69+MA!G70+TBD!G69+WA!G69+GB!G69+WM!G69+SU!G69+AX!G69+VW!G69+HY!G69+IN!G69+FR!G69+ST!G69+CH!G69+TC!G69+LX!G69+HSU!G69+HVW!G69+MZ!G69+BUGMC!G69+HD!G69+LT!G69+FBG!G69+FSU!G69</f>
        <v>0</v>
      </c>
      <c r="H69" s="16">
        <f>AS!H69+RI!H69+GA!H69+RLX!H69+SP!H69+WR!H69+MA!H70+TBD!H69+WA!H69+GB!H69+WM!H69+SU!H69+AX!H69+VW!H69+HY!H69+IN!H69+FR!H69+ST!H69+CH!H69+TC!H69+LX!H69+HSU!H69+HVW!H69+MZ!H69+BUGMC!H69+HD!H69+LT!H69+FBG!H69+FSU!H69</f>
        <v>0</v>
      </c>
      <c r="I69" s="16">
        <f>AS!I69+RI!I69+GA!I69+RLX!I69+SP!I69+WR!I69+MA!I70+TBD!I69+WA!I69+GB!I69+WM!I69+SU!I69+AX!I69+VW!I69+HY!I69+IN!I69+FR!I69+ST!I69+CH!I69+TC!I69+LX!I69+HSU!I69+HVW!I69+MZ!I69+BUGMC!I69+HD!I69+LT!I69+FBG!I69+FSU!I69</f>
        <v>0</v>
      </c>
      <c r="J69" s="16">
        <f>AS!J69+RI!J69+GA!J69+RLX!J69+SP!J69+WR!J69+MA!J70+TBD!J69+WA!J69+GB!J69+WM!J69+SU!J69+AX!J69+VW!J69+HY!J69+IN!J69+FR!J69+ST!J69+CH!J69+TC!J69+LX!J69+HSU!J69+HVW!J69+MZ!J69+BUGMC!J69+HD!J69+LT!J69+FBG!J69+FSU!J69</f>
        <v>0</v>
      </c>
      <c r="K69" s="16">
        <f>AS!K69+RI!K69+GA!K69+RLX!K69+SP!K69+WR!K69+MA!K70+TBD!K69+WA!K69+GB!K69+WM!K69+SU!K69+AX!K69+VW!K69+HY!K69+IN!K69+FR!K69+ST!K69+CH!K69+TC!K69+LX!K69+HSU!K69+HVW!K69+MZ!K69+BUGMC!K69+HD!K69+LT!K69+FBG!K69+FSU!K69</f>
        <v>0</v>
      </c>
      <c r="L69" s="16">
        <f>AS!L69+RI!L69+GA!L69+RLX!L69+SP!L69+WR!L69+MA!L70+TBD!L69+WA!L69+GB!L69+WM!L69+SU!L69+AX!L69+VW!L69+HY!L69+IN!L69+FR!L69+ST!L69+CH!L69+TC!L69+LX!L69+HSU!L69+HVW!L69+MZ!L69+BUGMC!L69+HD!L69+LT!L69+FBG!L69+FSU!L69</f>
        <v>0</v>
      </c>
      <c r="M69" s="16">
        <f>AS!M69+RI!M69+GA!M69+RLX!M69+SP!M69+WR!M69+MA!M70+TBD!M69+WA!M69+GB!M69+WM!M69+SU!M69+AX!M69+VW!M69+HY!M69+IN!M69+FR!M69+ST!M69+CH!M69+TC!M69+LX!M69+HSU!M69+HVW!M69+MZ!M69+BUGMC!M69+HD!M69+LT!M69+FBG!M69+FSU!M69</f>
        <v>0</v>
      </c>
      <c r="N69" s="17">
        <f t="shared" si="10"/>
        <v>0</v>
      </c>
      <c r="O69" s="18"/>
    </row>
    <row r="70" ht="13.5" customHeight="1">
      <c r="A70" s="21" t="s">
        <v>23</v>
      </c>
      <c r="B70" s="22">
        <f t="shared" ref="B70:N70" si="11">SUM(B54:B69)</f>
        <v>423809.8</v>
      </c>
      <c r="C70" s="22" t="str">
        <f t="shared" si="11"/>
        <v>#REF!</v>
      </c>
      <c r="D70" s="22" t="str">
        <f t="shared" si="11"/>
        <v>#REF!</v>
      </c>
      <c r="E70" s="22" t="str">
        <f t="shared" si="11"/>
        <v>#REF!</v>
      </c>
      <c r="F70" s="22" t="str">
        <f t="shared" si="11"/>
        <v>#REF!</v>
      </c>
      <c r="G70" s="22" t="str">
        <f t="shared" si="11"/>
        <v>#REF!</v>
      </c>
      <c r="H70" s="22" t="str">
        <f t="shared" si="11"/>
        <v>#REF!</v>
      </c>
      <c r="I70" s="22" t="str">
        <f t="shared" si="11"/>
        <v>#REF!</v>
      </c>
      <c r="J70" s="22" t="str">
        <f t="shared" si="11"/>
        <v>#REF!</v>
      </c>
      <c r="K70" s="22" t="str">
        <f t="shared" si="11"/>
        <v>#REF!</v>
      </c>
      <c r="L70" s="22" t="str">
        <f t="shared" si="11"/>
        <v>#REF!</v>
      </c>
      <c r="M70" s="22" t="str">
        <f t="shared" si="11"/>
        <v>#REF!</v>
      </c>
      <c r="N70" s="28">
        <f t="shared" si="11"/>
        <v>5169060.74</v>
      </c>
      <c r="O70" s="18" t="str">
        <f>N70/N109</f>
        <v>#REF!</v>
      </c>
    </row>
    <row r="71" ht="13.5" customHeight="1">
      <c r="A71" s="34" t="s">
        <v>71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14"/>
      <c r="O71" s="18"/>
    </row>
    <row r="72" ht="13.5" customHeight="1">
      <c r="A72" s="31" t="s">
        <v>72</v>
      </c>
      <c r="B72" s="16">
        <f>AS!B72+RI!B72+GA!B72+RLX!B72+SP!B72+WR!B72+MA!B73+TBD!B72+WA!B72+GB!B72+WM!B72+SU!B72+AX!B72+VW!B72+HY!B72+IN!B72+FR!B72+ST!B72+CH!B72+TC!B72+LX!B72+HSU!B72+HVW!B72+MZ!B72+BUGMC!B72+HD!B72+LT!B72+FBG!B72+FSU!B72</f>
        <v>199</v>
      </c>
      <c r="C72" s="16">
        <f>AS!C72+RI!C72+GA!C72+RLX!C72+SP!C72+WR!C72+MA!C73+TBD!C72+WA!C72+GB!C72+WM!C72+SU!C72+AX!C72+VW!C72+HY!C72+IN!C72+FR!C72+ST!C72+CH!C72+TC!C72+LX!C72+HSU!C72+HVW!C72+MZ!C72+BUGMC!C72+HD!C72+LT!C72+FBG!C72+FSU!C72</f>
        <v>199</v>
      </c>
      <c r="D72" s="16">
        <f>AS!D72+RI!D72+GA!D72+RLX!D72+SP!D72+WR!D72+MA!D73+TBD!D72+WA!D72+GB!D72+WM!D72+SU!D72+AX!D72+VW!D72+HY!D72+IN!D72+FR!D72+ST!D72+CH!D72+TC!D72+LX!D72+HSU!D72+HVW!D72+MZ!D72+BUGMC!D72+HD!D72+LT!D72+FBG!D72+FSU!D72</f>
        <v>199</v>
      </c>
      <c r="E72" s="16">
        <f>AS!E72+RI!E72+GA!E72+RLX!E72+SP!E72+WR!E72+MA!E73+TBD!E72+WA!E72+GB!E72+WM!E72+SU!E72+AX!E72+VW!E72+HY!E72+IN!E72+FR!E72+ST!E72+CH!E72+TC!E72+LX!E72+HSU!E72+HVW!E72+MZ!E72+BUGMC!E72+HD!E72+LT!E72+FBG!E72+FSU!E72</f>
        <v>199</v>
      </c>
      <c r="F72" s="16">
        <f>AS!F72+RI!F72+GA!F72+RLX!F72+SP!F72+WR!F72+MA!F73+TBD!F72+WA!F72+GB!F72+WM!F72+SU!F72+AX!F72+VW!F72+HY!F72+IN!F72+FR!F72+ST!F72+CH!F72+TC!F72+LX!F72+HSU!F72+HVW!F72+MZ!F72+BUGMC!F72+HD!F72+LT!F72+FBG!F72+FSU!F72</f>
        <v>199</v>
      </c>
      <c r="G72" s="16">
        <f>AS!G72+RI!G72+GA!G72+RLX!G72+SP!G72+WR!G72+MA!G73+TBD!G72+WA!G72+GB!G72+WM!G72+SU!G72+AX!G72+VW!G72+HY!G72+IN!G72+FR!G72+ST!G72+CH!G72+TC!G72+LX!G72+HSU!G72+HVW!G72+MZ!G72+BUGMC!G72+HD!G72+LT!G72+FBG!G72+FSU!G72</f>
        <v>199</v>
      </c>
      <c r="H72" s="16">
        <f>AS!H72+RI!H72+GA!H72+RLX!H72+SP!H72+WR!H72+MA!H73+TBD!H72+WA!H72+GB!H72+WM!H72+SU!H72+AX!H72+VW!H72+HY!H72+IN!H72+FR!H72+ST!H72+CH!H72+TC!H72+LX!H72+HSU!H72+HVW!H72+MZ!H72+BUGMC!H72+HD!H72+LT!H72+FBG!H72+FSU!H72</f>
        <v>199</v>
      </c>
      <c r="I72" s="16">
        <f>AS!I72+RI!I72+GA!I72+RLX!I72+SP!I72+WR!I72+MA!I73+TBD!I72+WA!I72+GB!I72+WM!I72+SU!I72+AX!I72+VW!I72+HY!I72+IN!I72+FR!I72+ST!I72+CH!I72+TC!I72+LX!I72+HSU!I72+HVW!I72+MZ!I72+BUGMC!I72+HD!I72+LT!I72+FBG!I72+FSU!I72</f>
        <v>199</v>
      </c>
      <c r="J72" s="16">
        <f>AS!J72+RI!J72+GA!J72+RLX!J72+SP!J72+WR!J72+MA!J73+TBD!J72+WA!J72+GB!J72+WM!J72+SU!J72+AX!J72+VW!J72+HY!J72+IN!J72+FR!J72+ST!J72+CH!J72+TC!J72+LX!J72+HSU!J72+HVW!J72+MZ!J72+BUGMC!J72+HD!J72+LT!J72+FBG!J72+FSU!J72</f>
        <v>199</v>
      </c>
      <c r="K72" s="16">
        <f>AS!K72+RI!K72+GA!K72+RLX!K72+SP!K72+WR!K72+MA!K73+TBD!K72+WA!K72+GB!K72+WM!K72+SU!K72+AX!K72+VW!K72+HY!K72+IN!K72+FR!K72+ST!K72+CH!K72+TC!K72+LX!K72+HSU!K72+HVW!K72+MZ!K72+BUGMC!K72+HD!K72+LT!K72+FBG!K72+FSU!K72</f>
        <v>199</v>
      </c>
      <c r="L72" s="16">
        <f>AS!L72+RI!L72+GA!L72+RLX!L72+SP!L72+WR!L72+MA!L73+TBD!L72+WA!L72+GB!L72+WM!L72+SU!L72+AX!L72+VW!L72+HY!L72+IN!L72+FR!L72+ST!L72+CH!L72+TC!L72+LX!L72+HSU!L72+HVW!L72+MZ!L72+BUGMC!L72+HD!L72+LT!L72+FBG!L72+FSU!L72</f>
        <v>199</v>
      </c>
      <c r="M72" s="16">
        <f>AS!M72+RI!M72+GA!M72+RLX!M72+SP!M72+WR!M72+MA!M73+TBD!M72+WA!M72+GB!M72+WM!M72+SU!M72+AX!M72+VW!M72+HY!M72+IN!M72+FR!M72+ST!M72+CH!M72+TC!M72+LX!M72+HSU!M72+HVW!M72+MZ!M72+BUGMC!M72+HD!M72+LT!M72+FBG!M72+FSU!M72</f>
        <v>199</v>
      </c>
      <c r="N72" s="17">
        <f t="shared" ref="N72:N83" si="12">SUM(B72:M72)</f>
        <v>2388</v>
      </c>
      <c r="O72" s="18"/>
    </row>
    <row r="73" ht="13.5" customHeight="1">
      <c r="A73" s="31" t="s">
        <v>73</v>
      </c>
      <c r="B73" s="16">
        <f>AS!B73+RI!B73+GA!B73+RLX!B73+SP!B73+WR!B73+MA!B74+TBD!B73+WA!B73+GB!B73+WM!B73+SU!B73+AX!B73+VW!B73+HY!B73+IN!B73+FR!B73+ST!B73+CH!B73+TC!B73+LX!B73+HSU!B73+HVW!B73+MZ!B73+BUGMC!B73+HD!B73+LT!B73+FBG!B73+FSU!B73</f>
        <v>0</v>
      </c>
      <c r="C73" s="16">
        <f>AS!C73+RI!C73+GA!C73+RLX!C73+SP!C73+WR!C73+MA!C74+TBD!C73+WA!C73+GB!C73+WM!C73+SU!C73+AX!C73+VW!C73+HY!C73+IN!C73+FR!C73+ST!C73+CH!C73+TC!C73+LX!C73+HSU!C73+HVW!C73+MZ!C73+BUGMC!C73+HD!C73+LT!C73+FBG!C73+FSU!C73</f>
        <v>0</v>
      </c>
      <c r="D73" s="16">
        <f>AS!D73+RI!D73+GA!D73+RLX!D73+SP!D73+WR!D73+MA!D74+TBD!D73+WA!D73+GB!D73+WM!D73+SU!D73+AX!D73+VW!D73+HY!D73+IN!D73+FR!D73+ST!D73+CH!D73+TC!D73+LX!D73+HSU!D73+HVW!D73+MZ!D73+BUGMC!D73+HD!D73+LT!D73+FBG!D73+FSU!D73</f>
        <v>0</v>
      </c>
      <c r="E73" s="16">
        <f>AS!E73+RI!E73+GA!E73+RLX!E73+SP!E73+WR!E73+MA!E74+TBD!E73+WA!E73+GB!E73+WM!E73+SU!E73+AX!E73+VW!E73+HY!E73+IN!E73+FR!E73+ST!E73+CH!E73+TC!E73+LX!E73+HSU!E73+HVW!E73+MZ!E73+BUGMC!E73+HD!E73+LT!E73+FBG!E73+FSU!E73</f>
        <v>0</v>
      </c>
      <c r="F73" s="16">
        <f>AS!F73+RI!F73+GA!F73+RLX!F73+SP!F73+WR!F73+MA!F74+TBD!F73+WA!F73+GB!F73+WM!F73+SU!F73+AX!F73+VW!F73+HY!F73+IN!F73+FR!F73+ST!F73+CH!F73+TC!F73+LX!F73+HSU!F73+HVW!F73+MZ!F73+BUGMC!F73+HD!F73+LT!F73+FBG!F73+FSU!F73</f>
        <v>0</v>
      </c>
      <c r="G73" s="16">
        <f>AS!G73+RI!G73+GA!G73+RLX!G73+SP!G73+WR!G73+MA!G74+TBD!G73+WA!G73+GB!G73+WM!G73+SU!G73+AX!G73+VW!G73+HY!G73+IN!G73+FR!G73+ST!G73+CH!G73+TC!G73+LX!G73+HSU!G73+HVW!G73+MZ!G73+BUGMC!G73+HD!G73+LT!G73+FBG!G73+FSU!G73</f>
        <v>0</v>
      </c>
      <c r="H73" s="16">
        <f>AS!H73+RI!H73+GA!H73+RLX!H73+SP!H73+WR!H73+MA!H74+TBD!H73+WA!H73+GB!H73+WM!H73+SU!H73+AX!H73+VW!H73+HY!H73+IN!H73+FR!H73+ST!H73+CH!H73+TC!H73+LX!H73+HSU!H73+HVW!H73+MZ!H73+BUGMC!H73+HD!H73+LT!H73+FBG!H73+FSU!H73</f>
        <v>0</v>
      </c>
      <c r="I73" s="16">
        <f>AS!I73+RI!I73+GA!I73+RLX!I73+SP!I73+WR!I73+MA!I74+TBD!I73+WA!I73+GB!I73+WM!I73+SU!I73+AX!I73+VW!I73+HY!I73+IN!I73+FR!I73+ST!I73+CH!I73+TC!I73+LX!I73+HSU!I73+HVW!I73+MZ!I73+BUGMC!I73+HD!I73+LT!I73+FBG!I73+FSU!I73</f>
        <v>0</v>
      </c>
      <c r="J73" s="16">
        <f>AS!J73+RI!J73+GA!J73+RLX!J73+SP!J73+WR!J73+MA!J74+TBD!J73+WA!J73+GB!J73+WM!J73+SU!J73+AX!J73+VW!J73+HY!J73+IN!J73+FR!J73+ST!J73+CH!J73+TC!J73+LX!J73+HSU!J73+HVW!J73+MZ!J73+BUGMC!J73+HD!J73+LT!J73+FBG!J73+FSU!J73</f>
        <v>0</v>
      </c>
      <c r="K73" s="16">
        <f>AS!K73+RI!K73+GA!K73+RLX!K73+SP!K73+WR!K73+MA!K74+TBD!K73+WA!K73+GB!K73+WM!K73+SU!K73+AX!K73+VW!K73+HY!K73+IN!K73+FR!K73+ST!K73+CH!K73+TC!K73+LX!K73+HSU!K73+HVW!K73+MZ!K73+BUGMC!K73+HD!K73+LT!K73+FBG!K73+FSU!K73</f>
        <v>0</v>
      </c>
      <c r="L73" s="16">
        <f>AS!L73+RI!L73+GA!L73+RLX!L73+SP!L73+WR!L73+MA!L74+TBD!L73+WA!L73+GB!L73+WM!L73+SU!L73+AX!L73+VW!L73+HY!L73+IN!L73+FR!L73+ST!L73+CH!L73+TC!L73+LX!L73+HSU!L73+HVW!L73+MZ!L73+BUGMC!L73+HD!L73+LT!L73+FBG!L73+FSU!L73</f>
        <v>0</v>
      </c>
      <c r="M73" s="16">
        <f>AS!M73+RI!M73+GA!M73+RLX!M73+SP!M73+WR!M73+MA!M74+TBD!M73+WA!M73+GB!M73+WM!M73+SU!M73+AX!M73+VW!M73+HY!M73+IN!M73+FR!M73+ST!M73+CH!M73+TC!M73+LX!M73+HSU!M73+HVW!M73+MZ!M73+BUGMC!M73+HD!M73+LT!M73+FBG!M73+FSU!M73</f>
        <v>0</v>
      </c>
      <c r="N73" s="17">
        <f t="shared" si="12"/>
        <v>0</v>
      </c>
      <c r="O73" s="18"/>
    </row>
    <row r="74" ht="13.5" customHeight="1">
      <c r="A74" s="40" t="s">
        <v>74</v>
      </c>
      <c r="B74" s="16">
        <f>AS!B74+RI!B74+GA!B74+RLX!B74+SP!B74+WR!B74+MA!B75+TBD!B74+WA!B74+GB!B74+WM!B74+SU!B74+AX!B74+VW!B74+HY!B74+IN!B74+FR!B74+ST!B74+CH!B74+TC!B74+LX!B74+HSU!B74+HVW!B74+MZ!B74+BUGMC!B74+HD!B74+LT!B74+FBG!B74+FSU!B74</f>
        <v>22713.5</v>
      </c>
      <c r="C74" s="16">
        <f>AS!C74+RI!C74+GA!C74+RLX!C74+SP!C74+WR!C74+MA!C75+TBD!C74+WA!C74+GB!C74+WM!C74+SU!C74+AX!C74+VW!C74+HY!C74+IN!C74+FR!C74+ST!C74+CH!C74+TC!C74+LX!C74+HSU!C74+HVW!C74+MZ!C74+BUGMC!C74+HD!C74+LT!C74+FBG!C74+FSU!C74</f>
        <v>23427</v>
      </c>
      <c r="D74" s="16">
        <f>AS!D74+RI!D74+GA!D74+RLX!D74+SP!D74+WR!D74+MA!D75+TBD!D74+WA!D74+GB!D74+WM!D74+SU!D74+AX!D74+VW!D74+HY!D74+IN!D74+FR!D74+ST!D74+CH!D74+TC!D74+LX!D74+HSU!D74+HVW!D74+MZ!D74+BUGMC!D74+HD!D74+LT!D74+FBG!D74+FSU!D74</f>
        <v>23427</v>
      </c>
      <c r="E74" s="16">
        <f>AS!E74+RI!E74+GA!E74+RLX!E74+SP!E74+WR!E74+MA!E75+TBD!E74+WA!E74+GB!E74+WM!E74+SU!E74+AX!E74+VW!E74+HY!E74+IN!E74+FR!E74+ST!E74+CH!E74+TC!E74+LX!E74+HSU!E74+HVW!E74+MZ!E74+BUGMC!E74+HD!E74+LT!E74+FBG!E74+FSU!E74</f>
        <v>23427</v>
      </c>
      <c r="F74" s="16">
        <f>AS!F74+RI!F74+GA!F74+RLX!F74+SP!F74+WR!F74+MA!F75+TBD!F74+WA!F74+GB!F74+WM!F74+SU!F74+AX!F74+VW!F74+HY!F74+IN!F74+FR!F74+ST!F74+CH!F74+TC!F74+LX!F74+HSU!F74+HVW!F74+MZ!F74+BUGMC!F74+HD!F74+LT!F74+FBG!F74+FSU!F74</f>
        <v>23427</v>
      </c>
      <c r="G74" s="16">
        <f>AS!G74+RI!G74+GA!G74+RLX!G74+SP!G74+WR!G74+MA!G75+TBD!G74+WA!G74+GB!G74+WM!G74+SU!G74+AX!G74+VW!G74+HY!G74+IN!G74+FR!G74+ST!G74+CH!G74+TC!G74+LX!G74+HSU!G74+HVW!G74+MZ!G74+BUGMC!G74+HD!G74+LT!G74+FBG!G74+FSU!G74</f>
        <v>23427</v>
      </c>
      <c r="H74" s="16">
        <f>AS!H74+RI!H74+GA!H74+RLX!H74+SP!H74+WR!H74+MA!H75+TBD!H74+WA!H74+GB!H74+WM!H74+SU!H74+AX!H74+VW!H74+HY!H74+IN!H74+FR!H74+ST!H74+CH!H74+TC!H74+LX!H74+HSU!H74+HVW!H74+MZ!H74+BUGMC!H74+HD!H74+LT!H74+FBG!H74+FSU!H74</f>
        <v>23427</v>
      </c>
      <c r="I74" s="16">
        <f>AS!I74+RI!I74+GA!I74+RLX!I74+SP!I74+WR!I74+MA!I75+TBD!I74+WA!I74+GB!I74+WM!I74+SU!I74+AX!I74+VW!I74+HY!I74+IN!I74+FR!I74+ST!I74+CH!I74+TC!I74+LX!I74+HSU!I74+HVW!I74+MZ!I74+BUGMC!I74+HD!I74+LT!I74+FBG!I74+FSU!I74</f>
        <v>23427</v>
      </c>
      <c r="J74" s="16">
        <f>AS!J74+RI!J74+GA!J74+RLX!J74+SP!J74+WR!J74+MA!J75+TBD!J74+WA!J74+GB!J74+WM!J74+SU!J74+AX!J74+VW!J74+HY!J74+IN!J74+FR!J74+ST!J74+CH!J74+TC!J74+LX!J74+HSU!J74+HVW!J74+MZ!J74+BUGMC!J74+HD!J74+LT!J74+FBG!J74+FSU!J74</f>
        <v>23427</v>
      </c>
      <c r="K74" s="16">
        <f>AS!K74+RI!K74+GA!K74+RLX!K74+SP!K74+WR!K74+MA!K75+TBD!K74+WA!K74+GB!K74+WM!K74+SU!K74+AX!K74+VW!K74+HY!K74+IN!K74+FR!K74+ST!K74+CH!K74+TC!K74+LX!K74+HSU!K74+HVW!K74+MZ!K74+BUGMC!K74+HD!K74+LT!K74+FBG!K74+FSU!K74</f>
        <v>23427</v>
      </c>
      <c r="L74" s="16">
        <f>AS!L74+RI!L74+GA!L74+RLX!L74+SP!L74+WR!L74+MA!L75+TBD!L74+WA!L74+GB!L74+WM!L74+SU!L74+AX!L74+VW!L74+HY!L74+IN!L74+FR!L74+ST!L74+CH!L74+TC!L74+LX!L74+HSU!L74+HVW!L74+MZ!L74+BUGMC!L74+HD!L74+LT!L74+FBG!L74+FSU!L74</f>
        <v>23427</v>
      </c>
      <c r="M74" s="16">
        <f>AS!M74+RI!M74+GA!M74+RLX!M74+SP!M74+WR!M74+MA!M75+TBD!M74+WA!M74+GB!M74+WM!M74+SU!M74+AX!M74+VW!M74+HY!M74+IN!M74+FR!M74+ST!M74+CH!M74+TC!M74+LX!M74+HSU!M74+HVW!M74+MZ!M74+BUGMC!M74+HD!M74+LT!M74+FBG!M74+FSU!M74</f>
        <v>23427</v>
      </c>
      <c r="N74" s="17">
        <f t="shared" si="12"/>
        <v>280410.5</v>
      </c>
      <c r="O74" s="18"/>
    </row>
    <row r="75" ht="13.5" customHeight="1">
      <c r="A75" s="41" t="s">
        <v>75</v>
      </c>
      <c r="B75" s="16">
        <f>AS!B75+RI!B75+GA!B75+RLX!B75+SP!B75+WR!B75+MA!B76+TBD!B75+WA!B75+GB!B75+WM!B75+SU!B75+AX!B75+VW!B75+HY!B75+IN!B75+FR!B75+ST!B75+CH!B75+TC!B75+LX!B75+HSU!B75+HVW!B75+MZ!B75+BUGMC!B75+HD!B75+LT!B75+FBG!B75+FSU!B75</f>
        <v>725</v>
      </c>
      <c r="C75" s="16">
        <f>AS!C75+RI!C75+GA!C75+RLX!C75+SP!C75+WR!C75+MA!C76+TBD!C75+WA!C75+GB!C75+WM!C75+SU!C75+AX!C75+VW!C75+HY!C75+IN!C75+FR!C75+ST!C75+CH!C75+TC!C75+LX!C75+HSU!C75+HVW!C75+MZ!C75+BUGMC!C75+HD!C75+LT!C75+FBG!C75+FSU!C75</f>
        <v>725</v>
      </c>
      <c r="D75" s="16">
        <f>AS!D75+RI!D75+GA!D75+RLX!D75+SP!D75+WR!D75+MA!D76+TBD!D75+WA!D75+GB!D75+WM!D75+SU!D75+AX!D75+VW!D75+HY!D75+IN!D75+FR!D75+ST!D75+CH!D75+TC!D75+LX!D75+HSU!D75+HVW!D75+MZ!D75+BUGMC!D75+HD!D75+LT!D75+FBG!D75+FSU!D75</f>
        <v>725</v>
      </c>
      <c r="E75" s="16">
        <f>AS!E75+RI!E75+GA!E75+RLX!E75+SP!E75+WR!E75+MA!E76+TBD!E75+WA!E75+GB!E75+WM!E75+SU!E75+AX!E75+VW!E75+HY!E75+IN!E75+FR!E75+ST!E75+CH!E75+TC!E75+LX!E75+HSU!E75+HVW!E75+MZ!E75+BUGMC!E75+HD!E75+LT!E75+FBG!E75+FSU!E75</f>
        <v>797.5</v>
      </c>
      <c r="F75" s="16">
        <f>AS!F75+RI!F75+GA!F75+RLX!F75+SP!F75+WR!F75+MA!F76+TBD!F75+WA!F75+GB!F75+WM!F75+SU!F75+AX!F75+VW!F75+HY!F75+IN!F75+FR!F75+ST!F75+CH!F75+TC!F75+LX!F75+HSU!F75+HVW!F75+MZ!F75+BUGMC!F75+HD!F75+LT!F75+FBG!F75+FSU!F75</f>
        <v>797.5</v>
      </c>
      <c r="G75" s="16">
        <f>AS!G75+RI!G75+GA!G75+RLX!G75+SP!G75+WR!G75+MA!G76+TBD!G75+WA!G75+GB!G75+WM!G75+SU!G75+AX!G75+VW!G75+HY!G75+IN!G75+FR!G75+ST!G75+CH!G75+TC!G75+LX!G75+HSU!G75+HVW!G75+MZ!G75+BUGMC!G75+HD!G75+LT!G75+FBG!G75+FSU!G75</f>
        <v>797.5</v>
      </c>
      <c r="H75" s="16">
        <f>AS!H75+RI!H75+GA!H75+RLX!H75+SP!H75+WR!H75+MA!H76+TBD!H75+WA!H75+GB!H75+WM!H75+SU!H75+AX!H75+VW!H75+HY!H75+IN!H75+FR!H75+ST!H75+CH!H75+TC!H75+LX!H75+HSU!H75+HVW!H75+MZ!H75+BUGMC!H75+HD!H75+LT!H75+FBG!H75+FSU!H75</f>
        <v>797.5</v>
      </c>
      <c r="I75" s="16">
        <f>AS!I75+RI!I75+GA!I75+RLX!I75+SP!I75+WR!I75+MA!I76+TBD!I75+WA!I75+GB!I75+WM!I75+SU!I75+AX!I75+VW!I75+HY!I75+IN!I75+FR!I75+ST!I75+CH!I75+TC!I75+LX!I75+HSU!I75+HVW!I75+MZ!I75+BUGMC!I75+HD!I75+LT!I75+FBG!I75+FSU!I75</f>
        <v>797.5</v>
      </c>
      <c r="J75" s="16">
        <f>AS!J75+RI!J75+GA!J75+RLX!J75+SP!J75+WR!J75+MA!J76+TBD!J75+WA!J75+GB!J75+WM!J75+SU!J75+AX!J75+VW!J75+HY!J75+IN!J75+FR!J75+ST!J75+CH!J75+TC!J75+LX!J75+HSU!J75+HVW!J75+MZ!J75+BUGMC!J75+HD!J75+LT!J75+FBG!J75+FSU!J75</f>
        <v>797.5</v>
      </c>
      <c r="K75" s="16">
        <f>AS!K75+RI!K75+GA!K75+RLX!K75+SP!K75+WR!K75+MA!K76+TBD!K75+WA!K75+GB!K75+WM!K75+SU!K75+AX!K75+VW!K75+HY!K75+IN!K75+FR!K75+ST!K75+CH!K75+TC!K75+LX!K75+HSU!K75+HVW!K75+MZ!K75+BUGMC!K75+HD!K75+LT!K75+FBG!K75+FSU!K75</f>
        <v>797.5</v>
      </c>
      <c r="L75" s="16">
        <f>AS!L75+RI!L75+GA!L75+RLX!L75+SP!L75+WR!L75+MA!L76+TBD!L75+WA!L75+GB!L75+WM!L75+SU!L75+AX!L75+VW!L75+HY!L75+IN!L75+FR!L75+ST!L75+CH!L75+TC!L75+LX!L75+HSU!L75+HVW!L75+MZ!L75+BUGMC!L75+HD!L75+LT!L75+FBG!L75+FSU!L75</f>
        <v>797.5</v>
      </c>
      <c r="M75" s="16">
        <f>AS!M75+RI!M75+GA!M75+RLX!M75+SP!M75+WR!M75+MA!M76+TBD!M75+WA!M75+GB!M75+WM!M75+SU!M75+AX!M75+VW!M75+HY!M75+IN!M75+FR!M75+ST!M75+CH!M75+TC!M75+LX!M75+HSU!M75+HVW!M75+MZ!M75+BUGMC!M75+HD!M75+LT!M75+FBG!M75+FSU!M75</f>
        <v>797.5</v>
      </c>
      <c r="N75" s="17">
        <f t="shared" si="12"/>
        <v>9352.5</v>
      </c>
      <c r="O75" s="18"/>
    </row>
    <row r="76" ht="13.5" customHeight="1">
      <c r="A76" s="31" t="s">
        <v>76</v>
      </c>
      <c r="B76" s="16">
        <f>AS!B76+RI!B76+GA!B76+RLX!B76+SP!B76+WR!B76+MA!B77+TBD!B76+WA!B76+GB!B76+WM!B76+SU!B76+AX!B76+VW!B76+HY!B76+IN!B76+FR!B76+ST!B76+CH!B76+TC!B76+LX!B76+HSU!B76+HVW!B76+MZ!B76+BUGMC!B76+HD!B76+LT!B76+FBG!B76+FSU!B76</f>
        <v>4343</v>
      </c>
      <c r="C76" s="16">
        <f>AS!C76+RI!C76+GA!C76+RLX!C76+SP!C76+WR!C76+MA!C77+TBD!C76+WA!C76+GB!C76+WM!C76+SU!C76+AX!C76+VW!C76+HY!C76+IN!C76+FR!C76+ST!C76+CH!C76+TC!C76+LX!C76+HSU!C76+HVW!C76+MZ!C76+BUGMC!C76+HD!C76+LT!C76+FBG!C76+FSU!C76</f>
        <v>4343</v>
      </c>
      <c r="D76" s="16">
        <f>AS!D76+RI!D76+GA!D76+RLX!D76+SP!D76+WR!D76+MA!D77+TBD!D76+WA!D76+GB!D76+WM!D76+SU!D76+AX!D76+VW!D76+HY!D76+IN!D76+FR!D76+ST!D76+CH!D76+TC!D76+LX!D76+HSU!D76+HVW!D76+MZ!D76+BUGMC!D76+HD!D76+LT!D76+FBG!D76+FSU!D76</f>
        <v>4343</v>
      </c>
      <c r="E76" s="16">
        <f>AS!E76+RI!E76+GA!E76+RLX!E76+SP!E76+WR!E76+MA!E77+TBD!E76+WA!E76+GB!E76+WM!E76+SU!E76+AX!E76+VW!E76+HY!E76+IN!E76+FR!E76+ST!E76+CH!E76+TC!E76+LX!E76+HSU!E76+HVW!E76+MZ!E76+BUGMC!E76+HD!E76+LT!E76+FBG!E76+FSU!E76</f>
        <v>4343</v>
      </c>
      <c r="F76" s="16">
        <f>AS!F76+RI!F76+GA!F76+RLX!F76+SP!F76+WR!F76+MA!F77+TBD!F76+WA!F76+GB!F76+WM!F76+SU!F76+AX!F76+VW!F76+HY!F76+IN!F76+FR!F76+ST!F76+CH!F76+TC!F76+LX!F76+HSU!F76+HVW!F76+MZ!F76+BUGMC!F76+HD!F76+LT!F76+FBG!F76+FSU!F76</f>
        <v>4343</v>
      </c>
      <c r="G76" s="16">
        <f>AS!G76+RI!G76+GA!G76+RLX!G76+SP!G76+WR!G76+MA!G77+TBD!G76+WA!G76+GB!G76+WM!G76+SU!G76+AX!G76+VW!G76+HY!G76+IN!G76+FR!G76+ST!G76+CH!G76+TC!G76+LX!G76+HSU!G76+HVW!G76+MZ!G76+BUGMC!G76+HD!G76+LT!G76+FBG!G76+FSU!G76</f>
        <v>4343</v>
      </c>
      <c r="H76" s="16">
        <f>AS!H76+RI!H76+GA!H76+RLX!H76+SP!H76+WR!H76+MA!H77+TBD!H76+WA!H76+GB!H76+WM!H76+SU!H76+AX!H76+VW!H76+HY!H76+IN!H76+FR!H76+ST!H76+CH!H76+TC!H76+LX!H76+HSU!H76+HVW!H76+MZ!H76+BUGMC!H76+HD!H76+LT!H76+FBG!H76+FSU!H76</f>
        <v>4343</v>
      </c>
      <c r="I76" s="16">
        <f>AS!I76+RI!I76+GA!I76+RLX!I76+SP!I76+WR!I76+MA!I77+TBD!I76+WA!I76+GB!I76+WM!I76+SU!I76+AX!I76+VW!I76+HY!I76+IN!I76+FR!I76+ST!I76+CH!I76+TC!I76+LX!I76+HSU!I76+HVW!I76+MZ!I76+BUGMC!I76+HD!I76+LT!I76+FBG!I76+FSU!I76</f>
        <v>4343</v>
      </c>
      <c r="J76" s="16">
        <f>AS!J76+RI!J76+GA!J76+RLX!J76+SP!J76+WR!J76+MA!J77+TBD!J76+WA!J76+GB!J76+WM!J76+SU!J76+AX!J76+VW!J76+HY!J76+IN!J76+FR!J76+ST!J76+CH!J76+TC!J76+LX!J76+HSU!J76+HVW!J76+MZ!J76+BUGMC!J76+HD!J76+LT!J76+FBG!J76+FSU!J76</f>
        <v>4343</v>
      </c>
      <c r="K76" s="16">
        <f>AS!K76+RI!K76+GA!K76+RLX!K76+SP!K76+WR!K76+MA!K77+TBD!K76+WA!K76+GB!K76+WM!K76+SU!K76+AX!K76+VW!K76+HY!K76+IN!K76+FR!K76+ST!K76+CH!K76+TC!K76+LX!K76+HSU!K76+HVW!K76+MZ!K76+BUGMC!K76+HD!K76+LT!K76+FBG!K76+FSU!K76</f>
        <v>4343</v>
      </c>
      <c r="L76" s="16">
        <f>AS!L76+RI!L76+GA!L76+RLX!L76+SP!L76+WR!L76+MA!L77+TBD!L76+WA!L76+GB!L76+WM!L76+SU!L76+AX!L76+VW!L76+HY!L76+IN!L76+FR!L76+ST!L76+CH!L76+TC!L76+LX!L76+HSU!L76+HVW!L76+MZ!L76+BUGMC!L76+HD!L76+LT!L76+FBG!L76+FSU!L76</f>
        <v>4343</v>
      </c>
      <c r="M76" s="16">
        <f>AS!M76+RI!M76+GA!M76+RLX!M76+SP!M76+WR!M76+MA!M77+TBD!M76+WA!M76+GB!M76+WM!M76+SU!M76+AX!M76+VW!M76+HY!M76+IN!M76+FR!M76+ST!M76+CH!M76+TC!M76+LX!M76+HSU!M76+HVW!M76+MZ!M76+BUGMC!M76+HD!M76+LT!M76+FBG!M76+FSU!M76</f>
        <v>4343</v>
      </c>
      <c r="N76" s="17">
        <f t="shared" si="12"/>
        <v>52116</v>
      </c>
      <c r="O76" s="18"/>
    </row>
    <row r="77" ht="13.5" customHeight="1">
      <c r="A77" s="32" t="s">
        <v>63</v>
      </c>
      <c r="B77" s="16">
        <f>AS!B77+RI!B77+GA!B77+RLX!B77+SP!B77+WR!B77+MA!B78+TBD!B77+WA!B77+GB!B77+WM!B77+SU!B77+AX!B77+VW!B77+HY!B77+IN!B77+FR!B77+ST!B77+CH!B77+TC!B77+LX!B77+HSU!B77+HVW!B77+MZ!B77+BUGMC!B77+HD!B77+LT!B77+FBG!B77+FSU!B77</f>
        <v>50</v>
      </c>
      <c r="C77" s="16">
        <f>AS!C77+RI!C77+GA!C77+RLX!C77+SP!C77+WR!C77+MA!C78+TBD!C77+WA!C77+GB!C77+WM!C77+SU!C77+AX!C77+VW!C77+HY!C77+IN!C77+FR!C77+ST!C77+CH!C77+TC!C77+LX!C77+HSU!C77+HVW!C77+MZ!C77+BUGMC!C77+HD!C77+LT!C77+FBG!C77+FSU!C77</f>
        <v>50</v>
      </c>
      <c r="D77" s="16">
        <f>AS!D77+RI!D77+GA!D77+RLX!D77+SP!D77+WR!D77+MA!D78+TBD!D77+WA!D77+GB!D77+WM!D77+SU!D77+AX!D77+VW!D77+HY!D77+IN!D77+FR!D77+ST!D77+CH!D77+TC!D77+LX!D77+HSU!D77+HVW!D77+MZ!D77+BUGMC!D77+HD!D77+LT!D77+FBG!D77+FSU!D77</f>
        <v>50</v>
      </c>
      <c r="E77" s="16">
        <f>AS!E77+RI!E77+GA!E77+RLX!E77+SP!E77+WR!E77+MA!E78+TBD!E77+WA!E77+GB!E77+WM!E77+SU!E77+AX!E77+VW!E77+HY!E77+IN!E77+FR!E77+ST!E77+CH!E77+TC!E77+LX!E77+HSU!E77+HVW!E77+MZ!E77+BUGMC!E77+HD!E77+LT!E77+FBG!E77+FSU!E77</f>
        <v>50</v>
      </c>
      <c r="F77" s="16">
        <f>AS!F77+RI!F77+GA!F77+RLX!F77+SP!F77+WR!F77+MA!F78+TBD!F77+WA!F77+GB!F77+WM!F77+SU!F77+AX!F77+VW!F77+HY!F77+IN!F77+FR!F77+ST!F77+CH!F77+TC!F77+LX!F77+HSU!F77+HVW!F77+MZ!F77+BUGMC!F77+HD!F77+LT!F77+FBG!F77+FSU!F77</f>
        <v>50</v>
      </c>
      <c r="G77" s="16">
        <f>AS!G77+RI!G77+GA!G77+RLX!G77+SP!G77+WR!G77+MA!G78+TBD!G77+WA!G77+GB!G77+WM!G77+SU!G77+AX!G77+VW!G77+HY!G77+IN!G77+FR!G77+ST!G77+CH!G77+TC!G77+LX!G77+HSU!G77+HVW!G77+MZ!G77+BUGMC!G77+HD!G77+LT!G77+FBG!G77+FSU!G77</f>
        <v>50</v>
      </c>
      <c r="H77" s="16">
        <f>AS!H77+RI!H77+GA!H77+RLX!H77+SP!H77+WR!H77+MA!H78+TBD!H77+WA!H77+GB!H77+WM!H77+SU!H77+AX!H77+VW!H77+HY!H77+IN!H77+FR!H77+ST!H77+CH!H77+TC!H77+LX!H77+HSU!H77+HVW!H77+MZ!H77+BUGMC!H77+HD!H77+LT!H77+FBG!H77+FSU!H77</f>
        <v>50</v>
      </c>
      <c r="I77" s="16">
        <f>AS!I77+RI!I77+GA!I77+RLX!I77+SP!I77+WR!I77+MA!I78+TBD!I77+WA!I77+GB!I77+WM!I77+SU!I77+AX!I77+VW!I77+HY!I77+IN!I77+FR!I77+ST!I77+CH!I77+TC!I77+LX!I77+HSU!I77+HVW!I77+MZ!I77+BUGMC!I77+HD!I77+LT!I77+FBG!I77+FSU!I77</f>
        <v>50</v>
      </c>
      <c r="J77" s="16">
        <f>AS!J77+RI!J77+GA!J77+RLX!J77+SP!J77+WR!J77+MA!J78+TBD!J77+WA!J77+GB!J77+WM!J77+SU!J77+AX!J77+VW!J77+HY!J77+IN!J77+FR!J77+ST!J77+CH!J77+TC!J77+LX!J77+HSU!J77+HVW!J77+MZ!J77+BUGMC!J77+HD!J77+LT!J77+FBG!J77+FSU!J77</f>
        <v>50</v>
      </c>
      <c r="K77" s="16">
        <f>AS!K77+RI!K77+GA!K77+RLX!K77+SP!K77+WR!K77+MA!K78+TBD!K77+WA!K77+GB!K77+WM!K77+SU!K77+AX!K77+VW!K77+HY!K77+IN!K77+FR!K77+ST!K77+CH!K77+TC!K77+LX!K77+HSU!K77+HVW!K77+MZ!K77+BUGMC!K77+HD!K77+LT!K77+FBG!K77+FSU!K77</f>
        <v>50</v>
      </c>
      <c r="L77" s="16">
        <f>AS!L77+RI!L77+GA!L77+RLX!L77+SP!L77+WR!L77+MA!L78+TBD!L77+WA!L77+GB!L77+WM!L77+SU!L77+AX!L77+VW!L77+HY!L77+IN!L77+FR!L77+ST!L77+CH!L77+TC!L77+LX!L77+HSU!L77+HVW!L77+MZ!L77+BUGMC!L77+HD!L77+LT!L77+FBG!L77+FSU!L77</f>
        <v>50</v>
      </c>
      <c r="M77" s="16">
        <f>AS!M77+RI!M77+GA!M77+RLX!M77+SP!M77+WR!M77+MA!M78+TBD!M77+WA!M77+GB!M77+WM!M77+SU!M77+AX!M77+VW!M77+HY!M77+IN!M77+FR!M77+ST!M77+CH!M77+TC!M77+LX!M77+HSU!M77+HVW!M77+MZ!M77+BUGMC!M77+HD!M77+LT!M77+FBG!M77+FSU!M77</f>
        <v>50</v>
      </c>
      <c r="N77" s="17">
        <f t="shared" si="12"/>
        <v>600</v>
      </c>
      <c r="O77" s="18"/>
    </row>
    <row r="78" ht="13.5" customHeight="1">
      <c r="A78" s="31" t="s">
        <v>77</v>
      </c>
      <c r="B78" s="16">
        <f>AS!B78+RI!B78+GA!B78+RLX!B78+SP!B78+WR!B78+MA!B79+TBD!B78+WA!B78+GB!B78+WM!B78+SU!B78+AX!B78+VW!B78+HY!B78+IN!B78+FR!B78+ST!B78+CH!B78+TC!B78+LX!B78+HSU!B78+HVW!B78+MZ!B78+BUGMC!B78+HD!B78+LT!B78+FBG!B78+FSU!B78</f>
        <v>0</v>
      </c>
      <c r="C78" s="16">
        <f>AS!C78+RI!C78+GA!C78+RLX!C78+SP!C78+WR!C78+MA!C79+TBD!C78+WA!C78+GB!C78+WM!C78+SU!C78+AX!C78+VW!C78+HY!C78+IN!C78+FR!C78+ST!C78+CH!C78+TC!C78+LX!C78+HSU!C78+HVW!C78+MZ!C78+BUGMC!C78+HD!C78+LT!C78+FBG!C78+FSU!C78</f>
        <v>0</v>
      </c>
      <c r="D78" s="16">
        <f>AS!D78+RI!D78+GA!D78+RLX!D78+SP!D78+WR!D78+MA!D79+TBD!D78+WA!D78+GB!D78+WM!D78+SU!D78+AX!D78+VW!D78+HY!D78+IN!D78+FR!D78+ST!D78+CH!D78+TC!D78+LX!D78+HSU!D78+HVW!D78+MZ!D78+BUGMC!D78+HD!D78+LT!D78+FBG!D78+FSU!D78</f>
        <v>0</v>
      </c>
      <c r="E78" s="16">
        <f>AS!E78+RI!E78+GA!E78+RLX!E78+SP!E78+WR!E78+MA!E79+TBD!E78+WA!E78+GB!E78+WM!E78+SU!E78+AX!E78+VW!E78+HY!E78+IN!E78+FR!E78+ST!E78+CH!E78+TC!E78+LX!E78+HSU!E78+HVW!E78+MZ!E78+BUGMC!E78+HD!E78+LT!E78+FBG!E78+FSU!E78</f>
        <v>0</v>
      </c>
      <c r="F78" s="16">
        <f>AS!F78+RI!F78+GA!F78+RLX!F78+SP!F78+WR!F78+MA!F79+TBD!F78+WA!F78+GB!F78+WM!F78+SU!F78+AX!F78+VW!F78+HY!F78+IN!F78+FR!F78+ST!F78+CH!F78+TC!F78+LX!F78+HSU!F78+HVW!F78+MZ!F78+BUGMC!F78+HD!F78+LT!F78+FBG!F78+FSU!F78</f>
        <v>0</v>
      </c>
      <c r="G78" s="16">
        <f>AS!G78+RI!G78+GA!G78+RLX!G78+SP!G78+WR!G78+MA!G79+TBD!G78+WA!G78+GB!G78+WM!G78+SU!G78+AX!G78+VW!G78+HY!G78+IN!G78+FR!G78+ST!G78+CH!G78+TC!G78+LX!G78+HSU!G78+HVW!G78+MZ!G78+BUGMC!G78+HD!G78+LT!G78+FBG!G78+FSU!G78</f>
        <v>0</v>
      </c>
      <c r="H78" s="16">
        <f>AS!H78+RI!H78+GA!H78+RLX!H78+SP!H78+WR!H78+MA!H79+TBD!H78+WA!H78+GB!H78+WM!H78+SU!H78+AX!H78+VW!H78+HY!H78+IN!H78+FR!H78+ST!H78+CH!H78+TC!H78+LX!H78+HSU!H78+HVW!H78+MZ!H78+BUGMC!H78+HD!H78+LT!H78+FBG!H78+FSU!H78</f>
        <v>0</v>
      </c>
      <c r="I78" s="16">
        <f>AS!I78+RI!I78+GA!I78+RLX!I78+SP!I78+WR!I78+MA!I79+TBD!I78+WA!I78+GB!I78+WM!I78+SU!I78+AX!I78+VW!I78+HY!I78+IN!I78+FR!I78+ST!I78+CH!I78+TC!I78+LX!I78+HSU!I78+HVW!I78+MZ!I78+BUGMC!I78+HD!I78+LT!I78+FBG!I78+FSU!I78</f>
        <v>0</v>
      </c>
      <c r="J78" s="16">
        <f>AS!J78+RI!J78+GA!J78+RLX!J78+SP!J78+WR!J78+MA!J79+TBD!J78+WA!J78+GB!J78+WM!J78+SU!J78+AX!J78+VW!J78+HY!J78+IN!J78+FR!J78+ST!J78+CH!J78+TC!J78+LX!J78+HSU!J78+HVW!J78+MZ!J78+BUGMC!J78+HD!J78+LT!J78+FBG!J78+FSU!J78</f>
        <v>0</v>
      </c>
      <c r="K78" s="16">
        <f>AS!K78+RI!K78+GA!K78+RLX!K78+SP!K78+WR!K78+MA!K79+TBD!K78+WA!K78+GB!K78+WM!K78+SU!K78+AX!K78+VW!K78+HY!K78+IN!K78+FR!K78+ST!K78+CH!K78+TC!K78+LX!K78+HSU!K78+HVW!K78+MZ!K78+BUGMC!K78+HD!K78+LT!K78+FBG!K78+FSU!K78</f>
        <v>0</v>
      </c>
      <c r="L78" s="16">
        <f>AS!L78+RI!L78+GA!L78+RLX!L78+SP!L78+WR!L78+MA!L79+TBD!L78+WA!L78+GB!L78+WM!L78+SU!L78+AX!L78+VW!L78+HY!L78+IN!L78+FR!L78+ST!L78+CH!L78+TC!L78+LX!L78+HSU!L78+HVW!L78+MZ!L78+BUGMC!L78+HD!L78+LT!L78+FBG!L78+FSU!L78</f>
        <v>0</v>
      </c>
      <c r="M78" s="16">
        <f>AS!M78+RI!M78+GA!M78+RLX!M78+SP!M78+WR!M78+MA!M79+TBD!M78+WA!M78+GB!M78+WM!M78+SU!M78+AX!M78+VW!M78+HY!M78+IN!M78+FR!M78+ST!M78+CH!M78+TC!M78+LX!M78+HSU!M78+HVW!M78+MZ!M78+BUGMC!M78+HD!M78+LT!M78+FBG!M78+FSU!M78</f>
        <v>0</v>
      </c>
      <c r="N78" s="17">
        <f t="shared" si="12"/>
        <v>0</v>
      </c>
      <c r="O78" s="18"/>
    </row>
    <row r="79" ht="13.5" customHeight="1">
      <c r="A79" s="27" t="s">
        <v>78</v>
      </c>
      <c r="B79" s="16">
        <f>AS!B79+RI!B79+GA!B79+RLX!B79+SP!B79+WR!B79+MA!B80+TBD!B79+WA!B79+GB!B79+WM!B79+SU!B79+AX!B79+VW!B79+HY!B79+IN!B79+FR!B79+ST!B79+CH!B79+TC!B79+LX!B79+HSU!B79+HVW!B79+MZ!B79+BUGMC!B79+HD!B79+LT!B79+FBG!B79+FSU!B79</f>
        <v>76209.09</v>
      </c>
      <c r="C79" s="16">
        <f>AS!C79+RI!C79+GA!C79+RLX!C79+SP!C79+WR!C79+MA!C80+TBD!C79+WA!C79+GB!C79+WM!C79+SU!C79+AX!C79+VW!C79+HY!C79+IN!C79+FR!C79+ST!C79+CH!C79+TC!C79+LX!C79+HSU!C79+HVW!C79+MZ!C79+BUGMC!C79+HD!C79+LT!C79+FBG!C79+FSU!C79</f>
        <v>84070.4</v>
      </c>
      <c r="D79" s="16">
        <f>AS!D79+RI!D79+GA!D79+RLX!D79+SP!D79+WR!D79+MA!D80+TBD!D79+WA!D79+GB!D79+WM!D79+SU!D79+AX!D79+VW!D79+HY!D79+IN!D79+FR!D79+ST!D79+CH!D79+TC!D79+LX!D79+HSU!D79+HVW!D79+MZ!D79+BUGMC!D79+HD!D79+LT!D79+FBG!D79+FSU!D79</f>
        <v>84070.4</v>
      </c>
      <c r="E79" s="16">
        <f>AS!E79+RI!E79+GA!E79+RLX!E79+SP!E79+WR!E79+MA!E80+TBD!E79+WA!E79+GB!E79+WM!E79+SU!E79+AX!E79+VW!E79+HY!E79+IN!E79+FR!E79+ST!E79+CH!E79+TC!E79+LX!E79+HSU!E79+HVW!E79+MZ!E79+BUGMC!E79+HD!E79+LT!E79+FBG!E79+FSU!E79</f>
        <v>84070.4</v>
      </c>
      <c r="F79" s="16">
        <f>AS!F79+RI!F79+GA!F79+RLX!F79+SP!F79+WR!F79+MA!F80+TBD!F79+WA!F79+GB!F79+WM!F79+SU!F79+AX!F79+VW!F79+HY!F79+IN!F79+FR!F79+ST!F79+CH!F79+TC!F79+LX!F79+HSU!F79+HVW!F79+MZ!F79+BUGMC!F79+HD!F79+LT!F79+FBG!F79+FSU!F79</f>
        <v>84070.4</v>
      </c>
      <c r="G79" s="16">
        <f>AS!G79+RI!G79+GA!G79+RLX!G79+SP!G79+WR!G79+MA!G80+TBD!G79+WA!G79+GB!G79+WM!G79+SU!G79+AX!G79+VW!G79+HY!G79+IN!G79+FR!G79+ST!G79+CH!G79+TC!G79+LX!G79+HSU!G79+HVW!G79+MZ!G79+BUGMC!G79+HD!G79+LT!G79+FBG!G79+FSU!G79</f>
        <v>84070.4</v>
      </c>
      <c r="H79" s="16">
        <f>AS!H79+RI!H79+GA!H79+RLX!H79+SP!H79+WR!H79+MA!H80+TBD!H79+WA!H79+GB!H79+WM!H79+SU!H79+AX!H79+VW!H79+HY!H79+IN!H79+FR!H79+ST!H79+CH!H79+TC!H79+LX!H79+HSU!H79+HVW!H79+MZ!H79+BUGMC!H79+HD!H79+LT!H79+FBG!H79+FSU!H79</f>
        <v>84070.4</v>
      </c>
      <c r="I79" s="16">
        <f>AS!I79+RI!I79+GA!I79+RLX!I79+SP!I79+WR!I79+MA!I80+TBD!I79+WA!I79+GB!I79+WM!I79+SU!I79+AX!I79+VW!I79+HY!I79+IN!I79+FR!I79+ST!I79+CH!I79+TC!I79+LX!I79+HSU!I79+HVW!I79+MZ!I79+BUGMC!I79+HD!I79+LT!I79+FBG!I79+FSU!I79</f>
        <v>84070.4</v>
      </c>
      <c r="J79" s="16">
        <f>AS!J79+RI!J79+GA!J79+RLX!J79+SP!J79+WR!J79+MA!J80+TBD!J79+WA!J79+GB!J79+WM!J79+SU!J79+AX!J79+VW!J79+HY!J79+IN!J79+FR!J79+ST!J79+CH!J79+TC!J79+LX!J79+HSU!J79+HVW!J79+MZ!J79+BUGMC!J79+HD!J79+LT!J79+FBG!J79+FSU!J79</f>
        <v>84070.4</v>
      </c>
      <c r="K79" s="16">
        <f>AS!K79+RI!K79+GA!K79+RLX!K79+SP!K79+WR!K79+MA!K80+TBD!K79+WA!K79+GB!K79+WM!K79+SU!K79+AX!K79+VW!K79+HY!K79+IN!K79+FR!K79+ST!K79+CH!K79+TC!K79+LX!K79+HSU!K79+HVW!K79+MZ!K79+BUGMC!K79+HD!K79+LT!K79+FBG!K79+FSU!K79</f>
        <v>84070.4</v>
      </c>
      <c r="L79" s="16">
        <f>AS!L79+RI!L79+GA!L79+RLX!L79+SP!L79+WR!L79+MA!L80+TBD!L79+WA!L79+GB!L79+WM!L79+SU!L79+AX!L79+VW!L79+HY!L79+IN!L79+FR!L79+ST!L79+CH!L79+TC!L79+LX!L79+HSU!L79+HVW!L79+MZ!L79+BUGMC!L79+HD!L79+LT!L79+FBG!L79+FSU!L79</f>
        <v>84070.4</v>
      </c>
      <c r="M79" s="16">
        <f>AS!M79+RI!M79+GA!M79+RLX!M79+SP!M79+WR!M79+MA!M80+TBD!M79+WA!M79+GB!M79+WM!M79+SU!M79+AX!M79+VW!M79+HY!M79+IN!M79+FR!M79+ST!M79+CH!M79+TC!M79+LX!M79+HSU!M79+HVW!M79+MZ!M79+BUGMC!M79+HD!M79+LT!M79+FBG!M79+FSU!M79</f>
        <v>84070.4</v>
      </c>
      <c r="N79" s="17">
        <f t="shared" si="12"/>
        <v>1000983.49</v>
      </c>
      <c r="O79" s="18"/>
    </row>
    <row r="80" ht="13.5" customHeight="1">
      <c r="A80" s="42" t="s">
        <v>79</v>
      </c>
      <c r="B80" s="16">
        <f>AS!B80+RI!B80+GA!B80+RLX!B80+SP!B80+WR!B80+MA!B81+TBD!B80+WA!B80+GB!B80+WM!B80+SU!B80+AX!B80+VW!B80+HY!B80+IN!B80+FR!B80+ST!B80+CH!B80+TC!B80+LX!B80+HSU!B80+HVW!B80+MZ!B80+BUGMC!B80+HD!B80+LT!B80+FBG!B80+FSU!B80</f>
        <v>41650</v>
      </c>
      <c r="C80" s="16">
        <f>AS!C80+RI!C80+GA!C80+RLX!C80+SP!C80+WR!C80+MA!C81+TBD!C80+WA!C80+GB!C80+WM!C80+SU!C80+AX!C80+VW!C80+HY!C80+IN!C80+FR!C80+ST!C80+CH!C80+TC!C80+LX!C80+HSU!C80+HVW!C80+MZ!C80+BUGMC!C80+HD!C80+LT!C80+FBG!C80+FSU!C80</f>
        <v>44000</v>
      </c>
      <c r="D80" s="16">
        <f>AS!D80+RI!D80+GA!D80+RLX!D80+SP!D80+WR!D80+MA!D81+TBD!D80+WA!D80+GB!D80+WM!D80+SU!D80+AX!D80+VW!D80+HY!D80+IN!D80+FR!D80+ST!D80+CH!D80+TC!D80+LX!D80+HSU!D80+HVW!D80+MZ!D80+BUGMC!D80+HD!D80+LT!D80+FBG!D80+FSU!D80</f>
        <v>45000</v>
      </c>
      <c r="E80" s="16">
        <f>AS!E80+RI!E80+GA!E80+RLX!E80+SP!E80+WR!E80+MA!E81+TBD!E80+WA!E80+GB!E80+WM!E80+SU!E80+AX!E80+VW!E80+HY!E80+IN!E80+FR!E80+ST!E80+CH!E80+TC!E80+LX!E80+HSU!E80+HVW!E80+MZ!E80+BUGMC!E80+HD!E80+LT!E80+FBG!E80+FSU!E80</f>
        <v>45000</v>
      </c>
      <c r="F80" s="16">
        <f>AS!F80+RI!F80+GA!F80+RLX!F80+SP!F80+WR!F80+MA!F81+TBD!F80+WA!F80+GB!F80+WM!F80+SU!F80+AX!F80+VW!F80+HY!F80+IN!F80+FR!F80+ST!F80+CH!F80+TC!F80+LX!F80+HSU!F80+HVW!F80+MZ!F80+BUGMC!F80+HD!F80+LT!F80+FBG!F80+FSU!F80</f>
        <v>45000</v>
      </c>
      <c r="G80" s="16">
        <f>AS!G80+RI!G80+GA!G80+RLX!G80+SP!G80+WR!G80+MA!G81+TBD!G80+WA!G80+GB!G80+WM!G80+SU!G80+AX!G80+VW!G80+HY!G80+IN!G80+FR!G80+ST!G80+CH!G80+TC!G80+LX!G80+HSU!G80+HVW!G80+MZ!G80+BUGMC!G80+HD!G80+LT!G80+FBG!G80+FSU!G80</f>
        <v>44597.5</v>
      </c>
      <c r="H80" s="16">
        <f>AS!H80+RI!H80+GA!H80+RLX!H80+SP!H80+WR!H80+MA!H81+TBD!H80+WA!H80+GB!H80+WM!H80+SU!H80+AX!H80+VW!H80+HY!H80+IN!H80+FR!H80+ST!H80+CH!H80+TC!H80+LX!H80+HSU!H80+HVW!H80+MZ!H80+BUGMC!H80+HD!H80+LT!H80+FBG!H80+FSU!H80</f>
        <v>44597.5</v>
      </c>
      <c r="I80" s="16">
        <f>AS!I80+RI!I80+GA!I80+RLX!I80+SP!I80+WR!I80+MA!I81+TBD!I80+WA!I80+GB!I80+WM!I80+SU!I80+AX!I80+VW!I80+HY!I80+IN!I80+FR!I80+ST!I80+CH!I80+TC!I80+LX!I80+HSU!I80+HVW!I80+MZ!I80+BUGMC!I80+HD!I80+LT!I80+FBG!I80+FSU!I80</f>
        <v>45000</v>
      </c>
      <c r="J80" s="16">
        <f>AS!J80+RI!J80+GA!J80+RLX!J80+SP!J80+WR!J80+MA!J81+TBD!J80+WA!J80+GB!J80+WM!J80+SU!J80+AX!J80+VW!J80+HY!J80+IN!J80+FR!J80+ST!J80+CH!J80+TC!J80+LX!J80+HSU!J80+HVW!J80+MZ!J80+BUGMC!J80+HD!J80+LT!J80+FBG!J80+FSU!J80</f>
        <v>45000</v>
      </c>
      <c r="K80" s="16">
        <f>AS!K80+RI!K80+GA!K80+RLX!K80+SP!K80+WR!K80+MA!K81+TBD!K80+WA!K80+GB!K80+WM!K80+SU!K80+AX!K80+VW!K80+HY!K80+IN!K80+FR!K80+ST!K80+CH!K80+TC!K80+LX!K80+HSU!K80+HVW!K80+MZ!K80+BUGMC!K80+HD!K80+LT!K80+FBG!K80+FSU!K80</f>
        <v>45000</v>
      </c>
      <c r="L80" s="16">
        <f>AS!L80+RI!L80+GA!L80+RLX!L80+SP!L80+WR!L80+MA!L81+TBD!L80+WA!L80+GB!L80+WM!L80+SU!L80+AX!L80+VW!L80+HY!L80+IN!L80+FR!L80+ST!L80+CH!L80+TC!L80+LX!L80+HSU!L80+HVW!L80+MZ!L80+BUGMC!L80+HD!L80+LT!L80+FBG!L80+FSU!L80</f>
        <v>45000</v>
      </c>
      <c r="M80" s="16">
        <f>AS!M80+RI!M80+GA!M80+RLX!M80+SP!M80+WR!M80+MA!M81+TBD!M80+WA!M80+GB!M80+WM!M80+SU!M80+AX!M80+VW!M80+HY!M80+IN!M80+FR!M80+ST!M80+CH!M80+TC!M80+LX!M80+HSU!M80+HVW!M80+MZ!M80+BUGMC!M80+HD!M80+LT!M80+FBG!M80+FSU!M80</f>
        <v>45000</v>
      </c>
      <c r="N80" s="17">
        <f t="shared" si="12"/>
        <v>534845</v>
      </c>
      <c r="O80" s="18"/>
    </row>
    <row r="81" ht="13.5" customHeight="1">
      <c r="A81" s="43" t="s">
        <v>80</v>
      </c>
      <c r="B81" s="16">
        <f>AS!B81+RI!B81+GA!B81+RLX!B81+SP!B81+WR!B81+MA!B82+TBD!B81+WA!B81+GB!B81+WM!B81+SU!B81+AX!B81+VW!B81+HY!B81+IN!B81+FR!B81+ST!B81+CH!B81+TC!B81+LX!B81+HSU!B81+HVW!B81+MZ!B81+BUGMC!B81+HD!B81+LT!B81+FBG!B81+FSU!B81</f>
        <v>2125</v>
      </c>
      <c r="C81" s="16">
        <f>AS!C81+RI!C81+GA!C81+RLX!C81+SP!C81+WR!C81+MA!C82+TBD!C81+WA!C81+GB!C81+WM!C81+SU!C81+AX!C81+VW!C81+HY!C81+IN!C81+FR!C81+ST!C81+CH!C81+TC!C81+LX!C81+HSU!C81+HVW!C81+MZ!C81+BUGMC!C81+HD!C81+LT!C81+FBG!C81+FSU!C81</f>
        <v>2125</v>
      </c>
      <c r="D81" s="16">
        <f>AS!D81+RI!D81+GA!D81+RLX!D81+SP!D81+WR!D81+MA!D82+TBD!D81+WA!D81+GB!D81+WM!D81+SU!D81+AX!D81+VW!D81+HY!D81+IN!D81+FR!D81+ST!D81+CH!D81+TC!D81+LX!D81+HSU!D81+HVW!D81+MZ!D81+BUGMC!D81+HD!D81+LT!D81+FBG!D81+FSU!D81</f>
        <v>2125</v>
      </c>
      <c r="E81" s="16">
        <f>AS!E81+RI!E81+GA!E81+RLX!E81+SP!E81+WR!E81+MA!E82+TBD!E81+WA!E81+GB!E81+WM!E81+SU!E81+AX!E81+VW!E81+HY!E81+IN!E81+FR!E81+ST!E81+CH!E81+TC!E81+LX!E81+HSU!E81+HVW!E81+MZ!E81+BUGMC!E81+HD!E81+LT!E81+FBG!E81+FSU!E81</f>
        <v>2125</v>
      </c>
      <c r="F81" s="16">
        <f>AS!F81+RI!F81+GA!F81+RLX!F81+SP!F81+WR!F81+MA!F82+TBD!F81+WA!F81+GB!F81+WM!F81+SU!F81+AX!F81+VW!F81+HY!F81+IN!F81+FR!F81+ST!F81+CH!F81+TC!F81+LX!F81+HSU!F81+HVW!F81+MZ!F81+BUGMC!F81+HD!F81+LT!F81+FBG!F81+FSU!F81</f>
        <v>2125</v>
      </c>
      <c r="G81" s="16">
        <f>AS!G81+RI!G81+GA!G81+RLX!G81+SP!G81+WR!G81+MA!G82+TBD!G81+WA!G81+GB!G81+WM!G81+SU!G81+AX!G81+VW!G81+HY!G81+IN!G81+FR!G81+ST!G81+CH!G81+TC!G81+LX!G81+HSU!G81+HVW!G81+MZ!G81+BUGMC!G81+HD!G81+LT!G81+FBG!G81+FSU!G81</f>
        <v>2125</v>
      </c>
      <c r="H81" s="16">
        <f>AS!H81+RI!H81+GA!H81+RLX!H81+SP!H81+WR!H81+MA!H82+TBD!H81+WA!H81+GB!H81+WM!H81+SU!H81+AX!H81+VW!H81+HY!H81+IN!H81+FR!H81+ST!H81+CH!H81+TC!H81+LX!H81+HSU!H81+HVW!H81+MZ!H81+BUGMC!H81+HD!H81+LT!H81+FBG!H81+FSU!H81</f>
        <v>2125</v>
      </c>
      <c r="I81" s="16">
        <f>AS!I81+RI!I81+GA!I81+RLX!I81+SP!I81+WR!I81+MA!I82+TBD!I81+WA!I81+GB!I81+WM!I81+SU!I81+AX!I81+VW!I81+HY!I81+IN!I81+FR!I81+ST!I81+CH!I81+TC!I81+LX!I81+HSU!I81+HVW!I81+MZ!I81+BUGMC!I81+HD!I81+LT!I81+FBG!I81+FSU!I81</f>
        <v>2125</v>
      </c>
      <c r="J81" s="16">
        <f>AS!J81+RI!J81+GA!J81+RLX!J81+SP!J81+WR!J81+MA!J82+TBD!J81+WA!J81+GB!J81+WM!J81+SU!J81+AX!J81+VW!J81+HY!J81+IN!J81+FR!J81+ST!J81+CH!J81+TC!J81+LX!J81+HSU!J81+HVW!J81+MZ!J81+BUGMC!J81+HD!J81+LT!J81+FBG!J81+FSU!J81</f>
        <v>2125</v>
      </c>
      <c r="K81" s="16">
        <f>AS!K81+RI!K81+GA!K81+RLX!K81+SP!K81+WR!K81+MA!K82+TBD!K81+WA!K81+GB!K81+WM!K81+SU!K81+AX!K81+VW!K81+HY!K81+IN!K81+FR!K81+ST!K81+CH!K81+TC!K81+LX!K81+HSU!K81+HVW!K81+MZ!K81+BUGMC!K81+HD!K81+LT!K81+FBG!K81+FSU!K81</f>
        <v>2125</v>
      </c>
      <c r="L81" s="16">
        <f>AS!L81+RI!L81+GA!L81+RLX!L81+SP!L81+WR!L81+MA!L82+TBD!L81+WA!L81+GB!L81+WM!L81+SU!L81+AX!L81+VW!L81+HY!L81+IN!L81+FR!L81+ST!L81+CH!L81+TC!L81+LX!L81+HSU!L81+HVW!L81+MZ!L81+BUGMC!L81+HD!L81+LT!L81+FBG!L81+FSU!L81</f>
        <v>2125</v>
      </c>
      <c r="M81" s="16">
        <f>AS!M81+RI!M81+GA!M81+RLX!M81+SP!M81+WR!M81+MA!M82+TBD!M81+WA!M81+GB!M81+WM!M81+SU!M81+AX!M81+VW!M81+HY!M81+IN!M81+FR!M81+ST!M81+CH!M81+TC!M81+LX!M81+HSU!M81+HVW!M81+MZ!M81+BUGMC!M81+HD!M81+LT!M81+FBG!M81+FSU!M81</f>
        <v>4125</v>
      </c>
      <c r="N81" s="17">
        <f t="shared" si="12"/>
        <v>27500</v>
      </c>
      <c r="O81" s="18"/>
    </row>
    <row r="82" ht="13.5" customHeight="1">
      <c r="A82" s="21" t="s">
        <v>23</v>
      </c>
      <c r="B82" s="28">
        <f t="shared" ref="B82:M82" si="13">SUM(B72:B81)</f>
        <v>148014.59</v>
      </c>
      <c r="C82" s="28">
        <f t="shared" si="13"/>
        <v>158939.4</v>
      </c>
      <c r="D82" s="28">
        <f t="shared" si="13"/>
        <v>159939.4</v>
      </c>
      <c r="E82" s="28">
        <f t="shared" si="13"/>
        <v>160011.9</v>
      </c>
      <c r="F82" s="28">
        <f t="shared" si="13"/>
        <v>160011.9</v>
      </c>
      <c r="G82" s="28">
        <f t="shared" si="13"/>
        <v>159609.4</v>
      </c>
      <c r="H82" s="28">
        <f t="shared" si="13"/>
        <v>159609.4</v>
      </c>
      <c r="I82" s="28">
        <f t="shared" si="13"/>
        <v>160011.9</v>
      </c>
      <c r="J82" s="28">
        <f t="shared" si="13"/>
        <v>160011.9</v>
      </c>
      <c r="K82" s="28">
        <f t="shared" si="13"/>
        <v>160011.9</v>
      </c>
      <c r="L82" s="28">
        <f t="shared" si="13"/>
        <v>160011.9</v>
      </c>
      <c r="M82" s="28">
        <f t="shared" si="13"/>
        <v>162011.9</v>
      </c>
      <c r="N82" s="44">
        <f t="shared" si="12"/>
        <v>1908195.49</v>
      </c>
      <c r="O82" s="29" t="str">
        <f>(N82/N109)</f>
        <v>#REF!</v>
      </c>
    </row>
    <row r="83" ht="13.5" customHeight="1">
      <c r="A83" s="45" t="s">
        <v>81</v>
      </c>
      <c r="B83" s="28">
        <f t="shared" ref="B83:M83" si="14">B52+B70+B82</f>
        <v>946938.3</v>
      </c>
      <c r="C83" s="28" t="str">
        <f t="shared" si="14"/>
        <v>#REF!</v>
      </c>
      <c r="D83" s="28" t="str">
        <f t="shared" si="14"/>
        <v>#REF!</v>
      </c>
      <c r="E83" s="28" t="str">
        <f t="shared" si="14"/>
        <v>#REF!</v>
      </c>
      <c r="F83" s="28" t="str">
        <f t="shared" si="14"/>
        <v>#REF!</v>
      </c>
      <c r="G83" s="28" t="str">
        <f t="shared" si="14"/>
        <v>#REF!</v>
      </c>
      <c r="H83" s="28" t="str">
        <f t="shared" si="14"/>
        <v>#REF!</v>
      </c>
      <c r="I83" s="28" t="str">
        <f t="shared" si="14"/>
        <v>#REF!</v>
      </c>
      <c r="J83" s="28" t="str">
        <f t="shared" si="14"/>
        <v>#REF!</v>
      </c>
      <c r="K83" s="28" t="str">
        <f t="shared" si="14"/>
        <v>#REF!</v>
      </c>
      <c r="L83" s="28" t="str">
        <f t="shared" si="14"/>
        <v>#REF!</v>
      </c>
      <c r="M83" s="28" t="str">
        <f t="shared" si="14"/>
        <v>#REF!</v>
      </c>
      <c r="N83" s="44" t="str">
        <f t="shared" si="12"/>
        <v>#REF!</v>
      </c>
      <c r="O83" s="18" t="str">
        <f>O52+O70+O82</f>
        <v>#REF!</v>
      </c>
    </row>
    <row r="84" ht="13.5" customHeight="1">
      <c r="A84" s="45" t="s">
        <v>82</v>
      </c>
      <c r="B84" s="46">
        <f t="shared" ref="B84:N84" si="15">B83/B112</f>
        <v>273.8398785</v>
      </c>
      <c r="C84" s="46" t="str">
        <f t="shared" si="15"/>
        <v>#REF!</v>
      </c>
      <c r="D84" s="46" t="str">
        <f t="shared" si="15"/>
        <v>#REF!</v>
      </c>
      <c r="E84" s="46" t="str">
        <f t="shared" si="15"/>
        <v>#REF!</v>
      </c>
      <c r="F84" s="46" t="str">
        <f t="shared" si="15"/>
        <v>#REF!</v>
      </c>
      <c r="G84" s="46" t="str">
        <f t="shared" si="15"/>
        <v>#REF!</v>
      </c>
      <c r="H84" s="46" t="str">
        <f t="shared" si="15"/>
        <v>#REF!</v>
      </c>
      <c r="I84" s="46" t="str">
        <f t="shared" si="15"/>
        <v>#REF!</v>
      </c>
      <c r="J84" s="46" t="str">
        <f t="shared" si="15"/>
        <v>#REF!</v>
      </c>
      <c r="K84" s="46" t="str">
        <f t="shared" si="15"/>
        <v>#REF!</v>
      </c>
      <c r="L84" s="46" t="str">
        <f t="shared" si="15"/>
        <v>#REF!</v>
      </c>
      <c r="M84" s="46" t="str">
        <f t="shared" si="15"/>
        <v>#REF!</v>
      </c>
      <c r="N84" s="47" t="str">
        <f t="shared" si="15"/>
        <v>#REF!</v>
      </c>
      <c r="O84" s="18"/>
    </row>
    <row r="85" ht="13.5" customHeight="1">
      <c r="A85" s="34" t="s">
        <v>83</v>
      </c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14"/>
      <c r="O85" s="18"/>
    </row>
    <row r="86" ht="13.5" customHeight="1">
      <c r="A86" s="32" t="s">
        <v>84</v>
      </c>
      <c r="B86" s="16">
        <f>AS!B86+RI!B86+GA!B86+RLX!B86+SP!B86+WR!B86+MA!B87+TBD!B86+WA!B86+GB!B86+WM!B86+SU!B86+AX!B86+VW!B86+HY!B86+IN!B86+FR!B86+ST!B86+CH!B86+TC!B86+LX!B86+HSU!B86+HVW!B86+MZ!B86+BUGMC!B86+HD!B86+LT!B86+FBG!B86+FSU!B86</f>
        <v>19143.79</v>
      </c>
      <c r="C86" s="16">
        <f>AS!C86+RI!C86+GA!C86+RLX!C86+SP!C86+WR!C86+MA!C87+TBD!C86+WA!C86+GB!C86+WM!C86+SU!C86+AX!C86+VW!C86+HY!C86+IN!C86+FR!C86+ST!C86+CH!C86+TC!C86+LX!C86+HSU!C86+HVW!C86+MZ!C86+BUGMC!C86+HD!C86+LT!C86+FBG!C86+FSU!C86</f>
        <v>19963.79</v>
      </c>
      <c r="D86" s="16">
        <f>AS!D86+RI!D86+GA!D86+RLX!D86+SP!D86+WR!D86+MA!D87+TBD!D86+WA!D86+GB!D86+WM!D86+SU!D86+AX!D86+VW!D86+HY!D86+IN!D86+FR!D86+ST!D86+CH!D86+TC!D86+LX!D86+HSU!D86+HVW!D86+MZ!D86+BUGMC!D86+HD!D86+LT!D86+FBG!D86+FSU!D86</f>
        <v>19963.79</v>
      </c>
      <c r="E86" s="16">
        <f>AS!E86+RI!E86+GA!E86+RLX!E86+SP!E86+WR!E86+MA!E87+TBD!E86+WA!E86+GB!E86+WM!E86+SU!E86+AX!E86+VW!E86+HY!E86+IN!E86+FR!E86+ST!E86+CH!E86+TC!E86+LX!E86+HSU!E86+HVW!E86+MZ!E86+BUGMC!E86+HD!E86+LT!E86+FBG!E86+FSU!E86</f>
        <v>19963.79</v>
      </c>
      <c r="F86" s="16">
        <f>AS!F86+RI!F86+GA!F86+RLX!F86+SP!F86+WR!F86+MA!F87+TBD!F86+WA!F86+GB!F86+WM!F86+SU!F86+AX!F86+VW!F86+HY!F86+IN!F86+FR!F86+ST!F86+CH!F86+TC!F86+LX!F86+HSU!F86+HVW!F86+MZ!F86+BUGMC!F86+HD!F86+LT!F86+FBG!F86+FSU!F86</f>
        <v>19963.79</v>
      </c>
      <c r="G86" s="16">
        <f>AS!G86+RI!G86+GA!G86+RLX!G86+SP!G86+WR!G86+MA!G87+TBD!G86+WA!G86+GB!G86+WM!G86+SU!G86+AX!G86+VW!G86+HY!G86+IN!G86+FR!G86+ST!G86+CH!G86+TC!G86+LX!G86+HSU!G86+HVW!G86+MZ!G86+BUGMC!G86+HD!G86+LT!G86+FBG!G86+FSU!G86</f>
        <v>19963.79</v>
      </c>
      <c r="H86" s="16">
        <f>AS!H86+RI!H86+GA!H86+RLX!H86+SP!H86+WR!H86+MA!H87+TBD!H86+WA!H86+GB!H86+WM!H86+SU!H86+AX!H86+VW!H86+HY!H86+IN!H86+FR!H86+ST!H86+CH!H86+TC!H86+LX!H86+HSU!H86+HVW!H86+MZ!H86+BUGMC!H86+HD!H86+LT!H86+FBG!H86+FSU!H86</f>
        <v>19963.79</v>
      </c>
      <c r="I86" s="16">
        <f>AS!I86+RI!I86+GA!I86+RLX!I86+SP!I86+WR!I86+MA!I87+TBD!I86+WA!I86+GB!I86+WM!I86+SU!I86+AX!I86+VW!I86+HY!I86+IN!I86+FR!I86+ST!I86+CH!I86+TC!I86+LX!I86+HSU!I86+HVW!I86+MZ!I86+BUGMC!I86+HD!I86+LT!I86+FBG!I86+FSU!I86</f>
        <v>19963.79</v>
      </c>
      <c r="J86" s="16">
        <f>AS!J86+RI!J86+GA!J86+RLX!J86+SP!J86+WR!J86+MA!J87+TBD!J86+WA!J86+GB!J86+WM!J86+SU!J86+AX!J86+VW!J86+HY!J86+IN!J86+FR!J86+ST!J86+CH!J86+TC!J86+LX!J86+HSU!J86+HVW!J86+MZ!J86+BUGMC!J86+HD!J86+LT!J86+FBG!J86+FSU!J86</f>
        <v>19963.79</v>
      </c>
      <c r="K86" s="16">
        <f>AS!K86+RI!K86+GA!K86+RLX!K86+SP!K86+WR!K86+MA!K87+TBD!K86+WA!K86+GB!K86+WM!K86+SU!K86+AX!K86+VW!K86+HY!K86+IN!K86+FR!K86+ST!K86+CH!K86+TC!K86+LX!K86+HSU!K86+HVW!K86+MZ!K86+BUGMC!K86+HD!K86+LT!K86+FBG!K86+FSU!K86</f>
        <v>20397.58</v>
      </c>
      <c r="L86" s="16">
        <f>AS!L86+RI!L86+GA!L86+RLX!L86+SP!L86+WR!L86+MA!L87+TBD!L86+WA!L86+GB!L86+WM!L86+SU!L86+AX!L86+VW!L86+HY!L86+IN!L86+FR!L86+ST!L86+CH!L86+TC!L86+LX!L86+HSU!L86+HVW!L86+MZ!L86+BUGMC!L86+HD!L86+LT!L86+FBG!L86+FSU!L86</f>
        <v>20397.58</v>
      </c>
      <c r="M86" s="16">
        <f>AS!M86+RI!M86+GA!M86+RLX!M86+SP!M86+WR!M86+MA!M87+TBD!M86+WA!M86+GB!M86+WM!M86+SU!M86+AX!M86+VW!M86+HY!M86+IN!M86+FR!M86+ST!M86+CH!M86+TC!M86+LX!M86+HSU!M86+HVW!M86+MZ!M86+BUGMC!M86+HD!M86+LT!M86+FBG!M86+FSU!M86</f>
        <v>20397.58</v>
      </c>
      <c r="N86" s="17">
        <f t="shared" ref="N86:N89" si="16">SUM(B86:M86)</f>
        <v>240046.85</v>
      </c>
      <c r="O86" s="18"/>
    </row>
    <row r="87" ht="13.5" customHeight="1">
      <c r="A87" s="32" t="s">
        <v>85</v>
      </c>
      <c r="B87" s="16">
        <f>AS!B87+RI!B87+GA!B87+RLX!B87+SP!B87+WR!B87+MA!B88+TBD!B87+WA!B87+GB!B87+WM!B87+SU!B87+AX!B87+VW!B87+HY!B87+IN!B87+FR!B87+ST!B87+CH!B87+TC!B87+LX!B87+HSU!B87+HVW!B87+MZ!B87+BUGMC!B87+HD!B87+LT!B87+FBG!B87+FSU!B87</f>
        <v>0</v>
      </c>
      <c r="C87" s="16">
        <f>AS!C87+RI!C87+GA!C87+RLX!C87+SP!C87+WR!C87+MA!C88+TBD!C87+WA!C87+GB!C87+WM!C87+SU!C87+AX!C87+VW!C87+HY!C87+IN!C87+FR!C87+ST!C87+CH!C87+TC!C87+LX!C87+HSU!C87+HVW!C87+MZ!C87+BUGMC!C87+HD!C87+LT!C87+FBG!C87+FSU!C87</f>
        <v>0</v>
      </c>
      <c r="D87" s="16">
        <f>AS!D87+RI!D87+GA!D87+RLX!D87+SP!D87+WR!D87+MA!D88+TBD!D87+WA!D87+GB!D87+WM!D87+SU!D87+AX!D87+VW!D87+HY!D87+IN!D87+FR!D87+ST!D87+CH!D87+TC!D87+LX!D87+HSU!D87+HVW!D87+MZ!D87+BUGMC!D87+HD!D87+LT!D87+FBG!D87+FSU!D87</f>
        <v>0</v>
      </c>
      <c r="E87" s="16">
        <f>AS!E87+RI!E87+GA!E87+RLX!E87+SP!E87+WR!E87+MA!E88+TBD!E87+WA!E87+GB!E87+WM!E87+SU!E87+AX!E87+VW!E87+HY!E87+IN!E87+FR!E87+ST!E87+CH!E87+TC!E87+LX!E87+HSU!E87+HVW!E87+MZ!E87+BUGMC!E87+HD!E87+LT!E87+FBG!E87+FSU!E87</f>
        <v>0</v>
      </c>
      <c r="F87" s="16">
        <f>AS!F87+RI!F87+GA!F87+RLX!F87+SP!F87+WR!F87+MA!F88+TBD!F87+WA!F87+GB!F87+WM!F87+SU!F87+AX!F87+VW!F87+HY!F87+IN!F87+FR!F87+ST!F87+CH!F87+TC!F87+LX!F87+HSU!F87+HVW!F87+MZ!F87+BUGMC!F87+HD!F87+LT!F87+FBG!F87+FSU!F87</f>
        <v>0</v>
      </c>
      <c r="G87" s="16">
        <f>AS!G87+RI!G87+GA!G87+RLX!G87+SP!G87+WR!G87+MA!G88+TBD!G87+WA!G87+GB!G87+WM!G87+SU!G87+AX!G87+VW!G87+HY!G87+IN!G87+FR!G87+ST!G87+CH!G87+TC!G87+LX!G87+HSU!G87+HVW!G87+MZ!G87+BUGMC!G87+HD!G87+LT!G87+FBG!G87+FSU!G87</f>
        <v>0</v>
      </c>
      <c r="H87" s="16">
        <f>AS!H87+RI!H87+GA!H87+RLX!H87+SP!H87+WR!H87+MA!H88+TBD!H87+WA!H87+GB!H87+WM!H87+SU!H87+AX!H87+VW!H87+HY!H87+IN!H87+FR!H87+ST!H87+CH!H87+TC!H87+LX!H87+HSU!H87+HVW!H87+MZ!H87+BUGMC!H87+HD!H87+LT!H87+FBG!H87+FSU!H87</f>
        <v>0</v>
      </c>
      <c r="I87" s="16">
        <f>AS!I87+RI!I87+GA!I87+RLX!I87+SP!I87+WR!I87+MA!I88+TBD!I87+WA!I87+GB!I87+WM!I87+SU!I87+AX!I87+VW!I87+HY!I87+IN!I87+FR!I87+ST!I87+CH!I87+TC!I87+LX!I87+HSU!I87+HVW!I87+MZ!I87+BUGMC!I87+HD!I87+LT!I87+FBG!I87+FSU!I87</f>
        <v>0</v>
      </c>
      <c r="J87" s="16">
        <f>AS!J87+RI!J87+GA!J87+RLX!J87+SP!J87+WR!J87+MA!J88+TBD!J87+WA!J87+GB!J87+WM!J87+SU!J87+AX!J87+VW!J87+HY!J87+IN!J87+FR!J87+ST!J87+CH!J87+TC!J87+LX!J87+HSU!J87+HVW!J87+MZ!J87+BUGMC!J87+HD!J87+LT!J87+FBG!J87+FSU!J87</f>
        <v>0</v>
      </c>
      <c r="K87" s="16">
        <f>AS!K87+RI!K87+GA!K87+RLX!K87+SP!K87+WR!K87+MA!K88+TBD!K87+WA!K87+GB!K87+WM!K87+SU!K87+AX!K87+VW!K87+HY!K87+IN!K87+FR!K87+ST!K87+CH!K87+TC!K87+LX!K87+HSU!K87+HVW!K87+MZ!K87+BUGMC!K87+HD!K87+LT!K87+FBG!K87+FSU!K87</f>
        <v>0</v>
      </c>
      <c r="L87" s="16">
        <f>AS!L87+RI!L87+GA!L87+RLX!L87+SP!L87+WR!L87+MA!L88+TBD!L87+WA!L87+GB!L87+WM!L87+SU!L87+AX!L87+VW!L87+HY!L87+IN!L87+FR!L87+ST!L87+CH!L87+TC!L87+LX!L87+HSU!L87+HVW!L87+MZ!L87+BUGMC!L87+HD!L87+LT!L87+FBG!L87+FSU!L87</f>
        <v>0</v>
      </c>
      <c r="M87" s="16">
        <f>AS!M87+RI!M87+GA!M87+RLX!M87+SP!M87+WR!M87+MA!M88+TBD!M87+WA!M87+GB!M87+WM!M87+SU!M87+AX!M87+VW!M87+HY!M87+IN!M87+FR!M87+ST!M87+CH!M87+TC!M87+LX!M87+HSU!M87+HVW!M87+MZ!M87+BUGMC!M87+HD!M87+LT!M87+FBG!M87+FSU!M87</f>
        <v>0</v>
      </c>
      <c r="N87" s="17">
        <f t="shared" si="16"/>
        <v>0</v>
      </c>
      <c r="O87" s="18"/>
    </row>
    <row r="88" ht="13.5" customHeight="1">
      <c r="A88" s="15" t="s">
        <v>86</v>
      </c>
      <c r="B88" s="16">
        <f>AS!B88+RI!B88+GA!B88+RLX!B88+SP!B88+WR!B88+MA!B89+TBD!B88+WA!B88+GB!B88+WM!B88+SU!B88+AX!B88+VW!B88+HY!B88+IN!B88+FR!B88+ST!B88+CH!B88+TC!B88+LX!B88+HSU!B88+HVW!B88+MZ!B88+BUGMC!B88+HD!B88+LT!B88+FBG!B88+FSU!B88</f>
        <v>0</v>
      </c>
      <c r="C88" s="16">
        <f>AS!C88+RI!C88+GA!C88+RLX!C88+SP!C88+WR!C88+MA!C89+TBD!C88+WA!C88+GB!C88+WM!C88+SU!C88+AX!C88+VW!C88+HY!C88+IN!C88+FR!C88+ST!C88+CH!C88+TC!C88+LX!C88+HSU!C88+HVW!C88+MZ!C88+BUGMC!C88+HD!C88+LT!C88+FBG!C88+FSU!C88</f>
        <v>0</v>
      </c>
      <c r="D88" s="16">
        <f>AS!D88+RI!D88+GA!D88+RLX!D88+SP!D88+WR!D88+MA!D89+TBD!D88+WA!D88+GB!D88+WM!D88+SU!D88+AX!D88+VW!D88+HY!D88+IN!D88+FR!D88+ST!D88+CH!D88+TC!D88+LX!D88+HSU!D88+HVW!D88+MZ!D88+BUGMC!D88+HD!D88+LT!D88+FBG!D88+FSU!D88</f>
        <v>0</v>
      </c>
      <c r="E88" s="16">
        <f>AS!E88+RI!E88+GA!E88+RLX!E88+SP!E88+WR!E88+MA!E89+TBD!E88+WA!E88+GB!E88+WM!E88+SU!E88+AX!E88+VW!E88+HY!E88+IN!E88+FR!E88+ST!E88+CH!E88+TC!E88+LX!E88+HSU!E88+HVW!E88+MZ!E88+BUGMC!E88+HD!E88+LT!E88+FBG!E88+FSU!E88</f>
        <v>0</v>
      </c>
      <c r="F88" s="16">
        <f>AS!F88+RI!F88+GA!F88+RLX!F88+SP!F88+WR!F88+MA!F89+TBD!F88+WA!F88+GB!F88+WM!F88+SU!F88+AX!F88+VW!F88+HY!F88+IN!F88+FR!F88+ST!F88+CH!F88+TC!F88+LX!F88+HSU!F88+HVW!F88+MZ!F88+BUGMC!F88+HD!F88+LT!F88+FBG!F88+FSU!F88</f>
        <v>0</v>
      </c>
      <c r="G88" s="16">
        <f>AS!G88+RI!G88+GA!G88+RLX!G88+SP!G88+WR!G88+MA!G89+TBD!G88+WA!G88+GB!G88+WM!G88+SU!G88+AX!G88+VW!G88+HY!G88+IN!G88+FR!G88+ST!G88+CH!G88+TC!G88+LX!G88+HSU!G88+HVW!G88+MZ!G88+BUGMC!G88+HD!G88+LT!G88+FBG!G88+FSU!G88</f>
        <v>0</v>
      </c>
      <c r="H88" s="16">
        <f>AS!H88+RI!H88+GA!H88+RLX!H88+SP!H88+WR!H88+MA!H89+TBD!H88+WA!H88+GB!H88+WM!H88+SU!H88+AX!H88+VW!H88+HY!H88+IN!H88+FR!H88+ST!H88+CH!H88+TC!H88+LX!H88+HSU!H88+HVW!H88+MZ!H88+BUGMC!H88+HD!H88+LT!H88+FBG!H88+FSU!H88</f>
        <v>0</v>
      </c>
      <c r="I88" s="16">
        <f>AS!I88+RI!I88+GA!I88+RLX!I88+SP!I88+WR!I88+MA!I89+TBD!I88+WA!I88+GB!I88+WM!I88+SU!I88+AX!I88+VW!I88+HY!I88+IN!I88+FR!I88+ST!I88+CH!I88+TC!I88+LX!I88+HSU!I88+HVW!I88+MZ!I88+BUGMC!I88+HD!I88+LT!I88+FBG!I88+FSU!I88</f>
        <v>0</v>
      </c>
      <c r="J88" s="16">
        <f>AS!J88+RI!J88+GA!J88+RLX!J88+SP!J88+WR!J88+MA!J89+TBD!J88+WA!J88+GB!J88+WM!J88+SU!J88+AX!J88+VW!J88+HY!J88+IN!J88+FR!J88+ST!J88+CH!J88+TC!J88+LX!J88+HSU!J88+HVW!J88+MZ!J88+BUGMC!J88+HD!J88+LT!J88+FBG!J88+FSU!J88</f>
        <v>0</v>
      </c>
      <c r="K88" s="16">
        <f>AS!K88+RI!K88+GA!K88+RLX!K88+SP!K88+WR!K88+MA!K89+TBD!K88+WA!K88+GB!K88+WM!K88+SU!K88+AX!K88+VW!K88+HY!K88+IN!K88+FR!K88+ST!K88+CH!K88+TC!K88+LX!K88+HSU!K88+HVW!K88+MZ!K88+BUGMC!K88+HD!K88+LT!K88+FBG!K88+FSU!K88</f>
        <v>0</v>
      </c>
      <c r="L88" s="16">
        <f>AS!L88+RI!L88+GA!L88+RLX!L88+SP!L88+WR!L88+MA!L89+TBD!L88+WA!L88+GB!L88+WM!L88+SU!L88+AX!L88+VW!L88+HY!L88+IN!L88+FR!L88+ST!L88+CH!L88+TC!L88+LX!L88+HSU!L88+HVW!L88+MZ!L88+BUGMC!L88+HD!L88+LT!L88+FBG!L88+FSU!L88</f>
        <v>0</v>
      </c>
      <c r="M88" s="16">
        <f>AS!M88+RI!M88+GA!M88+RLX!M88+SP!M88+WR!M88+MA!M89+TBD!M88+WA!M88+GB!M88+WM!M88+SU!M88+AX!M88+VW!M88+HY!M88+IN!M88+FR!M88+ST!M88+CH!M88+TC!M88+LX!M88+HSU!M88+HVW!M88+MZ!M88+BUGMC!M88+HD!M88+LT!M88+FBG!M88+FSU!M88</f>
        <v>0</v>
      </c>
      <c r="N88" s="17">
        <f t="shared" si="16"/>
        <v>0</v>
      </c>
      <c r="O88" s="18"/>
    </row>
    <row r="89" ht="13.5" customHeight="1">
      <c r="A89" s="33" t="s">
        <v>87</v>
      </c>
      <c r="B89" s="16">
        <f>AS!B89+RI!B89+GA!B89+RLX!B89+SP!B89+WR!B89+MA!B90+TBD!B89+WA!B89+GB!B89+WM!B89+SU!B89+AX!B89+VW!B89+HY!B89+IN!B89+FR!B89+ST!B89+CH!B89+TC!B89+LX!B89+HSU!B89+HVW!B89+MZ!B89+BUGMC!B89+HD!B89+LT!B89+FBG!B89+FSU!B89</f>
        <v>0</v>
      </c>
      <c r="C89" s="16">
        <f>AS!C89+RI!C89+GA!C89+RLX!C89+SP!C89+WR!C89+MA!C90+TBD!C89+WA!C89+GB!C89+WM!C89+SU!C89+AX!C89+VW!C89+HY!C89+IN!C89+FR!C89+ST!C89+CH!C89+TC!C89+LX!C89+HSU!C89+HVW!C89+MZ!C89+BUGMC!C89+HD!C89+LT!C89+FBG!C89+FSU!C89</f>
        <v>0</v>
      </c>
      <c r="D89" s="16">
        <f>AS!D89+RI!D89+GA!D89+RLX!D89+SP!D89+WR!D89+MA!D90+TBD!D89+WA!D89+GB!D89+WM!D89+SU!D89+AX!D89+VW!D89+HY!D89+IN!D89+FR!D89+ST!D89+CH!D89+TC!D89+LX!D89+HSU!D89+HVW!D89+MZ!D89+BUGMC!D89+HD!D89+LT!D89+FBG!D89+FSU!D89</f>
        <v>0</v>
      </c>
      <c r="E89" s="16">
        <f>AS!E89+RI!E89+GA!E89+RLX!E89+SP!E89+WR!E89+MA!E90+TBD!E89+WA!E89+GB!E89+WM!E89+SU!E89+AX!E89+VW!E89+HY!E89+IN!E89+FR!E89+ST!E89+CH!E89+TC!E89+LX!E89+HSU!E89+HVW!E89+MZ!E89+BUGMC!E89+HD!E89+LT!E89+FBG!E89+FSU!E89</f>
        <v>0</v>
      </c>
      <c r="F89" s="16">
        <f>AS!F89+RI!F89+GA!F89+RLX!F89+SP!F89+WR!F89+MA!F90+TBD!F89+WA!F89+GB!F89+WM!F89+SU!F89+AX!F89+VW!F89+HY!F89+IN!F89+FR!F89+ST!F89+CH!F89+TC!F89+LX!F89+HSU!F89+HVW!F89+MZ!F89+BUGMC!F89+HD!F89+LT!F89+FBG!F89+FSU!F89</f>
        <v>0</v>
      </c>
      <c r="G89" s="16">
        <f>AS!G89+RI!G89+GA!G89+RLX!G89+SP!G89+WR!G89+MA!G90+TBD!G89+WA!G89+GB!G89+WM!G89+SU!G89+AX!G89+VW!G89+HY!G89+IN!G89+FR!G89+ST!G89+CH!G89+TC!G89+LX!G89+HSU!G89+HVW!G89+MZ!G89+BUGMC!G89+HD!G89+LT!G89+FBG!G89+FSU!G89</f>
        <v>0</v>
      </c>
      <c r="H89" s="16">
        <f>AS!H89+RI!H89+GA!H89+RLX!H89+SP!H89+WR!H89+MA!H90+TBD!H89+WA!H89+GB!H89+WM!H89+SU!H89+AX!H89+VW!H89+HY!H89+IN!H89+FR!H89+ST!H89+CH!H89+TC!H89+LX!H89+HSU!H89+HVW!H89+MZ!H89+BUGMC!H89+HD!H89+LT!H89+FBG!H89+FSU!H89</f>
        <v>0</v>
      </c>
      <c r="I89" s="16">
        <f>AS!I89+RI!I89+GA!I89+RLX!I89+SP!I89+WR!I89+MA!I90+TBD!I89+WA!I89+GB!I89+WM!I89+SU!I89+AX!I89+VW!I89+HY!I89+IN!I89+FR!I89+ST!I89+CH!I89+TC!I89+LX!I89+HSU!I89+HVW!I89+MZ!I89+BUGMC!I89+HD!I89+LT!I89+FBG!I89+FSU!I89</f>
        <v>0</v>
      </c>
      <c r="J89" s="16">
        <f>AS!J89+RI!J89+GA!J89+RLX!J89+SP!J89+WR!J89+MA!J90+TBD!J89+WA!J89+GB!J89+WM!J89+SU!J89+AX!J89+VW!J89+HY!J89+IN!J89+FR!J89+ST!J89+CH!J89+TC!J89+LX!J89+HSU!J89+HVW!J89+MZ!J89+BUGMC!J89+HD!J89+LT!J89+FBG!J89+FSU!J89</f>
        <v>0</v>
      </c>
      <c r="K89" s="16">
        <f>AS!K89+RI!K89+GA!K89+RLX!K89+SP!K89+WR!K89+MA!K90+TBD!K89+WA!K89+GB!K89+WM!K89+SU!K89+AX!K89+VW!K89+HY!K89+IN!K89+FR!K89+ST!K89+CH!K89+TC!K89+LX!K89+HSU!K89+HVW!K89+MZ!K89+BUGMC!K89+HD!K89+LT!K89+FBG!K89+FSU!K89</f>
        <v>0</v>
      </c>
      <c r="L89" s="16">
        <f>AS!L89+RI!L89+GA!L89+RLX!L89+SP!L89+WR!L89+MA!L90+TBD!L89+WA!L89+GB!L89+WM!L89+SU!L89+AX!L89+VW!L89+HY!L89+IN!L89+FR!L89+ST!L89+CH!L89+TC!L89+LX!L89+HSU!L89+HVW!L89+MZ!L89+BUGMC!L89+HD!L89+LT!L89+FBG!L89+FSU!L89</f>
        <v>0</v>
      </c>
      <c r="M89" s="16">
        <f>AS!M89+RI!M89+GA!M89+RLX!M89+SP!M89+WR!M89+MA!M90+TBD!M89+WA!M89+GB!M89+WM!M89+SU!M89+AX!M89+VW!M89+HY!M89+IN!M89+FR!M89+ST!M89+CH!M89+TC!M89+LX!M89+HSU!M89+HVW!M89+MZ!M89+BUGMC!M89+HD!M89+LT!M89+FBG!M89+FSU!M89</f>
        <v>0</v>
      </c>
      <c r="N89" s="17">
        <f t="shared" si="16"/>
        <v>0</v>
      </c>
      <c r="O89" s="18"/>
    </row>
    <row r="90" ht="13.5" customHeight="1">
      <c r="A90" s="21" t="s">
        <v>23</v>
      </c>
      <c r="B90" s="22">
        <f t="shared" ref="B90:N90" si="17">SUM(B86:B89)</f>
        <v>19143.79</v>
      </c>
      <c r="C90" s="22">
        <f t="shared" si="17"/>
        <v>19963.79</v>
      </c>
      <c r="D90" s="22">
        <f t="shared" si="17"/>
        <v>19963.79</v>
      </c>
      <c r="E90" s="22">
        <f t="shared" si="17"/>
        <v>19963.79</v>
      </c>
      <c r="F90" s="22">
        <f t="shared" si="17"/>
        <v>19963.79</v>
      </c>
      <c r="G90" s="22">
        <f t="shared" si="17"/>
        <v>19963.79</v>
      </c>
      <c r="H90" s="22">
        <f t="shared" si="17"/>
        <v>19963.79</v>
      </c>
      <c r="I90" s="22">
        <f t="shared" si="17"/>
        <v>19963.79</v>
      </c>
      <c r="J90" s="22">
        <f t="shared" si="17"/>
        <v>19963.79</v>
      </c>
      <c r="K90" s="22">
        <f t="shared" si="17"/>
        <v>20397.58</v>
      </c>
      <c r="L90" s="22">
        <f t="shared" si="17"/>
        <v>20397.58</v>
      </c>
      <c r="M90" s="22">
        <f t="shared" si="17"/>
        <v>20397.58</v>
      </c>
      <c r="N90" s="28">
        <f t="shared" si="17"/>
        <v>240046.85</v>
      </c>
      <c r="O90" s="18" t="str">
        <f>N90/N109</f>
        <v>#REF!</v>
      </c>
    </row>
    <row r="91" ht="13.5" customHeight="1">
      <c r="A91" s="48" t="s">
        <v>88</v>
      </c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14"/>
      <c r="O91" s="18"/>
    </row>
    <row r="92" ht="13.5" customHeight="1">
      <c r="A92" s="31" t="s">
        <v>89</v>
      </c>
      <c r="B92" s="16">
        <f>AS!B92+RI!B92+GA!B92+RLX!B92+SP!B92+WR!B92+MA!B93+TBD!B92+WA!B92+GB!B92+WM!B92+SU!B92+AX!B92+VW!B92+HY!B92+IN!B92+FR!B92+ST!B92+CH!B92+TC!B92+LX!B92+HSU!B92+HVW!B92+MZ!B92+BUGMC!B92+HD!B92+LT!B92+FBG!B92+FSU!B92</f>
        <v>19100</v>
      </c>
      <c r="C92" s="16">
        <f>AS!C92+RI!C92+GA!C92+RLX!C92+SP!C92+WR!C92+MA!C93+TBD!C92+WA!C92+GB!C92+WM!C92+SU!C92+AX!C92+VW!C92+HY!C92+IN!C92+FR!C92+ST!C92+CH!C92+TC!C92+LX!C92+HSU!C92+HVW!C92+MZ!C92+BUGMC!C92+HD!C92+LT!C92+FBG!C92+FSU!C92</f>
        <v>19750</v>
      </c>
      <c r="D92" s="16">
        <f>AS!D92+RI!D92+GA!D92+RLX!D92+SP!D92+WR!D92+MA!D93+TBD!D92+WA!D92+GB!D92+WM!D92+SU!D92+AX!D92+VW!D92+HY!D92+IN!D92+FR!D92+ST!D92+CH!D92+TC!D92+LX!D92+HSU!D92+HVW!D92+MZ!D92+BUGMC!D92+HD!D92+LT!D92+FBG!D92+FSU!D92</f>
        <v>19750</v>
      </c>
      <c r="E92" s="16">
        <f>AS!E92+RI!E92+GA!E92+RLX!E92+SP!E92+WR!E92+MA!E93+TBD!E92+WA!E92+GB!E92+WM!E92+SU!E92+AX!E92+VW!E92+HY!E92+IN!E92+FR!E92+ST!E92+CH!E92+TC!E92+LX!E92+HSU!E92+HVW!E92+MZ!E92+BUGMC!E92+HD!E92+LT!E92+FBG!E92+FSU!E92</f>
        <v>19750</v>
      </c>
      <c r="F92" s="16">
        <f>AS!F92+RI!F92+GA!F92+RLX!F92+SP!F92+WR!F92+MA!F93+TBD!F92+WA!F92+GB!F92+WM!F92+SU!F92+AX!F92+VW!F92+HY!F92+IN!F92+FR!F92+ST!F92+CH!F92+TC!F92+LX!F92+HSU!F92+HVW!F92+MZ!F92+BUGMC!F92+HD!F92+LT!F92+FBG!F92+FSU!F92</f>
        <v>19100</v>
      </c>
      <c r="G92" s="16">
        <f>AS!G92+RI!G92+GA!G92+RLX!G92+SP!G92+WR!G92+MA!G93+TBD!G92+WA!G92+GB!G92+WM!G92+SU!G92+AX!G92+VW!G92+HY!G92+IN!G92+FR!G92+ST!G92+CH!G92+TC!G92+LX!G92+HSU!G92+HVW!G92+MZ!G92+BUGMC!G92+HD!G92+LT!G92+FBG!G92+FSU!G92</f>
        <v>19750</v>
      </c>
      <c r="H92" s="16">
        <f>AS!H92+RI!H92+GA!H92+RLX!H92+SP!H92+WR!H92+MA!H93+TBD!H92+WA!H92+GB!H92+WM!H92+SU!H92+AX!H92+VW!H92+HY!H92+IN!H92+FR!H92+ST!H92+CH!H92+TC!H92+LX!H92+HSU!H92+HVW!H92+MZ!H92+BUGMC!H92+HD!H92+LT!H92+FBG!H92+FSU!H92</f>
        <v>19750</v>
      </c>
      <c r="I92" s="16">
        <f>AS!I92+RI!I92+GA!I92+RLX!I92+SP!I92+WR!I92+MA!I93+TBD!I92+WA!I92+GB!I92+WM!I92+SU!I92+AX!I92+VW!I92+HY!I92+IN!I92+FR!I92+ST!I92+CH!I92+TC!I92+LX!I92+HSU!I92+HVW!I92+MZ!I92+BUGMC!I92+HD!I92+LT!I92+FBG!I92+FSU!I92</f>
        <v>19650</v>
      </c>
      <c r="J92" s="16">
        <f>AS!J92+RI!J92+GA!J92+RLX!J92+SP!J92+WR!J92+MA!J93+TBD!J92+WA!J92+GB!J92+WM!J92+SU!J92+AX!J92+VW!J92+HY!J92+IN!J92+FR!J92+ST!J92+CH!J92+TC!J92+LX!J92+HSU!J92+HVW!J92+MZ!J92+BUGMC!J92+HD!J92+LT!J92+FBG!J92+FSU!J92</f>
        <v>19650</v>
      </c>
      <c r="K92" s="16">
        <f>AS!K92+RI!K92+GA!K92+RLX!K92+SP!K92+WR!K92+MA!K93+TBD!K92+WA!K92+GB!K92+WM!K92+SU!K92+AX!K92+VW!K92+HY!K92+IN!K92+FR!K92+ST!K92+CH!K92+TC!K92+LX!K92+HSU!K92+HVW!K92+MZ!K92+BUGMC!K92+HD!K92+LT!K92+FBG!K92+FSU!K92</f>
        <v>19650</v>
      </c>
      <c r="L92" s="16">
        <f>AS!L92+RI!L92+GA!L92+RLX!L92+SP!L92+WR!L92+MA!L93+TBD!L92+WA!L92+GB!L92+WM!L92+SU!L92+AX!L92+VW!L92+HY!L92+IN!L92+FR!L92+ST!L92+CH!L92+TC!L92+LX!L92+HSU!L92+HVW!L92+MZ!L92+BUGMC!L92+HD!L92+LT!L92+FBG!L92+FSU!L92</f>
        <v>19650</v>
      </c>
      <c r="M92" s="16">
        <f>AS!M92+RI!M92+GA!M92+RLX!M92+SP!M92+WR!M92+MA!M93+TBD!M92+WA!M92+GB!M92+WM!M92+SU!M92+AX!M92+VW!M92+HY!M92+IN!M92+FR!M92+ST!M92+CH!M92+TC!M92+LX!M92+HSU!M92+HVW!M92+MZ!M92+BUGMC!M92+HD!M92+LT!M92+FBG!M92+FSU!M92</f>
        <v>19650</v>
      </c>
      <c r="N92" s="17">
        <f t="shared" ref="N92:N106" si="18">SUM(B92:M92)</f>
        <v>235200</v>
      </c>
      <c r="O92" s="18"/>
    </row>
    <row r="93" ht="13.5" customHeight="1">
      <c r="A93" s="31" t="s">
        <v>90</v>
      </c>
      <c r="B93" s="16">
        <f>AS!B93+RI!B93+GA!B93+RLX!B93+SP!B93+WR!B93+MA!B94+TBD!B93+WA!B93+GB!B93+WM!B93+SU!B93+AX!B93+VW!B93+HY!B93+IN!B93+FR!B93+ST!B93+CH!B93+TC!B93+LX!B93+HSU!B93+HVW!B93+MZ!B93+BUGMC!B93+HD!B93+LT!B93+FBG!B93+FSU!B93</f>
        <v>10050</v>
      </c>
      <c r="C93" s="16">
        <f>AS!C93+RI!C93+GA!C93+RLX!C93+SP!C93+WR!C93+MA!C94+TBD!C93+WA!C93+GB!C93+WM!C93+SU!C93+AX!C93+VW!C93+HY!C93+IN!C93+FR!C93+ST!C93+CH!C93+TC!C93+LX!C93+HSU!C93+HVW!C93+MZ!C93+BUGMC!C93+HD!C93+LT!C93+FBG!C93+FSU!C93</f>
        <v>15600</v>
      </c>
      <c r="D93" s="16">
        <f>AS!D93+RI!D93+GA!D93+RLX!D93+SP!D93+WR!D93+MA!D94+TBD!D93+WA!D93+GB!D93+WM!D93+SU!D93+AX!D93+VW!D93+HY!D93+IN!D93+FR!D93+ST!D93+CH!D93+TC!D93+LX!D93+HSU!D93+HVW!D93+MZ!D93+BUGMC!D93+HD!D93+LT!D93+FBG!D93+FSU!D93</f>
        <v>250</v>
      </c>
      <c r="E93" s="16">
        <f>AS!E93+RI!E93+GA!E93+RLX!E93+SP!E93+WR!E93+MA!E94+TBD!E93+WA!E93+GB!E93+WM!E93+SU!E93+AX!E93+VW!E93+HY!E93+IN!E93+FR!E93+ST!E93+CH!E93+TC!E93+LX!E93+HSU!E93+HVW!E93+MZ!E93+BUGMC!E93+HD!E93+LT!E93+FBG!E93+FSU!E93</f>
        <v>250</v>
      </c>
      <c r="F93" s="16">
        <f>AS!F93+RI!F93+GA!F93+RLX!F93+SP!F93+WR!F93+MA!F94+TBD!F93+WA!F93+GB!F93+WM!F93+SU!F93+AX!F93+VW!F93+HY!F93+IN!F93+FR!F93+ST!F93+CH!F93+TC!F93+LX!F93+HSU!F93+HVW!F93+MZ!F93+BUGMC!F93+HD!F93+LT!F93+FBG!F93+FSU!F93</f>
        <v>250</v>
      </c>
      <c r="G93" s="16">
        <f>AS!G93+RI!G93+GA!G93+RLX!G93+SP!G93+WR!G93+MA!G94+TBD!G93+WA!G93+GB!G93+WM!G93+SU!G93+AX!G93+VW!G93+HY!G93+IN!G93+FR!G93+ST!G93+CH!G93+TC!G93+LX!G93+HSU!G93+HVW!G93+MZ!G93+BUGMC!G93+HD!G93+LT!G93+FBG!G93+FSU!G93</f>
        <v>250</v>
      </c>
      <c r="H93" s="16">
        <f>AS!H93+RI!H93+GA!H93+RLX!H93+SP!H93+WR!H93+MA!H94+TBD!H93+WA!H93+GB!H93+WM!H93+SU!H93+AX!H93+VW!H93+HY!H93+IN!H93+FR!H93+ST!H93+CH!H93+TC!H93+LX!H93+HSU!H93+HVW!H93+MZ!H93+BUGMC!H93+HD!H93+LT!H93+FBG!H93+FSU!H93</f>
        <v>250</v>
      </c>
      <c r="I93" s="16">
        <f>AS!I93+RI!I93+GA!I93+RLX!I93+SP!I93+WR!I93+MA!I94+TBD!I93+WA!I93+GB!I93+WM!I93+SU!I93+AX!I93+VW!I93+HY!I93+IN!I93+FR!I93+ST!I93+CH!I93+TC!I93+LX!I93+HSU!I93+HVW!I93+MZ!I93+BUGMC!I93+HD!I93+LT!I93+FBG!I93+FSU!I93</f>
        <v>612.26</v>
      </c>
      <c r="J93" s="16">
        <f>AS!J93+RI!J93+GA!J93+RLX!J93+SP!J93+WR!J93+MA!J94+TBD!J93+WA!J93+GB!J93+WM!J93+SU!J93+AX!J93+VW!J93+HY!J93+IN!J93+FR!J93+ST!J93+CH!J93+TC!J93+LX!J93+HSU!J93+HVW!J93+MZ!J93+BUGMC!J93+HD!J93+LT!J93+FBG!J93+FSU!J93</f>
        <v>450</v>
      </c>
      <c r="K93" s="16">
        <f>AS!K93+RI!K93+GA!K93+RLX!K93+SP!K93+WR!K93+MA!K94+TBD!K93+WA!K93+GB!K93+WM!K93+SU!K93+AX!K93+VW!K93+HY!K93+IN!K93+FR!K93+ST!K93+CH!K93+TC!K93+LX!K93+HSU!K93+HVW!K93+MZ!K93+BUGMC!K93+HD!K93+LT!K93+FBG!K93+FSU!K93</f>
        <v>250</v>
      </c>
      <c r="L93" s="16">
        <f>AS!L93+RI!L93+GA!L93+RLX!L93+SP!L93+WR!L93+MA!L94+TBD!L93+WA!L93+GB!L93+WM!L93+SU!L93+AX!L93+VW!L93+HY!L93+IN!L93+FR!L93+ST!L93+CH!L93+TC!L93+LX!L93+HSU!L93+HVW!L93+MZ!L93+BUGMC!L93+HD!L93+LT!L93+FBG!L93+FSU!L93</f>
        <v>250</v>
      </c>
      <c r="M93" s="16">
        <f>AS!M93+RI!M93+GA!M93+RLX!M93+SP!M93+WR!M93+MA!M94+TBD!M93+WA!M93+GB!M93+WM!M93+SU!M93+AX!M93+VW!M93+HY!M93+IN!M93+FR!M93+ST!M93+CH!M93+TC!M93+LX!M93+HSU!M93+HVW!M93+MZ!M93+BUGMC!M93+HD!M93+LT!M93+FBG!M93+FSU!M93</f>
        <v>250</v>
      </c>
      <c r="N93" s="17">
        <f t="shared" si="18"/>
        <v>28712.26</v>
      </c>
      <c r="O93" s="18"/>
    </row>
    <row r="94" ht="13.5" customHeight="1">
      <c r="A94" s="31" t="s">
        <v>91</v>
      </c>
      <c r="B94" s="16">
        <f>AS!B94+RI!B94+GA!B94+RLX!B94+SP!B94+WR!B94+MA!B95+TBD!B94+WA!B94+GB!B94+WM!B94+SU!B94+AX!B94+VW!B94+HY!B94+IN!B94+FR!B94+ST!B94+CH!B94+TC!B94+LX!B94+HSU!B94+HVW!B94+MZ!B94+BUGMC!B94+HD!B94+LT!B94+FBG!B94+FSU!B94</f>
        <v>4680</v>
      </c>
      <c r="C94" s="16">
        <f>AS!C94+RI!C94+GA!C94+RLX!C94+SP!C94+WR!C94+MA!C95+TBD!C94+WA!C94+GB!C94+WM!C94+SU!C94+AX!C94+VW!C94+HY!C94+IN!C94+FR!C94+ST!C94+CH!C94+TC!C94+LX!C94+HSU!C94+HVW!C94+MZ!C94+BUGMC!C94+HD!C94+LT!C94+FBG!C94+FSU!C94</f>
        <v>4860</v>
      </c>
      <c r="D94" s="16">
        <f>AS!D94+RI!D94+GA!D94+RLX!D94+SP!D94+WR!D94+MA!D95+TBD!D94+WA!D94+GB!D94+WM!D94+SU!D94+AX!D94+VW!D94+HY!D94+IN!D94+FR!D94+ST!D94+CH!D94+TC!D94+LX!D94+HSU!D94+HVW!D94+MZ!D94+BUGMC!D94+HD!D94+LT!D94+FBG!D94+FSU!D94</f>
        <v>4860</v>
      </c>
      <c r="E94" s="16">
        <f>AS!E94+RI!E94+GA!E94+RLX!E94+SP!E94+WR!E94+MA!E95+TBD!E94+WA!E94+GB!E94+WM!E94+SU!E94+AX!E94+VW!E94+HY!E94+IN!E94+FR!E94+ST!E94+CH!E94+TC!E94+LX!E94+HSU!E94+HVW!E94+MZ!E94+BUGMC!E94+HD!E94+LT!E94+FBG!E94+FSU!E94</f>
        <v>4860</v>
      </c>
      <c r="F94" s="16">
        <f>AS!F94+RI!F94+GA!F94+RLX!F94+SP!F94+WR!F94+MA!F95+TBD!F94+WA!F94+GB!F94+WM!F94+SU!F94+AX!F94+VW!F94+HY!F94+IN!F94+FR!F94+ST!F94+CH!F94+TC!F94+LX!F94+HSU!F94+HVW!F94+MZ!F94+BUGMC!F94+HD!F94+LT!F94+FBG!F94+FSU!F94</f>
        <v>4860</v>
      </c>
      <c r="G94" s="16">
        <f>AS!G94+RI!G94+GA!G94+RLX!G94+SP!G94+WR!G94+MA!G95+TBD!G94+WA!G94+GB!G94+WM!G94+SU!G94+AX!G94+VW!G94+HY!G94+IN!G94+FR!G94+ST!G94+CH!G94+TC!G94+LX!G94+HSU!G94+HVW!G94+MZ!G94+BUGMC!G94+HD!G94+LT!G94+FBG!G94+FSU!G94</f>
        <v>4860</v>
      </c>
      <c r="H94" s="16">
        <f>AS!H94+RI!H94+GA!H94+RLX!H94+SP!H94+WR!H94+MA!H95+TBD!H94+WA!H94+GB!H94+WM!H94+SU!H94+AX!H94+VW!H94+HY!H94+IN!H94+FR!H94+ST!H94+CH!H94+TC!H94+LX!H94+HSU!H94+HVW!H94+MZ!H94+BUGMC!H94+HD!H94+LT!H94+FBG!H94+FSU!H94</f>
        <v>4860</v>
      </c>
      <c r="I94" s="16">
        <f>AS!I94+RI!I94+GA!I94+RLX!I94+SP!I94+WR!I94+MA!I95+TBD!I94+WA!I94+GB!I94+WM!I94+SU!I94+AX!I94+VW!I94+HY!I94+IN!I94+FR!I94+ST!I94+CH!I94+TC!I94+LX!I94+HSU!I94+HVW!I94+MZ!I94+BUGMC!I94+HD!I94+LT!I94+FBG!I94+FSU!I94</f>
        <v>4860</v>
      </c>
      <c r="J94" s="16">
        <f>AS!J94+RI!J94+GA!J94+RLX!J94+SP!J94+WR!J94+MA!J95+TBD!J94+WA!J94+GB!J94+WM!J94+SU!J94+AX!J94+VW!J94+HY!J94+IN!J94+FR!J94+ST!J94+CH!J94+TC!J94+LX!J94+HSU!J94+HVW!J94+MZ!J94+BUGMC!J94+HD!J94+LT!J94+FBG!J94+FSU!J94</f>
        <v>4860</v>
      </c>
      <c r="K94" s="16">
        <f>AS!K94+RI!K94+GA!K94+RLX!K94+SP!K94+WR!K94+MA!K95+TBD!K94+WA!K94+GB!K94+WM!K94+SU!K94+AX!K94+VW!K94+HY!K94+IN!K94+FR!K94+ST!K94+CH!K94+TC!K94+LX!K94+HSU!K94+HVW!K94+MZ!K94+BUGMC!K94+HD!K94+LT!K94+FBG!K94+FSU!K94</f>
        <v>10060</v>
      </c>
      <c r="L94" s="16">
        <f>AS!L94+RI!L94+GA!L94+RLX!L94+SP!L94+WR!L94+MA!L95+TBD!L94+WA!L94+GB!L94+WM!L94+SU!L94+AX!L94+VW!L94+HY!L94+IN!L94+FR!L94+ST!L94+CH!L94+TC!L94+LX!L94+HSU!L94+HVW!L94+MZ!L94+BUGMC!L94+HD!L94+LT!L94+FBG!L94+FSU!L94</f>
        <v>4860</v>
      </c>
      <c r="M94" s="16">
        <f>AS!M94+RI!M94+GA!M94+RLX!M94+SP!M94+WR!M94+MA!M95+TBD!M94+WA!M94+GB!M94+WM!M94+SU!M94+AX!M94+VW!M94+HY!M94+IN!M94+FR!M94+ST!M94+CH!M94+TC!M94+LX!M94+HSU!M94+HVW!M94+MZ!M94+BUGMC!M94+HD!M94+LT!M94+FBG!M94+FSU!M94</f>
        <v>4860</v>
      </c>
      <c r="N94" s="17">
        <f t="shared" si="18"/>
        <v>63340</v>
      </c>
      <c r="O94" s="18"/>
    </row>
    <row r="95" ht="13.5" customHeight="1">
      <c r="A95" s="31" t="s">
        <v>92</v>
      </c>
      <c r="B95" s="16">
        <f>AS!B95+RI!B95+GA!B95+RLX!B95+SP!B95+WR!B95+MA!B96+TBD!B95+WA!B95+GB!B95+WM!B95+SU!B95+AX!B95+VW!B95+HY!B95+IN!B95+FR!B95+ST!B95+CH!B95+TC!B95+LX!B95+HSU!B95+HVW!B95+MZ!B95+BUGMC!B95+HD!B95+LT!B95+FBG!B95+FSU!B95</f>
        <v>10500</v>
      </c>
      <c r="C95" s="16">
        <f>AS!C95+RI!C95+GA!C95+RLX!C95+SP!C95+WR!C95+MA!C96+TBD!C95+WA!C95+GB!C95+WM!C95+SU!C95+AX!C95+VW!C95+HY!C95+IN!C95+FR!C95+ST!C95+CH!C95+TC!C95+LX!C95+HSU!C95+HVW!C95+MZ!C95+BUGMC!C95+HD!C95+LT!C95+FBG!C95+FSU!C95</f>
        <v>10743</v>
      </c>
      <c r="D95" s="16">
        <f>AS!D95+RI!D95+GA!D95+RLX!D95+SP!D95+WR!D95+MA!D96+TBD!D95+WA!D95+GB!D95+WM!D95+SU!D95+AX!D95+VW!D95+HY!D95+IN!D95+FR!D95+ST!D95+CH!D95+TC!D95+LX!D95+HSU!D95+HVW!D95+MZ!D95+BUGMC!D95+HD!D95+LT!D95+FBG!D95+FSU!D95</f>
        <v>700</v>
      </c>
      <c r="E95" s="16">
        <f>AS!E95+RI!E95+GA!E95+RLX!E95+SP!E95+WR!E95+MA!E96+TBD!E95+WA!E95+GB!E95+WM!E95+SU!E95+AX!E95+VW!E95+HY!E95+IN!E95+FR!E95+ST!E95+CH!E95+TC!E95+LX!E95+HSU!E95+HVW!E95+MZ!E95+BUGMC!E95+HD!E95+LT!E95+FBG!E95+FSU!E95</f>
        <v>1000</v>
      </c>
      <c r="F95" s="16">
        <f>AS!F95+RI!F95+GA!F95+RLX!F95+SP!F95+WR!F95+MA!F96+TBD!F95+WA!F95+GB!F95+WM!F95+SU!F95+AX!F95+VW!F95+HY!F95+IN!F95+FR!F95+ST!F95+CH!F95+TC!F95+LX!F95+HSU!F95+HVW!F95+MZ!F95+BUGMC!F95+HD!F95+LT!F95+FBG!F95+FSU!F95</f>
        <v>4945</v>
      </c>
      <c r="G95" s="16">
        <f>AS!G95+RI!G95+GA!G95+RLX!G95+SP!G95+WR!G95+MA!G96+TBD!G95+WA!G95+GB!G95+WM!G95+SU!G95+AX!G95+VW!G95+HY!G95+IN!G95+FR!G95+ST!G95+CH!G95+TC!G95+LX!G95+HSU!G95+HVW!G95+MZ!G95+BUGMC!G95+HD!G95+LT!G95+FBG!G95+FSU!G95</f>
        <v>11107</v>
      </c>
      <c r="H95" s="16">
        <f>AS!H95+RI!H95+GA!H95+RLX!H95+SP!H95+WR!H95+MA!H96+TBD!H95+WA!H95+GB!H95+WM!H95+SU!H95+AX!H95+VW!H95+HY!H95+IN!H95+FR!H95+ST!H95+CH!H95+TC!H95+LX!H95+HSU!H95+HVW!H95+MZ!H95+BUGMC!H95+HD!H95+LT!H95+FBG!H95+FSU!H95</f>
        <v>1723</v>
      </c>
      <c r="I95" s="16">
        <f>AS!I95+RI!I95+GA!I95+RLX!I95+SP!I95+WR!I95+MA!I96+TBD!I95+WA!I95+GB!I95+WM!I95+SU!I95+AX!I95+VW!I95+HY!I95+IN!I95+FR!I95+ST!I95+CH!I95+TC!I95+LX!I95+HSU!I95+HVW!I95+MZ!I95+BUGMC!I95+HD!I95+LT!I95+FBG!I95+FSU!I95</f>
        <v>6686.58</v>
      </c>
      <c r="J95" s="16">
        <f>AS!J95+RI!J95+GA!J95+RLX!J95+SP!J95+WR!J95+MA!J96+TBD!J95+WA!J95+GB!J95+WM!J95+SU!J95+AX!J95+VW!J95+HY!J95+IN!J95+FR!J95+ST!J95+CH!J95+TC!J95+LX!J95+HSU!J95+HVW!J95+MZ!J95+BUGMC!J95+HD!J95+LT!J95+FBG!J95+FSU!J95</f>
        <v>11000</v>
      </c>
      <c r="K95" s="16">
        <f>AS!K95+RI!K95+GA!K95+RLX!K95+SP!K95+WR!K95+MA!K96+TBD!K95+WA!K95+GB!K95+WM!K95+SU!K95+AX!K95+VW!K95+HY!K95+IN!K95+FR!K95+ST!K95+CH!K95+TC!K95+LX!K95+HSU!K95+HVW!K95+MZ!K95+BUGMC!K95+HD!K95+LT!K95+FBG!K95+FSU!K95</f>
        <v>10441.84</v>
      </c>
      <c r="L95" s="16">
        <f>AS!L95+RI!L95+GA!L95+RLX!L95+SP!L95+WR!L95+MA!L96+TBD!L95+WA!L95+GB!L95+WM!L95+SU!L95+AX!L95+VW!L95+HY!L95+IN!L95+FR!L95+ST!L95+CH!L95+TC!L95+LX!L95+HSU!L95+HVW!L95+MZ!L95+BUGMC!L95+HD!L95+LT!L95+FBG!L95+FSU!L95</f>
        <v>11300</v>
      </c>
      <c r="M95" s="16">
        <f>AS!M95+RI!M95+GA!M95+RLX!M95+SP!M95+WR!M95+MA!M96+TBD!M95+WA!M95+GB!M95+WM!M95+SU!M95+AX!M95+VW!M95+HY!M95+IN!M95+FR!M95+ST!M95+CH!M95+TC!M95+LX!M95+HSU!M95+HVW!M95+MZ!M95+BUGMC!M95+HD!M95+LT!M95+FBG!M95+FSU!M95</f>
        <v>11000</v>
      </c>
      <c r="N95" s="17">
        <f t="shared" si="18"/>
        <v>91146.42</v>
      </c>
      <c r="O95" s="18"/>
    </row>
    <row r="96" ht="13.5" customHeight="1">
      <c r="A96" s="31" t="s">
        <v>93</v>
      </c>
      <c r="B96" s="16">
        <f>AS!B96+RI!B96+GA!B96+RLX!B96+SP!B96+WR!B96+MA!B97+TBD!B96+WA!B96+GB!B96+WM!B96+SU!B96+AX!B96+VW!B96+HY!B96+IN!B96+FR!B96+ST!B96+CH!B96+TC!B96+LX!B96+HSU!B96+HVW!B96+MZ!B96+BUGMC!B96+HD!B96+LT!B96+FBG!B96+FSU!B96</f>
        <v>1400</v>
      </c>
      <c r="C96" s="16">
        <f>AS!C96+RI!C96+GA!C96+RLX!C96+SP!C96+WR!C96+MA!C97+TBD!C96+WA!C96+GB!C96+WM!C96+SU!C96+AX!C96+VW!C96+HY!C96+IN!C96+FR!C96+ST!C96+CH!C96+TC!C96+LX!C96+HSU!C96+HVW!C96+MZ!C96+BUGMC!C96+HD!C96+LT!C96+FBG!C96+FSU!C96</f>
        <v>1400</v>
      </c>
      <c r="D96" s="16">
        <f>AS!D96+RI!D96+GA!D96+RLX!D96+SP!D96+WR!D96+MA!D97+TBD!D96+WA!D96+GB!D96+WM!D96+SU!D96+AX!D96+VW!D96+HY!D96+IN!D96+FR!D96+ST!D96+CH!D96+TC!D96+LX!D96+HSU!D96+HVW!D96+MZ!D96+BUGMC!D96+HD!D96+LT!D96+FBG!D96+FSU!D96</f>
        <v>1400</v>
      </c>
      <c r="E96" s="16">
        <f>AS!E96+RI!E96+GA!E96+RLX!E96+SP!E96+WR!E96+MA!E97+TBD!E96+WA!E96+GB!E96+WM!E96+SU!E96+AX!E96+VW!E96+HY!E96+IN!E96+FR!E96+ST!E96+CH!E96+TC!E96+LX!E96+HSU!E96+HVW!E96+MZ!E96+BUGMC!E96+HD!E96+LT!E96+FBG!E96+FSU!E96</f>
        <v>1400</v>
      </c>
      <c r="F96" s="16">
        <f>AS!F96+RI!F96+GA!F96+RLX!F96+SP!F96+WR!F96+MA!F97+TBD!F96+WA!F96+GB!F96+WM!F96+SU!F96+AX!F96+VW!F96+HY!F96+IN!F96+FR!F96+ST!F96+CH!F96+TC!F96+LX!F96+HSU!F96+HVW!F96+MZ!F96+BUGMC!F96+HD!F96+LT!F96+FBG!F96+FSU!F96</f>
        <v>1400</v>
      </c>
      <c r="G96" s="16">
        <f>AS!G96+RI!G96+GA!G96+RLX!G96+SP!G96+WR!G96+MA!G97+TBD!G96+WA!G96+GB!G96+WM!G96+SU!G96+AX!G96+VW!G96+HY!G96+IN!G96+FR!G96+ST!G96+CH!G96+TC!G96+LX!G96+HSU!G96+HVW!G96+MZ!G96+BUGMC!G96+HD!G96+LT!G96+FBG!G96+FSU!G96</f>
        <v>1400</v>
      </c>
      <c r="H96" s="16">
        <f>AS!H96+RI!H96+GA!H96+RLX!H96+SP!H96+WR!H96+MA!H97+TBD!H96+WA!H96+GB!H96+WM!H96+SU!H96+AX!H96+VW!H96+HY!H96+IN!H96+FR!H96+ST!H96+CH!H96+TC!H96+LX!H96+HSU!H96+HVW!H96+MZ!H96+BUGMC!H96+HD!H96+LT!H96+FBG!H96+FSU!H96</f>
        <v>1400</v>
      </c>
      <c r="I96" s="16">
        <f>AS!I96+RI!I96+GA!I96+RLX!I96+SP!I96+WR!I96+MA!I97+TBD!I96+WA!I96+GB!I96+WM!I96+SU!I96+AX!I96+VW!I96+HY!I96+IN!I96+FR!I96+ST!I96+CH!I96+TC!I96+LX!I96+HSU!I96+HVW!I96+MZ!I96+BUGMC!I96+HD!I96+LT!I96+FBG!I96+FSU!I96</f>
        <v>1400</v>
      </c>
      <c r="J96" s="16">
        <f>AS!J96+RI!J96+GA!J96+RLX!J96+SP!J96+WR!J96+MA!J97+TBD!J96+WA!J96+GB!J96+WM!J96+SU!J96+AX!J96+VW!J96+HY!J96+IN!J96+FR!J96+ST!J96+CH!J96+TC!J96+LX!J96+HSU!J96+HVW!J96+MZ!J96+BUGMC!J96+HD!J96+LT!J96+FBG!J96+FSU!J96</f>
        <v>1400</v>
      </c>
      <c r="K96" s="16">
        <f>AS!K96+RI!K96+GA!K96+RLX!K96+SP!K96+WR!K96+MA!K97+TBD!K96+WA!K96+GB!K96+WM!K96+SU!K96+AX!K96+VW!K96+HY!K96+IN!K96+FR!K96+ST!K96+CH!K96+TC!K96+LX!K96+HSU!K96+HVW!K96+MZ!K96+BUGMC!K96+HD!K96+LT!K96+FBG!K96+FSU!K96</f>
        <v>1400</v>
      </c>
      <c r="L96" s="16">
        <f>AS!L96+RI!L96+GA!L96+RLX!L96+SP!L96+WR!L96+MA!L97+TBD!L96+WA!L96+GB!L96+WM!L96+SU!L96+AX!L96+VW!L96+HY!L96+IN!L96+FR!L96+ST!L96+CH!L96+TC!L96+LX!L96+HSU!L96+HVW!L96+MZ!L96+BUGMC!L96+HD!L96+LT!L96+FBG!L96+FSU!L96</f>
        <v>1400</v>
      </c>
      <c r="M96" s="16">
        <f>AS!M96+RI!M96+GA!M96+RLX!M96+SP!M96+WR!M96+MA!M97+TBD!M96+WA!M96+GB!M96+WM!M96+SU!M96+AX!M96+VW!M96+HY!M96+IN!M96+FR!M96+ST!M96+CH!M96+TC!M96+LX!M96+HSU!M96+HVW!M96+MZ!M96+BUGMC!M96+HD!M96+LT!M96+FBG!M96+FSU!M96</f>
        <v>1900</v>
      </c>
      <c r="N96" s="17">
        <f t="shared" si="18"/>
        <v>17300</v>
      </c>
      <c r="O96" s="18"/>
    </row>
    <row r="97" ht="13.5" customHeight="1">
      <c r="A97" s="32" t="s">
        <v>94</v>
      </c>
      <c r="B97" s="16">
        <f>AS!B97+RI!B97+GA!B97+RLX!B97+SP!B97+WR!B97+MA!B98+TBD!B97+WA!B97+GB!B97+WM!B97+SU!B97+AX!B97+VW!B97+HY!B97+IN!B97+FR!B97+ST!B97+CH!B97+TC!B97+LX!B97+HSU!B97+HVW!B97+MZ!B97+BUGMC!B97+HD!B97+LT!B97+FBG!B97+FSU!B97</f>
        <v>0</v>
      </c>
      <c r="C97" s="16">
        <f>AS!C97+RI!C97+GA!C97+RLX!C97+SP!C97+WR!C97+MA!C98+TBD!C97+WA!C97+GB!C97+WM!C97+SU!C97+AX!C97+VW!C97+HY!C97+IN!C97+FR!C97+ST!C97+CH!C97+TC!C97+LX!C97+HSU!C97+HVW!C97+MZ!C97+BUGMC!C97+HD!C97+LT!C97+FBG!C97+FSU!C97</f>
        <v>0</v>
      </c>
      <c r="D97" s="16">
        <f>AS!D97+RI!D97+GA!D97+RLX!D97+SP!D97+WR!D97+MA!D98+TBD!D97+WA!D97+GB!D97+WM!D97+SU!D97+AX!D97+VW!D97+HY!D97+IN!D97+FR!D97+ST!D97+CH!D97+TC!D97+LX!D97+HSU!D97+HVW!D97+MZ!D97+BUGMC!D97+HD!D97+LT!D97+FBG!D97+FSU!D97</f>
        <v>0</v>
      </c>
      <c r="E97" s="16">
        <f>AS!E97+RI!E97+GA!E97+RLX!E97+SP!E97+WR!E97+MA!E98+TBD!E97+WA!E97+GB!E97+WM!E97+SU!E97+AX!E97+VW!E97+HY!E97+IN!E97+FR!E97+ST!E97+CH!E97+TC!E97+LX!E97+HSU!E97+HVW!E97+MZ!E97+BUGMC!E97+HD!E97+LT!E97+FBG!E97+FSU!E97</f>
        <v>0</v>
      </c>
      <c r="F97" s="16">
        <f>AS!F97+RI!F97+GA!F97+RLX!F97+SP!F97+WR!F97+MA!F98+TBD!F97+WA!F97+GB!F97+WM!F97+SU!F97+AX!F97+VW!F97+HY!F97+IN!F97+FR!F97+ST!F97+CH!F97+TC!F97+LX!F97+HSU!F97+HVW!F97+MZ!F97+BUGMC!F97+HD!F97+LT!F97+FBG!F97+FSU!F97</f>
        <v>0</v>
      </c>
      <c r="G97" s="16">
        <f>AS!G97+RI!G97+GA!G97+RLX!G97+SP!G97+WR!G97+MA!G98+TBD!G97+WA!G97+GB!G97+WM!G97+SU!G97+AX!G97+VW!G97+HY!G97+IN!G97+FR!G97+ST!G97+CH!G97+TC!G97+LX!G97+HSU!G97+HVW!G97+MZ!G97+BUGMC!G97+HD!G97+LT!G97+FBG!G97+FSU!G97</f>
        <v>0</v>
      </c>
      <c r="H97" s="16">
        <f>AS!H97+RI!H97+GA!H97+RLX!H97+SP!H97+WR!H97+MA!H98+TBD!H97+WA!H97+GB!H97+WM!H97+SU!H97+AX!H97+VW!H97+HY!H97+IN!H97+FR!H97+ST!H97+CH!H97+TC!H97+LX!H97+HSU!H97+HVW!H97+MZ!H97+BUGMC!H97+HD!H97+LT!H97+FBG!H97+FSU!H97</f>
        <v>0</v>
      </c>
      <c r="I97" s="16">
        <f>AS!I97+RI!I97+GA!I97+RLX!I97+SP!I97+WR!I97+MA!I98+TBD!I97+WA!I97+GB!I97+WM!I97+SU!I97+AX!I97+VW!I97+HY!I97+IN!I97+FR!I97+ST!I97+CH!I97+TC!I97+LX!I97+HSU!I97+HVW!I97+MZ!I97+BUGMC!I97+HD!I97+LT!I97+FBG!I97+FSU!I97</f>
        <v>0</v>
      </c>
      <c r="J97" s="16">
        <f>AS!J97+RI!J97+GA!J97+RLX!J97+SP!J97+WR!J97+MA!J98+TBD!J97+WA!J97+GB!J97+WM!J97+SU!J97+AX!J97+VW!J97+HY!J97+IN!J97+FR!J97+ST!J97+CH!J97+TC!J97+LX!J97+HSU!J97+HVW!J97+MZ!J97+BUGMC!J97+HD!J97+LT!J97+FBG!J97+FSU!J97</f>
        <v>0</v>
      </c>
      <c r="K97" s="16">
        <f>AS!K97+RI!K97+GA!K97+RLX!K97+SP!K97+WR!K97+MA!K98+TBD!K97+WA!K97+GB!K97+WM!K97+SU!K97+AX!K97+VW!K97+HY!K97+IN!K97+FR!K97+ST!K97+CH!K97+TC!K97+LX!K97+HSU!K97+HVW!K97+MZ!K97+BUGMC!K97+HD!K97+LT!K97+FBG!K97+FSU!K97</f>
        <v>0</v>
      </c>
      <c r="L97" s="16">
        <f>AS!L97+RI!L97+GA!L97+RLX!L97+SP!L97+WR!L97+MA!L98+TBD!L97+WA!L97+GB!L97+WM!L97+SU!L97+AX!L97+VW!L97+HY!L97+IN!L97+FR!L97+ST!L97+CH!L97+TC!L97+LX!L97+HSU!L97+HVW!L97+MZ!L97+BUGMC!L97+HD!L97+LT!L97+FBG!L97+FSU!L97</f>
        <v>0</v>
      </c>
      <c r="M97" s="16">
        <f>AS!M97+RI!M97+GA!M97+RLX!M97+SP!M97+WR!M97+MA!M98+TBD!M97+WA!M97+GB!M97+WM!M97+SU!M97+AX!M97+VW!M97+HY!M97+IN!M97+FR!M97+ST!M97+CH!M97+TC!M97+LX!M97+HSU!M97+HVW!M97+MZ!M97+BUGMC!M97+HD!M97+LT!M97+FBG!M97+FSU!M97</f>
        <v>0</v>
      </c>
      <c r="N97" s="17">
        <f t="shared" si="18"/>
        <v>0</v>
      </c>
      <c r="O97" s="18"/>
    </row>
    <row r="98" ht="13.5" customHeight="1">
      <c r="A98" s="32" t="s">
        <v>95</v>
      </c>
      <c r="B98" s="16">
        <f>AS!B98+RI!B98+GA!B98+RLX!B98+SP!B98+WR!B98+MA!B99+TBD!B98+WA!B98+GB!B98+WM!B98+SU!B98+AX!B98+VW!B98+HY!B98+IN!B98+FR!B98+ST!B98+CH!B98+TC!B98+LX!B98+HSU!B98+HVW!B98+MZ!B98+BUGMC!B98+HD!B98+LT!B98+FBG!B98+FSU!B98</f>
        <v>0</v>
      </c>
      <c r="C98" s="16">
        <f>AS!C98+RI!C98+GA!C98+RLX!C98+SP!C98+WR!C98+MA!C99+TBD!C98+WA!C98+GB!C98+WM!C98+SU!C98+AX!C98+VW!C98+HY!C98+IN!C98+FR!C98+ST!C98+CH!C98+TC!C98+LX!C98+HSU!C98+HVW!C98+MZ!C98+BUGMC!C98+HD!C98+LT!C98+FBG!C98+FSU!C98</f>
        <v>0</v>
      </c>
      <c r="D98" s="16">
        <f>AS!D98+RI!D98+GA!D98+RLX!D98+SP!D98+WR!D98+MA!D99+TBD!D98+WA!D98+GB!D98+WM!D98+SU!D98+AX!D98+VW!D98+HY!D98+IN!D98+FR!D98+ST!D98+CH!D98+TC!D98+LX!D98+HSU!D98+HVW!D98+MZ!D98+BUGMC!D98+HD!D98+LT!D98+FBG!D98+FSU!D98</f>
        <v>0</v>
      </c>
      <c r="E98" s="16">
        <f>AS!E98+RI!E98+GA!E98+RLX!E98+SP!E98+WR!E98+MA!E99+TBD!E98+WA!E98+GB!E98+WM!E98+SU!E98+AX!E98+VW!E98+HY!E98+IN!E98+FR!E98+ST!E98+CH!E98+TC!E98+LX!E98+HSU!E98+HVW!E98+MZ!E98+BUGMC!E98+HD!E98+LT!E98+FBG!E98+FSU!E98</f>
        <v>0</v>
      </c>
      <c r="F98" s="16">
        <f>AS!F98+RI!F98+GA!F98+RLX!F98+SP!F98+WR!F98+MA!F99+TBD!F98+WA!F98+GB!F98+WM!F98+SU!F98+AX!F98+VW!F98+HY!F98+IN!F98+FR!F98+ST!F98+CH!F98+TC!F98+LX!F98+HSU!F98+HVW!F98+MZ!F98+BUGMC!F98+HD!F98+LT!F98+FBG!F98+FSU!F98</f>
        <v>0</v>
      </c>
      <c r="G98" s="16">
        <f>AS!G98+RI!G98+GA!G98+RLX!G98+SP!G98+WR!G98+MA!G99+TBD!G98+WA!G98+GB!G98+WM!G98+SU!G98+AX!G98+VW!G98+HY!G98+IN!G98+FR!G98+ST!G98+CH!G98+TC!G98+LX!G98+HSU!G98+HVW!G98+MZ!G98+BUGMC!G98+HD!G98+LT!G98+FBG!G98+FSU!G98</f>
        <v>0</v>
      </c>
      <c r="H98" s="16">
        <f>AS!H98+RI!H98+GA!H98+RLX!H98+SP!H98+WR!H98+MA!H99+TBD!H98+WA!H98+GB!H98+WM!H98+SU!H98+AX!H98+VW!H98+HY!H98+IN!H98+FR!H98+ST!H98+CH!H98+TC!H98+LX!H98+HSU!H98+HVW!H98+MZ!H98+BUGMC!H98+HD!H98+LT!H98+FBG!H98+FSU!H98</f>
        <v>0</v>
      </c>
      <c r="I98" s="16">
        <f>AS!I98+RI!I98+GA!I98+RLX!I98+SP!I98+WR!I98+MA!I99+TBD!I98+WA!I98+GB!I98+WM!I98+SU!I98+AX!I98+VW!I98+HY!I98+IN!I98+FR!I98+ST!I98+CH!I98+TC!I98+LX!I98+HSU!I98+HVW!I98+MZ!I98+BUGMC!I98+HD!I98+LT!I98+FBG!I98+FSU!I98</f>
        <v>0</v>
      </c>
      <c r="J98" s="16">
        <f>AS!J98+RI!J98+GA!J98+RLX!J98+SP!J98+WR!J98+MA!J99+TBD!J98+WA!J98+GB!J98+WM!J98+SU!J98+AX!J98+VW!J98+HY!J98+IN!J98+FR!J98+ST!J98+CH!J98+TC!J98+LX!J98+HSU!J98+HVW!J98+MZ!J98+BUGMC!J98+HD!J98+LT!J98+FBG!J98+FSU!J98</f>
        <v>0</v>
      </c>
      <c r="K98" s="16">
        <f>AS!K98+RI!K98+GA!K98+RLX!K98+SP!K98+WR!K98+MA!K99+TBD!K98+WA!K98+GB!K98+WM!K98+SU!K98+AX!K98+VW!K98+HY!K98+IN!K98+FR!K98+ST!K98+CH!K98+TC!K98+LX!K98+HSU!K98+HVW!K98+MZ!K98+BUGMC!K98+HD!K98+LT!K98+FBG!K98+FSU!K98</f>
        <v>0</v>
      </c>
      <c r="L98" s="16">
        <f>AS!L98+RI!L98+GA!L98+RLX!L98+SP!L98+WR!L98+MA!L99+TBD!L98+WA!L98+GB!L98+WM!L98+SU!L98+AX!L98+VW!L98+HY!L98+IN!L98+FR!L98+ST!L98+CH!L98+TC!L98+LX!L98+HSU!L98+HVW!L98+MZ!L98+BUGMC!L98+HD!L98+LT!L98+FBG!L98+FSU!L98</f>
        <v>6250</v>
      </c>
      <c r="M98" s="16">
        <f>AS!M98+RI!M98+GA!M98+RLX!M98+SP!M98+WR!M98+MA!M99+TBD!M98+WA!M98+GB!M98+WM!M98+SU!M98+AX!M98+VW!M98+HY!M98+IN!M98+FR!M98+ST!M98+CH!M98+TC!M98+LX!M98+HSU!M98+HVW!M98+MZ!M98+BUGMC!M98+HD!M98+LT!M98+FBG!M98+FSU!M98</f>
        <v>6250</v>
      </c>
      <c r="N98" s="17">
        <f t="shared" si="18"/>
        <v>12500</v>
      </c>
      <c r="O98" s="18"/>
    </row>
    <row r="99" ht="13.5" customHeight="1">
      <c r="A99" s="31" t="s">
        <v>96</v>
      </c>
      <c r="B99" s="16">
        <f>AS!B99+RI!B99+GA!B99+RLX!B99+SP!B99+WR!B99+MA!B100+TBD!B99+WA!B99+GB!B99+WM!B99+SU!B99+AX!B99+VW!B99+HY!B99+IN!B99+FR!B99+ST!B99+CH!B99+TC!B99+LX!B99+HSU!B99+HVW!B99+MZ!B99+BUGMC!B99+HD!B99+LT!B99+FBG!B99+FSU!B99</f>
        <v>4500</v>
      </c>
      <c r="C99" s="16">
        <f>AS!C99+RI!C99+GA!C99+RLX!C99+SP!C99+WR!C99+MA!C100+TBD!C99+WA!C99+GB!C99+WM!C99+SU!C99+AX!C99+VW!C99+HY!C99+IN!C99+FR!C99+ST!C99+CH!C99+TC!C99+LX!C99+HSU!C99+HVW!C99+MZ!C99+BUGMC!C99+HD!C99+LT!C99+FBG!C99+FSU!C99</f>
        <v>8000</v>
      </c>
      <c r="D99" s="16">
        <f>AS!D99+RI!D99+GA!D99+RLX!D99+SP!D99+WR!D99+MA!D100+TBD!D99+WA!D99+GB!D99+WM!D99+SU!D99+AX!D99+VW!D99+HY!D99+IN!D99+FR!D99+ST!D99+CH!D99+TC!D99+LX!D99+HSU!D99+HVW!D99+MZ!D99+BUGMC!D99+HD!D99+LT!D99+FBG!D99+FSU!D99</f>
        <v>8000</v>
      </c>
      <c r="E99" s="16">
        <f>AS!E99+RI!E99+GA!E99+RLX!E99+SP!E99+WR!E99+MA!E100+TBD!E99+WA!E99+GB!E99+WM!E99+SU!E99+AX!E99+VW!E99+HY!E99+IN!E99+FR!E99+ST!E99+CH!E99+TC!E99+LX!E99+HSU!E99+HVW!E99+MZ!E99+BUGMC!E99+HD!E99+LT!E99+FBG!E99+FSU!E99</f>
        <v>9000</v>
      </c>
      <c r="F99" s="16">
        <f>AS!F99+RI!F99+GA!F99+RLX!F99+SP!F99+WR!F99+MA!F100+TBD!F99+WA!F99+GB!F99+WM!F99+SU!F99+AX!F99+VW!F99+HY!F99+IN!F99+FR!F99+ST!F99+CH!F99+TC!F99+LX!F99+HSU!F99+HVW!F99+MZ!F99+BUGMC!F99+HD!F99+LT!F99+FBG!F99+FSU!F99</f>
        <v>10000</v>
      </c>
      <c r="G99" s="16">
        <f>AS!G99+RI!G99+GA!G99+RLX!G99+SP!G99+WR!G99+MA!G100+TBD!G99+WA!G99+GB!G99+WM!G99+SU!G99+AX!G99+VW!G99+HY!G99+IN!G99+FR!G99+ST!G99+CH!G99+TC!G99+LX!G99+HSU!G99+HVW!G99+MZ!G99+BUGMC!G99+HD!G99+LT!G99+FBG!G99+FSU!G99</f>
        <v>8500</v>
      </c>
      <c r="H99" s="16">
        <f>AS!H99+RI!H99+GA!H99+RLX!H99+SP!H99+WR!H99+MA!H100+TBD!H99+WA!H99+GB!H99+WM!H99+SU!H99+AX!H99+VW!H99+HY!H99+IN!H99+FR!H99+ST!H99+CH!H99+TC!H99+LX!H99+HSU!H99+HVW!H99+MZ!H99+BUGMC!H99+HD!H99+LT!H99+FBG!H99+FSU!H99</f>
        <v>9000</v>
      </c>
      <c r="I99" s="16">
        <f>AS!I99+RI!I99+GA!I99+RLX!I99+SP!I99+WR!I99+MA!I100+TBD!I99+WA!I99+GB!I99+WM!I99+SU!I99+AX!I99+VW!I99+HY!I99+IN!I99+FR!I99+ST!I99+CH!I99+TC!I99+LX!I99+HSU!I99+HVW!I99+MZ!I99+BUGMC!I99+HD!I99+LT!I99+FBG!I99+FSU!I99</f>
        <v>9600</v>
      </c>
      <c r="J99" s="16">
        <f>AS!J99+RI!J99+GA!J99+RLX!J99+SP!J99+WR!J99+MA!J100+TBD!J99+WA!J99+GB!J99+WM!J99+SU!J99+AX!J99+VW!J99+HY!J99+IN!J99+FR!J99+ST!J99+CH!J99+TC!J99+LX!J99+HSU!J99+HVW!J99+MZ!J99+BUGMC!J99+HD!J99+LT!J99+FBG!J99+FSU!J99</f>
        <v>9699</v>
      </c>
      <c r="K99" s="16">
        <f>AS!K99+RI!K99+GA!K99+RLX!K99+SP!K99+WR!K99+MA!K100+TBD!K99+WA!K99+GB!K99+WM!K99+SU!K99+AX!K99+VW!K99+HY!K99+IN!K99+FR!K99+ST!K99+CH!K99+TC!K99+LX!K99+HSU!K99+HVW!K99+MZ!K99+BUGMC!K99+HD!K99+LT!K99+FBG!K99+FSU!K99</f>
        <v>8500</v>
      </c>
      <c r="L99" s="16">
        <f>AS!L99+RI!L99+GA!L99+RLX!L99+SP!L99+WR!L99+MA!L100+TBD!L99+WA!L99+GB!L99+WM!L99+SU!L99+AX!L99+VW!L99+HY!L99+IN!L99+FR!L99+ST!L99+CH!L99+TC!L99+LX!L99+HSU!L99+HVW!L99+MZ!L99+BUGMC!L99+HD!L99+LT!L99+FBG!L99+FSU!L99</f>
        <v>9000</v>
      </c>
      <c r="M99" s="16">
        <f>AS!M99+RI!M99+GA!M99+RLX!M99+SP!M99+WR!M99+MA!M100+TBD!M99+WA!M99+GB!M99+WM!M99+SU!M99+AX!M99+VW!M99+HY!M99+IN!M99+FR!M99+ST!M99+CH!M99+TC!M99+LX!M99+HSU!M99+HVW!M99+MZ!M99+BUGMC!M99+HD!M99+LT!M99+FBG!M99+FSU!M99</f>
        <v>9000</v>
      </c>
      <c r="N99" s="17">
        <f t="shared" si="18"/>
        <v>102799</v>
      </c>
      <c r="O99" s="18"/>
    </row>
    <row r="100" ht="13.5" customHeight="1">
      <c r="A100" s="31" t="s">
        <v>97</v>
      </c>
      <c r="B100" s="16">
        <f>AS!B100+RI!B100+GA!B100+RLX!B100+SP!B100+WR!B100+MA!B101+TBD!B100+WA!B100+GB!B100+WM!B100+SU!B100+AX!B100+VW!B100+HY!B100+IN!B100+FR!B100+ST!B100+CH!B100+TC!B100+LX!B100+HSU!B100+HVW!B100+MZ!B100+BUGMC!B100+HD!B100+LT!B100+FBG!B100+FSU!B100</f>
        <v>1500</v>
      </c>
      <c r="C100" s="16">
        <f>AS!C100+RI!C100+GA!C100+RLX!C100+SP!C100+WR!C100+MA!C101+TBD!C100+WA!C100+GB!C100+WM!C100+SU!C100+AX!C100+VW!C100+HY!C100+IN!C100+FR!C100+ST!C100+CH!C100+TC!C100+LX!C100+HSU!C100+HVW!C100+MZ!C100+BUGMC!C100+HD!C100+LT!C100+FBG!C100+FSU!C100</f>
        <v>1500</v>
      </c>
      <c r="D100" s="16">
        <f>AS!D100+RI!D100+GA!D100+RLX!D100+SP!D100+WR!D100+MA!D101+TBD!D100+WA!D100+GB!D100+WM!D100+SU!D100+AX!D100+VW!D100+HY!D100+IN!D100+FR!D100+ST!D100+CH!D100+TC!D100+LX!D100+HSU!D100+HVW!D100+MZ!D100+BUGMC!D100+HD!D100+LT!D100+FBG!D100+FSU!D100</f>
        <v>1500</v>
      </c>
      <c r="E100" s="16">
        <f>AS!E100+RI!E100+GA!E100+RLX!E100+SP!E100+WR!E100+MA!E101+TBD!E100+WA!E100+GB!E100+WM!E100+SU!E100+AX!E100+VW!E100+HY!E100+IN!E100+FR!E100+ST!E100+CH!E100+TC!E100+LX!E100+HSU!E100+HVW!E100+MZ!E100+BUGMC!E100+HD!E100+LT!E100+FBG!E100+FSU!E100</f>
        <v>1500</v>
      </c>
      <c r="F100" s="16">
        <f>AS!F100+RI!F100+GA!F100+RLX!F100+SP!F100+WR!F100+MA!F101+TBD!F100+WA!F100+GB!F100+WM!F100+SU!F100+AX!F100+VW!F100+HY!F100+IN!F100+FR!F100+ST!F100+CH!F100+TC!F100+LX!F100+HSU!F100+HVW!F100+MZ!F100+BUGMC!F100+HD!F100+LT!F100+FBG!F100+FSU!F100</f>
        <v>1500</v>
      </c>
      <c r="G100" s="16">
        <f>AS!G100+RI!G100+GA!G100+RLX!G100+SP!G100+WR!G100+MA!G101+TBD!G100+WA!G100+GB!G100+WM!G100+SU!G100+AX!G100+VW!G100+HY!G100+IN!G100+FR!G100+ST!G100+CH!G100+TC!G100+LX!G100+HSU!G100+HVW!G100+MZ!G100+BUGMC!G100+HD!G100+LT!G100+FBG!G100+FSU!G100</f>
        <v>1500</v>
      </c>
      <c r="H100" s="16">
        <f>AS!H100+RI!H100+GA!H100+RLX!H100+SP!H100+WR!H100+MA!H101+TBD!H100+WA!H100+GB!H100+WM!H100+SU!H100+AX!H100+VW!H100+HY!H100+IN!H100+FR!H100+ST!H100+CH!H100+TC!H100+LX!H100+HSU!H100+HVW!H100+MZ!H100+BUGMC!H100+HD!H100+LT!H100+FBG!H100+FSU!H100</f>
        <v>1500</v>
      </c>
      <c r="I100" s="16">
        <f>AS!I100+RI!I100+GA!I100+RLX!I100+SP!I100+WR!I100+MA!I101+TBD!I100+WA!I100+GB!I100+WM!I100+SU!I100+AX!I100+VW!I100+HY!I100+IN!I100+FR!I100+ST!I100+CH!I100+TC!I100+LX!I100+HSU!I100+HVW!I100+MZ!I100+BUGMC!I100+HD!I100+LT!I100+FBG!I100+FSU!I100</f>
        <v>1500</v>
      </c>
      <c r="J100" s="16">
        <f>AS!J100+RI!J100+GA!J100+RLX!J100+SP!J100+WR!J100+MA!J101+TBD!J100+WA!J100+GB!J100+WM!J100+SU!J100+AX!J100+VW!J100+HY!J100+IN!J100+FR!J100+ST!J100+CH!J100+TC!J100+LX!J100+HSU!J100+HVW!J100+MZ!J100+BUGMC!J100+HD!J100+LT!J100+FBG!J100+FSU!J100</f>
        <v>1500</v>
      </c>
      <c r="K100" s="16">
        <f>AS!K100+RI!K100+GA!K100+RLX!K100+SP!K100+WR!K100+MA!K101+TBD!K100+WA!K100+GB!K100+WM!K100+SU!K100+AX!K100+VW!K100+HY!K100+IN!K100+FR!K100+ST!K100+CH!K100+TC!K100+LX!K100+HSU!K100+HVW!K100+MZ!K100+BUGMC!K100+HD!K100+LT!K100+FBG!K100+FSU!K100</f>
        <v>1500</v>
      </c>
      <c r="L100" s="16">
        <f>AS!L100+RI!L100+GA!L100+RLX!L100+SP!L100+WR!L100+MA!L101+TBD!L100+WA!L100+GB!L100+WM!L100+SU!L100+AX!L100+VW!L100+HY!L100+IN!L100+FR!L100+ST!L100+CH!L100+TC!L100+LX!L100+HSU!L100+HVW!L100+MZ!L100+BUGMC!L100+HD!L100+LT!L100+FBG!L100+FSU!L100</f>
        <v>1500</v>
      </c>
      <c r="M100" s="16">
        <f>AS!M100+RI!M100+GA!M100+RLX!M100+SP!M100+WR!M100+MA!M101+TBD!M100+WA!M100+GB!M100+WM!M100+SU!M100+AX!M100+VW!M100+HY!M100+IN!M100+FR!M100+ST!M100+CH!M100+TC!M100+LX!M100+HSU!M100+HVW!M100+MZ!M100+BUGMC!M100+HD!M100+LT!M100+FBG!M100+FSU!M100</f>
        <v>1500</v>
      </c>
      <c r="N100" s="17">
        <f t="shared" si="18"/>
        <v>18000</v>
      </c>
      <c r="O100" s="18"/>
    </row>
    <row r="101" ht="13.5" customHeight="1">
      <c r="A101" s="32" t="s">
        <v>98</v>
      </c>
      <c r="B101" s="16">
        <f>AS!B101+RI!B101+GA!B101+RLX!B101+SP!B101+WR!B101+MA!B102+TBD!B101+WA!B101+GB!B101+WM!B101+SU!B101+AX!B101+VW!B101+HY!B101+IN!B101+FR!B101+ST!B101+CH!B101+TC!B101+LX!B101+HSU!B101+HVW!B101+MZ!B101+BUGMC!B101+HD!B101+LT!B101+FBG!B101+FSU!B101</f>
        <v>0</v>
      </c>
      <c r="C101" s="16">
        <f>AS!C101+RI!C101+GA!C101+RLX!C101+SP!C101+WR!C101+MA!C102+TBD!C101+WA!C101+GB!C101+WM!C101+SU!C101+AX!C101+VW!C101+HY!C101+IN!C101+FR!C101+ST!C101+CH!C101+TC!C101+LX!C101+HSU!C101+HVW!C101+MZ!C101+BUGMC!C101+HD!C101+LT!C101+FBG!C101+FSU!C101</f>
        <v>0</v>
      </c>
      <c r="D101" s="16">
        <f>AS!D101+RI!D101+GA!D101+RLX!D101+SP!D101+WR!D101+MA!D102+TBD!D101+WA!D101+GB!D101+WM!D101+SU!D101+AX!D101+VW!D101+HY!D101+IN!D101+FR!D101+ST!D101+CH!D101+TC!D101+LX!D101+HSU!D101+HVW!D101+MZ!D101+BUGMC!D101+HD!D101+LT!D101+FBG!D101+FSU!D101</f>
        <v>0</v>
      </c>
      <c r="E101" s="16">
        <f>AS!E101+RI!E101+GA!E101+RLX!E101+SP!E101+WR!E101+MA!E102+TBD!E101+WA!E101+GB!E101+WM!E101+SU!E101+AX!E101+VW!E101+HY!E101+IN!E101+FR!E101+ST!E101+CH!E101+TC!E101+LX!E101+HSU!E101+HVW!E101+MZ!E101+BUGMC!E101+HD!E101+LT!E101+FBG!E101+FSU!E101</f>
        <v>0</v>
      </c>
      <c r="F101" s="16">
        <f>AS!F101+RI!F101+GA!F101+RLX!F101+SP!F101+WR!F101+MA!F102+TBD!F101+WA!F101+GB!F101+WM!F101+SU!F101+AX!F101+VW!F101+HY!F101+IN!F101+FR!F101+ST!F101+CH!F101+TC!F101+LX!F101+HSU!F101+HVW!F101+MZ!F101+BUGMC!F101+HD!F101+LT!F101+FBG!F101+FSU!F101</f>
        <v>0</v>
      </c>
      <c r="G101" s="16">
        <f>AS!G101+RI!G101+GA!G101+RLX!G101+SP!G101+WR!G101+MA!G102+TBD!G101+WA!G101+GB!G101+WM!G101+SU!G101+AX!G101+VW!G101+HY!G101+IN!G101+FR!G101+ST!G101+CH!G101+TC!G101+LX!G101+HSU!G101+HVW!G101+MZ!G101+BUGMC!G101+HD!G101+LT!G101+FBG!G101+FSU!G101</f>
        <v>0</v>
      </c>
      <c r="H101" s="16">
        <f>AS!H101+RI!H101+GA!H101+RLX!H101+SP!H101+WR!H101+MA!H102+TBD!H101+WA!H101+GB!H101+WM!H101+SU!H101+AX!H101+VW!H101+HY!H101+IN!H101+FR!H101+ST!H101+CH!H101+TC!H101+LX!H101+HSU!H101+HVW!H101+MZ!H101+BUGMC!H101+HD!H101+LT!H101+FBG!H101+FSU!H101</f>
        <v>0</v>
      </c>
      <c r="I101" s="16">
        <f>AS!I101+RI!I101+GA!I101+RLX!I101+SP!I101+WR!I101+MA!I102+TBD!I101+WA!I101+GB!I101+WM!I101+SU!I101+AX!I101+VW!I101+HY!I101+IN!I101+FR!I101+ST!I101+CH!I101+TC!I101+LX!I101+HSU!I101+HVW!I101+MZ!I101+BUGMC!I101+HD!I101+LT!I101+FBG!I101+FSU!I101</f>
        <v>0</v>
      </c>
      <c r="J101" s="16">
        <f>AS!J101+RI!J101+GA!J101+RLX!J101+SP!J101+WR!J101+MA!J102+TBD!J101+WA!J101+GB!J101+WM!J101+SU!J101+AX!J101+VW!J101+HY!J101+IN!J101+FR!J101+ST!J101+CH!J101+TC!J101+LX!J101+HSU!J101+HVW!J101+MZ!J101+BUGMC!J101+HD!J101+LT!J101+FBG!J101+FSU!J101</f>
        <v>0</v>
      </c>
      <c r="K101" s="16">
        <f>AS!K101+RI!K101+GA!K101+RLX!K101+SP!K101+WR!K101+MA!K102+TBD!K101+WA!K101+GB!K101+WM!K101+SU!K101+AX!K101+VW!K101+HY!K101+IN!K101+FR!K101+ST!K101+CH!K101+TC!K101+LX!K101+HSU!K101+HVW!K101+MZ!K101+BUGMC!K101+HD!K101+LT!K101+FBG!K101+FSU!K101</f>
        <v>0</v>
      </c>
      <c r="L101" s="16">
        <f>AS!L101+RI!L101+GA!L101+RLX!L101+SP!L101+WR!L101+MA!L102+TBD!L101+WA!L101+GB!L101+WM!L101+SU!L101+AX!L101+VW!L101+HY!L101+IN!L101+FR!L101+ST!L101+CH!L101+TC!L101+LX!L101+HSU!L101+HVW!L101+MZ!L101+BUGMC!L101+HD!L101+LT!L101+FBG!L101+FSU!L101</f>
        <v>0</v>
      </c>
      <c r="M101" s="16">
        <f>AS!M101+RI!M101+GA!M101+RLX!M101+SP!M101+WR!M101+MA!M102+TBD!M101+WA!M101+GB!M101+WM!M101+SU!M101+AX!M101+VW!M101+HY!M101+IN!M101+FR!M101+ST!M101+CH!M101+TC!M101+LX!M101+HSU!M101+HVW!M101+MZ!M101+BUGMC!M101+HD!M101+LT!M101+FBG!M101+FSU!M101</f>
        <v>0</v>
      </c>
      <c r="N101" s="17">
        <f t="shared" si="18"/>
        <v>0</v>
      </c>
      <c r="O101" s="18"/>
    </row>
    <row r="102" ht="13.5" customHeight="1">
      <c r="A102" s="31" t="s">
        <v>99</v>
      </c>
      <c r="B102" s="16">
        <f>AS!B102+RI!B102+GA!B102+RLX!B102+SP!B102+WR!B102+MA!B103+TBD!B102+WA!B102+GB!B102+WM!B102+SU!B102+AX!B102+VW!B102+HY!B102+IN!B102+FR!B102+ST!B102+CH!B102+TC!B102+LX!B102+HSU!B102+HVW!B102+MZ!B102+BUGMC!B102+HD!B102+LT!B102+FBG!B102+FSU!B102</f>
        <v>470</v>
      </c>
      <c r="C102" s="16">
        <f>AS!C102+RI!C102+GA!C102+RLX!C102+SP!C102+WR!C102+MA!C103+TBD!C102+WA!C102+GB!C102+WM!C102+SU!C102+AX!C102+VW!C102+HY!C102+IN!C102+FR!C102+ST!C102+CH!C102+TC!C102+LX!C102+HSU!C102+HVW!C102+MZ!C102+BUGMC!C102+HD!C102+LT!C102+FBG!C102+FSU!C102</f>
        <v>470</v>
      </c>
      <c r="D102" s="16">
        <f>AS!D102+RI!D102+GA!D102+RLX!D102+SP!D102+WR!D102+MA!D103+TBD!D102+WA!D102+GB!D102+WM!D102+SU!D102+AX!D102+VW!D102+HY!D102+IN!D102+FR!D102+ST!D102+CH!D102+TC!D102+LX!D102+HSU!D102+HVW!D102+MZ!D102+BUGMC!D102+HD!D102+LT!D102+FBG!D102+FSU!D102</f>
        <v>5470</v>
      </c>
      <c r="E102" s="16">
        <f>AS!E102+RI!E102+GA!E102+RLX!E102+SP!E102+WR!E102+MA!E103+TBD!E102+WA!E102+GB!E102+WM!E102+SU!E102+AX!E102+VW!E102+HY!E102+IN!E102+FR!E102+ST!E102+CH!E102+TC!E102+LX!E102+HSU!E102+HVW!E102+MZ!E102+BUGMC!E102+HD!E102+LT!E102+FBG!E102+FSU!E102</f>
        <v>5470</v>
      </c>
      <c r="F102" s="16">
        <f>AS!F102+RI!F102+GA!F102+RLX!F102+SP!F102+WR!F102+MA!F103+TBD!F102+WA!F102+GB!F102+WM!F102+SU!F102+AX!F102+VW!F102+HY!F102+IN!F102+FR!F102+ST!F102+CH!F102+TC!F102+LX!F102+HSU!F102+HVW!F102+MZ!F102+BUGMC!F102+HD!F102+LT!F102+FBG!F102+FSU!F102</f>
        <v>5470</v>
      </c>
      <c r="G102" s="16">
        <f>AS!G102+RI!G102+GA!G102+RLX!G102+SP!G102+WR!G102+MA!G103+TBD!G102+WA!G102+GB!G102+WM!G102+SU!G102+AX!G102+VW!G102+HY!G102+IN!G102+FR!G102+ST!G102+CH!G102+TC!G102+LX!G102+HSU!G102+HVW!G102+MZ!G102+BUGMC!G102+HD!G102+LT!G102+FBG!G102+FSU!G102</f>
        <v>5470</v>
      </c>
      <c r="H102" s="16">
        <f>AS!H102+RI!H102+GA!H102+RLX!H102+SP!H102+WR!H102+MA!H103+TBD!H102+WA!H102+GB!H102+WM!H102+SU!H102+AX!H102+VW!H102+HY!H102+IN!H102+FR!H102+ST!H102+CH!H102+TC!H102+LX!H102+HSU!H102+HVW!H102+MZ!H102+BUGMC!H102+HD!H102+LT!H102+FBG!H102+FSU!H102</f>
        <v>5470</v>
      </c>
      <c r="I102" s="16">
        <f>AS!I102+RI!I102+GA!I102+RLX!I102+SP!I102+WR!I102+MA!I103+TBD!I102+WA!I102+GB!I102+WM!I102+SU!I102+AX!I102+VW!I102+HY!I102+IN!I102+FR!I102+ST!I102+CH!I102+TC!I102+LX!I102+HSU!I102+HVW!I102+MZ!I102+BUGMC!I102+HD!I102+LT!I102+FBG!I102+FSU!I102</f>
        <v>5470</v>
      </c>
      <c r="J102" s="16">
        <f>AS!J102+RI!J102+GA!J102+RLX!J102+SP!J102+WR!J102+MA!J103+TBD!J102+WA!J102+GB!J102+WM!J102+SU!J102+AX!J102+VW!J102+HY!J102+IN!J102+FR!J102+ST!J102+CH!J102+TC!J102+LX!J102+HSU!J102+HVW!J102+MZ!J102+BUGMC!J102+HD!J102+LT!J102+FBG!J102+FSU!J102</f>
        <v>5470</v>
      </c>
      <c r="K102" s="16">
        <f>AS!K102+RI!K102+GA!K102+RLX!K102+SP!K102+WR!K102+MA!K103+TBD!K102+WA!K102+GB!K102+WM!K102+SU!K102+AX!K102+VW!K102+HY!K102+IN!K102+FR!K102+ST!K102+CH!K102+TC!K102+LX!K102+HSU!K102+HVW!K102+MZ!K102+BUGMC!K102+HD!K102+LT!K102+FBG!K102+FSU!K102</f>
        <v>5470</v>
      </c>
      <c r="L102" s="16">
        <f>AS!L102+RI!L102+GA!L102+RLX!L102+SP!L102+WR!L102+MA!L103+TBD!L102+WA!L102+GB!L102+WM!L102+SU!L102+AX!L102+VW!L102+HY!L102+IN!L102+FR!L102+ST!L102+CH!L102+TC!L102+LX!L102+HSU!L102+HVW!L102+MZ!L102+BUGMC!L102+HD!L102+LT!L102+FBG!L102+FSU!L102</f>
        <v>5470</v>
      </c>
      <c r="M102" s="16">
        <f>AS!M102+RI!M102+GA!M102+RLX!M102+SP!M102+WR!M102+MA!M103+TBD!M102+WA!M102+GB!M102+WM!M102+SU!M102+AX!M102+VW!M102+HY!M102+IN!M102+FR!M102+ST!M102+CH!M102+TC!M102+LX!M102+HSU!M102+HVW!M102+MZ!M102+BUGMC!M102+HD!M102+LT!M102+FBG!M102+FSU!M102</f>
        <v>470</v>
      </c>
      <c r="N102" s="17">
        <f t="shared" si="18"/>
        <v>50640</v>
      </c>
      <c r="O102" s="18"/>
    </row>
    <row r="103" ht="13.5" customHeight="1">
      <c r="A103" s="32" t="s">
        <v>100</v>
      </c>
      <c r="B103" s="16">
        <f>AS!B103+RI!B103+GA!B103+RLX!B103+SP!B103+WR!B103+MA!B104+TBD!B103+WA!B103+GB!B103+WM!B103+SU!B103+AX!B103+VW!B103+HY!B103+IN!B103+FR!B103+ST!B103+CH!B103+TC!B103+LX!B103+HSU!B103+HVW!B103+MZ!B103+BUGMC!B103+HD!B103+LT!B103+FBG!B103+FSU!B103</f>
        <v>9400</v>
      </c>
      <c r="C103" s="16">
        <f>AS!C103+RI!C103+GA!C103+RLX!C103+SP!C103+WR!C103+MA!C104+TBD!C103+WA!C103+GB!C103+WM!C103+SU!C103+AX!C103+VW!C103+HY!C103+IN!C103+FR!C103+ST!C103+CH!C103+TC!C103+LX!C103+HSU!C103+HVW!C103+MZ!C103+BUGMC!C103+HD!C103+LT!C103+FBG!C103+FSU!C103</f>
        <v>14670</v>
      </c>
      <c r="D103" s="16">
        <f>AS!D103+RI!D103+GA!D103+RLX!D103+SP!D103+WR!D103+MA!D104+TBD!D103+WA!D103+GB!D103+WM!D103+SU!D103+AX!D103+VW!D103+HY!D103+IN!D103+FR!D103+ST!D103+CH!D103+TC!D103+LX!D103+HSU!D103+HVW!D103+MZ!D103+BUGMC!D103+HD!D103+LT!D103+FBG!D103+FSU!D103</f>
        <v>12000.01</v>
      </c>
      <c r="E103" s="16">
        <f>AS!E103+RI!E103+GA!E103+RLX!E103+SP!E103+WR!E103+MA!E104+TBD!E103+WA!E103+GB!E103+WM!E103+SU!E103+AX!E103+VW!E103+HY!E103+IN!E103+FR!E103+ST!E103+CH!E103+TC!E103+LX!E103+HSU!E103+HVW!E103+MZ!E103+BUGMC!E103+HD!E103+LT!E103+FBG!E103+FSU!E103</f>
        <v>9500</v>
      </c>
      <c r="F103" s="16">
        <f>AS!F103+RI!F103+GA!F103+RLX!F103+SP!F103+WR!F103+MA!F104+TBD!F103+WA!F103+GB!F103+WM!F103+SU!F103+AX!F103+VW!F103+HY!F103+IN!F103+FR!F103+ST!F103+CH!F103+TC!F103+LX!F103+HSU!F103+HVW!F103+MZ!F103+BUGMC!F103+HD!F103+LT!F103+FBG!F103+FSU!F103</f>
        <v>9785.71</v>
      </c>
      <c r="G103" s="16">
        <f>AS!G103+RI!G103+GA!G103+RLX!G103+SP!G103+WR!G103+MA!G104+TBD!G103+WA!G103+GB!G103+WM!G103+SU!G103+AX!G103+VW!G103+HY!G103+IN!G103+FR!G103+ST!G103+CH!G103+TC!G103+LX!G103+HSU!G103+HVW!G103+MZ!G103+BUGMC!G103+HD!G103+LT!G103+FBG!G103+FSU!G103</f>
        <v>19355</v>
      </c>
      <c r="H103" s="16">
        <f>AS!H103+RI!H103+GA!H103+RLX!H103+SP!H103+WR!H103+MA!H104+TBD!H103+WA!H103+GB!H103+WM!H103+SU!H103+AX!H103+VW!H103+HY!H103+IN!H103+FR!H103+ST!H103+CH!H103+TC!H103+LX!H103+HSU!H103+HVW!H103+MZ!H103+BUGMC!H103+HD!H103+LT!H103+FBG!H103+FSU!H103</f>
        <v>19355</v>
      </c>
      <c r="I103" s="16">
        <f>AS!I103+RI!I103+GA!I103+RLX!I103+SP!I103+WR!I103+MA!I104+TBD!I103+WA!I103+GB!I103+WM!I103+SU!I103+AX!I103+VW!I103+HY!I103+IN!I103+FR!I103+ST!I103+CH!I103+TC!I103+LX!I103+HSU!I103+HVW!I103+MZ!I103+BUGMC!I103+HD!I103+LT!I103+FBG!I103+FSU!I103</f>
        <v>9500</v>
      </c>
      <c r="J103" s="16">
        <f>AS!J103+RI!J103+GA!J103+RLX!J103+SP!J103+WR!J103+MA!J104+TBD!J103+WA!J103+GB!J103+WM!J103+SU!J103+AX!J103+VW!J103+HY!J103+IN!J103+FR!J103+ST!J103+CH!J103+TC!J103+LX!J103+HSU!J103+HVW!J103+MZ!J103+BUGMC!J103+HD!J103+LT!J103+FBG!J103+FSU!J103</f>
        <v>19070</v>
      </c>
      <c r="K103" s="16">
        <f>AS!K103+RI!K103+GA!K103+RLX!K103+SP!K103+WR!K103+MA!K104+TBD!K103+WA!K103+GB!K103+WM!K103+SU!K103+AX!K103+VW!K103+HY!K103+IN!K103+FR!K103+ST!K103+CH!K103+TC!K103+LX!K103+HSU!K103+HVW!K103+MZ!K103+BUGMC!K103+HD!K103+LT!K103+FBG!K103+FSU!K103</f>
        <v>9500</v>
      </c>
      <c r="L103" s="16">
        <f>AS!L103+RI!L103+GA!L103+RLX!L103+SP!L103+WR!L103+MA!L104+TBD!L103+WA!L103+GB!L103+WM!L103+SU!L103+AX!L103+VW!L103+HY!L103+IN!L103+FR!L103+ST!L103+CH!L103+TC!L103+LX!L103+HSU!L103+HVW!L103+MZ!L103+BUGMC!L103+HD!L103+LT!L103+FBG!L103+FSU!L103</f>
        <v>9500</v>
      </c>
      <c r="M103" s="16">
        <f>AS!M103+RI!M103+GA!M103+RLX!M103+SP!M103+WR!M103+MA!M104+TBD!M103+WA!M103+GB!M103+WM!M103+SU!M103+AX!M103+VW!M103+HY!M103+IN!M103+FR!M103+ST!M103+CH!M103+TC!M103+LX!M103+HSU!M103+HVW!M103+MZ!M103+BUGMC!M103+HD!M103+LT!M103+FBG!M103+FSU!M103</f>
        <v>7500</v>
      </c>
      <c r="N103" s="17">
        <f t="shared" si="18"/>
        <v>149135.72</v>
      </c>
      <c r="O103" s="18"/>
    </row>
    <row r="104" ht="13.5" customHeight="1">
      <c r="A104" s="27" t="s">
        <v>101</v>
      </c>
      <c r="B104" s="16">
        <f>AS!B104+RI!B104+GA!B104+RLX!B104+SP!B104+WR!B104+MA!B105+TBD!B104+WA!B104+GB!B104+WM!B104+SU!B104+AX!B104+VW!B104+HY!B104+IN!B104+FR!B104+ST!B104+CH!B104+TC!B104+LX!B104+HSU!B104+HVW!B104+MZ!B104+BUGMC!B104+HD!B104+LT!B104+FBG!B104+FSU!B104</f>
        <v>8125</v>
      </c>
      <c r="C104" s="16">
        <f>AS!C104+RI!C104+GA!C104+RLX!C104+SP!C104+WR!C104+MA!C105+TBD!C104+WA!C104+GB!C104+WM!C104+SU!C104+AX!C104+VW!C104+HY!C104+IN!C104+FR!C104+ST!C104+CH!C104+TC!C104+LX!C104+HSU!C104+HVW!C104+MZ!C104+BUGMC!C104+HD!C104+LT!C104+FBG!C104+FSU!C104</f>
        <v>10065</v>
      </c>
      <c r="D104" s="16">
        <f>AS!D104+RI!D104+GA!D104+RLX!D104+SP!D104+WR!D104+MA!D105+TBD!D104+WA!D104+GB!D104+WM!D104+SU!D104+AX!D104+VW!D104+HY!D104+IN!D104+FR!D104+ST!D104+CH!D104+TC!D104+LX!D104+HSU!D104+HVW!D104+MZ!D104+BUGMC!D104+HD!D104+LT!D104+FBG!D104+FSU!D104</f>
        <v>10065</v>
      </c>
      <c r="E104" s="16">
        <f>AS!E104+RI!E104+GA!E104+RLX!E104+SP!E104+WR!E104+MA!E105+TBD!E104+WA!E104+GB!E104+WM!E104+SU!E104+AX!E104+VW!E104+HY!E104+IN!E104+FR!E104+ST!E104+CH!E104+TC!E104+LX!E104+HSU!E104+HVW!E104+MZ!E104+BUGMC!E104+HD!E104+LT!E104+FBG!E104+FSU!E104</f>
        <v>10065</v>
      </c>
      <c r="F104" s="16">
        <f>AS!F104+RI!F104+GA!F104+RLX!F104+SP!F104+WR!F104+MA!F105+TBD!F104+WA!F104+GB!F104+WM!F104+SU!F104+AX!F104+VW!F104+HY!F104+IN!F104+FR!F104+ST!F104+CH!F104+TC!F104+LX!F104+HSU!F104+HVW!F104+MZ!F104+BUGMC!F104+HD!F104+LT!F104+FBG!F104+FSU!F104</f>
        <v>10065</v>
      </c>
      <c r="G104" s="16">
        <f>AS!G104+RI!G104+GA!G104+RLX!G104+SP!G104+WR!G104+MA!G105+TBD!G104+WA!G104+GB!G104+WM!G104+SU!G104+AX!G104+VW!G104+HY!G104+IN!G104+FR!G104+ST!G104+CH!G104+TC!G104+LX!G104+HSU!G104+HVW!G104+MZ!G104+BUGMC!G104+HD!G104+LT!G104+FBG!G104+FSU!G104</f>
        <v>10065</v>
      </c>
      <c r="H104" s="16">
        <f>AS!H104+RI!H104+GA!H104+RLX!H104+SP!H104+WR!H104+MA!H105+TBD!H104+WA!H104+GB!H104+WM!H104+SU!H104+AX!H104+VW!H104+HY!H104+IN!H104+FR!H104+ST!H104+CH!H104+TC!H104+LX!H104+HSU!H104+HVW!H104+MZ!H104+BUGMC!H104+HD!H104+LT!H104+FBG!H104+FSU!H104</f>
        <v>10065</v>
      </c>
      <c r="I104" s="16">
        <f>AS!I104+RI!I104+GA!I104+RLX!I104+SP!I104+WR!I104+MA!I105+TBD!I104+WA!I104+GB!I104+WM!I104+SU!I104+AX!I104+VW!I104+HY!I104+IN!I104+FR!I104+ST!I104+CH!I104+TC!I104+LX!I104+HSU!I104+HVW!I104+MZ!I104+BUGMC!I104+HD!I104+LT!I104+FBG!I104+FSU!I104</f>
        <v>10065</v>
      </c>
      <c r="J104" s="16">
        <f>AS!J104+RI!J104+GA!J104+RLX!J104+SP!J104+WR!J104+MA!J105+TBD!J104+WA!J104+GB!J104+WM!J104+SU!J104+AX!J104+VW!J104+HY!J104+IN!J104+FR!J104+ST!J104+CH!J104+TC!J104+LX!J104+HSU!J104+HVW!J104+MZ!J104+BUGMC!J104+HD!J104+LT!J104+FBG!J104+FSU!J104</f>
        <v>10065</v>
      </c>
      <c r="K104" s="16">
        <f>AS!K104+RI!K104+GA!K104+RLX!K104+SP!K104+WR!K104+MA!K105+TBD!K104+WA!K104+GB!K104+WM!K104+SU!K104+AX!K104+VW!K104+HY!K104+IN!K104+FR!K104+ST!K104+CH!K104+TC!K104+LX!K104+HSU!K104+HVW!K104+MZ!K104+BUGMC!K104+HD!K104+LT!K104+FBG!K104+FSU!K104</f>
        <v>10065</v>
      </c>
      <c r="L104" s="16">
        <f>AS!L104+RI!L104+GA!L104+RLX!L104+SP!L104+WR!L104+MA!L105+TBD!L104+WA!L104+GB!L104+WM!L104+SU!L104+AX!L104+VW!L104+HY!L104+IN!L104+FR!L104+ST!L104+CH!L104+TC!L104+LX!L104+HSU!L104+HVW!L104+MZ!L104+BUGMC!L104+HD!L104+LT!L104+FBG!L104+FSU!L104</f>
        <v>10065</v>
      </c>
      <c r="M104" s="16">
        <f>AS!M104+RI!M104+GA!M104+RLX!M104+SP!M104+WR!M104+MA!M105+TBD!M104+WA!M104+GB!M104+WM!M104+SU!M104+AX!M104+VW!M104+HY!M104+IN!M104+FR!M104+ST!M104+CH!M104+TC!M104+LX!M104+HSU!M104+HVW!M104+MZ!M104+BUGMC!M104+HD!M104+LT!M104+FBG!M104+FSU!M104</f>
        <v>10065</v>
      </c>
      <c r="N104" s="17">
        <f t="shared" si="18"/>
        <v>118840</v>
      </c>
      <c r="O104" s="18"/>
    </row>
    <row r="105" ht="13.5" customHeight="1">
      <c r="A105" s="27" t="s">
        <v>102</v>
      </c>
      <c r="B105" s="16">
        <f>AS!B105+RI!B105+GA!B105+RLX!B105+SP!B105+WR!B105+MA!B106+TBD!B105+WA!B105+GB!B105+WM!B105+SU!B105+AX!B105+VW!B105+HY!B105+IN!B105+FR!B105+ST!B105+CH!B105+TC!B105+LX!B105+HSU!B105+HVW!B105+MZ!B105+BUGMC!B105+HD!B105+LT!B105+FBG!B105+FSU!B105</f>
        <v>0</v>
      </c>
      <c r="C105" s="16">
        <f>AS!C105+RI!C105+GA!C105+RLX!C105+SP!C105+WR!C105+MA!C106+TBD!C105+WA!C105+GB!C105+WM!C105+SU!C105+AX!C105+VW!C105+HY!C105+IN!C105+FR!C105+ST!C105+CH!C105+TC!C105+LX!C105+HSU!C105+HVW!C105+MZ!C105+BUGMC!C105+HD!C105+LT!C105+FBG!C105+FSU!C105</f>
        <v>0</v>
      </c>
      <c r="D105" s="16">
        <f>AS!D105+RI!D105+GA!D105+RLX!D105+SP!D105+WR!D105+MA!D106+TBD!D105+WA!D105+GB!D105+WM!D105+SU!D105+AX!D105+VW!D105+HY!D105+IN!D105+FR!D105+ST!D105+CH!D105+TC!D105+LX!D105+HSU!D105+HVW!D105+MZ!D105+BUGMC!D105+HD!D105+LT!D105+FBG!D105+FSU!D105</f>
        <v>0</v>
      </c>
      <c r="E105" s="16">
        <f>AS!E105+RI!E105+GA!E105+RLX!E105+SP!E105+WR!E105+MA!E106+TBD!E105+WA!E105+GB!E105+WM!E105+SU!E105+AX!E105+VW!E105+HY!E105+IN!E105+FR!E105+ST!E105+CH!E105+TC!E105+LX!E105+HSU!E105+HVW!E105+MZ!E105+BUGMC!E105+HD!E105+LT!E105+FBG!E105+FSU!E105</f>
        <v>0</v>
      </c>
      <c r="F105" s="16">
        <f>AS!F105+RI!F105+GA!F105+RLX!F105+SP!F105+WR!F105+MA!F106+TBD!F105+WA!F105+GB!F105+WM!F105+SU!F105+AX!F105+VW!F105+HY!F105+IN!F105+FR!F105+ST!F105+CH!F105+TC!F105+LX!F105+HSU!F105+HVW!F105+MZ!F105+BUGMC!F105+HD!F105+LT!F105+FBG!F105+FSU!F105</f>
        <v>0</v>
      </c>
      <c r="G105" s="16">
        <f>AS!G105+RI!G105+GA!G105+RLX!G105+SP!G105+WR!G105+MA!G106+TBD!G105+WA!G105+GB!G105+WM!G105+SU!G105+AX!G105+VW!G105+HY!G105+IN!G105+FR!G105+ST!G105+CH!G105+TC!G105+LX!G105+HSU!G105+HVW!G105+MZ!G105+BUGMC!G105+HD!G105+LT!G105+FBG!G105+FSU!G105</f>
        <v>0</v>
      </c>
      <c r="H105" s="16">
        <f>AS!H105+RI!H105+GA!H105+RLX!H105+SP!H105+WR!H105+MA!H106+TBD!H105+WA!H105+GB!H105+WM!H105+SU!H105+AX!H105+VW!H105+HY!H105+IN!H105+FR!H105+ST!H105+CH!H105+TC!H105+LX!H105+HSU!H105+HVW!H105+MZ!H105+BUGMC!H105+HD!H105+LT!H105+FBG!H105+FSU!H105</f>
        <v>0</v>
      </c>
      <c r="I105" s="16">
        <f>AS!I105+RI!I105+GA!I105+RLX!I105+SP!I105+WR!I105+MA!I106+TBD!I105+WA!I105+GB!I105+WM!I105+SU!I105+AX!I105+VW!I105+HY!I105+IN!I105+FR!I105+ST!I105+CH!I105+TC!I105+LX!I105+HSU!I105+HVW!I105+MZ!I105+BUGMC!I105+HD!I105+LT!I105+FBG!I105+FSU!I105</f>
        <v>0</v>
      </c>
      <c r="J105" s="16">
        <f>AS!J105+RI!J105+GA!J105+RLX!J105+SP!J105+WR!J105+MA!J106+TBD!J105+WA!J105+GB!J105+WM!J105+SU!J105+AX!J105+VW!J105+HY!J105+IN!J105+FR!J105+ST!J105+CH!J105+TC!J105+LX!J105+HSU!J105+HVW!J105+MZ!J105+BUGMC!J105+HD!J105+LT!J105+FBG!J105+FSU!J105</f>
        <v>0</v>
      </c>
      <c r="K105" s="16">
        <f>AS!K105+RI!K105+GA!K105+RLX!K105+SP!K105+WR!K105+MA!K106+TBD!K105+WA!K105+GB!K105+WM!K105+SU!K105+AX!K105+VW!K105+HY!K105+IN!K105+FR!K105+ST!K105+CH!K105+TC!K105+LX!K105+HSU!K105+HVW!K105+MZ!K105+BUGMC!K105+HD!K105+LT!K105+FBG!K105+FSU!K105</f>
        <v>0</v>
      </c>
      <c r="L105" s="16">
        <f>AS!L105+RI!L105+GA!L105+RLX!L105+SP!L105+WR!L105+MA!L106+TBD!L105+WA!L105+GB!L105+WM!L105+SU!L105+AX!L105+VW!L105+HY!L105+IN!L105+FR!L105+ST!L105+CH!L105+TC!L105+LX!L105+HSU!L105+HVW!L105+MZ!L105+BUGMC!L105+HD!L105+LT!L105+FBG!L105+FSU!L105</f>
        <v>0</v>
      </c>
      <c r="M105" s="16">
        <f>AS!M105+RI!M105+GA!M105+RLX!M105+SP!M105+WR!M105+MA!M106+TBD!M105+WA!M105+GB!M105+WM!M105+SU!M105+AX!M105+VW!M105+HY!M105+IN!M105+FR!M105+ST!M105+CH!M105+TC!M105+LX!M105+HSU!M105+HVW!M105+MZ!M105+BUGMC!M105+HD!M105+LT!M105+FBG!M105+FSU!M105</f>
        <v>0</v>
      </c>
      <c r="N105" s="17">
        <f t="shared" si="18"/>
        <v>0</v>
      </c>
      <c r="O105" s="18"/>
    </row>
    <row r="106" ht="13.5" customHeight="1">
      <c r="A106" s="25" t="s">
        <v>103</v>
      </c>
      <c r="B106" s="16">
        <f>AS!B106+RI!B106+GA!B106+RLX!B106+SP!B106+WR!B106+MA!B107+TBD!B106+WA!B106+GB!B106+WM!B106+SU!B106+AX!B106+VW!B106+HY!B106+IN!B106+FR!B106+ST!B106+CH!B106+TC!B106+LX!B106+HSU!B106+HVW!B106+MZ!B106+BUGMC!B106+HD!B106+LT!B106+FBG!B106+FSU!B106</f>
        <v>9375</v>
      </c>
      <c r="C106" s="16">
        <f>AS!C106+RI!C106+GA!C106+RLX!C106+SP!C106+WR!C106+MA!C107+TBD!C106+WA!C106+GB!C106+WM!C106+SU!C106+AX!C106+VW!C106+HY!C106+IN!C106+FR!C106+ST!C106+CH!C106+TC!C106+LX!C106+HSU!C106+HVW!C106+MZ!C106+BUGMC!C106+HD!C106+LT!C106+FBG!C106+FSU!C106</f>
        <v>9375</v>
      </c>
      <c r="D106" s="16">
        <f>AS!D106+RI!D106+GA!D106+RLX!D106+SP!D106+WR!D106+MA!D107+TBD!D106+WA!D106+GB!D106+WM!D106+SU!D106+AX!D106+VW!D106+HY!D106+IN!D106+FR!D106+ST!D106+CH!D106+TC!D106+LX!D106+HSU!D106+HVW!D106+MZ!D106+BUGMC!D106+HD!D106+LT!D106+FBG!D106+FSU!D106</f>
        <v>9375</v>
      </c>
      <c r="E106" s="16">
        <f>AS!E106+RI!E106+GA!E106+RLX!E106+SP!E106+WR!E106+MA!E107+TBD!E106+WA!E106+GB!E106+WM!E106+SU!E106+AX!E106+VW!E106+HY!E106+IN!E106+FR!E106+ST!E106+CH!E106+TC!E106+LX!E106+HSU!E106+HVW!E106+MZ!E106+BUGMC!E106+HD!E106+LT!E106+FBG!E106+FSU!E106</f>
        <v>9375</v>
      </c>
      <c r="F106" s="16">
        <f>AS!F106+RI!F106+GA!F106+RLX!F106+SP!F106+WR!F106+MA!F107+TBD!F106+WA!F106+GB!F106+WM!F106+SU!F106+AX!F106+VW!F106+HY!F106+IN!F106+FR!F106+ST!F106+CH!F106+TC!F106+LX!F106+HSU!F106+HVW!F106+MZ!F106+BUGMC!F106+HD!F106+LT!F106+FBG!F106+FSU!F106</f>
        <v>9375</v>
      </c>
      <c r="G106" s="16">
        <f>AS!G106+RI!G106+GA!G106+RLX!G106+SP!G106+WR!G106+MA!G107+TBD!G106+WA!G106+GB!G106+WM!G106+SU!G106+AX!G106+VW!G106+HY!G106+IN!G106+FR!G106+ST!G106+CH!G106+TC!G106+LX!G106+HSU!G106+HVW!G106+MZ!G106+BUGMC!G106+HD!G106+LT!G106+FBG!G106+FSU!G106</f>
        <v>9375</v>
      </c>
      <c r="H106" s="16">
        <f>AS!H106+RI!H106+GA!H106+RLX!H106+SP!H106+WR!H106+MA!H107+TBD!H106+WA!H106+GB!H106+WM!H106+SU!H106+AX!H106+VW!H106+HY!H106+IN!H106+FR!H106+ST!H106+CH!H106+TC!H106+LX!H106+HSU!H106+HVW!H106+MZ!H106+BUGMC!H106+HD!H106+LT!H106+FBG!H106+FSU!H106</f>
        <v>9375</v>
      </c>
      <c r="I106" s="16">
        <f>AS!I106+RI!I106+GA!I106+RLX!I106+SP!I106+WR!I106+MA!I107+TBD!I106+WA!I106+GB!I106+WM!I106+SU!I106+AX!I106+VW!I106+HY!I106+IN!I106+FR!I106+ST!I106+CH!I106+TC!I106+LX!I106+HSU!I106+HVW!I106+MZ!I106+BUGMC!I106+HD!I106+LT!I106+FBG!I106+FSU!I106</f>
        <v>9375</v>
      </c>
      <c r="J106" s="16">
        <f>AS!J106+RI!J106+GA!J106+RLX!J106+SP!J106+WR!J106+MA!J107+TBD!J106+WA!J106+GB!J106+WM!J106+SU!J106+AX!J106+VW!J106+HY!J106+IN!J106+FR!J106+ST!J106+CH!J106+TC!J106+LX!J106+HSU!J106+HVW!J106+MZ!J106+BUGMC!J106+HD!J106+LT!J106+FBG!J106+FSU!J106</f>
        <v>9375</v>
      </c>
      <c r="K106" s="16">
        <f>AS!K106+RI!K106+GA!K106+RLX!K106+SP!K106+WR!K106+MA!K107+TBD!K106+WA!K106+GB!K106+WM!K106+SU!K106+AX!K106+VW!K106+HY!K106+IN!K106+FR!K106+ST!K106+CH!K106+TC!K106+LX!K106+HSU!K106+HVW!K106+MZ!K106+BUGMC!K106+HD!K106+LT!K106+FBG!K106+FSU!K106</f>
        <v>9375</v>
      </c>
      <c r="L106" s="16">
        <f>AS!L106+RI!L106+GA!L106+RLX!L106+SP!L106+WR!L106+MA!L107+TBD!L106+WA!L106+GB!L106+WM!L106+SU!L106+AX!L106+VW!L106+HY!L106+IN!L106+FR!L106+ST!L106+CH!L106+TC!L106+LX!L106+HSU!L106+HVW!L106+MZ!L106+BUGMC!L106+HD!L106+LT!L106+FBG!L106+FSU!L106</f>
        <v>9375</v>
      </c>
      <c r="M106" s="16">
        <f>AS!M106+RI!M106+GA!M106+RLX!M106+SP!M106+WR!M106+MA!M107+TBD!M106+WA!M106+GB!M106+WM!M106+SU!M106+AX!M106+VW!M106+HY!M106+IN!M106+FR!M106+ST!M106+CH!M106+TC!M106+LX!M106+HSU!M106+HVW!M106+MZ!M106+BUGMC!M106+HD!M106+LT!M106+FBG!M106+FSU!M106</f>
        <v>9375</v>
      </c>
      <c r="N106" s="17">
        <f t="shared" si="18"/>
        <v>112500</v>
      </c>
      <c r="O106" s="18"/>
    </row>
    <row r="107" ht="13.5" customHeight="1">
      <c r="A107" s="21" t="s">
        <v>23</v>
      </c>
      <c r="B107" s="22">
        <f>AS!B107+RI!B107+GA!B107+RLX!B107+SP!B107+WR!B107+MA!B108+TBD!B107+WA!B107+GB!B107+WM!B107+SU!B107+AX!B107+VW!B107+HY!B107+IN!B107+FR!B107+ST!B107+CH!B107+TC!B107+LX!B107+HSU!B107+HVW!B107+MZ!B107+BUGMC!B107+HD!B107+LT!B107+FBG!B107+FSU!B107</f>
        <v>79100</v>
      </c>
      <c r="C107" s="22">
        <f>AS!C107+RI!C107+GA!C107+RLX!C107+SP!C107+WR!C107+MA!C108+TBD!C107+WA!C107+GB!C107+WM!C107+SU!C107+AX!C107+VW!C107+HY!C107+IN!C107+FR!C107+ST!C107+CH!C107+TC!C107+LX!C107+HSU!C107+HVW!C107+MZ!C107+BUGMC!C107+HD!C107+LT!C107+FBG!C107+FSU!C107</f>
        <v>94558</v>
      </c>
      <c r="D107" s="22">
        <f>AS!D107+RI!D107+GA!D107+RLX!D107+SP!D107+WR!D107+MA!D108+TBD!D107+WA!D107+GB!D107+WM!D107+SU!D107+AX!D107+VW!D107+HY!D107+IN!D107+FR!D107+ST!D107+CH!D107+TC!D107+LX!D107+HSU!D107+HVW!D107+MZ!D107+BUGMC!D107+HD!D107+LT!D107+FBG!D107+FSU!D107</f>
        <v>71495.01</v>
      </c>
      <c r="E107" s="22">
        <f>AS!E107+RI!E107+GA!E107+RLX!E107+SP!E107+WR!E107+MA!E108+TBD!E107+WA!E107+GB!E107+WM!E107+SU!E107+AX!E107+VW!E107+HY!E107+IN!E107+FR!E107+ST!E107+CH!E107+TC!E107+LX!E107+HSU!E107+HVW!E107+MZ!E107+BUGMC!E107+HD!E107+LT!E107+FBG!E107+FSU!E107</f>
        <v>70295</v>
      </c>
      <c r="F107" s="22">
        <f>AS!F107+RI!F107+GA!F107+RLX!F107+SP!F107+WR!F107+MA!F108+TBD!F107+WA!F107+GB!F107+WM!F107+SU!F107+AX!F107+VW!F107+HY!F107+IN!F107+FR!F107+ST!F107+CH!F107+TC!F107+LX!F107+HSU!F107+HVW!F107+MZ!F107+BUGMC!F107+HD!F107+LT!F107+FBG!F107+FSU!F107</f>
        <v>74875.71</v>
      </c>
      <c r="G107" s="22">
        <f>AS!G107+RI!G107+GA!G107+RLX!G107+SP!G107+WR!G107+MA!G108+TBD!G107+WA!G107+GB!G107+WM!G107+SU!G107+AX!G107+VW!G107+HY!G107+IN!G107+FR!G107+ST!G107+CH!G107+TC!G107+LX!G107+HSU!G107+HVW!G107+MZ!G107+BUGMC!G107+HD!G107+LT!G107+FBG!G107+FSU!G107</f>
        <v>89757</v>
      </c>
      <c r="H107" s="22">
        <f>AS!H107+RI!H107+GA!H107+RLX!H107+SP!H107+WR!H107+MA!H108+TBD!H107+WA!H107+GB!H107+WM!H107+SU!H107+AX!H107+VW!H107+HY!H107+IN!H107+FR!H107+ST!H107+CH!H107+TC!H107+LX!H107+HSU!H107+HVW!H107+MZ!H107+BUGMC!H107+HD!H107+LT!H107+FBG!H107+FSU!H107</f>
        <v>80873</v>
      </c>
      <c r="I107" s="22">
        <f>AS!I107+RI!I107+GA!I107+RLX!I107+SP!I107+WR!I107+MA!I108+TBD!I107+WA!I107+GB!I107+WM!I107+SU!I107+AX!I107+VW!I107+HY!I107+IN!I107+FR!I107+ST!I107+CH!I107+TC!I107+LX!I107+HSU!I107+HVW!I107+MZ!I107+BUGMC!I107+HD!I107+LT!I107+FBG!I107+FSU!I107</f>
        <v>76843.84</v>
      </c>
      <c r="J107" s="22">
        <f>AS!J107+RI!J107+GA!J107+RLX!J107+SP!J107+WR!J107+MA!J108+TBD!J107+WA!J107+GB!J107+WM!J107+SU!J107+AX!J107+VW!J107+HY!J107+IN!J107+FR!J107+ST!J107+CH!J107+TC!J107+LX!J107+HSU!J107+HVW!J107+MZ!J107+BUGMC!J107+HD!J107+LT!J107+FBG!J107+FSU!J107</f>
        <v>90664</v>
      </c>
      <c r="K107" s="22">
        <f>AS!K107+RI!K107+GA!K107+RLX!K107+SP!K107+WR!K107+MA!K108+TBD!K107+WA!K107+GB!K107+WM!K107+SU!K107+AX!K107+VW!K107+HY!K107+IN!K107+FR!K107+ST!K107+CH!K107+TC!K107+LX!K107+HSU!K107+HVW!K107+MZ!K107+BUGMC!K107+HD!K107+LT!K107+FBG!K107+FSU!K107</f>
        <v>84336.84</v>
      </c>
      <c r="L107" s="22">
        <f>AS!L107+RI!L107+GA!L107+RLX!L107+SP!L107+WR!L107+MA!L108+TBD!L107+WA!L107+GB!L107+WM!L107+SU!L107+AX!L107+VW!L107+HY!L107+IN!L107+FR!L107+ST!L107+CH!L107+TC!L107+LX!L107+HSU!L107+HVW!L107+MZ!L107+BUGMC!L107+HD!L107+LT!L107+FBG!L107+FSU!L107</f>
        <v>86745</v>
      </c>
      <c r="M107" s="22">
        <f>AS!M107+RI!M107+GA!M107+RLX!M107+SP!M107+WR!M107+MA!M108+TBD!M107+WA!M107+GB!M107+WM!M107+SU!M107+AX!M107+VW!M107+HY!M107+IN!M107+FR!M107+ST!M107+CH!M107+TC!M107+LX!M107+HSU!M107+HVW!M107+MZ!M107+BUGMC!M107+HD!M107+LT!M107+FBG!M107+FSU!M107</f>
        <v>79945</v>
      </c>
      <c r="N107" s="22">
        <f>SUM(N92:N106)</f>
        <v>1000113.4</v>
      </c>
      <c r="O107" s="18" t="str">
        <f>N107/N109</f>
        <v>#REF!</v>
      </c>
    </row>
    <row r="108" ht="13.5" customHeight="1">
      <c r="A108" s="21" t="s">
        <v>104</v>
      </c>
      <c r="B108" s="16">
        <f>AS!B108+RI!B108+GA!B108+WR!B108+SP!B108+MA!B109+WA!B108+GB!B108+WM!B108+SU!B108+AX!B108+VW!B108+HY!B108+IN!B108+FR!B108+ST!B108+CH!B108+TC!B108+LX!B108+HSU!B108+HVW!B108+MZ!B108+BUGMC!B108+HD!B108+LT!B108+FBG!B108+FSU!B108+RLX!B108</f>
        <v>-275420.023</v>
      </c>
      <c r="C108" s="16">
        <f>AS!C108+RI!C108+GA!C108+WR!C108+SP!C108+MA!C109+WA!C108+GB!C108+WM!C108+SU!C108+AX!C108+VW!C108+HY!C108+IN!C108+FR!C108+ST!C108+CH!C108+TC!C108+LX!C108+HSU!C108+HVW!C108+MZ!C108+BUGMC!C108+HD!C108+LT!C108+FBG!C108+FSU!C108+RLX!C108</f>
        <v>-256526.783</v>
      </c>
      <c r="D108" s="16">
        <f>AS!D108+RI!D108+GA!D108+WR!D108+SP!D108+MA!D109+WA!D108+GB!D108+WM!D108+SU!D108+AX!D108+VW!D108+HY!D108+IN!D108+FR!D108+ST!D108+CH!D108+TC!D108+LX!D108+HSU!D108+HVW!D108+MZ!D108+BUGMC!D108+HD!D108+LT!D108+FBG!D108+FSU!D108+RLX!D108</f>
        <v>-265176.443</v>
      </c>
      <c r="E108" s="16">
        <f>AS!E108+RI!E108+GA!E108+WR!E108+SP!E108+MA!E109+WA!E108+GB!E108+WM!E108+SU!E108+AX!E108+VW!E108+HY!E108+IN!E108+FR!E108+ST!E108+CH!E108+TC!E108+LX!E108+HSU!E108+HVW!E108+MZ!E108+BUGMC!E108+HD!E108+LT!E108+FBG!E108+FSU!E108+RLX!E108</f>
        <v>-326304.42</v>
      </c>
      <c r="F108" s="16">
        <f>AS!F108+RI!F108+GA!F108+WR!F108+SP!F108+MA!F109+WA!F108+GB!F108+WM!F108+SU!F108+AX!F108+VW!F108+HY!F108+IN!F108+FR!F108+ST!F108+CH!F108+TC!F108+LX!F108+HSU!F108+HVW!F108+MZ!F108+BUGMC!F108+HD!F108+LT!F108+FBG!F108+FSU!F108+RLX!F108</f>
        <v>-263340.28</v>
      </c>
      <c r="G108" s="16">
        <f>AS!G108+RI!G108+GA!G108+WR!G108+SP!G108+MA!G109+WA!G108+GB!G108+WM!G108+SU!G108+AX!G108+VW!G108+HY!G108+IN!G108+FR!G108+ST!G108+CH!G108+TC!G108+LX!G108+HSU!G108+HVW!G108+MZ!G108+BUGMC!G108+HD!G108+LT!G108+FBG!G108+FSU!G108+RLX!G108</f>
        <v>-186409.35</v>
      </c>
      <c r="H108" s="16">
        <f>AS!H108+RI!H108+GA!H108+WR!H108+SP!H108+MA!H109+WA!H108+GB!H108+WM!H108+SU!H108+AX!H108+VW!H108+HY!H108+IN!H108+FR!H108+ST!H108+CH!H108+TC!H108+LX!H108+HSU!H108+HVW!H108+MZ!H108+BUGMC!H108+HD!H108+LT!H108+FBG!H108+FSU!H108+RLX!H108</f>
        <v>-187803.973</v>
      </c>
      <c r="I108" s="16">
        <f>AS!I108+RI!I108+GA!I108+WR!I108+SP!I108+MA!I109+WA!I108+GB!I108+WM!I108+SU!I108+AX!I108+VW!I108+HY!I108+IN!I108+FR!I108+ST!I108+CH!I108+TC!I108+LX!I108+HSU!I108+HVW!I108+MZ!I108+BUGMC!I108+HD!I108+LT!I108+FBG!I108+FSU!I108+RLX!I108</f>
        <v>-216808.873</v>
      </c>
      <c r="J108" s="16">
        <f>AS!J108+RI!J108+GA!J108+WR!J108+SP!J108+MA!J109+WA!J108+GB!J108+WM!J108+SU!J108+AX!J108+VW!J108+HY!J108+IN!J108+FR!J108+ST!J108+CH!J108+TC!J108+LX!J108+HSU!J108+HVW!J108+MZ!J108+BUGMC!J108+HD!J108+LT!J108+FBG!J108+FSU!J108+RLX!J108</f>
        <v>-222897.133</v>
      </c>
      <c r="K108" s="16">
        <f>AS!K108+RI!K108+GA!K108+WR!K108+SP!K108+MA!K109+WA!K108+GB!K108+WM!K108+SU!K108+AX!K108+VW!K108+HY!K108+IN!K108+FR!K108+ST!K108+CH!K108+TC!K108+LX!K108+HSU!K108+HVW!K108+MZ!K108+BUGMC!K108+HD!K108+LT!K108+FBG!K108+FSU!K108+RLX!K108</f>
        <v>-256026.96</v>
      </c>
      <c r="L108" s="16">
        <f>AS!L108+RI!L108+GA!L108+WR!L108+SP!L108+MA!L109+WA!L108+GB!L108+WM!L108+SU!L108+AX!L108+VW!L108+HY!L108+IN!L108+FR!L108+ST!L108+CH!L108+TC!L108+LX!L108+HSU!L108+HVW!L108+MZ!L108+BUGMC!L108+HD!L108+LT!L108+FBG!L108+FSU!L108+RLX!L108</f>
        <v>-212408.42</v>
      </c>
      <c r="M108" s="16">
        <f>AS!M108+RI!M108+GA!M108+WR!M108+SP!M108+MA!M109+WA!M108+GB!M108+WM!M108+SU!M108+AX!M108+VW!M108+HY!M108+IN!M108+FR!M108+ST!M108+CH!M108+TC!M108+LX!M108+HSU!M108+HVW!M108+MZ!M108+BUGMC!M108+HD!M108+LT!M108+FBG!M108+FSU!M108+RLX!M108</f>
        <v>-225964</v>
      </c>
      <c r="N108" s="17">
        <f>SUM(B108:M108)</f>
        <v>-2895086.658</v>
      </c>
      <c r="O108" s="18"/>
    </row>
    <row r="109" ht="13.5" customHeight="1">
      <c r="A109" s="49" t="s">
        <v>105</v>
      </c>
      <c r="B109" s="50">
        <f t="shared" ref="B109:N109" si="19">B107+B90+B83+B32+B21+B13</f>
        <v>1331904.51</v>
      </c>
      <c r="C109" s="50" t="str">
        <f t="shared" si="19"/>
        <v>#REF!</v>
      </c>
      <c r="D109" s="50" t="str">
        <f t="shared" si="19"/>
        <v>#REF!</v>
      </c>
      <c r="E109" s="50" t="str">
        <f t="shared" si="19"/>
        <v>#REF!</v>
      </c>
      <c r="F109" s="50" t="str">
        <f t="shared" si="19"/>
        <v>#REF!</v>
      </c>
      <c r="G109" s="50" t="str">
        <f t="shared" si="19"/>
        <v>#REF!</v>
      </c>
      <c r="H109" s="50" t="str">
        <f t="shared" si="19"/>
        <v>#REF!</v>
      </c>
      <c r="I109" s="50" t="str">
        <f t="shared" si="19"/>
        <v>#REF!</v>
      </c>
      <c r="J109" s="50" t="str">
        <f t="shared" si="19"/>
        <v>#REF!</v>
      </c>
      <c r="K109" s="50" t="str">
        <f t="shared" si="19"/>
        <v>#REF!</v>
      </c>
      <c r="L109" s="50" t="str">
        <f t="shared" si="19"/>
        <v>#REF!</v>
      </c>
      <c r="M109" s="50" t="str">
        <f t="shared" si="19"/>
        <v>#REF!</v>
      </c>
      <c r="N109" s="50" t="str">
        <f t="shared" si="19"/>
        <v>#REF!</v>
      </c>
      <c r="O109" s="18"/>
    </row>
    <row r="110" ht="13.5" customHeight="1">
      <c r="A110" s="26" t="s">
        <v>106</v>
      </c>
      <c r="B110" s="51">
        <f>AS!B110+RI!B110+GA!B110+RLX!B110+SP!B110+WR!B110+MA!B111+TBD!B110+WA!B110+GB!B110+WM!B110+SU!B110+AX!B110+VW!B110+HY!B110+IN!B110+FR!B110+ST!B110+CH!B110+TC!B110+LX!B110+HSU!B110+HVW!B110+MZ!B110+BUGMC!B110+HD!B110+LT!B110+FBG!B110+FSU!B110</f>
        <v>1723</v>
      </c>
      <c r="C110" s="51">
        <f>AS!C110+RI!C110+GA!C110+RLX!C110+SP!C110+WR!C110+MA!C111+TBD!C110+WA!C110+GB!C110+WM!C110+SU!C110+AX!C110+VW!C110+HY!C110+IN!C110+FR!C110+ST!C110+CH!C110+TC!C110+LX!C110+HSU!C110+HVW!C110+MZ!C110+BUGMC!C110+HD!C110+LT!C110+FBG!C110+FSU!C110</f>
        <v>1840</v>
      </c>
      <c r="D110" s="51">
        <f>AS!D110+RI!D110+GA!D110+RLX!D110+SP!D110+WR!D110+MA!D111+TBD!D110+WA!D110+GB!D110+WM!D110+SU!D110+AX!D110+VW!D110+HY!D110+IN!D110+FR!D110+ST!D110+CH!D110+TC!D110+LX!D110+HSU!D110+HVW!D110+MZ!D110+BUGMC!D110+HD!D110+LT!D110+FBG!D110+FSU!D110</f>
        <v>2135</v>
      </c>
      <c r="E110" s="51">
        <f>AS!E110+RI!E110+GA!E110+RLX!E110+SP!E110+WR!E110+MA!E111+TBD!E110+WA!E110+GB!E110+WM!E110+SU!E110+AX!E110+VW!E110+HY!E110+IN!E110+FR!E110+ST!E110+CH!E110+TC!E110+LX!E110+HSU!E110+HVW!E110+MZ!E110+BUGMC!E110+HD!E110+LT!E110+FBG!E110+FSU!E110</f>
        <v>2246</v>
      </c>
      <c r="F110" s="51">
        <f>AS!F110+RI!F110+GA!F110+RLX!F110+SP!F110+WR!F110+MA!F111+TBD!F110+WA!F110+GB!F110+WM!F110+SU!F110+AX!F110+VW!F110+HY!F110+IN!F110+FR!F110+ST!F110+CH!F110+TC!F110+LX!F110+HSU!F110+HVW!F110+MZ!F110+BUGMC!F110+HD!F110+LT!F110+FBG!F110+FSU!F110</f>
        <v>2382</v>
      </c>
      <c r="G110" s="51">
        <f>AS!G110+RI!G110+GA!G110+RLX!G110+SP!G110+WR!G110+MA!G111+TBD!G110+WA!G110+GB!G110+WM!G110+SU!G110+AX!G110+VW!G110+HY!G110+IN!G110+FR!G110+ST!G110+CH!G110+TC!G110+LX!G110+HSU!G110+HVW!G110+MZ!G110+BUGMC!G110+HD!G110+LT!G110+FBG!G110+FSU!G110</f>
        <v>2366</v>
      </c>
      <c r="H110" s="51">
        <f>AS!H110+RI!H110+GA!H110+RLX!H110+SP!H110+WR!H110+MA!H111+TBD!H110+WA!H110+GB!H110+WM!H110+SU!H110+AX!H110+VW!H110+HY!H110+IN!H110+FR!H110+ST!H110+CH!H110+TC!H110+LX!H110+HSU!H110+HVW!H110+MZ!H110+BUGMC!H110+HD!H110+LT!H110+FBG!H110+FSU!H110</f>
        <v>2514</v>
      </c>
      <c r="I110" s="51">
        <f>AS!I110+RI!I110+GA!I110+RLX!I110+SP!I110+WR!I110+MA!I111+TBD!I110+WA!I110+GB!I110+WM!I110+SU!I110+AX!I110+VW!I110+HY!I110+IN!I110+FR!I110+ST!I110+CH!I110+TC!I110+LX!I110+HSU!I110+HVW!I110+MZ!I110+BUGMC!I110+HD!I110+LT!I110+FBG!I110+FSU!I110</f>
        <v>2550</v>
      </c>
      <c r="J110" s="51">
        <f>AS!J110+RI!J110+GA!J110+RLX!J110+SP!J110+WR!J110+MA!J111+TBD!J110+WA!J110+GB!J110+WM!J110+SU!J110+AX!J110+VW!J110+HY!J110+IN!J110+FR!J110+ST!J110+CH!J110+TC!J110+LX!J110+HSU!J110+HVW!J110+MZ!J110+BUGMC!J110+HD!J110+LT!J110+FBG!J110+FSU!J110</f>
        <v>2366</v>
      </c>
      <c r="K110" s="51">
        <f>AS!K110+RI!K110+GA!K110+RLX!K110+SP!K110+WR!K110+MA!K111+TBD!K110+WA!K110+GB!K110+WM!K110+SU!K110+AX!K110+VW!K110+HY!K110+IN!K110+FR!K110+ST!K110+CH!K110+TC!K110+LX!K110+HSU!K110+HVW!K110+MZ!K110+BUGMC!K110+HD!K110+LT!K110+FBG!K110+FSU!K110</f>
        <v>2364</v>
      </c>
      <c r="L110" s="51">
        <f>AS!L110+RI!L110+GA!L110+RLX!L110+SP!L110+WR!L110+MA!L111+TBD!L110+WA!L110+GB!L110+WM!L110+SU!L110+AX!L110+VW!L110+HY!L110+IN!L110+FR!L110+ST!L110+CH!L110+TC!L110+LX!L110+HSU!L110+HVW!L110+MZ!L110+BUGMC!L110+HD!L110+LT!L110+FBG!L110+FSU!L110</f>
        <v>2386</v>
      </c>
      <c r="M110" s="51">
        <f>AS!M110+RI!M110+GA!M110+RLX!M110+SP!M110+WR!M110+MA!M111+TBD!M110+WA!M110+GB!M110+WM!M110+SU!M110+AX!M110+VW!M110+HY!M110+IN!M110+FR!M110+ST!M110+CH!M110+TC!M110+LX!M110+HSU!M110+HVW!M110+MZ!M110+BUGMC!M110+HD!M110+LT!M110+FBG!M110+FSU!M110</f>
        <v>2703</v>
      </c>
      <c r="N110" s="52">
        <f t="shared" ref="N110:N112" si="20">SUM(B110:M110)</f>
        <v>27575</v>
      </c>
      <c r="O110" s="18"/>
    </row>
    <row r="111" ht="13.5" customHeight="1">
      <c r="A111" s="26" t="s">
        <v>107</v>
      </c>
      <c r="B111" s="51">
        <f>AS!B111+RI!B111+GA!B111+RLX!B111+SP!B111+WR!B111+MA!B112+TBD!B111+WA!B111+GB!B111+WM!B111+SU!B111+AX!B111+VW!B111+HY!B111+IN!B111+FR!B111+ST!B111+CH!B111+TC!B111+LX!B111+HSU!B111+HVW!B111+MZ!B111+BUGMC!B111+HD!B111+LT!B111+FBG!B111+FSU!B111</f>
        <v>1735</v>
      </c>
      <c r="C111" s="51">
        <f>AS!C111+RI!C111+GA!C111+RLX!C111+SP!C111+WR!C111+MA!C112+TBD!C111+WA!C111+GB!C111+WM!C111+SU!C111+AX!C111+VW!C111+HY!C111+IN!C111+FR!C111+ST!C111+CH!C111+TC!C111+LX!C111+HSU!C111+HVW!C111+MZ!C111+BUGMC!C111+HD!C111+LT!C111+FBG!C111+FSU!C111</f>
        <v>1769</v>
      </c>
      <c r="D111" s="51">
        <f>AS!D111+RI!D111+GA!D111+RLX!D111+SP!D111+WR!D111+MA!D112+TBD!D111+WA!D111+GB!D111+WM!D111+SU!D111+AX!D111+VW!D111+HY!D111+IN!D111+FR!D111+ST!D111+CH!D111+TC!D111+LX!D111+HSU!D111+HVW!D111+MZ!D111+BUGMC!D111+HD!D111+LT!D111+FBG!D111+FSU!D111</f>
        <v>2003</v>
      </c>
      <c r="E111" s="51">
        <f>AS!E111+RI!E111+GA!E111+RLX!E111+SP!E111+WR!E111+MA!E112+TBD!E111+WA!E111+GB!E111+WM!E111+SU!E111+AX!E111+VW!E111+HY!E111+IN!E111+FR!E111+ST!E111+CH!E111+TC!E111+LX!E111+HSU!E111+HVW!E111+MZ!E111+BUGMC!E111+HD!E111+LT!E111+FBG!E111+FSU!E111</f>
        <v>1972</v>
      </c>
      <c r="F111" s="51">
        <f>AS!F111+RI!F111+GA!F111+RLX!F111+SP!F111+WR!F111+MA!F112+TBD!F111+WA!F111+GB!F111+WM!F111+SU!F111+AX!F111+VW!F111+HY!F111+IN!F111+FR!F111+ST!F111+CH!F111+TC!F111+LX!F111+HSU!F111+HVW!F111+MZ!F111+BUGMC!F111+HD!F111+LT!F111+FBG!F111+FSU!F111</f>
        <v>2118</v>
      </c>
      <c r="G111" s="51">
        <f>AS!G111+RI!G111+GA!G111+RLX!G111+SP!G111+WR!G111+MA!G112+TBD!G111+WA!G111+GB!G111+WM!G111+SU!G111+AX!G111+VW!G111+HY!G111+IN!G111+FR!G111+ST!G111+CH!G111+TC!G111+LX!G111+HSU!G111+HVW!G111+MZ!G111+BUGMC!G111+HD!G111+LT!G111+FBG!G111+FSU!G111</f>
        <v>2100</v>
      </c>
      <c r="H111" s="51">
        <f>AS!H111+RI!H111+GA!H111+RLX!H111+SP!H111+WR!H111+MA!H112+TBD!H111+WA!H111+GB!H111+WM!H111+SU!H111+AX!H111+VW!H111+HY!H111+IN!H111+FR!H111+ST!H111+CH!H111+TC!H111+LX!H111+HSU!H111+HVW!H111+MZ!H111+BUGMC!H111+HD!H111+LT!H111+FBG!H111+FSU!H111</f>
        <v>2150</v>
      </c>
      <c r="I111" s="51">
        <f>AS!I111+RI!I111+GA!I111+RLX!I111+SP!I111+WR!I111+MA!I112+TBD!I111+WA!I111+GB!I111+WM!I111+SU!I111+AX!I111+VW!I111+HY!I111+IN!I111+FR!I111+ST!I111+CH!I111+TC!I111+LX!I111+HSU!I111+HVW!I111+MZ!I111+BUGMC!I111+HD!I111+LT!I111+FBG!I111+FSU!I111</f>
        <v>2183</v>
      </c>
      <c r="J111" s="51">
        <f>AS!J111+RI!J111+GA!J111+RLX!J111+SP!J111+WR!J111+MA!J112+TBD!J111+WA!J111+GB!J111+WM!J111+SU!J111+AX!J111+VW!J111+HY!J111+IN!J111+FR!J111+ST!J111+CH!J111+TC!J111+LX!J111+HSU!J111+HVW!J111+MZ!J111+BUGMC!J111+HD!J111+LT!J111+FBG!J111+FSU!J111</f>
        <v>2055</v>
      </c>
      <c r="K111" s="51">
        <f>AS!K111+RI!K111+GA!K111+RLX!K111+SP!K111+WR!K111+MA!K112+TBD!K111+WA!K111+GB!K111+WM!K111+SU!K111+AX!K111+VW!K111+HY!K111+IN!K111+FR!K111+ST!K111+CH!K111+TC!K111+LX!K111+HSU!K111+HVW!K111+MZ!K111+BUGMC!K111+HD!K111+LT!K111+FBG!K111+FSU!K111</f>
        <v>2027</v>
      </c>
      <c r="L111" s="51">
        <f>AS!L111+RI!L111+GA!L111+RLX!L111+SP!L111+WR!L111+MA!L112+TBD!L111+WA!L111+GB!L111+WM!L111+SU!L111+AX!L111+VW!L111+HY!L111+IN!L111+FR!L111+ST!L111+CH!L111+TC!L111+LX!L111+HSU!L111+HVW!L111+MZ!L111+BUGMC!L111+HD!L111+LT!L111+FBG!L111+FSU!L111</f>
        <v>2030</v>
      </c>
      <c r="M111" s="51">
        <f>AS!M111+RI!M111+GA!M111+RLX!M111+SP!M111+WR!M111+MA!M112+TBD!M111+WA!M111+GB!M111+WM!M111+SU!M111+AX!M111+VW!M111+HY!M111+IN!M111+FR!M111+ST!M111+CH!M111+TC!M111+LX!M111+HSU!M111+HVW!M111+MZ!M111+BUGMC!M111+HD!M111+LT!M111+FBG!M111+FSU!M111</f>
        <v>2163</v>
      </c>
      <c r="N111" s="53">
        <f t="shared" si="20"/>
        <v>24305</v>
      </c>
      <c r="O111" s="18"/>
    </row>
    <row r="112" ht="13.5" customHeight="1">
      <c r="A112" s="21" t="s">
        <v>23</v>
      </c>
      <c r="B112" s="54">
        <f>AS!B112+RI!B112+GA!B112+SP!B112+WR!B112+MA!B113+TBD!B112+WA!B112+GB!B112+WM!B112+SU!B112+AX!B112+VW!B112+HY!B112+IN!B112+FR!B112+ST!B112+CH!B112+TC!B112+HSU!B112+HVW!B112+MZ!B112+BUGMC!B112+LX!B112+HD!B112+LT!B112+FBG!B112+FSU!B112+RLX!B112</f>
        <v>3458</v>
      </c>
      <c r="C112" s="54">
        <f>AS!C112+RI!C112+GA!C112+SP!C112+WR!C112+MA!C113+TBD!C112+WA!C112+GB!C112+WM!C112+SU!C112+AX!C112+VW!C112+HY!C112+IN!C112+FR!C112+ST!C112+CH!C112+TC!C112+HSU!C112+HVW!C112+MZ!C112+BUGMC!C112+LX!C112+HD!C112+LT!C112+FBG!C112+FSU!C112+RLX!C112</f>
        <v>3609</v>
      </c>
      <c r="D112" s="54">
        <f>AS!D112+RI!D112+GA!D112+SP!D112+WR!D112+MA!D113+TBD!D112+WA!D112+GB!D112+WM!D112+SU!D112+AX!D112+VW!D112+HY!D112+IN!D112+FR!D112+ST!D112+CH!D112+TC!D112+HSU!D112+HVW!D112+MZ!D112+BUGMC!D112+LX!D112+HD!D112+LT!D112+FBG!D112+FSU!D112+RLX!D112</f>
        <v>4138</v>
      </c>
      <c r="E112" s="54">
        <f>AS!E112+RI!E112+GA!E112+SP!E112+WR!E112+MA!E113+TBD!E112+WA!E112+GB!E112+WM!E112+SU!E112+AX!E112+VW!E112+HY!E112+IN!E112+FR!E112+ST!E112+CH!E112+TC!E112+HSU!E112+HVW!E112+MZ!E112+BUGMC!E112+LX!E112+HD!E112+LT!E112+FBG!E112+FSU!E112+RLX!E112</f>
        <v>4218</v>
      </c>
      <c r="F112" s="54">
        <f>AS!F112+RI!F112+GA!F112+SP!F112+WR!F112+MA!F113+TBD!F112+WA!F112+GB!F112+WM!F112+SU!F112+AX!F112+VW!F112+HY!F112+IN!F112+FR!F112+ST!F112+CH!F112+TC!F112+HSU!F112+HVW!F112+MZ!F112+BUGMC!F112+LX!F112+HD!F112+LT!F112+FBG!F112+FSU!F112+RLX!F112</f>
        <v>4500</v>
      </c>
      <c r="G112" s="54">
        <f>AS!G112+RI!G112+GA!G112+SP!G112+WR!G112+MA!G113+TBD!G112+WA!G112+GB!G112+WM!G112+SU!G112+AX!G112+VW!G112+HY!G112+IN!G112+FR!G112+ST!G112+CH!G112+TC!G112+HSU!G112+HVW!G112+MZ!G112+BUGMC!G112+LX!G112+HD!G112+LT!G112+FBG!G112+FSU!G112+RLX!G112</f>
        <v>4466</v>
      </c>
      <c r="H112" s="54">
        <f>AS!H112+RI!H112+GA!H112+SP!H112+WR!H112+MA!H113+TBD!H112+WA!H112+GB!H112+WM!H112+SU!H112+AX!H112+VW!H112+HY!H112+IN!H112+FR!H112+ST!H112+CH!H112+TC!H112+HSU!H112+HVW!H112+MZ!H112+BUGMC!H112+LX!H112+HD!H112+LT!H112+FBG!H112+FSU!H112+RLX!H112</f>
        <v>4664</v>
      </c>
      <c r="I112" s="54">
        <f>AS!I112+RI!I112+GA!I112+SP!I112+WR!I112+MA!I113+TBD!I112+WA!I112+GB!I112+WM!I112+SU!I112+AX!I112+VW!I112+HY!I112+IN!I112+FR!I112+ST!I112+CH!I112+TC!I112+HSU!I112+HVW!I112+MZ!I112+BUGMC!I112+LX!I112+HD!I112+LT!I112+FBG!I112+FSU!I112+RLX!I112</f>
        <v>4733</v>
      </c>
      <c r="J112" s="54">
        <f>AS!J112+RI!J112+GA!J112+SP!J112+WR!J112+MA!J113+TBD!J112+WA!J112+GB!J112+WM!J112+SU!J112+AX!J112+VW!J112+HY!J112+IN!J112+FR!J112+ST!J112+CH!J112+TC!J112+HSU!J112+HVW!J112+MZ!J112+BUGMC!J112+LX!J112+HD!J112+LT!J112+FBG!J112+FSU!J112+RLX!J112</f>
        <v>4421</v>
      </c>
      <c r="K112" s="54">
        <f>AS!K112+RI!K112+GA!K112+SP!K112+WR!K112+MA!K113+TBD!K112+WA!K112+GB!K112+WM!K112+SU!K112+AX!K112+VW!K112+HY!K112+IN!K112+FR!K112+ST!K112+CH!K112+TC!K112+HSU!K112+HVW!K112+MZ!K112+BUGMC!K112+LX!K112+HD!K112+LT!K112+FBG!K112+FSU!K112+RLX!K112</f>
        <v>4391</v>
      </c>
      <c r="L112" s="54">
        <f>AS!L112+RI!L112+GA!L112+SP!L112+WR!L112+MA!L113+TBD!L112+WA!L112+GB!L112+WM!L112+SU!L112+AX!L112+VW!L112+HY!L112+IN!L112+FR!L112+ST!L112+CH!L112+TC!L112+HSU!L112+HVW!L112+MZ!L112+BUGMC!L112+LX!L112+HD!L112+LT!L112+FBG!L112+FSU!L112+RLX!L112</f>
        <v>4416</v>
      </c>
      <c r="M112" s="54">
        <f>AS!M112+RI!M112+GA!M112+SP!M112+WR!M112+MA!M113+TBD!M112+WA!M112+GB!M112+WM!M112+SU!M112+AX!M112+VW!M112+HY!M112+IN!M112+FR!M112+ST!M112+CH!M112+TC!M112+HSU!M112+HVW!M112+MZ!M112+BUGMC!M112+LX!M112+HD!M112+LT!M112+FBG!M112+FSU!M112+RLX!M112</f>
        <v>4866</v>
      </c>
      <c r="N112" s="55">
        <f t="shared" si="20"/>
        <v>51880</v>
      </c>
      <c r="O112" s="18"/>
    </row>
    <row r="113" ht="13.5" customHeight="1">
      <c r="A113" s="56" t="s">
        <v>108</v>
      </c>
      <c r="B113" s="57">
        <f t="shared" ref="B113:N113" si="21">B109/B112</f>
        <v>385.1661394</v>
      </c>
      <c r="C113" s="58" t="str">
        <f t="shared" si="21"/>
        <v>#REF!</v>
      </c>
      <c r="D113" s="58" t="str">
        <f t="shared" si="21"/>
        <v>#REF!</v>
      </c>
      <c r="E113" s="58" t="str">
        <f t="shared" si="21"/>
        <v>#REF!</v>
      </c>
      <c r="F113" s="58" t="str">
        <f t="shared" si="21"/>
        <v>#REF!</v>
      </c>
      <c r="G113" s="58" t="str">
        <f t="shared" si="21"/>
        <v>#REF!</v>
      </c>
      <c r="H113" s="58" t="str">
        <f t="shared" si="21"/>
        <v>#REF!</v>
      </c>
      <c r="I113" s="58" t="str">
        <f t="shared" si="21"/>
        <v>#REF!</v>
      </c>
      <c r="J113" s="58" t="str">
        <f t="shared" si="21"/>
        <v>#REF!</v>
      </c>
      <c r="K113" s="58" t="str">
        <f t="shared" si="21"/>
        <v>#REF!</v>
      </c>
      <c r="L113" s="58" t="str">
        <f t="shared" si="21"/>
        <v>#REF!</v>
      </c>
      <c r="M113" s="58" t="str">
        <f t="shared" si="21"/>
        <v>#REF!</v>
      </c>
      <c r="N113" s="57" t="str">
        <f t="shared" si="21"/>
        <v>#REF!</v>
      </c>
      <c r="O113" s="18"/>
    </row>
    <row r="114" ht="13.5" customHeight="1">
      <c r="A114" s="34" t="s">
        <v>109</v>
      </c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14"/>
      <c r="O114" s="18"/>
    </row>
    <row r="115" ht="13.5" customHeight="1">
      <c r="A115" s="59" t="s">
        <v>110</v>
      </c>
      <c r="B115" s="16">
        <f>AS!B115+RI!B115+GA!B115+RLX!B115+SP!B115+WR!B115+MA!B116+TBD!B115+WA!B115+GB!B115+WM!B115+SU!B115+AX!B115+VW!B115+HY!B115+IN!B115+FR!B115+ST!B115+CH!B115+TC!B115+LX!B115+HSU!B115+HVW!B115+MZ!B115+BUGMC!B115+HD!B115+LT!B115+FBG!B115+FSU!B115</f>
        <v>30470</v>
      </c>
      <c r="C115" s="16">
        <f>AS!C115+RI!C115+GA!C115+RLX!C115+SP!C115+WR!C115+MA!C116+TBD!C115+WA!C115+GB!C115+WM!C115+SU!C115+AX!C115+VW!C115+HY!C115+IN!C115+FR!C115+ST!C115+CH!C115+TC!C115+LX!C115+HSU!C115+HVW!C115+MZ!C115+BUGMC!C115+HD!C115+LT!C115+FBG!C115+FSU!C115</f>
        <v>30470</v>
      </c>
      <c r="D115" s="16">
        <f>AS!D115+RI!D115+GA!D115+RLX!D115+SP!D115+WR!D115+MA!D116+TBD!D115+WA!D115+GB!D115+WM!D115+SU!D115+AX!D115+VW!D115+HY!D115+IN!D115+FR!D115+ST!D115+CH!D115+TC!D115+LX!D115+HSU!D115+HVW!D115+MZ!D115+BUGMC!D115+HD!D115+LT!D115+FBG!D115+FSU!D115</f>
        <v>30470</v>
      </c>
      <c r="E115" s="16">
        <f>AS!E115+RI!E115+GA!E115+RLX!E115+SP!E115+WR!E115+MA!E116+TBD!E115+WA!E115+GB!E115+WM!E115+SU!E115+AX!E115+VW!E115+HY!E115+IN!E115+FR!E115+ST!E115+CH!E115+TC!E115+LX!E115+HSU!E115+HVW!E115+MZ!E115+BUGMC!E115+HD!E115+LT!E115+FBG!E115+FSU!E115</f>
        <v>30470</v>
      </c>
      <c r="F115" s="16">
        <f>AS!F115+RI!F115+GA!F115+RLX!F115+SP!F115+WR!F115+MA!F116+TBD!F115+WA!F115+GB!F115+WM!F115+SU!F115+AX!F115+VW!F115+HY!F115+IN!F115+FR!F115+ST!F115+CH!F115+TC!F115+LX!F115+HSU!F115+HVW!F115+MZ!F115+BUGMC!F115+HD!F115+LT!F115+FBG!F115+FSU!F115</f>
        <v>30470</v>
      </c>
      <c r="G115" s="16">
        <f>AS!G115+RI!G115+GA!G115+RLX!G115+SP!G115+WR!G115+MA!G116+TBD!G115+WA!G115+GB!G115+WM!G115+SU!G115+AX!G115+VW!G115+HY!G115+IN!G115+FR!G115+ST!G115+CH!G115+TC!G115+LX!G115+HSU!G115+HVW!G115+MZ!G115+BUGMC!G115+HD!G115+LT!G115+FBG!G115+FSU!G115</f>
        <v>30470</v>
      </c>
      <c r="H115" s="16">
        <f>AS!H115+RI!H115+GA!H115+RLX!H115+SP!H115+WR!H115+MA!H116+TBD!H115+WA!H115+GB!H115+WM!H115+SU!H115+AX!H115+VW!H115+HY!H115+IN!H115+FR!H115+ST!H115+CH!H115+TC!H115+LX!H115+HSU!H115+HVW!H115+MZ!H115+BUGMC!H115+HD!H115+LT!H115+FBG!H115+FSU!H115</f>
        <v>30470</v>
      </c>
      <c r="I115" s="16">
        <f>AS!I115+RI!I115+GA!I115+RLX!I115+SP!I115+WR!I115+MA!I116+TBD!I115+WA!I115+GB!I115+WM!I115+SU!I115+AX!I115+VW!I115+HY!I115+IN!I115+FR!I115+ST!I115+CH!I115+TC!I115+LX!I115+HSU!I115+HVW!I115+MZ!I115+BUGMC!I115+HD!I115+LT!I115+FBG!I115+FSU!I115</f>
        <v>30470</v>
      </c>
      <c r="J115" s="16">
        <f>AS!J115+RI!J115+GA!J115+RLX!J115+SP!J115+WR!J115+MA!J116+TBD!J115+WA!J115+GB!J115+WM!J115+SU!J115+AX!J115+VW!J115+HY!J115+IN!J115+FR!J115+ST!J115+CH!J115+TC!J115+LX!J115+HSU!J115+HVW!J115+MZ!J115+BUGMC!J115+HD!J115+LT!J115+FBG!J115+FSU!J115</f>
        <v>30470</v>
      </c>
      <c r="K115" s="16">
        <f>AS!K115+RI!K115+GA!K115+RLX!K115+SP!K115+WR!K115+MA!K116+TBD!K115+WA!K115+GB!K115+WM!K115+SU!K115+AX!K115+VW!K115+HY!K115+IN!K115+FR!K115+ST!K115+CH!K115+TC!K115+LX!K115+HSU!K115+HVW!K115+MZ!K115+BUGMC!K115+HD!K115+LT!K115+FBG!K115+FSU!K115</f>
        <v>30470</v>
      </c>
      <c r="L115" s="16">
        <f>AS!L115+RI!L115+GA!L115+RLX!L115+SP!L115+WR!L115+MA!L116+TBD!L115+WA!L115+GB!L115+WM!L115+SU!L115+AX!L115+VW!L115+HY!L115+IN!L115+FR!L115+ST!L115+CH!L115+TC!L115+LX!L115+HSU!L115+HVW!L115+MZ!L115+BUGMC!L115+HD!L115+LT!L115+FBG!L115+FSU!L115</f>
        <v>30470</v>
      </c>
      <c r="M115" s="16">
        <f>AS!M115+RI!M115+GA!M115+RLX!M115+SP!M115+WR!M115+MA!M116+TBD!M115+WA!M115+GB!M115+WM!M115+SU!M115+AX!M115+VW!M115+HY!M115+IN!M115+FR!M115+ST!M115+CH!M115+TC!M115+LX!M115+HSU!M115+HVW!M115+MZ!M115+BUGMC!M115+HD!M115+LT!M115+FBG!M115+FSU!M115</f>
        <v>30470</v>
      </c>
      <c r="N115" s="17">
        <f t="shared" ref="N115:N120" si="22">SUM(B115:M115)</f>
        <v>365640</v>
      </c>
      <c r="O115" s="18"/>
    </row>
    <row r="116" ht="13.5" customHeight="1">
      <c r="A116" s="60" t="s">
        <v>111</v>
      </c>
      <c r="B116" s="16">
        <f>AS!B116+RI!B116+GA!B116+RLX!B116+SP!B116+WR!B116+MA!B117+TBD!B116+WA!B116+GB!B116+WM!B116+SU!B116+AX!B116+VW!B116+HY!B116+IN!B116+FR!B116+ST!B116+CH!B116+TC!B116+LX!B116+HSU!B116+HVW!B116+MZ!B116+BUGMC!B116+HD!B116+LT!B116+FBG!B116+FSU!B116</f>
        <v>18871</v>
      </c>
      <c r="C116" s="16">
        <f>AS!C116+RI!C116+GA!C116+RLX!C116+SP!C116+WR!C116+MA!C117+TBD!C116+WA!C116+GB!C116+WM!C116+SU!C116+AX!C116+VW!C116+HY!C116+IN!C116+FR!C116+ST!C116+CH!C116+TC!C116+LX!C116+HSU!C116+HVW!C116+MZ!C116+BUGMC!C116+HD!C116+LT!C116+FBG!C116+FSU!C116</f>
        <v>10871</v>
      </c>
      <c r="D116" s="16">
        <f>AS!D116+RI!D116+GA!D116+RLX!D116+SP!D116+WR!D116+MA!D117+TBD!D116+WA!D116+GB!D116+WM!D116+SU!D116+AX!D116+VW!D116+HY!D116+IN!D116+FR!D116+ST!D116+CH!D116+TC!D116+LX!D116+HSU!D116+HVW!D116+MZ!D116+BUGMC!D116+HD!D116+LT!D116+FBG!D116+FSU!D116</f>
        <v>11687.5</v>
      </c>
      <c r="E116" s="16">
        <f>AS!E116+RI!E116+GA!E116+RLX!E116+SP!E116+WR!E116+MA!E117+TBD!E116+WA!E116+GB!E116+WM!E116+SU!E116+AX!E116+VW!E116+HY!E116+IN!E116+FR!E116+ST!E116+CH!E116+TC!E116+LX!E116+HSU!E116+HVW!E116+MZ!E116+BUGMC!E116+HD!E116+LT!E116+FBG!E116+FSU!E116</f>
        <v>10871</v>
      </c>
      <c r="F116" s="16">
        <f>AS!F116+RI!F116+GA!F116+RLX!F116+SP!F116+WR!F116+MA!F117+TBD!F116+WA!F116+GB!F116+WM!F116+SU!F116+AX!F116+VW!F116+HY!F116+IN!F116+FR!F116+ST!F116+CH!F116+TC!F116+LX!F116+HSU!F116+HVW!F116+MZ!F116+BUGMC!F116+HD!F116+LT!F116+FBG!F116+FSU!F116</f>
        <v>11439</v>
      </c>
      <c r="G116" s="16">
        <f>AS!G116+RI!G116+GA!G116+RLX!G116+SP!G116+WR!G116+MA!G117+TBD!G116+WA!G116+GB!G116+WM!G116+SU!G116+AX!G116+VW!G116+HY!G116+IN!G116+FR!G116+ST!G116+CH!G116+TC!G116+LX!G116+HSU!G116+HVW!G116+MZ!G116+BUGMC!G116+HD!G116+LT!G116+FBG!G116+FSU!G116</f>
        <v>10871</v>
      </c>
      <c r="H116" s="16">
        <f>AS!H116+RI!H116+GA!H116+RLX!H116+SP!H116+WR!H116+MA!H117+TBD!H116+WA!H116+GB!H116+WM!H116+SU!H116+AX!H116+VW!H116+HY!H116+IN!H116+FR!H116+ST!H116+CH!H116+TC!H116+LX!H116+HSU!H116+HVW!H116+MZ!H116+BUGMC!H116+HD!H116+LT!H116+FBG!H116+FSU!H116</f>
        <v>10871</v>
      </c>
      <c r="I116" s="16">
        <f>AS!I116+RI!I116+GA!I116+RLX!I116+SP!I116+WR!I116+MA!I117+TBD!I116+WA!I116+GB!I116+WM!I116+SU!I116+AX!I116+VW!I116+HY!I116+IN!I116+FR!I116+ST!I116+CH!I116+TC!I116+LX!I116+HSU!I116+HVW!I116+MZ!I116+BUGMC!I116+HD!I116+LT!I116+FBG!I116+FSU!I116</f>
        <v>10871</v>
      </c>
      <c r="J116" s="16">
        <f>AS!J116+RI!J116+GA!J116+RLX!J116+SP!J116+WR!J116+MA!J117+TBD!J116+WA!J116+GB!J116+WM!J116+SU!J116+AX!J116+VW!J116+HY!J116+IN!J116+FR!J116+ST!J116+CH!J116+TC!J116+LX!J116+HSU!J116+HVW!J116+MZ!J116+BUGMC!J116+HD!J116+LT!J116+FBG!J116+FSU!J116</f>
        <v>10871</v>
      </c>
      <c r="K116" s="16">
        <f>AS!K116+RI!K116+GA!K116+RLX!K116+SP!K116+WR!K116+MA!K117+TBD!K116+WA!K116+GB!K116+WM!K116+SU!K116+AX!K116+VW!K116+HY!K116+IN!K116+FR!K116+ST!K116+CH!K116+TC!K116+LX!K116+HSU!K116+HVW!K116+MZ!K116+BUGMC!K116+HD!K116+LT!K116+FBG!K116+FSU!K116</f>
        <v>10871</v>
      </c>
      <c r="L116" s="16">
        <f>AS!L116+RI!L116+GA!L116+RLX!L116+SP!L116+WR!L116+MA!L117+TBD!L116+WA!L116+GB!L116+WM!L116+SU!L116+AX!L116+VW!L116+HY!L116+IN!L116+FR!L116+ST!L116+CH!L116+TC!L116+LX!L116+HSU!L116+HVW!L116+MZ!L116+BUGMC!L116+HD!L116+LT!L116+FBG!L116+FSU!L116</f>
        <v>10871</v>
      </c>
      <c r="M116" s="16">
        <f>AS!M116+RI!M116+GA!M116+RLX!M116+SP!M116+WR!M116+MA!M117+TBD!M116+WA!M116+GB!M116+WM!M116+SU!M116+AX!M116+VW!M116+HY!M116+IN!M116+FR!M116+ST!M116+CH!M116+TC!M116+LX!M116+HSU!M116+HVW!M116+MZ!M116+BUGMC!M116+HD!M116+LT!M116+FBG!M116+FSU!M116</f>
        <v>10871</v>
      </c>
      <c r="N116" s="17">
        <f t="shared" si="22"/>
        <v>139836.5</v>
      </c>
      <c r="O116" s="18"/>
    </row>
    <row r="117" ht="13.5" customHeight="1">
      <c r="A117" s="59" t="s">
        <v>112</v>
      </c>
      <c r="B117" s="16">
        <f>AS!B117+RI!B117+GA!B117+RLX!B117+SP!B117+WR!B117+MA!B118+TBD!B117+WA!B117+GB!B117+WM!B117+SU!B117+AX!B117+VW!B117+HY!B117+IN!B117+FR!B117+ST!B117+CH!B117+TC!B117+LX!B117+HSU!B117+HVW!B117+MZ!B117+BUGMC!B117+HD!B117+LT!B117+FBG!B117+FSU!B117</f>
        <v>72674.14</v>
      </c>
      <c r="C117" s="16">
        <f>AS!C117+RI!C117+GA!C117+RLX!C117+SP!C117+WR!C117+MA!C118+TBD!C117+WA!C117+GB!C117+WM!C117+SU!C117+AX!C117+VW!C117+HY!C117+IN!C117+FR!C117+ST!C117+CH!C117+TC!C117+LX!C117+HSU!C117+HVW!C117+MZ!C117+BUGMC!C117+HD!C117+LT!C117+FBG!C117+FSU!C117</f>
        <v>29100</v>
      </c>
      <c r="D117" s="16">
        <f>AS!D117+RI!D117+GA!D117+RLX!D117+SP!D117+WR!D117+MA!D118+TBD!D117+WA!D117+GB!D117+WM!D117+SU!D117+AX!D117+VW!D117+HY!D117+IN!D117+FR!D117+ST!D117+CH!D117+TC!D117+LX!D117+HSU!D117+HVW!D117+MZ!D117+BUGMC!D117+HD!D117+LT!D117+FBG!D117+FSU!D117</f>
        <v>29100</v>
      </c>
      <c r="E117" s="16">
        <f>AS!E117+RI!E117+GA!E117+RLX!E117+SP!E117+WR!E117+MA!E118+TBD!E117+WA!E117+GB!E117+WM!E117+SU!E117+AX!E117+VW!E117+HY!E117+IN!E117+FR!E117+ST!E117+CH!E117+TC!E117+LX!E117+HSU!E117+HVW!E117+MZ!E117+BUGMC!E117+HD!E117+LT!E117+FBG!E117+FSU!E117</f>
        <v>74904.94</v>
      </c>
      <c r="F117" s="16">
        <f>AS!F117+RI!F117+GA!F117+RLX!F117+SP!F117+WR!F117+MA!F118+TBD!F117+WA!F117+GB!F117+WM!F117+SU!F117+AX!F117+VW!F117+HY!F117+IN!F117+FR!F117+ST!F117+CH!F117+TC!F117+LX!F117+HSU!F117+HVW!F117+MZ!F117+BUGMC!F117+HD!F117+LT!F117+FBG!F117+FSU!F117</f>
        <v>29100</v>
      </c>
      <c r="G117" s="16">
        <f>AS!G117+RI!G117+GA!G117+RLX!G117+SP!G117+WR!G117+MA!G118+TBD!G117+WA!G117+GB!G117+WM!G117+SU!G117+AX!G117+VW!G117+HY!G117+IN!G117+FR!G117+ST!G117+CH!G117+TC!G117+LX!G117+HSU!G117+HVW!G117+MZ!G117+BUGMC!G117+HD!G117+LT!G117+FBG!G117+FSU!G117</f>
        <v>31024.08</v>
      </c>
      <c r="H117" s="16">
        <f>AS!H117+RI!H117+GA!H117+RLX!H117+SP!H117+WR!H117+MA!H118+TBD!H117+WA!H117+GB!H117+WM!H117+SU!H117+AX!H117+VW!H117+HY!H117+IN!H117+FR!H117+ST!H117+CH!H117+TC!H117+LX!H117+HSU!H117+HVW!H117+MZ!H117+BUGMC!H117+HD!H117+LT!H117+FBG!H117+FSU!H117</f>
        <v>72674.14</v>
      </c>
      <c r="I117" s="16">
        <f>AS!I117+RI!I117+GA!I117+RLX!I117+SP!I117+WR!I117+MA!I118+TBD!I117+WA!I117+GB!I117+WM!I117+SU!I117+AX!I117+VW!I117+HY!I117+IN!I117+FR!I117+ST!I117+CH!I117+TC!I117+LX!I117+HSU!I117+HVW!I117+MZ!I117+BUGMC!I117+HD!I117+LT!I117+FBG!I117+FSU!I117</f>
        <v>31024.08</v>
      </c>
      <c r="J117" s="16">
        <f>AS!J117+RI!J117+GA!J117+RLX!J117+SP!J117+WR!J117+MA!J118+TBD!J117+WA!J117+GB!J117+WM!J117+SU!J117+AX!J117+VW!J117+HY!J117+IN!J117+FR!J117+ST!J117+CH!J117+TC!J117+LX!J117+HSU!J117+HVW!J117+MZ!J117+BUGMC!J117+HD!J117+LT!J117+FBG!J117+FSU!J117</f>
        <v>29100</v>
      </c>
      <c r="K117" s="16">
        <f>AS!K117+RI!K117+GA!K117+RLX!K117+SP!K117+WR!K117+MA!K118+TBD!K117+WA!K117+GB!K117+WM!K117+SU!K117+AX!K117+VW!K117+HY!K117+IN!K117+FR!K117+ST!K117+CH!K117+TC!K117+LX!K117+HSU!K117+HVW!K117+MZ!K117+BUGMC!K117+HD!K117+LT!K117+FBG!K117+FSU!K117</f>
        <v>73216.18</v>
      </c>
      <c r="L117" s="16">
        <f>AS!L117+RI!L117+GA!L117+RLX!L117+SP!L117+WR!L117+MA!L118+TBD!L117+WA!L117+GB!L117+WM!L117+SU!L117+AX!L117+VW!L117+HY!L117+IN!L117+FR!L117+ST!L117+CH!L117+TC!L117+LX!L117+HSU!L117+HVW!L117+MZ!L117+BUGMC!L117+HD!L117+LT!L117+FBG!L117+FSU!L117</f>
        <v>29100</v>
      </c>
      <c r="M117" s="16">
        <f>AS!M117+RI!M117+GA!M117+RLX!M117+SP!M117+WR!M117+MA!M118+TBD!M117+WA!M117+GB!M117+WM!M117+SU!M117+AX!M117+VW!M117+HY!M117+IN!M117+FR!M117+ST!M117+CH!M117+TC!M117+LX!M117+HSU!M117+HVW!M117+MZ!M117+BUGMC!M117+HD!M117+LT!M117+FBG!M117+FSU!M117</f>
        <v>31024.08</v>
      </c>
      <c r="N117" s="17">
        <f t="shared" si="22"/>
        <v>532041.64</v>
      </c>
      <c r="O117" s="18"/>
    </row>
    <row r="118" ht="13.5" customHeight="1">
      <c r="A118" s="59" t="s">
        <v>80</v>
      </c>
      <c r="B118" s="16">
        <f>AS!B118+RI!B118+GA!B118+RLX!B118+SP!B118+WR!B118+MA!B119+TBD!B118+WA!B118+GB!B118+WM!B118+SU!B118+AX!B118+VW!B118+HY!B118+IN!B118+FR!B118+ST!B118+CH!B118+TC!B118+LX!B118+HSU!B118+HVW!B118+MZ!B118+BUGMC!B118+HD!B118+LT!B118+FBG!B118+FSU!B118</f>
        <v>21836.3</v>
      </c>
      <c r="C118" s="16">
        <f>AS!C118+RI!C118+GA!C118+RLX!C118+SP!C118+WR!C118+MA!C119+TBD!C118+WA!C118+GB!C118+WM!C118+SU!C118+AX!C118+VW!C118+HY!C118+IN!C118+FR!C118+ST!C118+CH!C118+TC!C118+LX!C118+HSU!C118+HVW!C118+MZ!C118+BUGMC!C118+HD!C118+LT!C118+FBG!C118+FSU!C118</f>
        <v>24336.3</v>
      </c>
      <c r="D118" s="16">
        <f>AS!D118+RI!D118+GA!D118+RLX!D118+SP!D118+WR!D118+MA!D119+TBD!D118+WA!D118+GB!D118+WM!D118+SU!D118+AX!D118+VW!D118+HY!D118+IN!D118+FR!D118+ST!D118+CH!D118+TC!D118+LX!D118+HSU!D118+HVW!D118+MZ!D118+BUGMC!D118+HD!D118+LT!D118+FBG!D118+FSU!D118</f>
        <v>24336.3</v>
      </c>
      <c r="E118" s="16">
        <f>AS!E118+RI!E118+GA!E118+RLX!E118+SP!E118+WR!E118+MA!E119+TBD!E118+WA!E118+GB!E118+WM!E118+SU!E118+AX!E118+VW!E118+HY!E118+IN!E118+FR!E118+ST!E118+CH!E118+TC!E118+LX!E118+HSU!E118+HVW!E118+MZ!E118+BUGMC!E118+HD!E118+LT!E118+FBG!E118+FSU!E118</f>
        <v>21836.3</v>
      </c>
      <c r="F118" s="16">
        <f>AS!F118+RI!F118+GA!F118+RLX!F118+SP!F118+WR!F118+MA!F119+TBD!F118+WA!F118+GB!F118+WM!F118+SU!F118+AX!F118+VW!F118+HY!F118+IN!F118+FR!F118+ST!F118+CH!F118+TC!F118+LX!F118+HSU!F118+HVW!F118+MZ!F118+BUGMC!F118+HD!F118+LT!F118+FBG!F118+FSU!F118</f>
        <v>21836.3</v>
      </c>
      <c r="G118" s="16">
        <f>AS!G118+RI!G118+GA!G118+RLX!G118+SP!G118+WR!G118+MA!G119+TBD!G118+WA!G118+GB!G118+WM!G118+SU!G118+AX!G118+VW!G118+HY!G118+IN!G118+FR!G118+ST!G118+CH!G118+TC!G118+LX!G118+HSU!G118+HVW!G118+MZ!G118+BUGMC!G118+HD!G118+LT!G118+FBG!G118+FSU!G118</f>
        <v>21836.3</v>
      </c>
      <c r="H118" s="16">
        <f>AS!H118+RI!H118+GA!H118+RLX!H118+SP!H118+WR!H118+MA!H119+TBD!H118+WA!H118+GB!H118+WM!H118+SU!H118+AX!H118+VW!H118+HY!H118+IN!H118+FR!H118+ST!H118+CH!H118+TC!H118+LX!H118+HSU!H118+HVW!H118+MZ!H118+BUGMC!H118+HD!H118+LT!H118+FBG!H118+FSU!H118</f>
        <v>21836.3</v>
      </c>
      <c r="I118" s="16">
        <f>AS!I118+RI!I118+GA!I118+RLX!I118+SP!I118+WR!I118+MA!I119+TBD!I118+WA!I118+GB!I118+WM!I118+SU!I118+AX!I118+VW!I118+HY!I118+IN!I118+FR!I118+ST!I118+CH!I118+TC!I118+LX!I118+HSU!I118+HVW!I118+MZ!I118+BUGMC!I118+HD!I118+LT!I118+FBG!I118+FSU!I118</f>
        <v>21836.3</v>
      </c>
      <c r="J118" s="16">
        <f>AS!J118+RI!J118+GA!J118+RLX!J118+SP!J118+WR!J118+MA!J119+TBD!J118+WA!J118+GB!J118+WM!J118+SU!J118+AX!J118+VW!J118+HY!J118+IN!J118+FR!J118+ST!J118+CH!J118+TC!J118+LX!J118+HSU!J118+HVW!J118+MZ!J118+BUGMC!J118+HD!J118+LT!J118+FBG!J118+FSU!J118</f>
        <v>21836.3</v>
      </c>
      <c r="K118" s="16">
        <f>AS!K118+RI!K118+GA!K118+RLX!K118+SP!K118+WR!K118+MA!K119+TBD!K118+WA!K118+GB!K118+WM!K118+SU!K118+AX!K118+VW!K118+HY!K118+IN!K118+FR!K118+ST!K118+CH!K118+TC!K118+LX!K118+HSU!K118+HVW!K118+MZ!K118+BUGMC!K118+HD!K118+LT!K118+FBG!K118+FSU!K118</f>
        <v>21836.3</v>
      </c>
      <c r="L118" s="16">
        <f>AS!L118+RI!L118+GA!L118+RLX!L118+SP!L118+WR!L118+MA!L119+TBD!L118+WA!L118+GB!L118+WM!L118+SU!L118+AX!L118+VW!L118+HY!L118+IN!L118+FR!L118+ST!L118+CH!L118+TC!L118+LX!L118+HSU!L118+HVW!L118+MZ!L118+BUGMC!L118+HD!L118+LT!L118+FBG!L118+FSU!L118</f>
        <v>21836.3</v>
      </c>
      <c r="M118" s="16">
        <f>AS!M118+RI!M118+GA!M118+RLX!M118+SP!M118+WR!M118+MA!M119+TBD!M118+WA!M118+GB!M118+WM!M118+SU!M118+AX!M118+VW!M118+HY!M118+IN!M118+FR!M118+ST!M118+CH!M118+TC!M118+LX!M118+HSU!M118+HVW!M118+MZ!M118+BUGMC!M118+HD!M118+LT!M118+FBG!M118+FSU!M118</f>
        <v>21836.3</v>
      </c>
      <c r="N118" s="17">
        <f t="shared" si="22"/>
        <v>267035.6</v>
      </c>
      <c r="O118" s="18"/>
    </row>
    <row r="119" ht="13.5" customHeight="1">
      <c r="A119" s="61" t="s">
        <v>113</v>
      </c>
      <c r="B119" s="16">
        <f>AS!B119+RI!B119+GA!B119+RLX!B119+SP!B119+WR!B119+MA!B120+TBD!B119+WA!B119+GB!B119+WM!B119+SU!B119+AX!B119+VW!B119+HY!B119+IN!B119+FR!B119+ST!B119+CH!B119+TC!B119+LX!B119+HSU!B119+HVW!B119+MZ!B119+BUGMC!B119+HD!B119+LT!B119+FBG!B119+FSU!B119</f>
        <v>10124</v>
      </c>
      <c r="C119" s="16">
        <f>AS!C119+RI!C119+GA!C119+RLX!C119+SP!C119+WR!C119+MA!C120+TBD!C119+WA!C119+GB!C119+WM!C119+SU!C119+AX!C119+VW!C119+HY!C119+IN!C119+FR!C119+ST!C119+CH!C119+TC!C119+LX!C119+HSU!C119+HVW!C119+MZ!C119+BUGMC!C119+HD!C119+LT!C119+FBG!C119+FSU!C119</f>
        <v>10124</v>
      </c>
      <c r="D119" s="16">
        <f>AS!D119+RI!D119+GA!D119+RLX!D119+SP!D119+WR!D119+MA!D120+TBD!D119+WA!D119+GB!D119+WM!D119+SU!D119+AX!D119+VW!D119+HY!D119+IN!D119+FR!D119+ST!D119+CH!D119+TC!D119+LX!D119+HSU!D119+HVW!D119+MZ!D119+BUGMC!D119+HD!D119+LT!D119+FBG!D119+FSU!D119</f>
        <v>10124</v>
      </c>
      <c r="E119" s="16">
        <f>AS!E119+RI!E119+GA!E119+RLX!E119+SP!E119+WR!E119+MA!E120+TBD!E119+WA!E119+GB!E119+WM!E119+SU!E119+AX!E119+VW!E119+HY!E119+IN!E119+FR!E119+ST!E119+CH!E119+TC!E119+LX!E119+HSU!E119+HVW!E119+MZ!E119+BUGMC!E119+HD!E119+LT!E119+FBG!E119+FSU!E119</f>
        <v>10124</v>
      </c>
      <c r="F119" s="16">
        <f>AS!F119+RI!F119+GA!F119+RLX!F119+SP!F119+WR!F119+MA!F120+TBD!F119+WA!F119+GB!F119+WM!F119+SU!F119+AX!F119+VW!F119+HY!F119+IN!F119+FR!F119+ST!F119+CH!F119+TC!F119+LX!F119+HSU!F119+HVW!F119+MZ!F119+BUGMC!F119+HD!F119+LT!F119+FBG!F119+FSU!F119</f>
        <v>10124</v>
      </c>
      <c r="G119" s="16">
        <f>AS!G119+RI!G119+GA!G119+RLX!G119+SP!G119+WR!G119+MA!G120+TBD!G119+WA!G119+GB!G119+WM!G119+SU!G119+AX!G119+VW!G119+HY!G119+IN!G119+FR!G119+ST!G119+CH!G119+TC!G119+LX!G119+HSU!G119+HVW!G119+MZ!G119+BUGMC!G119+HD!G119+LT!G119+FBG!G119+FSU!G119</f>
        <v>10124</v>
      </c>
      <c r="H119" s="16">
        <f>AS!H119+RI!H119+GA!H119+RLX!H119+SP!H119+WR!H119+MA!H120+TBD!H119+WA!H119+GB!H119+WM!H119+SU!H119+AX!H119+VW!H119+HY!H119+IN!H119+FR!H119+ST!H119+CH!H119+TC!H119+LX!H119+HSU!H119+HVW!H119+MZ!H119+BUGMC!H119+HD!H119+LT!H119+FBG!H119+FSU!H119</f>
        <v>10124</v>
      </c>
      <c r="I119" s="16">
        <f>AS!I119+RI!I119+GA!I119+RLX!I119+SP!I119+WR!I119+MA!I120+TBD!I119+WA!I119+GB!I119+WM!I119+SU!I119+AX!I119+VW!I119+HY!I119+IN!I119+FR!I119+ST!I119+CH!I119+TC!I119+LX!I119+HSU!I119+HVW!I119+MZ!I119+BUGMC!I119+HD!I119+LT!I119+FBG!I119+FSU!I119</f>
        <v>10124</v>
      </c>
      <c r="J119" s="16">
        <f>AS!J119+RI!J119+GA!J119+RLX!J119+SP!J119+WR!J119+MA!J120+TBD!J119+WA!J119+GB!J119+WM!J119+SU!J119+AX!J119+VW!J119+HY!J119+IN!J119+FR!J119+ST!J119+CH!J119+TC!J119+LX!J119+HSU!J119+HVW!J119+MZ!J119+BUGMC!J119+HD!J119+LT!J119+FBG!J119+FSU!J119</f>
        <v>10124</v>
      </c>
      <c r="K119" s="16">
        <f>AS!K119+RI!K119+GA!K119+RLX!K119+SP!K119+WR!K119+MA!K120+TBD!K119+WA!K119+GB!K119+WM!K119+SU!K119+AX!K119+VW!K119+HY!K119+IN!K119+FR!K119+ST!K119+CH!K119+TC!K119+LX!K119+HSU!K119+HVW!K119+MZ!K119+BUGMC!K119+HD!K119+LT!K119+FBG!K119+FSU!K119</f>
        <v>10124</v>
      </c>
      <c r="L119" s="16">
        <f>AS!L119+RI!L119+GA!L119+RLX!L119+SP!L119+WR!L119+MA!L120+TBD!L119+WA!L119+GB!L119+WM!L119+SU!L119+AX!L119+VW!L119+HY!L119+IN!L119+FR!L119+ST!L119+CH!L119+TC!L119+LX!L119+HSU!L119+HVW!L119+MZ!L119+BUGMC!L119+HD!L119+LT!L119+FBG!L119+FSU!L119</f>
        <v>10124</v>
      </c>
      <c r="M119" s="16">
        <f>AS!M119+RI!M119+GA!M119+RLX!M119+SP!M119+WR!M119+MA!M120+TBD!M119+WA!M119+GB!M119+WM!M119+SU!M119+AX!M119+VW!M119+HY!M119+IN!M119+FR!M119+ST!M119+CH!M119+TC!M119+LX!M119+HSU!M119+HVW!M119+MZ!M119+BUGMC!M119+HD!M119+LT!M119+FBG!M119+FSU!M119</f>
        <v>10124</v>
      </c>
      <c r="N119" s="17">
        <f t="shared" si="22"/>
        <v>121488</v>
      </c>
      <c r="O119" s="18"/>
    </row>
    <row r="120" ht="13.5" customHeight="1">
      <c r="A120" s="62" t="s">
        <v>114</v>
      </c>
      <c r="B120" s="16">
        <f>AS!B120+RI!B120+GA!B120+RLX!B120+SP!B120+WR!B120+MA!B121+TBD!B120+WA!B120+GB!B120+WM!B120+SU!B120+AX!B120+VW!B120+HY!B120+IN!B120+FR!B120+ST!B120+CH!B120+TC!B120+LX!B120+HSU!B120+HVW!B120+MZ!B120+BUGMC!B120+HD!B120+LT!B120+FBG!B120+FSU!B120</f>
        <v>45658</v>
      </c>
      <c r="C120" s="16">
        <f>AS!C120+RI!C120+GA!C120+RLX!C120+SP!C120+WR!C120+MA!C121+TBD!C120+WA!C120+GB!C120+WM!C120+SU!C120+AX!C120+VW!C120+HY!C120+IN!C120+FR!C120+ST!C120+CH!C120+TC!C120+LX!C120+HSU!C120+HVW!C120+MZ!C120+BUGMC!C120+HD!C120+LT!C120+FBG!C120+FSU!C120</f>
        <v>47433</v>
      </c>
      <c r="D120" s="16">
        <f>AS!D120+RI!D120+GA!D120+RLX!D120+SP!D120+WR!D120+MA!D121+TBD!D120+WA!D120+GB!D120+WM!D120+SU!D120+AX!D120+VW!D120+HY!D120+IN!D120+FR!D120+ST!D120+CH!D120+TC!D120+LX!D120+HSU!D120+HVW!D120+MZ!D120+BUGMC!D120+HD!D120+LT!D120+FBG!D120+FSU!D120</f>
        <v>47433</v>
      </c>
      <c r="E120" s="16">
        <f>AS!E120+RI!E120+GA!E120+RLX!E120+SP!E120+WR!E120+MA!E121+TBD!E120+WA!E120+GB!E120+WM!E120+SU!E120+AX!E120+VW!E120+HY!E120+IN!E120+FR!E120+ST!E120+CH!E120+TC!E120+LX!E120+HSU!E120+HVW!E120+MZ!E120+BUGMC!E120+HD!E120+LT!E120+FBG!E120+FSU!E120</f>
        <v>47433</v>
      </c>
      <c r="F120" s="16">
        <f>AS!F120+RI!F120+GA!F120+RLX!F120+SP!F120+WR!F120+MA!F121+TBD!F120+WA!F120+GB!F120+WM!F120+SU!F120+AX!F120+VW!F120+HY!F120+IN!F120+FR!F120+ST!F120+CH!F120+TC!F120+LX!F120+HSU!F120+HVW!F120+MZ!F120+BUGMC!F120+HD!F120+LT!F120+FBG!F120+FSU!F120</f>
        <v>47433</v>
      </c>
      <c r="G120" s="16">
        <f>AS!G120+RI!G120+GA!G120+RLX!G120+SP!G120+WR!G120+MA!G121+TBD!G120+WA!G120+GB!G120+WM!G120+SU!G120+AX!G120+VW!G120+HY!G120+IN!G120+FR!G120+ST!G120+CH!G120+TC!G120+LX!G120+HSU!G120+HVW!G120+MZ!G120+BUGMC!G120+HD!G120+LT!G120+FBG!G120+FSU!G120</f>
        <v>47433</v>
      </c>
      <c r="H120" s="16">
        <f>AS!H120+RI!H120+GA!H120+RLX!H120+SP!H120+WR!H120+MA!H121+TBD!H120+WA!H120+GB!H120+WM!H120+SU!H120+AX!H120+VW!H120+HY!H120+IN!H120+FR!H120+ST!H120+CH!H120+TC!H120+LX!H120+HSU!H120+HVW!H120+MZ!H120+BUGMC!H120+HD!H120+LT!H120+FBG!H120+FSU!H120</f>
        <v>47433</v>
      </c>
      <c r="I120" s="16">
        <f>AS!I120+RI!I120+GA!I120+RLX!I120+SP!I120+WR!I120+MA!I121+TBD!I120+WA!I120+GB!I120+WM!I120+SU!I120+AX!I120+VW!I120+HY!I120+IN!I120+FR!I120+ST!I120+CH!I120+TC!I120+LX!I120+HSU!I120+HVW!I120+MZ!I120+BUGMC!I120+HD!I120+LT!I120+FBG!I120+FSU!I120</f>
        <v>47433</v>
      </c>
      <c r="J120" s="16">
        <f>AS!J120+RI!J120+GA!J120+RLX!J120+SP!J120+WR!J120+MA!J121+TBD!J120+WA!J120+GB!J120+WM!J120+SU!J120+AX!J120+VW!J120+HY!J120+IN!J120+FR!J120+ST!J120+CH!J120+TC!J120+LX!J120+HSU!J120+HVW!J120+MZ!J120+BUGMC!J120+HD!J120+LT!J120+FBG!J120+FSU!J120</f>
        <v>47433</v>
      </c>
      <c r="K120" s="16">
        <f>AS!K120+RI!K120+GA!K120+RLX!K120+SP!K120+WR!K120+MA!K121+TBD!K120+WA!K120+GB!K120+WM!K120+SU!K120+AX!K120+VW!K120+HY!K120+IN!K120+FR!K120+ST!K120+CH!K120+TC!K120+LX!K120+HSU!K120+HVW!K120+MZ!K120+BUGMC!K120+HD!K120+LT!K120+FBG!K120+FSU!K120</f>
        <v>52071</v>
      </c>
      <c r="L120" s="16">
        <f>AS!L120+RI!L120+GA!L120+RLX!L120+SP!L120+WR!L120+MA!L121+TBD!L120+WA!L120+GB!L120+WM!L120+SU!L120+AX!L120+VW!L120+HY!L120+IN!L120+FR!L120+ST!L120+CH!L120+TC!L120+LX!L120+HSU!L120+HVW!L120+MZ!L120+BUGMC!L120+HD!L120+LT!L120+FBG!L120+FSU!L120</f>
        <v>47433</v>
      </c>
      <c r="M120" s="16">
        <f>AS!M120+RI!M120+GA!M120+RLX!M120+SP!M120+WR!M120+MA!M121+TBD!M120+WA!M120+GB!M120+WM!M120+SU!M120+AX!M120+VW!M120+HY!M120+IN!M120+FR!M120+ST!M120+CH!M120+TC!M120+LX!M120+HSU!M120+HVW!M120+MZ!M120+BUGMC!M120+HD!M120+LT!M120+FBG!M120+FSU!M120</f>
        <v>47433</v>
      </c>
      <c r="N120" s="17">
        <f t="shared" si="22"/>
        <v>572059</v>
      </c>
      <c r="O120" s="18"/>
    </row>
    <row r="121" ht="13.5" customHeight="1">
      <c r="A121" s="45" t="s">
        <v>23</v>
      </c>
      <c r="B121" s="63">
        <f t="shared" ref="B121:N121" si="23">SUM(B115:B120)</f>
        <v>199633.44</v>
      </c>
      <c r="C121" s="63">
        <f t="shared" si="23"/>
        <v>152334.3</v>
      </c>
      <c r="D121" s="63">
        <f t="shared" si="23"/>
        <v>153150.8</v>
      </c>
      <c r="E121" s="63">
        <f t="shared" si="23"/>
        <v>195639.24</v>
      </c>
      <c r="F121" s="63">
        <f t="shared" si="23"/>
        <v>150402.3</v>
      </c>
      <c r="G121" s="63">
        <f t="shared" si="23"/>
        <v>151758.38</v>
      </c>
      <c r="H121" s="63">
        <f t="shared" si="23"/>
        <v>193408.44</v>
      </c>
      <c r="I121" s="63">
        <f t="shared" si="23"/>
        <v>151758.38</v>
      </c>
      <c r="J121" s="63">
        <f t="shared" si="23"/>
        <v>149834.3</v>
      </c>
      <c r="K121" s="63">
        <f t="shared" si="23"/>
        <v>198588.48</v>
      </c>
      <c r="L121" s="63">
        <f t="shared" si="23"/>
        <v>149834.3</v>
      </c>
      <c r="M121" s="63">
        <f t="shared" si="23"/>
        <v>151758.38</v>
      </c>
      <c r="N121" s="63">
        <f t="shared" si="23"/>
        <v>1998100.74</v>
      </c>
      <c r="O121" s="18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4"/>
    </row>
    <row r="123" ht="13.5" customHeight="1">
      <c r="A123" s="64" t="s">
        <v>115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6"/>
    </row>
    <row r="124" ht="13.5" customHeight="1">
      <c r="A124" s="64" t="s">
        <v>116</v>
      </c>
      <c r="B124" s="67">
        <f t="shared" ref="B124:N124" si="24">+B13*0.7+B21*0.7+B32*0.7+B52*0.6+B70+B107*0.6</f>
        <v>897043.84</v>
      </c>
      <c r="C124" s="67" t="str">
        <f t="shared" si="24"/>
        <v>#REF!</v>
      </c>
      <c r="D124" s="67" t="str">
        <f t="shared" si="24"/>
        <v>#REF!</v>
      </c>
      <c r="E124" s="67" t="str">
        <f t="shared" si="24"/>
        <v>#REF!</v>
      </c>
      <c r="F124" s="67" t="str">
        <f t="shared" si="24"/>
        <v>#REF!</v>
      </c>
      <c r="G124" s="67" t="str">
        <f t="shared" si="24"/>
        <v>#REF!</v>
      </c>
      <c r="H124" s="67" t="str">
        <f t="shared" si="24"/>
        <v>#REF!</v>
      </c>
      <c r="I124" s="67" t="str">
        <f t="shared" si="24"/>
        <v>#REF!</v>
      </c>
      <c r="J124" s="67" t="str">
        <f t="shared" si="24"/>
        <v>#REF!</v>
      </c>
      <c r="K124" s="67" t="str">
        <f t="shared" si="24"/>
        <v>#REF!</v>
      </c>
      <c r="L124" s="67" t="str">
        <f t="shared" si="24"/>
        <v>#REF!</v>
      </c>
      <c r="M124" s="67" t="str">
        <f t="shared" si="24"/>
        <v>#REF!</v>
      </c>
      <c r="N124" s="67">
        <f t="shared" si="24"/>
        <v>12244863.21</v>
      </c>
      <c r="O124" s="4"/>
    </row>
    <row r="125" ht="13.5" customHeight="1">
      <c r="A125" s="64" t="s">
        <v>117</v>
      </c>
      <c r="B125" s="67">
        <f t="shared" ref="B125:N125" si="25">+B13*0.3+B21*0.3+B32*0.3+B52*0.4+B82+B90+B107*0.4</f>
        <v>434860.67</v>
      </c>
      <c r="C125" s="67">
        <f t="shared" si="25"/>
        <v>461754.278</v>
      </c>
      <c r="D125" s="67">
        <f t="shared" si="25"/>
        <v>499462.441</v>
      </c>
      <c r="E125" s="67">
        <f t="shared" si="25"/>
        <v>492905.27</v>
      </c>
      <c r="F125" s="67">
        <f t="shared" si="25"/>
        <v>531593.4869</v>
      </c>
      <c r="G125" s="67">
        <f t="shared" si="25"/>
        <v>527020.57</v>
      </c>
      <c r="H125" s="67">
        <f t="shared" si="25"/>
        <v>471287.97</v>
      </c>
      <c r="I125" s="67">
        <f t="shared" si="25"/>
        <v>478520.574</v>
      </c>
      <c r="J125" s="67">
        <f t="shared" si="25"/>
        <v>498554.338</v>
      </c>
      <c r="K125" s="67">
        <f t="shared" si="25"/>
        <v>511275.764</v>
      </c>
      <c r="L125" s="67">
        <f t="shared" si="25"/>
        <v>528008.828</v>
      </c>
      <c r="M125" s="67">
        <f t="shared" si="25"/>
        <v>534603.728</v>
      </c>
      <c r="N125" s="67">
        <f t="shared" si="25"/>
        <v>5978097.918</v>
      </c>
      <c r="O125" s="4"/>
    </row>
    <row r="126" ht="13.5" customHeight="1">
      <c r="A126" s="64" t="s">
        <v>23</v>
      </c>
      <c r="B126" s="67">
        <f t="shared" ref="B126:N126" si="26">SUM(B124:B125)</f>
        <v>1331904.51</v>
      </c>
      <c r="C126" s="67" t="str">
        <f t="shared" si="26"/>
        <v>#REF!</v>
      </c>
      <c r="D126" s="67" t="str">
        <f t="shared" si="26"/>
        <v>#REF!</v>
      </c>
      <c r="E126" s="67" t="str">
        <f t="shared" si="26"/>
        <v>#REF!</v>
      </c>
      <c r="F126" s="67" t="str">
        <f t="shared" si="26"/>
        <v>#REF!</v>
      </c>
      <c r="G126" s="67" t="str">
        <f t="shared" si="26"/>
        <v>#REF!</v>
      </c>
      <c r="H126" s="67" t="str">
        <f t="shared" si="26"/>
        <v>#REF!</v>
      </c>
      <c r="I126" s="67" t="str">
        <f t="shared" si="26"/>
        <v>#REF!</v>
      </c>
      <c r="J126" s="67" t="str">
        <f t="shared" si="26"/>
        <v>#REF!</v>
      </c>
      <c r="K126" s="67" t="str">
        <f t="shared" si="26"/>
        <v>#REF!</v>
      </c>
      <c r="L126" s="67" t="str">
        <f t="shared" si="26"/>
        <v>#REF!</v>
      </c>
      <c r="M126" s="67" t="str">
        <f t="shared" si="26"/>
        <v>#REF!</v>
      </c>
      <c r="N126" s="67">
        <f t="shared" si="26"/>
        <v>18222961.13</v>
      </c>
      <c r="O126" s="4"/>
    </row>
    <row r="127" ht="13.5" customHeight="1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4"/>
    </row>
    <row r="128" ht="13.5" customHeight="1">
      <c r="A128" s="69" t="s">
        <v>118</v>
      </c>
      <c r="B128" s="70">
        <f t="shared" ref="B128:N128" si="27">+B109</f>
        <v>1331904.51</v>
      </c>
      <c r="C128" s="70" t="str">
        <f t="shared" si="27"/>
        <v>#REF!</v>
      </c>
      <c r="D128" s="70" t="str">
        <f t="shared" si="27"/>
        <v>#REF!</v>
      </c>
      <c r="E128" s="70" t="str">
        <f t="shared" si="27"/>
        <v>#REF!</v>
      </c>
      <c r="F128" s="70" t="str">
        <f t="shared" si="27"/>
        <v>#REF!</v>
      </c>
      <c r="G128" s="70" t="str">
        <f t="shared" si="27"/>
        <v>#REF!</v>
      </c>
      <c r="H128" s="70" t="str">
        <f t="shared" si="27"/>
        <v>#REF!</v>
      </c>
      <c r="I128" s="70" t="str">
        <f t="shared" si="27"/>
        <v>#REF!</v>
      </c>
      <c r="J128" s="70" t="str">
        <f t="shared" si="27"/>
        <v>#REF!</v>
      </c>
      <c r="K128" s="70" t="str">
        <f t="shared" si="27"/>
        <v>#REF!</v>
      </c>
      <c r="L128" s="70" t="str">
        <f t="shared" si="27"/>
        <v>#REF!</v>
      </c>
      <c r="M128" s="70" t="str">
        <f t="shared" si="27"/>
        <v>#REF!</v>
      </c>
      <c r="N128" s="70" t="str">
        <f t="shared" si="27"/>
        <v>#REF!</v>
      </c>
      <c r="O128" s="4"/>
    </row>
    <row r="129" ht="13.5" customHeight="1">
      <c r="A129" s="69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4"/>
    </row>
    <row r="130" ht="13.5" customHeight="1">
      <c r="A130" s="71" t="s">
        <v>119</v>
      </c>
      <c r="B130" s="72">
        <v>1538.0</v>
      </c>
      <c r="C130" s="72">
        <v>1538.0</v>
      </c>
      <c r="D130" s="72">
        <v>1148.0</v>
      </c>
      <c r="E130" s="72">
        <v>1050.0</v>
      </c>
      <c r="F130" s="72">
        <v>1721.0</v>
      </c>
      <c r="G130" s="72">
        <v>1721.0</v>
      </c>
      <c r="H130" s="72">
        <v>1794.0</v>
      </c>
      <c r="I130" s="72">
        <v>1906.0</v>
      </c>
      <c r="J130" s="72">
        <v>1860.0</v>
      </c>
      <c r="K130" s="72">
        <v>1700.0</v>
      </c>
      <c r="L130" s="72">
        <v>1965.0</v>
      </c>
      <c r="M130" s="72">
        <v>2272.0</v>
      </c>
      <c r="N130" s="73">
        <f t="shared" ref="N130:N131" si="28">SUM(B130:M130)</f>
        <v>20213</v>
      </c>
      <c r="O130" s="4"/>
    </row>
    <row r="131" ht="13.5" customHeight="1">
      <c r="A131" s="71" t="s">
        <v>120</v>
      </c>
      <c r="B131" s="72">
        <v>1897.0</v>
      </c>
      <c r="C131" s="72">
        <v>1807.0</v>
      </c>
      <c r="D131" s="72">
        <v>1603.0</v>
      </c>
      <c r="E131" s="72">
        <v>1339.0</v>
      </c>
      <c r="F131" s="72">
        <v>1934.0</v>
      </c>
      <c r="G131" s="72">
        <v>1938.0</v>
      </c>
      <c r="H131" s="72">
        <v>1807.0</v>
      </c>
      <c r="I131" s="72">
        <v>1511.0</v>
      </c>
      <c r="J131" s="72">
        <v>1407.0</v>
      </c>
      <c r="K131" s="72">
        <v>1518.0</v>
      </c>
      <c r="L131" s="72">
        <v>1834.0</v>
      </c>
      <c r="M131" s="72">
        <v>1915.0</v>
      </c>
      <c r="N131" s="73">
        <f t="shared" si="28"/>
        <v>20510</v>
      </c>
      <c r="O131" s="4"/>
    </row>
    <row r="132" ht="13.5" customHeight="1">
      <c r="A132" s="71" t="s">
        <v>0</v>
      </c>
      <c r="B132" s="74">
        <f t="shared" ref="B132:N132" si="29">SUM(B130:B131)</f>
        <v>3435</v>
      </c>
      <c r="C132" s="74">
        <f t="shared" si="29"/>
        <v>3345</v>
      </c>
      <c r="D132" s="74">
        <f t="shared" si="29"/>
        <v>2751</v>
      </c>
      <c r="E132" s="74">
        <f t="shared" si="29"/>
        <v>2389</v>
      </c>
      <c r="F132" s="74">
        <f t="shared" si="29"/>
        <v>3655</v>
      </c>
      <c r="G132" s="74">
        <f t="shared" si="29"/>
        <v>3659</v>
      </c>
      <c r="H132" s="74">
        <f t="shared" si="29"/>
        <v>3601</v>
      </c>
      <c r="I132" s="74">
        <f t="shared" si="29"/>
        <v>3417</v>
      </c>
      <c r="J132" s="74">
        <f t="shared" si="29"/>
        <v>3267</v>
      </c>
      <c r="K132" s="74">
        <f t="shared" si="29"/>
        <v>3218</v>
      </c>
      <c r="L132" s="74">
        <f t="shared" si="29"/>
        <v>3799</v>
      </c>
      <c r="M132" s="74">
        <f t="shared" si="29"/>
        <v>4187</v>
      </c>
      <c r="N132" s="74">
        <f t="shared" si="29"/>
        <v>40723</v>
      </c>
      <c r="O132" s="4"/>
    </row>
    <row r="133" ht="13.5" customHeight="1">
      <c r="A133" s="71" t="s">
        <v>121</v>
      </c>
      <c r="B133" s="75">
        <f t="shared" ref="B133:N133" si="30">B109/B132</f>
        <v>387.7451266</v>
      </c>
      <c r="C133" s="75" t="str">
        <f t="shared" si="30"/>
        <v>#REF!</v>
      </c>
      <c r="D133" s="75" t="str">
        <f t="shared" si="30"/>
        <v>#REF!</v>
      </c>
      <c r="E133" s="75" t="str">
        <f t="shared" si="30"/>
        <v>#REF!</v>
      </c>
      <c r="F133" s="75" t="str">
        <f t="shared" si="30"/>
        <v>#REF!</v>
      </c>
      <c r="G133" s="75" t="str">
        <f t="shared" si="30"/>
        <v>#REF!</v>
      </c>
      <c r="H133" s="75" t="str">
        <f t="shared" si="30"/>
        <v>#REF!</v>
      </c>
      <c r="I133" s="75" t="str">
        <f t="shared" si="30"/>
        <v>#REF!</v>
      </c>
      <c r="J133" s="75" t="str">
        <f t="shared" si="30"/>
        <v>#REF!</v>
      </c>
      <c r="K133" s="75" t="str">
        <f t="shared" si="30"/>
        <v>#REF!</v>
      </c>
      <c r="L133" s="75" t="str">
        <f t="shared" si="30"/>
        <v>#REF!</v>
      </c>
      <c r="M133" s="75" t="str">
        <f t="shared" si="30"/>
        <v>#REF!</v>
      </c>
      <c r="N133" s="75" t="str">
        <f t="shared" si="30"/>
        <v>#REF!</v>
      </c>
      <c r="O133" s="4"/>
    </row>
    <row r="134" ht="13.5" customHeight="1">
      <c r="A134" s="69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4"/>
    </row>
    <row r="135" ht="13.5" customHeight="1">
      <c r="A135" s="69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4"/>
    </row>
    <row r="136" ht="13.5" customHeight="1">
      <c r="A136" s="69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4"/>
    </row>
    <row r="137" ht="13.5" customHeight="1">
      <c r="A137" s="69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4"/>
    </row>
    <row r="138" ht="13.5" customHeight="1">
      <c r="A138" s="69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4"/>
    </row>
    <row r="139" ht="13.5" customHeight="1">
      <c r="A139" s="69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4"/>
    </row>
    <row r="140" ht="13.5" customHeight="1">
      <c r="A140" s="69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4"/>
    </row>
    <row r="141" ht="13.5" customHeight="1">
      <c r="A141" s="69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4"/>
    </row>
    <row r="142" ht="13.5" customHeight="1">
      <c r="A142" s="69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4"/>
    </row>
    <row r="143" ht="13.5" customHeight="1">
      <c r="A143" s="69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4"/>
    </row>
    <row r="144" ht="13.5" customHeight="1">
      <c r="A144" s="69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4"/>
    </row>
    <row r="145" ht="13.5" customHeight="1">
      <c r="A145" s="69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4"/>
    </row>
    <row r="146" ht="13.5" customHeight="1">
      <c r="A146" s="69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4"/>
    </row>
    <row r="147" ht="13.5" customHeight="1">
      <c r="A147" s="69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4"/>
    </row>
    <row r="148" ht="13.5" customHeight="1">
      <c r="A148" s="69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4"/>
    </row>
    <row r="149" ht="13.5" customHeight="1">
      <c r="A149" s="69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4"/>
    </row>
    <row r="150" ht="13.5" customHeight="1">
      <c r="A150" s="69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4"/>
    </row>
    <row r="151" ht="13.5" customHeight="1">
      <c r="A151" s="69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4"/>
    </row>
    <row r="152" ht="13.5" customHeight="1">
      <c r="A152" s="69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4"/>
    </row>
    <row r="153" ht="13.5" customHeight="1">
      <c r="A153" s="69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4"/>
    </row>
    <row r="154" ht="13.5" customHeight="1">
      <c r="A154" s="69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4"/>
    </row>
    <row r="155" ht="13.5" customHeight="1">
      <c r="A155" s="69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4"/>
    </row>
    <row r="156" ht="13.5" customHeight="1">
      <c r="A156" s="69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4"/>
    </row>
    <row r="157" ht="13.5" customHeight="1">
      <c r="A157" s="69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4"/>
    </row>
    <row r="158" ht="13.5" customHeight="1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4"/>
    </row>
    <row r="159" ht="13.5" customHeight="1">
      <c r="A159" s="69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4"/>
    </row>
    <row r="160" ht="13.5" customHeight="1">
      <c r="A160" s="69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4"/>
    </row>
    <row r="161" ht="13.5" customHeight="1">
      <c r="A161" s="69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4"/>
    </row>
    <row r="162" ht="13.5" customHeight="1">
      <c r="A162" s="69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4"/>
    </row>
    <row r="163" ht="13.5" customHeight="1">
      <c r="A163" s="69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4"/>
    </row>
    <row r="164" ht="13.5" customHeight="1">
      <c r="A164" s="69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4"/>
    </row>
    <row r="165" ht="13.5" customHeight="1">
      <c r="A165" s="69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4"/>
    </row>
    <row r="166" ht="13.5" customHeight="1">
      <c r="A166" s="69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4"/>
    </row>
    <row r="167" ht="13.5" customHeight="1">
      <c r="A167" s="69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4"/>
    </row>
    <row r="168" ht="13.5" customHeight="1">
      <c r="A168" s="69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4"/>
    </row>
    <row r="169" ht="13.5" customHeight="1">
      <c r="A169" s="69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4"/>
    </row>
    <row r="170" ht="13.5" customHeight="1">
      <c r="A170" s="69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4"/>
    </row>
    <row r="171" ht="13.5" customHeight="1">
      <c r="A171" s="69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4"/>
    </row>
    <row r="172" ht="13.5" customHeight="1">
      <c r="A172" s="69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4"/>
    </row>
    <row r="173" ht="13.5" customHeight="1">
      <c r="A173" s="69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4"/>
    </row>
    <row r="174" ht="13.5" customHeight="1">
      <c r="A174" s="69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4"/>
    </row>
    <row r="175" ht="13.5" customHeight="1">
      <c r="A175" s="69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4"/>
    </row>
    <row r="176" ht="13.5" customHeight="1">
      <c r="A176" s="69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4"/>
    </row>
    <row r="177" ht="13.5" customHeight="1">
      <c r="A177" s="69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4"/>
    </row>
    <row r="178" ht="13.5" customHeight="1">
      <c r="A178" s="69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4"/>
    </row>
    <row r="179" ht="13.5" customHeight="1">
      <c r="A179" s="69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4"/>
    </row>
  </sheetData>
  <mergeCells count="1">
    <mergeCell ref="B1:M1"/>
  </mergeCells>
  <hyperlinks>
    <hyperlink r:id="rId1" ref="A59"/>
    <hyperlink r:id="rId2" ref="A60"/>
    <hyperlink r:id="rId3" ref="A74"/>
  </hyperlinks>
  <printOptions gridLines="1" horizontalCentered="1"/>
  <pageMargins bottom="0.75" footer="0.0" header="0.0" left="0.25" right="0.25" top="0.75"/>
  <pageSetup cellComments="atEnd" orientation="portrait" pageOrder="overThenDown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4.0"/>
    <col customWidth="1" min="2" max="13" width="9.75"/>
    <col customWidth="1" min="14" max="14" width="10.75"/>
  </cols>
  <sheetData>
    <row r="1" ht="13.5" customHeight="1">
      <c r="A1" s="76" t="s">
        <v>207</v>
      </c>
    </row>
    <row r="2" ht="13.5" customHeight="1">
      <c r="A2" s="16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ht="13.5" customHeight="1">
      <c r="A3" s="16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</row>
    <row r="4" ht="13.5" customHeight="1">
      <c r="A4" s="79" t="s">
        <v>14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</row>
    <row r="5" ht="13.5" customHeight="1">
      <c r="A5" s="15" t="s">
        <v>15</v>
      </c>
      <c r="B5" s="46">
        <f>FORMULAS!S46</f>
        <v>4076.190476</v>
      </c>
      <c r="C5" s="46">
        <f>FORMULAS!W46</f>
        <v>4076.190476</v>
      </c>
      <c r="D5" s="46">
        <f>FORMULAS!AA46</f>
        <v>4076.190476</v>
      </c>
      <c r="E5" s="46">
        <f>FORMULAS!AE46</f>
        <v>5476.313379</v>
      </c>
      <c r="F5" s="46">
        <f>FORMULAS!AI46</f>
        <v>7662.6091</v>
      </c>
      <c r="G5" s="46">
        <f>FORMULAS!AM46</f>
        <v>7010.589194</v>
      </c>
      <c r="H5" s="46">
        <f>FORMULAS!AQ46</f>
        <v>4757.185524</v>
      </c>
      <c r="I5" s="46">
        <f>FORMULAS!AU46</f>
        <v>4757.185524</v>
      </c>
      <c r="J5" s="46">
        <f>FORMULAS!AY46</f>
        <v>6009.076452</v>
      </c>
      <c r="K5" s="46">
        <f>FORMULAS!BC46</f>
        <v>6009.076452</v>
      </c>
      <c r="L5" s="46">
        <f>FORMULAS!BG46</f>
        <v>7010.589194</v>
      </c>
      <c r="M5" s="46">
        <f>FORMULAS!BK46</f>
        <v>7010.589194</v>
      </c>
      <c r="N5" s="17">
        <f t="shared" ref="N5:N12" si="1">SUM(B5:M5)</f>
        <v>67931.78544</v>
      </c>
    </row>
    <row r="6" ht="13.5" customHeight="1">
      <c r="A6" s="15" t="s">
        <v>123</v>
      </c>
      <c r="B6" s="46"/>
      <c r="C6" s="46"/>
      <c r="D6" s="46"/>
      <c r="E6" s="46"/>
      <c r="F6" s="46"/>
      <c r="G6" s="46"/>
      <c r="H6" s="46"/>
      <c r="I6" s="46"/>
      <c r="J6" s="87"/>
      <c r="K6" s="46"/>
      <c r="L6" s="46"/>
      <c r="M6" s="46"/>
      <c r="N6" s="17">
        <f t="shared" si="1"/>
        <v>0</v>
      </c>
    </row>
    <row r="7" ht="13.5" customHeight="1">
      <c r="A7" s="15" t="s">
        <v>17</v>
      </c>
      <c r="B7" s="46"/>
      <c r="C7" s="46"/>
      <c r="D7" s="217"/>
      <c r="E7" s="87"/>
      <c r="F7" s="87"/>
      <c r="G7" s="87"/>
      <c r="H7" s="87"/>
      <c r="I7" s="87"/>
      <c r="J7" s="87"/>
      <c r="K7" s="46"/>
      <c r="L7" s="46"/>
      <c r="M7" s="46"/>
      <c r="N7" s="17">
        <f t="shared" si="1"/>
        <v>0</v>
      </c>
    </row>
    <row r="8" ht="13.5" customHeight="1">
      <c r="A8" s="15" t="s">
        <v>18</v>
      </c>
      <c r="B8" s="46"/>
      <c r="C8" s="46"/>
      <c r="D8" s="46"/>
      <c r="E8" s="87"/>
      <c r="F8" s="46"/>
      <c r="G8" s="87"/>
      <c r="H8" s="87"/>
      <c r="I8" s="87"/>
      <c r="J8" s="87"/>
      <c r="K8" s="87"/>
      <c r="L8" s="87"/>
      <c r="M8" s="87"/>
      <c r="N8" s="17">
        <f t="shared" si="1"/>
        <v>0</v>
      </c>
    </row>
    <row r="9" ht="13.5" customHeight="1">
      <c r="A9" s="20" t="s">
        <v>168</v>
      </c>
      <c r="B9" s="46">
        <f>FORMULAS!S94</f>
        <v>363.9455782</v>
      </c>
      <c r="C9" s="46">
        <f>FORMULAS!W94</f>
        <v>363.9455782</v>
      </c>
      <c r="D9" s="46">
        <f>FORMULAS!AA94</f>
        <v>363.9455782</v>
      </c>
      <c r="E9" s="46">
        <f>FORMULAS!AE94</f>
        <v>2005.414267</v>
      </c>
      <c r="F9" s="46">
        <f>FORMULAS!AI94</f>
        <v>3494.14975</v>
      </c>
      <c r="G9" s="46">
        <f>FORMULAS!AM94</f>
        <v>3196.828672</v>
      </c>
      <c r="H9" s="46">
        <f>FORMULAS!AQ94</f>
        <v>1834.771343</v>
      </c>
      <c r="I9" s="46">
        <f>FORMULAS!AU94</f>
        <v>1834.771343</v>
      </c>
      <c r="J9" s="46">
        <f>FORMULAS!AY94</f>
        <v>2515.800008</v>
      </c>
      <c r="K9" s="46">
        <f>FORMULAS!BC94</f>
        <v>2515.800008</v>
      </c>
      <c r="L9" s="46">
        <f>FORMULAS!BG94</f>
        <v>3196.828672</v>
      </c>
      <c r="M9" s="46">
        <f>FORMULAS!BK94</f>
        <v>3196.828672</v>
      </c>
      <c r="N9" s="17">
        <f t="shared" si="1"/>
        <v>24883.02947</v>
      </c>
    </row>
    <row r="10" ht="13.5" customHeight="1">
      <c r="A10" s="20" t="s">
        <v>20</v>
      </c>
      <c r="B10" s="46">
        <f>FORMULAS!S70</f>
        <v>1563.752834</v>
      </c>
      <c r="C10" s="46">
        <f>FORMULAS!W70</f>
        <v>1145.846259</v>
      </c>
      <c r="D10" s="46">
        <f>FORMULAS!AA70</f>
        <v>1658.427211</v>
      </c>
      <c r="E10" s="46">
        <f>FORMULAS!AE70</f>
        <v>1492.176871</v>
      </c>
      <c r="F10" s="46">
        <f>FORMULAS!AI70</f>
        <v>0</v>
      </c>
      <c r="G10" s="46">
        <f>FORMULAS!AM70</f>
        <v>0</v>
      </c>
      <c r="H10" s="46">
        <f>FORMULAS!AQ70</f>
        <v>0</v>
      </c>
      <c r="I10" s="46">
        <f>FORMULAS!AU70</f>
        <v>0</v>
      </c>
      <c r="J10" s="46">
        <f>FORMULAS!AY70</f>
        <v>0</v>
      </c>
      <c r="K10" s="46">
        <f>FORMULAS!BC70</f>
        <v>1402.117839</v>
      </c>
      <c r="L10" s="46">
        <f>FORMULAS!BG70</f>
        <v>1402.117839</v>
      </c>
      <c r="M10" s="46">
        <f>FORMULAS!BK70</f>
        <v>1402.117839</v>
      </c>
      <c r="N10" s="17">
        <f t="shared" si="1"/>
        <v>10066.55669</v>
      </c>
    </row>
    <row r="11" ht="13.5" customHeight="1">
      <c r="A11" s="15" t="s">
        <v>21</v>
      </c>
      <c r="B11" s="87">
        <v>388.0</v>
      </c>
      <c r="C11" s="87">
        <v>426.88</v>
      </c>
      <c r="D11" s="87">
        <v>388.0</v>
      </c>
      <c r="E11" s="87">
        <v>388.0</v>
      </c>
      <c r="F11" s="87">
        <v>388.0</v>
      </c>
      <c r="G11" s="87">
        <v>388.0</v>
      </c>
      <c r="H11" s="87">
        <v>388.0</v>
      </c>
      <c r="I11" s="87">
        <v>388.0</v>
      </c>
      <c r="J11" s="87">
        <v>388.0</v>
      </c>
      <c r="K11" s="87">
        <v>388.0</v>
      </c>
      <c r="L11" s="87">
        <v>388.0</v>
      </c>
      <c r="M11" s="87">
        <v>388.0</v>
      </c>
      <c r="N11" s="17">
        <f t="shared" si="1"/>
        <v>4694.88</v>
      </c>
    </row>
    <row r="12" ht="13.5" customHeight="1">
      <c r="A12" s="15" t="s">
        <v>22</v>
      </c>
      <c r="B12" s="46">
        <f>PRODUCTION!J3</f>
        <v>700</v>
      </c>
      <c r="C12" s="46">
        <f>PRODUCTION!J4</f>
        <v>1370.6</v>
      </c>
      <c r="D12" s="46">
        <f>PRODUCTION!J5</f>
        <v>1370.6</v>
      </c>
      <c r="E12" s="46">
        <f>PRODUCTION!J6</f>
        <v>1370.6</v>
      </c>
      <c r="F12" s="46">
        <f>PRODUCTION!J7</f>
        <v>1370.6</v>
      </c>
      <c r="G12" s="46">
        <f>PRODUCTION!J8</f>
        <v>1370.6</v>
      </c>
      <c r="H12" s="46">
        <f>PRODUCTION!J9</f>
        <v>1370.6</v>
      </c>
      <c r="I12" s="46">
        <f>PRODUCTION!J10</f>
        <v>1370.6</v>
      </c>
      <c r="J12" s="46">
        <f>PRODUCTION!J11</f>
        <v>1370.6</v>
      </c>
      <c r="K12" s="46">
        <f>PRODUCTION!J12</f>
        <v>1370.6</v>
      </c>
      <c r="L12" s="46">
        <f>PRODUCTION!J13</f>
        <v>1370.6</v>
      </c>
      <c r="M12" s="46">
        <f>PRODUCTION!J14</f>
        <v>1370.6</v>
      </c>
      <c r="N12" s="17">
        <f t="shared" si="1"/>
        <v>15776.6</v>
      </c>
    </row>
    <row r="13" ht="13.5" customHeight="1">
      <c r="A13" s="21" t="s">
        <v>23</v>
      </c>
      <c r="B13" s="22">
        <f t="shared" ref="B13:N13" si="2">SUM(B5:B12)</f>
        <v>7091.888889</v>
      </c>
      <c r="C13" s="22">
        <f t="shared" si="2"/>
        <v>7383.462313</v>
      </c>
      <c r="D13" s="22">
        <f t="shared" si="2"/>
        <v>7857.163265</v>
      </c>
      <c r="E13" s="22">
        <f t="shared" si="2"/>
        <v>10732.50452</v>
      </c>
      <c r="F13" s="22">
        <f t="shared" si="2"/>
        <v>12915.35885</v>
      </c>
      <c r="G13" s="22">
        <f t="shared" si="2"/>
        <v>11966.01787</v>
      </c>
      <c r="H13" s="22">
        <f t="shared" si="2"/>
        <v>8350.556867</v>
      </c>
      <c r="I13" s="22">
        <f t="shared" si="2"/>
        <v>8350.556867</v>
      </c>
      <c r="J13" s="22">
        <f t="shared" si="2"/>
        <v>10283.47646</v>
      </c>
      <c r="K13" s="22">
        <f t="shared" si="2"/>
        <v>11685.5943</v>
      </c>
      <c r="L13" s="22">
        <f t="shared" si="2"/>
        <v>13368.1357</v>
      </c>
      <c r="M13" s="22">
        <f t="shared" si="2"/>
        <v>13368.1357</v>
      </c>
      <c r="N13" s="22">
        <f t="shared" si="2"/>
        <v>123352.8516</v>
      </c>
    </row>
    <row r="14" ht="13.5" customHeight="1">
      <c r="A14" s="89" t="s">
        <v>24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83"/>
    </row>
    <row r="15" ht="13.5" customHeight="1">
      <c r="A15" s="35" t="s">
        <v>153</v>
      </c>
      <c r="B15" s="46"/>
      <c r="C15" s="46"/>
      <c r="D15" s="46"/>
      <c r="E15" s="46"/>
      <c r="F15" s="87"/>
      <c r="G15" s="87"/>
      <c r="H15" s="87"/>
      <c r="I15" s="46"/>
      <c r="J15" s="46"/>
      <c r="K15" s="46"/>
      <c r="L15" s="46"/>
      <c r="M15" s="46"/>
      <c r="N15" s="17">
        <f t="shared" ref="N15:N18" si="3">SUM(B15:M15)</f>
        <v>0</v>
      </c>
    </row>
    <row r="16" ht="13.5" customHeight="1">
      <c r="A16" s="35" t="s">
        <v>208</v>
      </c>
      <c r="B16" s="85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17">
        <f t="shared" si="3"/>
        <v>0</v>
      </c>
    </row>
    <row r="17" ht="13.5" customHeight="1">
      <c r="A17" s="35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17">
        <f t="shared" si="3"/>
        <v>0</v>
      </c>
    </row>
    <row r="18" ht="13.5" customHeight="1">
      <c r="A18" s="35"/>
      <c r="B18" s="46"/>
      <c r="C18" s="46"/>
      <c r="D18" s="46"/>
      <c r="E18" s="84"/>
      <c r="F18" s="84"/>
      <c r="G18" s="84"/>
      <c r="H18" s="84"/>
      <c r="I18" s="84"/>
      <c r="J18" s="84"/>
      <c r="K18" s="84"/>
      <c r="L18" s="84"/>
      <c r="M18" s="84"/>
      <c r="N18" s="17">
        <f t="shared" si="3"/>
        <v>0</v>
      </c>
    </row>
    <row r="19" ht="13.5" customHeight="1">
      <c r="A19" s="27" t="s">
        <v>29</v>
      </c>
      <c r="B19" s="103"/>
      <c r="C19" s="103"/>
      <c r="D19" s="46"/>
      <c r="E19" s="87"/>
      <c r="F19" s="84"/>
      <c r="G19" s="84"/>
      <c r="H19" s="84"/>
      <c r="I19" s="84"/>
      <c r="J19" s="84"/>
      <c r="K19" s="84"/>
      <c r="L19" s="84"/>
      <c r="M19" s="84"/>
      <c r="N19" s="17">
        <f>SUM(C19:M19)</f>
        <v>0</v>
      </c>
    </row>
    <row r="20" ht="13.5" customHeight="1">
      <c r="A20" s="35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17">
        <f>SUM(B20:M20)</f>
        <v>0</v>
      </c>
    </row>
    <row r="21" ht="13.5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</row>
    <row r="22" ht="13.5" customHeight="1">
      <c r="A22" s="89" t="s">
        <v>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3"/>
    </row>
    <row r="23" ht="13.5" customHeight="1">
      <c r="A23" s="26" t="s">
        <v>31</v>
      </c>
      <c r="B23" s="87">
        <v>0.0</v>
      </c>
      <c r="C23" s="87">
        <v>0.0</v>
      </c>
      <c r="D23" s="87">
        <v>3500.0</v>
      </c>
      <c r="E23" s="87">
        <v>0.0</v>
      </c>
      <c r="F23" s="97">
        <v>5000.0</v>
      </c>
      <c r="G23" s="104">
        <v>0.0</v>
      </c>
      <c r="H23" s="104">
        <v>0.0</v>
      </c>
      <c r="I23" s="87">
        <v>5000.0</v>
      </c>
      <c r="J23" s="87">
        <v>0.0</v>
      </c>
      <c r="K23" s="87">
        <v>0.0</v>
      </c>
      <c r="L23" s="87">
        <v>5000.0</v>
      </c>
      <c r="M23" s="87">
        <v>0.0</v>
      </c>
      <c r="N23" s="17">
        <f t="shared" ref="N23:N31" si="5">SUM(B23:M23)</f>
        <v>18500</v>
      </c>
    </row>
    <row r="24" ht="13.5" customHeight="1">
      <c r="A24" s="32"/>
      <c r="B24" s="46"/>
      <c r="C24" s="46"/>
      <c r="D24" s="87"/>
      <c r="E24" s="46"/>
      <c r="F24" s="46"/>
      <c r="G24" s="46"/>
      <c r="H24" s="46"/>
      <c r="I24" s="46"/>
      <c r="J24" s="46"/>
      <c r="K24" s="46"/>
      <c r="L24" s="46"/>
      <c r="M24" s="46"/>
      <c r="N24" s="17">
        <f t="shared" si="5"/>
        <v>0</v>
      </c>
    </row>
    <row r="25" ht="13.5" customHeight="1">
      <c r="A25" s="15" t="s">
        <v>127</v>
      </c>
      <c r="B25" s="46"/>
      <c r="C25" s="46"/>
      <c r="D25" s="46"/>
      <c r="E25" s="46"/>
      <c r="F25" s="46"/>
      <c r="G25" s="46"/>
      <c r="H25" s="46"/>
      <c r="I25" s="87"/>
      <c r="J25" s="46"/>
      <c r="K25" s="46"/>
      <c r="L25" s="46"/>
      <c r="M25" s="46"/>
      <c r="N25" s="17">
        <f t="shared" si="5"/>
        <v>0</v>
      </c>
    </row>
    <row r="26" ht="13.5" customHeight="1">
      <c r="A26" s="32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17">
        <f t="shared" si="5"/>
        <v>0</v>
      </c>
    </row>
    <row r="27" ht="13.5" customHeight="1">
      <c r="A27" s="31" t="s">
        <v>209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17">
        <f t="shared" si="5"/>
        <v>0</v>
      </c>
    </row>
    <row r="28" ht="13.5" customHeight="1">
      <c r="A28" s="33" t="s">
        <v>35</v>
      </c>
      <c r="B28" s="46"/>
      <c r="C28" s="87"/>
      <c r="D28" s="46"/>
      <c r="E28" s="46"/>
      <c r="F28" s="46"/>
      <c r="G28" s="46"/>
      <c r="H28" s="46"/>
      <c r="I28" s="46"/>
      <c r="J28" s="46"/>
      <c r="K28" s="46"/>
      <c r="L28" s="46"/>
      <c r="M28" s="87"/>
      <c r="N28" s="17">
        <f t="shared" si="5"/>
        <v>0</v>
      </c>
    </row>
    <row r="29" ht="13.5" customHeight="1">
      <c r="A29" s="27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17">
        <f t="shared" si="5"/>
        <v>0</v>
      </c>
    </row>
    <row r="30" ht="13.5" customHeight="1">
      <c r="A30" s="31" t="s">
        <v>37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17">
        <f t="shared" si="5"/>
        <v>0</v>
      </c>
    </row>
    <row r="31" ht="13.5" customHeight="1">
      <c r="A31" s="3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17">
        <f t="shared" si="5"/>
        <v>0</v>
      </c>
    </row>
    <row r="32" ht="13.5" customHeight="1">
      <c r="A32" s="91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3500</v>
      </c>
      <c r="E32" s="28">
        <f t="shared" si="6"/>
        <v>0</v>
      </c>
      <c r="F32" s="28">
        <f t="shared" si="6"/>
        <v>5000</v>
      </c>
      <c r="G32" s="28">
        <f t="shared" si="6"/>
        <v>0</v>
      </c>
      <c r="H32" s="28">
        <f t="shared" si="6"/>
        <v>0</v>
      </c>
      <c r="I32" s="28">
        <f t="shared" si="6"/>
        <v>5000</v>
      </c>
      <c r="J32" s="28">
        <f t="shared" si="6"/>
        <v>0</v>
      </c>
      <c r="K32" s="28">
        <f t="shared" si="6"/>
        <v>0</v>
      </c>
      <c r="L32" s="28">
        <f t="shared" si="6"/>
        <v>5000</v>
      </c>
      <c r="M32" s="28">
        <f t="shared" si="6"/>
        <v>0</v>
      </c>
      <c r="N32" s="28">
        <f t="shared" si="6"/>
        <v>18500</v>
      </c>
    </row>
    <row r="33" ht="13.5" customHeight="1">
      <c r="A33" s="79" t="s">
        <v>38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</row>
    <row r="34" ht="13.5" customHeight="1">
      <c r="A34" s="15" t="s">
        <v>39</v>
      </c>
      <c r="B34" s="87">
        <f t="shared" ref="B34:M34" si="7">1350.24+61.9+850</f>
        <v>2262.14</v>
      </c>
      <c r="C34" s="87">
        <f t="shared" si="7"/>
        <v>2262.14</v>
      </c>
      <c r="D34" s="87">
        <f t="shared" si="7"/>
        <v>2262.14</v>
      </c>
      <c r="E34" s="87">
        <f t="shared" si="7"/>
        <v>2262.14</v>
      </c>
      <c r="F34" s="87">
        <f t="shared" si="7"/>
        <v>2262.14</v>
      </c>
      <c r="G34" s="87">
        <f t="shared" si="7"/>
        <v>2262.14</v>
      </c>
      <c r="H34" s="87">
        <f t="shared" si="7"/>
        <v>2262.14</v>
      </c>
      <c r="I34" s="87">
        <f t="shared" si="7"/>
        <v>2262.14</v>
      </c>
      <c r="J34" s="87">
        <f t="shared" si="7"/>
        <v>2262.14</v>
      </c>
      <c r="K34" s="87">
        <f t="shared" si="7"/>
        <v>2262.14</v>
      </c>
      <c r="L34" s="87">
        <f t="shared" si="7"/>
        <v>2262.14</v>
      </c>
      <c r="M34" s="87">
        <f t="shared" si="7"/>
        <v>2262.14</v>
      </c>
      <c r="N34" s="17">
        <f t="shared" ref="N34:N51" si="8">SUM(B34:M34)</f>
        <v>27145.68</v>
      </c>
    </row>
    <row r="35" ht="13.5" customHeight="1">
      <c r="A35" s="87"/>
      <c r="B35" s="46"/>
      <c r="C35" s="46"/>
      <c r="D35" s="46"/>
      <c r="E35" s="46"/>
      <c r="F35" s="46"/>
      <c r="G35" s="46"/>
      <c r="H35" s="46"/>
      <c r="I35" s="46"/>
      <c r="J35" s="87"/>
      <c r="K35" s="87"/>
      <c r="L35" s="87"/>
      <c r="M35" s="87"/>
      <c r="N35" s="17">
        <f t="shared" si="8"/>
        <v>0</v>
      </c>
    </row>
    <row r="36" ht="13.5" customHeight="1">
      <c r="A36" s="35" t="s">
        <v>41</v>
      </c>
      <c r="B36" s="46">
        <v>395.0</v>
      </c>
      <c r="C36" s="46">
        <v>395.0</v>
      </c>
      <c r="D36" s="46">
        <v>395.0</v>
      </c>
      <c r="E36" s="46">
        <v>395.0</v>
      </c>
      <c r="F36" s="46">
        <v>395.0</v>
      </c>
      <c r="G36" s="46">
        <v>395.0</v>
      </c>
      <c r="H36" s="46">
        <v>395.0</v>
      </c>
      <c r="I36" s="46">
        <v>395.0</v>
      </c>
      <c r="J36" s="46">
        <v>395.0</v>
      </c>
      <c r="K36" s="46">
        <v>395.0</v>
      </c>
      <c r="L36" s="46">
        <v>395.0</v>
      </c>
      <c r="M36" s="46">
        <v>395.0</v>
      </c>
      <c r="N36" s="17">
        <f t="shared" si="8"/>
        <v>4740</v>
      </c>
    </row>
    <row r="37" ht="13.5" customHeight="1">
      <c r="A37" s="35" t="s">
        <v>42</v>
      </c>
      <c r="B37" s="87">
        <v>759.0</v>
      </c>
      <c r="C37" s="87">
        <v>759.0</v>
      </c>
      <c r="D37" s="87">
        <v>759.0</v>
      </c>
      <c r="E37" s="87">
        <v>759.0</v>
      </c>
      <c r="F37" s="87">
        <v>759.0</v>
      </c>
      <c r="G37" s="87">
        <v>759.0</v>
      </c>
      <c r="H37" s="87">
        <v>759.0</v>
      </c>
      <c r="I37" s="87">
        <v>759.0</v>
      </c>
      <c r="J37" s="87">
        <v>759.0</v>
      </c>
      <c r="K37" s="87">
        <v>759.0</v>
      </c>
      <c r="L37" s="87">
        <v>759.0</v>
      </c>
      <c r="M37" s="87">
        <v>759.0</v>
      </c>
      <c r="N37" s="17">
        <f t="shared" si="8"/>
        <v>9108</v>
      </c>
    </row>
    <row r="38" ht="13.5" customHeight="1">
      <c r="A38" s="35" t="s">
        <v>43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17">
        <f t="shared" si="8"/>
        <v>0</v>
      </c>
    </row>
    <row r="39" ht="13.5" customHeight="1">
      <c r="A39" s="35" t="s">
        <v>44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17">
        <f t="shared" si="8"/>
        <v>0</v>
      </c>
    </row>
    <row r="40" ht="13.5" customHeight="1">
      <c r="A40" s="35" t="s">
        <v>45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17">
        <f t="shared" si="8"/>
        <v>0</v>
      </c>
    </row>
    <row r="41" ht="13.5" customHeight="1">
      <c r="A41" s="39" t="s">
        <v>181</v>
      </c>
      <c r="B41" s="87">
        <v>2765.0</v>
      </c>
      <c r="C41" s="87">
        <v>2765.0</v>
      </c>
      <c r="D41" s="87">
        <v>2765.0</v>
      </c>
      <c r="E41" s="87">
        <v>2765.0</v>
      </c>
      <c r="F41" s="87">
        <v>2765.0</v>
      </c>
      <c r="G41" s="87">
        <v>2765.0</v>
      </c>
      <c r="H41" s="87">
        <v>2765.0</v>
      </c>
      <c r="I41" s="87">
        <v>2765.0</v>
      </c>
      <c r="J41" s="87">
        <v>2765.0</v>
      </c>
      <c r="K41" s="87">
        <v>2765.0</v>
      </c>
      <c r="L41" s="87">
        <v>2765.0</v>
      </c>
      <c r="M41" s="87">
        <v>2765.0</v>
      </c>
      <c r="N41" s="17">
        <f t="shared" si="8"/>
        <v>33180</v>
      </c>
    </row>
    <row r="42" ht="13.5" customHeight="1">
      <c r="A42" s="19" t="s">
        <v>146</v>
      </c>
      <c r="B42" s="87">
        <v>365.0</v>
      </c>
      <c r="C42" s="87">
        <v>365.0</v>
      </c>
      <c r="D42" s="87">
        <v>365.0</v>
      </c>
      <c r="E42" s="87">
        <v>365.0</v>
      </c>
      <c r="F42" s="87">
        <v>365.0</v>
      </c>
      <c r="G42" s="87">
        <v>365.0</v>
      </c>
      <c r="H42" s="87">
        <v>365.0</v>
      </c>
      <c r="I42" s="87">
        <v>365.0</v>
      </c>
      <c r="J42" s="87">
        <v>365.0</v>
      </c>
      <c r="K42" s="87">
        <v>365.0</v>
      </c>
      <c r="L42" s="87">
        <v>365.0</v>
      </c>
      <c r="M42" s="87">
        <v>365.0</v>
      </c>
      <c r="N42" s="17">
        <f t="shared" si="8"/>
        <v>4380</v>
      </c>
    </row>
    <row r="43" ht="13.5" customHeight="1">
      <c r="A43" s="15" t="s">
        <v>184</v>
      </c>
      <c r="B43" s="87">
        <v>949.0</v>
      </c>
      <c r="C43" s="87">
        <v>949.0</v>
      </c>
      <c r="D43" s="87">
        <v>949.0</v>
      </c>
      <c r="E43" s="87">
        <v>949.0</v>
      </c>
      <c r="F43" s="87">
        <v>949.0</v>
      </c>
      <c r="G43" s="87">
        <v>949.0</v>
      </c>
      <c r="H43" s="87">
        <v>949.0</v>
      </c>
      <c r="I43" s="87">
        <v>1005.94</v>
      </c>
      <c r="J43" s="87">
        <v>1005.94</v>
      </c>
      <c r="K43" s="87">
        <v>1005.94</v>
      </c>
      <c r="L43" s="87">
        <v>1005.94</v>
      </c>
      <c r="M43" s="87">
        <v>1005.94</v>
      </c>
      <c r="N43" s="17">
        <f t="shared" si="8"/>
        <v>11672.7</v>
      </c>
    </row>
    <row r="44" ht="13.5" customHeight="1">
      <c r="A44" s="31" t="s">
        <v>130</v>
      </c>
      <c r="B44" s="87">
        <v>249.0</v>
      </c>
      <c r="C44" s="87">
        <v>249.0</v>
      </c>
      <c r="D44" s="87">
        <v>249.0</v>
      </c>
      <c r="E44" s="87">
        <v>249.0</v>
      </c>
      <c r="F44" s="87">
        <v>249.0</v>
      </c>
      <c r="G44" s="87">
        <v>249.0</v>
      </c>
      <c r="H44" s="87">
        <v>249.0</v>
      </c>
      <c r="I44" s="87">
        <v>249.0</v>
      </c>
      <c r="J44" s="87">
        <v>249.0</v>
      </c>
      <c r="K44" s="87">
        <v>249.0</v>
      </c>
      <c r="L44" s="87">
        <v>249.0</v>
      </c>
      <c r="M44" s="87">
        <v>249.0</v>
      </c>
      <c r="N44" s="17">
        <f t="shared" si="8"/>
        <v>2988</v>
      </c>
    </row>
    <row r="45" ht="13.5" customHeight="1">
      <c r="A45" s="156" t="s">
        <v>50</v>
      </c>
      <c r="B45" s="46">
        <f t="shared" ref="B45:M45" si="9">45+97.5</f>
        <v>142.5</v>
      </c>
      <c r="C45" s="46">
        <f t="shared" si="9"/>
        <v>142.5</v>
      </c>
      <c r="D45" s="46">
        <f t="shared" si="9"/>
        <v>142.5</v>
      </c>
      <c r="E45" s="46">
        <f t="shared" si="9"/>
        <v>142.5</v>
      </c>
      <c r="F45" s="46">
        <f t="shared" si="9"/>
        <v>142.5</v>
      </c>
      <c r="G45" s="46">
        <f t="shared" si="9"/>
        <v>142.5</v>
      </c>
      <c r="H45" s="46">
        <f t="shared" si="9"/>
        <v>142.5</v>
      </c>
      <c r="I45" s="46">
        <f t="shared" si="9"/>
        <v>142.5</v>
      </c>
      <c r="J45" s="46">
        <f t="shared" si="9"/>
        <v>142.5</v>
      </c>
      <c r="K45" s="46">
        <f t="shared" si="9"/>
        <v>142.5</v>
      </c>
      <c r="L45" s="46">
        <f t="shared" si="9"/>
        <v>142.5</v>
      </c>
      <c r="M45" s="46">
        <f t="shared" si="9"/>
        <v>142.5</v>
      </c>
      <c r="N45" s="17">
        <f t="shared" si="8"/>
        <v>1710</v>
      </c>
    </row>
    <row r="46" ht="13.5" customHeight="1">
      <c r="A46" s="15" t="s">
        <v>51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17">
        <f t="shared" si="8"/>
        <v>0</v>
      </c>
    </row>
    <row r="47" ht="13.5" customHeight="1">
      <c r="A47" s="19" t="s">
        <v>52</v>
      </c>
      <c r="B47" s="87">
        <f t="shared" ref="B47:M47" si="10">850+30+750+2500+500</f>
        <v>4630</v>
      </c>
      <c r="C47" s="87">
        <f t="shared" si="10"/>
        <v>4630</v>
      </c>
      <c r="D47" s="87">
        <f t="shared" si="10"/>
        <v>4630</v>
      </c>
      <c r="E47" s="87">
        <f t="shared" si="10"/>
        <v>4630</v>
      </c>
      <c r="F47" s="87">
        <f t="shared" si="10"/>
        <v>4630</v>
      </c>
      <c r="G47" s="87">
        <f t="shared" si="10"/>
        <v>4630</v>
      </c>
      <c r="H47" s="87">
        <f t="shared" si="10"/>
        <v>4630</v>
      </c>
      <c r="I47" s="87">
        <f t="shared" si="10"/>
        <v>4630</v>
      </c>
      <c r="J47" s="87">
        <f t="shared" si="10"/>
        <v>4630</v>
      </c>
      <c r="K47" s="87">
        <f t="shared" si="10"/>
        <v>4630</v>
      </c>
      <c r="L47" s="87">
        <f t="shared" si="10"/>
        <v>4630</v>
      </c>
      <c r="M47" s="87">
        <f t="shared" si="10"/>
        <v>4630</v>
      </c>
      <c r="N47" s="17">
        <f t="shared" si="8"/>
        <v>55560</v>
      </c>
    </row>
    <row r="48" ht="13.5" customHeight="1">
      <c r="A48" s="19" t="s">
        <v>131</v>
      </c>
      <c r="B48" s="87">
        <f t="shared" ref="B48:M48" si="11">350.33+55.66+80</f>
        <v>485.99</v>
      </c>
      <c r="C48" s="87">
        <f t="shared" si="11"/>
        <v>485.99</v>
      </c>
      <c r="D48" s="87">
        <f t="shared" si="11"/>
        <v>485.99</v>
      </c>
      <c r="E48" s="87">
        <f t="shared" si="11"/>
        <v>485.99</v>
      </c>
      <c r="F48" s="87">
        <f t="shared" si="11"/>
        <v>485.99</v>
      </c>
      <c r="G48" s="87">
        <f t="shared" si="11"/>
        <v>485.99</v>
      </c>
      <c r="H48" s="87">
        <f t="shared" si="11"/>
        <v>485.99</v>
      </c>
      <c r="I48" s="87">
        <f t="shared" si="11"/>
        <v>485.99</v>
      </c>
      <c r="J48" s="87">
        <f t="shared" si="11"/>
        <v>485.99</v>
      </c>
      <c r="K48" s="87">
        <f t="shared" si="11"/>
        <v>485.99</v>
      </c>
      <c r="L48" s="87">
        <f t="shared" si="11"/>
        <v>485.99</v>
      </c>
      <c r="M48" s="87">
        <f t="shared" si="11"/>
        <v>485.99</v>
      </c>
      <c r="N48" s="17">
        <f t="shared" si="8"/>
        <v>5831.88</v>
      </c>
    </row>
    <row r="49" ht="13.5" customHeight="1">
      <c r="A49" s="35" t="s">
        <v>54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17">
        <f t="shared" si="8"/>
        <v>0</v>
      </c>
    </row>
    <row r="50" ht="13.5" customHeight="1">
      <c r="A50" s="19" t="s">
        <v>132</v>
      </c>
      <c r="B50" s="96">
        <v>1600.0</v>
      </c>
      <c r="C50" s="96">
        <v>1600.0</v>
      </c>
      <c r="D50" s="96">
        <v>1600.0</v>
      </c>
      <c r="E50" s="96">
        <v>1600.0</v>
      </c>
      <c r="F50" s="96">
        <v>1600.0</v>
      </c>
      <c r="G50" s="96">
        <v>1600.0</v>
      </c>
      <c r="H50" s="96">
        <v>1600.0</v>
      </c>
      <c r="I50" s="96">
        <v>1600.0</v>
      </c>
      <c r="J50" s="96">
        <v>1600.0</v>
      </c>
      <c r="K50" s="96">
        <v>1600.0</v>
      </c>
      <c r="L50" s="96">
        <v>1600.0</v>
      </c>
      <c r="M50" s="96">
        <v>1600.0</v>
      </c>
      <c r="N50" s="17">
        <f t="shared" si="8"/>
        <v>19200</v>
      </c>
    </row>
    <row r="51" ht="13.5" customHeight="1">
      <c r="A51" s="1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17">
        <f t="shared" si="8"/>
        <v>0</v>
      </c>
    </row>
    <row r="52" ht="13.5" customHeight="1">
      <c r="A52" s="91" t="s">
        <v>23</v>
      </c>
      <c r="B52" s="28">
        <f t="shared" ref="B52:N52" si="12">SUM(B34:B51)</f>
        <v>14602.63</v>
      </c>
      <c r="C52" s="28">
        <f t="shared" si="12"/>
        <v>14602.63</v>
      </c>
      <c r="D52" s="28">
        <f t="shared" si="12"/>
        <v>14602.63</v>
      </c>
      <c r="E52" s="28">
        <f t="shared" si="12"/>
        <v>14602.63</v>
      </c>
      <c r="F52" s="28">
        <f t="shared" si="12"/>
        <v>14602.63</v>
      </c>
      <c r="G52" s="28">
        <f t="shared" si="12"/>
        <v>14602.63</v>
      </c>
      <c r="H52" s="28">
        <f t="shared" si="12"/>
        <v>14602.63</v>
      </c>
      <c r="I52" s="28">
        <f t="shared" si="12"/>
        <v>14659.57</v>
      </c>
      <c r="J52" s="28">
        <f t="shared" si="12"/>
        <v>14659.57</v>
      </c>
      <c r="K52" s="28">
        <f t="shared" si="12"/>
        <v>14659.57</v>
      </c>
      <c r="L52" s="28">
        <f t="shared" si="12"/>
        <v>14659.57</v>
      </c>
      <c r="M52" s="28">
        <f t="shared" si="12"/>
        <v>14659.57</v>
      </c>
      <c r="N52" s="28">
        <f t="shared" si="12"/>
        <v>175516.26</v>
      </c>
    </row>
    <row r="53" ht="13.5" customHeight="1">
      <c r="A53" s="79" t="s">
        <v>56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</row>
    <row r="54" ht="13.5" customHeight="1">
      <c r="A54" s="32" t="s">
        <v>57</v>
      </c>
      <c r="B54" s="197">
        <v>1000.0</v>
      </c>
      <c r="C54" s="87">
        <v>634.32</v>
      </c>
      <c r="D54" s="87"/>
      <c r="E54" s="197">
        <v>1000.0</v>
      </c>
      <c r="F54" s="87"/>
      <c r="G54" s="96"/>
      <c r="H54" s="197">
        <v>1000.0</v>
      </c>
      <c r="I54" s="87"/>
      <c r="J54" s="87"/>
      <c r="K54" s="197">
        <v>1000.0</v>
      </c>
      <c r="L54" s="87"/>
      <c r="M54" s="87"/>
      <c r="N54" s="17">
        <f t="shared" ref="N54:N62" si="13">SUM(B54:M54)</f>
        <v>4634.32</v>
      </c>
    </row>
    <row r="55" ht="13.5" customHeight="1">
      <c r="A55" s="32" t="s">
        <v>58</v>
      </c>
      <c r="B55" s="96">
        <v>1700.0</v>
      </c>
      <c r="C55" s="96">
        <v>1400.0</v>
      </c>
      <c r="D55" s="96">
        <v>1400.0</v>
      </c>
      <c r="E55" s="96">
        <v>1400.0</v>
      </c>
      <c r="F55" s="96">
        <v>1400.0</v>
      </c>
      <c r="G55" s="96">
        <v>1400.0</v>
      </c>
      <c r="H55" s="96">
        <v>1400.0</v>
      </c>
      <c r="I55" s="96">
        <v>1400.0</v>
      </c>
      <c r="J55" s="96">
        <v>1400.0</v>
      </c>
      <c r="K55" s="96">
        <v>1400.0</v>
      </c>
      <c r="L55" s="96">
        <v>1400.0</v>
      </c>
      <c r="M55" s="96">
        <v>1400.0</v>
      </c>
      <c r="N55" s="17">
        <f t="shared" si="13"/>
        <v>17100</v>
      </c>
    </row>
    <row r="56" ht="13.5" customHeight="1">
      <c r="A56" s="31" t="s">
        <v>59</v>
      </c>
      <c r="B56" s="87">
        <f t="shared" ref="B56:M56" si="14">399+351+57</f>
        <v>807</v>
      </c>
      <c r="C56" s="87">
        <f t="shared" si="14"/>
        <v>807</v>
      </c>
      <c r="D56" s="87">
        <f t="shared" si="14"/>
        <v>807</v>
      </c>
      <c r="E56" s="87">
        <f t="shared" si="14"/>
        <v>807</v>
      </c>
      <c r="F56" s="87">
        <f t="shared" si="14"/>
        <v>807</v>
      </c>
      <c r="G56" s="87">
        <f t="shared" si="14"/>
        <v>807</v>
      </c>
      <c r="H56" s="87">
        <f t="shared" si="14"/>
        <v>807</v>
      </c>
      <c r="I56" s="87">
        <f t="shared" si="14"/>
        <v>807</v>
      </c>
      <c r="J56" s="87">
        <f t="shared" si="14"/>
        <v>807</v>
      </c>
      <c r="K56" s="87">
        <f t="shared" si="14"/>
        <v>807</v>
      </c>
      <c r="L56" s="87">
        <f t="shared" si="14"/>
        <v>807</v>
      </c>
      <c r="M56" s="87">
        <f t="shared" si="14"/>
        <v>807</v>
      </c>
      <c r="N56" s="17">
        <f t="shared" si="13"/>
        <v>9684</v>
      </c>
    </row>
    <row r="57" ht="13.5" customHeight="1">
      <c r="A57" s="31" t="s">
        <v>133</v>
      </c>
      <c r="B57" s="87">
        <v>0.0</v>
      </c>
      <c r="C57" s="87">
        <v>0.0</v>
      </c>
      <c r="D57" s="87">
        <v>0.0</v>
      </c>
      <c r="E57" s="87">
        <v>0.0</v>
      </c>
      <c r="F57" s="87">
        <v>0.0</v>
      </c>
      <c r="G57" s="87">
        <v>0.0</v>
      </c>
      <c r="H57" s="87">
        <v>0.0</v>
      </c>
      <c r="I57" s="87">
        <v>0.0</v>
      </c>
      <c r="J57" s="87">
        <v>0.0</v>
      </c>
      <c r="K57" s="87">
        <v>0.0</v>
      </c>
      <c r="L57" s="87">
        <v>0.0</v>
      </c>
      <c r="M57" s="87">
        <v>0.0</v>
      </c>
      <c r="N57" s="17">
        <f t="shared" si="13"/>
        <v>0</v>
      </c>
    </row>
    <row r="58" ht="13.5" customHeight="1">
      <c r="A58" s="31" t="s">
        <v>134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17">
        <f t="shared" si="13"/>
        <v>0</v>
      </c>
    </row>
    <row r="59" ht="13.5" customHeight="1">
      <c r="A59" s="31" t="s">
        <v>135</v>
      </c>
      <c r="B59" s="87">
        <v>1000.0</v>
      </c>
      <c r="C59" s="87">
        <v>1000.0</v>
      </c>
      <c r="D59" s="87">
        <v>1000.0</v>
      </c>
      <c r="E59" s="87">
        <v>1000.0</v>
      </c>
      <c r="F59" s="87">
        <v>1000.0</v>
      </c>
      <c r="G59" s="87">
        <v>1000.0</v>
      </c>
      <c r="H59" s="87">
        <v>1000.0</v>
      </c>
      <c r="I59" s="87">
        <v>1000.0</v>
      </c>
      <c r="J59" s="87">
        <v>1000.0</v>
      </c>
      <c r="K59" s="87">
        <v>1000.0</v>
      </c>
      <c r="L59" s="87">
        <v>1000.0</v>
      </c>
      <c r="M59" s="87">
        <v>1000.0</v>
      </c>
      <c r="N59" s="17">
        <f t="shared" si="13"/>
        <v>12000</v>
      </c>
    </row>
    <row r="60" ht="13.5" customHeight="1">
      <c r="A60" s="32" t="s">
        <v>136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17">
        <f t="shared" si="13"/>
        <v>0</v>
      </c>
    </row>
    <row r="61" ht="13.5" customHeight="1">
      <c r="A61" s="32" t="s">
        <v>137</v>
      </c>
      <c r="B61" s="46"/>
      <c r="C61" s="46"/>
      <c r="D61" s="46"/>
      <c r="E61" s="46"/>
      <c r="F61" s="87"/>
      <c r="G61" s="46"/>
      <c r="H61" s="46"/>
      <c r="I61" s="46"/>
      <c r="J61" s="46"/>
      <c r="K61" s="46"/>
      <c r="L61" s="46"/>
      <c r="M61" s="46"/>
      <c r="N61" s="17">
        <f t="shared" si="13"/>
        <v>0</v>
      </c>
    </row>
    <row r="62" ht="13.5" customHeight="1">
      <c r="A62" s="32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13"/>
        <v>0</v>
      </c>
    </row>
    <row r="63" ht="13.5" customHeight="1">
      <c r="A63" s="31" t="s">
        <v>64</v>
      </c>
      <c r="B63" s="87">
        <f t="shared" ref="B63:M63" si="15">8910+1000-1500</f>
        <v>8410</v>
      </c>
      <c r="C63" s="87">
        <f t="shared" si="15"/>
        <v>8410</v>
      </c>
      <c r="D63" s="87">
        <f t="shared" si="15"/>
        <v>8410</v>
      </c>
      <c r="E63" s="87">
        <f t="shared" si="15"/>
        <v>8410</v>
      </c>
      <c r="F63" s="87">
        <f t="shared" si="15"/>
        <v>8410</v>
      </c>
      <c r="G63" s="87">
        <f t="shared" si="15"/>
        <v>8410</v>
      </c>
      <c r="H63" s="87">
        <f t="shared" si="15"/>
        <v>8410</v>
      </c>
      <c r="I63" s="87">
        <f t="shared" si="15"/>
        <v>8410</v>
      </c>
      <c r="J63" s="87">
        <f t="shared" si="15"/>
        <v>8410</v>
      </c>
      <c r="K63" s="87">
        <f t="shared" si="15"/>
        <v>8410</v>
      </c>
      <c r="L63" s="87">
        <f t="shared" si="15"/>
        <v>8410</v>
      </c>
      <c r="M63" s="87">
        <f t="shared" si="15"/>
        <v>8410</v>
      </c>
      <c r="N63" s="87">
        <f>8910+1000</f>
        <v>9910</v>
      </c>
    </row>
    <row r="64" ht="13.5" customHeight="1">
      <c r="A64" s="32" t="s">
        <v>65</v>
      </c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17">
        <f t="shared" ref="N64:N69" si="16">SUM(B64:M64)</f>
        <v>0</v>
      </c>
    </row>
    <row r="65" ht="13.5" customHeight="1">
      <c r="A65" s="31" t="s">
        <v>66</v>
      </c>
      <c r="B65" s="46"/>
      <c r="C65" s="46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17">
        <f t="shared" si="16"/>
        <v>0</v>
      </c>
    </row>
    <row r="66" ht="13.5" customHeight="1">
      <c r="A66" s="31" t="s">
        <v>67</v>
      </c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17">
        <f t="shared" si="16"/>
        <v>0</v>
      </c>
    </row>
    <row r="67" ht="13.5" customHeight="1">
      <c r="A67" s="25" t="s">
        <v>68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17">
        <f t="shared" si="16"/>
        <v>0</v>
      </c>
    </row>
    <row r="68" ht="13.5" customHeight="1">
      <c r="A68" s="25" t="s">
        <v>69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17">
        <f t="shared" si="16"/>
        <v>0</v>
      </c>
    </row>
    <row r="69" ht="13.5" customHeight="1">
      <c r="A69" s="39" t="s">
        <v>70</v>
      </c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17">
        <f t="shared" si="16"/>
        <v>0</v>
      </c>
    </row>
    <row r="70" ht="13.5" customHeight="1">
      <c r="A70" s="91" t="s">
        <v>23</v>
      </c>
      <c r="B70" s="28">
        <f t="shared" ref="B70:M70" si="17">SUM(B54:B69)</f>
        <v>12917</v>
      </c>
      <c r="C70" s="28">
        <f t="shared" si="17"/>
        <v>12251.32</v>
      </c>
      <c r="D70" s="28">
        <f t="shared" si="17"/>
        <v>11617</v>
      </c>
      <c r="E70" s="28">
        <f t="shared" si="17"/>
        <v>12617</v>
      </c>
      <c r="F70" s="28">
        <f t="shared" si="17"/>
        <v>11617</v>
      </c>
      <c r="G70" s="28">
        <f t="shared" si="17"/>
        <v>11617</v>
      </c>
      <c r="H70" s="28">
        <f t="shared" si="17"/>
        <v>12617</v>
      </c>
      <c r="I70" s="28">
        <f t="shared" si="17"/>
        <v>11617</v>
      </c>
      <c r="J70" s="28">
        <f t="shared" si="17"/>
        <v>11617</v>
      </c>
      <c r="K70" s="28">
        <f t="shared" si="17"/>
        <v>12617</v>
      </c>
      <c r="L70" s="28">
        <f t="shared" si="17"/>
        <v>11617</v>
      </c>
      <c r="M70" s="28">
        <f t="shared" si="17"/>
        <v>11617</v>
      </c>
      <c r="N70" s="28">
        <f>SUM(N54:N66)</f>
        <v>53328.32</v>
      </c>
    </row>
    <row r="71" ht="13.5" customHeight="1">
      <c r="A71" s="79" t="s">
        <v>71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</row>
    <row r="72" ht="13.5" customHeight="1">
      <c r="A72" s="32" t="s">
        <v>138</v>
      </c>
      <c r="B72" s="87">
        <v>0.0</v>
      </c>
      <c r="C72" s="87">
        <v>0.0</v>
      </c>
      <c r="D72" s="87">
        <v>0.0</v>
      </c>
      <c r="E72" s="87">
        <v>0.0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0.0</v>
      </c>
      <c r="L72" s="87">
        <v>0.0</v>
      </c>
      <c r="M72" s="87">
        <v>0.0</v>
      </c>
      <c r="N72" s="17">
        <f t="shared" ref="N72:N83" si="18">SUM(B72:M72)</f>
        <v>0</v>
      </c>
    </row>
    <row r="73" ht="13.5" customHeight="1">
      <c r="A73" s="31" t="s">
        <v>73</v>
      </c>
      <c r="B73" s="87">
        <v>0.0</v>
      </c>
      <c r="C73" s="87">
        <v>0.0</v>
      </c>
      <c r="D73" s="87">
        <v>0.0</v>
      </c>
      <c r="E73" s="87">
        <v>0.0</v>
      </c>
      <c r="F73" s="87">
        <v>0.0</v>
      </c>
      <c r="G73" s="87">
        <v>0.0</v>
      </c>
      <c r="H73" s="87">
        <v>0.0</v>
      </c>
      <c r="I73" s="87">
        <v>0.0</v>
      </c>
      <c r="J73" s="87">
        <v>0.0</v>
      </c>
      <c r="K73" s="87">
        <v>0.0</v>
      </c>
      <c r="L73" s="87">
        <v>0.0</v>
      </c>
      <c r="M73" s="87">
        <v>0.0</v>
      </c>
      <c r="N73" s="17">
        <f t="shared" si="18"/>
        <v>0</v>
      </c>
    </row>
    <row r="74" ht="13.5" customHeight="1">
      <c r="A74" s="32" t="s">
        <v>139</v>
      </c>
      <c r="B74" s="87">
        <v>1000.0</v>
      </c>
      <c r="C74" s="87">
        <v>1000.0</v>
      </c>
      <c r="D74" s="87">
        <v>1000.0</v>
      </c>
      <c r="E74" s="87">
        <v>1000.0</v>
      </c>
      <c r="F74" s="87">
        <v>1000.0</v>
      </c>
      <c r="G74" s="87">
        <v>1000.0</v>
      </c>
      <c r="H74" s="87">
        <v>1000.0</v>
      </c>
      <c r="I74" s="87">
        <v>1000.0</v>
      </c>
      <c r="J74" s="87">
        <v>1000.0</v>
      </c>
      <c r="K74" s="87">
        <v>1000.0</v>
      </c>
      <c r="L74" s="87">
        <v>1000.0</v>
      </c>
      <c r="M74" s="87">
        <v>1000.0</v>
      </c>
      <c r="N74" s="17">
        <f t="shared" si="18"/>
        <v>12000</v>
      </c>
    </row>
    <row r="75" ht="13.5" customHeight="1">
      <c r="A75" s="31" t="s">
        <v>137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17">
        <f t="shared" si="18"/>
        <v>0</v>
      </c>
    </row>
    <row r="76" ht="13.5" customHeight="1">
      <c r="A76" s="32" t="s">
        <v>136</v>
      </c>
      <c r="B76" s="87"/>
      <c r="C76" s="87"/>
      <c r="D76" s="87"/>
      <c r="E76" s="87"/>
      <c r="F76" s="87"/>
      <c r="G76" s="87"/>
      <c r="H76" s="46"/>
      <c r="I76" s="46"/>
      <c r="J76" s="46"/>
      <c r="K76" s="46"/>
      <c r="L76" s="46"/>
      <c r="M76" s="46"/>
      <c r="N76" s="17">
        <f t="shared" si="18"/>
        <v>0</v>
      </c>
    </row>
    <row r="77" ht="13.5" customHeight="1">
      <c r="A77" s="32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17">
        <f t="shared" si="18"/>
        <v>0</v>
      </c>
    </row>
    <row r="78" ht="13.5" customHeight="1">
      <c r="A78" s="31" t="s">
        <v>140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17">
        <f t="shared" si="18"/>
        <v>0</v>
      </c>
    </row>
    <row r="79" ht="13.5" customHeight="1">
      <c r="A79" s="27" t="s">
        <v>141</v>
      </c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17">
        <f t="shared" si="18"/>
        <v>0</v>
      </c>
    </row>
    <row r="80" ht="13.5" customHeight="1">
      <c r="A80" s="145" t="s">
        <v>79</v>
      </c>
      <c r="B80" s="87">
        <v>1350.0</v>
      </c>
      <c r="C80" s="87">
        <v>1350.0</v>
      </c>
      <c r="D80" s="87">
        <v>1350.0</v>
      </c>
      <c r="E80" s="87">
        <v>1350.0</v>
      </c>
      <c r="F80" s="87">
        <v>1350.0</v>
      </c>
      <c r="G80" s="87">
        <v>1350.0</v>
      </c>
      <c r="H80" s="87">
        <v>1350.0</v>
      </c>
      <c r="I80" s="87">
        <v>1350.0</v>
      </c>
      <c r="J80" s="87">
        <v>1350.0</v>
      </c>
      <c r="K80" s="87">
        <v>1350.0</v>
      </c>
      <c r="L80" s="87">
        <v>1350.0</v>
      </c>
      <c r="M80" s="87">
        <v>1350.0</v>
      </c>
      <c r="N80" s="17">
        <f t="shared" si="18"/>
        <v>16200</v>
      </c>
    </row>
    <row r="81" ht="13.5" customHeight="1">
      <c r="A81" s="43" t="s">
        <v>80</v>
      </c>
      <c r="B81" s="87">
        <v>400.0</v>
      </c>
      <c r="C81" s="87">
        <v>400.0</v>
      </c>
      <c r="D81" s="87">
        <v>400.0</v>
      </c>
      <c r="E81" s="87">
        <v>400.0</v>
      </c>
      <c r="F81" s="87">
        <v>400.0</v>
      </c>
      <c r="G81" s="87">
        <v>400.0</v>
      </c>
      <c r="H81" s="87">
        <v>400.0</v>
      </c>
      <c r="I81" s="87">
        <v>400.0</v>
      </c>
      <c r="J81" s="87">
        <v>400.0</v>
      </c>
      <c r="K81" s="87">
        <v>400.0</v>
      </c>
      <c r="L81" s="87">
        <v>400.0</v>
      </c>
      <c r="M81" s="87">
        <v>400.0</v>
      </c>
      <c r="N81" s="17">
        <f t="shared" si="18"/>
        <v>4800</v>
      </c>
    </row>
    <row r="82" ht="13.5" customHeight="1">
      <c r="A82" s="91" t="s">
        <v>23</v>
      </c>
      <c r="B82" s="28">
        <f t="shared" ref="B82:M82" si="19">SUM(B72:B81)</f>
        <v>2750</v>
      </c>
      <c r="C82" s="28">
        <f t="shared" si="19"/>
        <v>2750</v>
      </c>
      <c r="D82" s="28">
        <f t="shared" si="19"/>
        <v>2750</v>
      </c>
      <c r="E82" s="28">
        <f t="shared" si="19"/>
        <v>2750</v>
      </c>
      <c r="F82" s="28">
        <f t="shared" si="19"/>
        <v>2750</v>
      </c>
      <c r="G82" s="28">
        <f t="shared" si="19"/>
        <v>2750</v>
      </c>
      <c r="H82" s="28">
        <f t="shared" si="19"/>
        <v>2750</v>
      </c>
      <c r="I82" s="28">
        <f t="shared" si="19"/>
        <v>2750</v>
      </c>
      <c r="J82" s="28">
        <f t="shared" si="19"/>
        <v>2750</v>
      </c>
      <c r="K82" s="28">
        <f t="shared" si="19"/>
        <v>2750</v>
      </c>
      <c r="L82" s="28">
        <f t="shared" si="19"/>
        <v>2750</v>
      </c>
      <c r="M82" s="28">
        <f t="shared" si="19"/>
        <v>2750</v>
      </c>
      <c r="N82" s="44">
        <f t="shared" si="18"/>
        <v>33000</v>
      </c>
    </row>
    <row r="83" ht="13.5" customHeight="1">
      <c r="A83" s="99" t="s">
        <v>81</v>
      </c>
      <c r="B83" s="28">
        <f t="shared" ref="B83:M83" si="20">SUM(B52+B70+B82)</f>
        <v>30269.63</v>
      </c>
      <c r="C83" s="28">
        <f t="shared" si="20"/>
        <v>29603.95</v>
      </c>
      <c r="D83" s="28">
        <f t="shared" si="20"/>
        <v>28969.63</v>
      </c>
      <c r="E83" s="28">
        <f t="shared" si="20"/>
        <v>29969.63</v>
      </c>
      <c r="F83" s="28">
        <f t="shared" si="20"/>
        <v>28969.63</v>
      </c>
      <c r="G83" s="28">
        <f t="shared" si="20"/>
        <v>28969.63</v>
      </c>
      <c r="H83" s="28">
        <f t="shared" si="20"/>
        <v>29969.63</v>
      </c>
      <c r="I83" s="28">
        <f t="shared" si="20"/>
        <v>29026.57</v>
      </c>
      <c r="J83" s="28">
        <f t="shared" si="20"/>
        <v>29026.57</v>
      </c>
      <c r="K83" s="28">
        <f t="shared" si="20"/>
        <v>30026.57</v>
      </c>
      <c r="L83" s="28">
        <f t="shared" si="20"/>
        <v>29026.57</v>
      </c>
      <c r="M83" s="28">
        <f t="shared" si="20"/>
        <v>29026.57</v>
      </c>
      <c r="N83" s="44">
        <f t="shared" si="18"/>
        <v>352854.58</v>
      </c>
    </row>
    <row r="84" ht="13.5" customHeight="1">
      <c r="A84" s="99" t="s">
        <v>82</v>
      </c>
      <c r="B84" s="46">
        <f t="shared" ref="B84:N84" si="21">B83/B112</f>
        <v>263.2141739</v>
      </c>
      <c r="C84" s="46">
        <f t="shared" si="21"/>
        <v>257.4256522</v>
      </c>
      <c r="D84" s="46">
        <f t="shared" si="21"/>
        <v>231.75704</v>
      </c>
      <c r="E84" s="46">
        <f t="shared" si="21"/>
        <v>230.5356154</v>
      </c>
      <c r="F84" s="46">
        <f t="shared" si="21"/>
        <v>206.9259286</v>
      </c>
      <c r="G84" s="46">
        <f t="shared" si="21"/>
        <v>214.5898519</v>
      </c>
      <c r="H84" s="46">
        <f t="shared" si="21"/>
        <v>206.6871034</v>
      </c>
      <c r="I84" s="46">
        <f t="shared" si="21"/>
        <v>207.3326429</v>
      </c>
      <c r="J84" s="46">
        <f t="shared" si="21"/>
        <v>223.2813077</v>
      </c>
      <c r="K84" s="46">
        <f t="shared" si="21"/>
        <v>214.4755</v>
      </c>
      <c r="L84" s="46">
        <f t="shared" si="21"/>
        <v>223.2813077</v>
      </c>
      <c r="M84" s="46">
        <f t="shared" si="21"/>
        <v>207.3326429</v>
      </c>
      <c r="N84" s="15">
        <f t="shared" si="21"/>
        <v>222.6211861</v>
      </c>
    </row>
    <row r="85" ht="13.5" customHeight="1">
      <c r="A85" s="79" t="s">
        <v>83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</row>
    <row r="86" ht="13.5" customHeight="1">
      <c r="A86" s="15" t="s">
        <v>84</v>
      </c>
      <c r="B86" s="87">
        <v>820.0</v>
      </c>
      <c r="C86" s="87">
        <v>820.0</v>
      </c>
      <c r="D86" s="87">
        <v>820.0</v>
      </c>
      <c r="E86" s="87">
        <v>820.0</v>
      </c>
      <c r="F86" s="87">
        <v>820.0</v>
      </c>
      <c r="G86" s="87">
        <v>820.0</v>
      </c>
      <c r="H86" s="87">
        <v>820.0</v>
      </c>
      <c r="I86" s="87">
        <v>820.0</v>
      </c>
      <c r="J86" s="87">
        <v>820.0</v>
      </c>
      <c r="K86" s="87">
        <v>820.0</v>
      </c>
      <c r="L86" s="87">
        <v>820.0</v>
      </c>
      <c r="M86" s="87">
        <v>820.0</v>
      </c>
      <c r="N86" s="17">
        <f t="shared" ref="N86:N89" si="22">SUM(B86:M86)</f>
        <v>9840</v>
      </c>
    </row>
    <row r="87" ht="13.5" customHeight="1">
      <c r="A87" s="19" t="s">
        <v>210</v>
      </c>
      <c r="B87" s="46"/>
      <c r="C87" s="87"/>
      <c r="D87" s="87"/>
      <c r="E87" s="46"/>
      <c r="F87" s="46"/>
      <c r="G87" s="46"/>
      <c r="H87" s="46"/>
      <c r="I87" s="46"/>
      <c r="J87" s="46"/>
      <c r="K87" s="46"/>
      <c r="L87" s="46"/>
      <c r="M87" s="46"/>
      <c r="N87" s="17">
        <f t="shared" si="22"/>
        <v>0</v>
      </c>
    </row>
    <row r="88" ht="13.5" customHeight="1">
      <c r="A88" s="15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17">
        <f t="shared" si="22"/>
        <v>0</v>
      </c>
    </row>
    <row r="89" ht="13.5" customHeight="1">
      <c r="A89" s="15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17">
        <f t="shared" si="22"/>
        <v>0</v>
      </c>
    </row>
    <row r="90" ht="13.5" customHeight="1">
      <c r="A90" s="91" t="s">
        <v>23</v>
      </c>
      <c r="B90" s="28">
        <f t="shared" ref="B90:N90" si="23">SUM(B86:B89)</f>
        <v>820</v>
      </c>
      <c r="C90" s="28">
        <f t="shared" si="23"/>
        <v>820</v>
      </c>
      <c r="D90" s="28">
        <f t="shared" si="23"/>
        <v>820</v>
      </c>
      <c r="E90" s="28">
        <f t="shared" si="23"/>
        <v>820</v>
      </c>
      <c r="F90" s="28">
        <f t="shared" si="23"/>
        <v>820</v>
      </c>
      <c r="G90" s="28">
        <f t="shared" si="23"/>
        <v>820</v>
      </c>
      <c r="H90" s="28">
        <f t="shared" si="23"/>
        <v>820</v>
      </c>
      <c r="I90" s="28">
        <f t="shared" si="23"/>
        <v>820</v>
      </c>
      <c r="J90" s="28">
        <f t="shared" si="23"/>
        <v>820</v>
      </c>
      <c r="K90" s="28">
        <f t="shared" si="23"/>
        <v>820</v>
      </c>
      <c r="L90" s="28">
        <f t="shared" si="23"/>
        <v>820</v>
      </c>
      <c r="M90" s="28">
        <f t="shared" si="23"/>
        <v>820</v>
      </c>
      <c r="N90" s="28">
        <f t="shared" si="23"/>
        <v>9840</v>
      </c>
    </row>
    <row r="91" ht="13.5" customHeight="1">
      <c r="A91" s="89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</row>
    <row r="92" ht="13.5" customHeight="1">
      <c r="A92" s="31" t="s">
        <v>89</v>
      </c>
      <c r="B92" s="101">
        <f>PRODUCTION!J18</f>
        <v>750</v>
      </c>
      <c r="C92" s="102">
        <f>PRODUCTION!J19</f>
        <v>750</v>
      </c>
      <c r="D92" s="102">
        <f>PRODUCTION!J20</f>
        <v>750</v>
      </c>
      <c r="E92" s="102">
        <f>PRODUCTION!J21</f>
        <v>750</v>
      </c>
      <c r="F92" s="102">
        <f>PRODUCTION!J22</f>
        <v>750</v>
      </c>
      <c r="G92" s="102">
        <f>PRODUCTION!J23</f>
        <v>750</v>
      </c>
      <c r="H92" s="102">
        <f>PRODUCTION!J24</f>
        <v>750</v>
      </c>
      <c r="I92" s="102">
        <f>PRODUCTION!J25</f>
        <v>750</v>
      </c>
      <c r="J92" s="102">
        <f>PRODUCTION!J26</f>
        <v>750</v>
      </c>
      <c r="K92" s="102">
        <f>PRODUCTION!J27</f>
        <v>750</v>
      </c>
      <c r="L92" s="102">
        <f>PRODUCTION!J28</f>
        <v>750</v>
      </c>
      <c r="M92" s="102">
        <f>PRODUCTION!J29</f>
        <v>750</v>
      </c>
      <c r="N92" s="17">
        <f t="shared" ref="N92:N105" si="24">SUM(B92:M92)</f>
        <v>9000</v>
      </c>
    </row>
    <row r="93" ht="13.5" customHeight="1">
      <c r="A93" s="31" t="s">
        <v>90</v>
      </c>
      <c r="B93" s="87"/>
      <c r="C93" s="87"/>
      <c r="D93" s="87"/>
      <c r="E93" s="87"/>
      <c r="F93" s="87"/>
      <c r="G93" s="46"/>
      <c r="H93" s="87"/>
      <c r="I93" s="87"/>
      <c r="J93" s="46"/>
      <c r="K93" s="87"/>
      <c r="L93" s="46"/>
      <c r="M93" s="87"/>
      <c r="N93" s="17">
        <f t="shared" si="24"/>
        <v>0</v>
      </c>
    </row>
    <row r="94" ht="13.5" customHeight="1">
      <c r="A94" s="31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17">
        <f t="shared" si="24"/>
        <v>2360</v>
      </c>
    </row>
    <row r="95" ht="13.5" customHeight="1">
      <c r="A95" s="31" t="s">
        <v>92</v>
      </c>
      <c r="B95" s="146">
        <v>500.0</v>
      </c>
      <c r="C95" s="105">
        <v>500.0</v>
      </c>
      <c r="D95" s="105">
        <v>0.0</v>
      </c>
      <c r="E95" s="105">
        <v>0.0</v>
      </c>
      <c r="F95" s="104">
        <v>135.0</v>
      </c>
      <c r="G95" s="104">
        <f>350+167</f>
        <v>517</v>
      </c>
      <c r="H95" s="104">
        <v>0.0</v>
      </c>
      <c r="I95" s="218">
        <f>220.48+3.233</f>
        <v>223.713</v>
      </c>
      <c r="J95" s="105">
        <v>500.0</v>
      </c>
      <c r="K95" s="87">
        <v>367.23</v>
      </c>
      <c r="L95" s="105">
        <v>500.0</v>
      </c>
      <c r="M95" s="105">
        <v>500.0</v>
      </c>
      <c r="N95" s="17">
        <f t="shared" si="24"/>
        <v>3742.943</v>
      </c>
    </row>
    <row r="96" ht="13.5" customHeight="1">
      <c r="A96" s="31" t="s">
        <v>211</v>
      </c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17">
        <f t="shared" si="24"/>
        <v>0</v>
      </c>
    </row>
    <row r="97" ht="13.5" customHeight="1">
      <c r="A97" s="32" t="s">
        <v>94</v>
      </c>
      <c r="B97" s="87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17">
        <f t="shared" si="24"/>
        <v>0</v>
      </c>
    </row>
    <row r="98" ht="13.5" customHeight="1">
      <c r="A98" s="32" t="s">
        <v>95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17">
        <f t="shared" si="24"/>
        <v>0</v>
      </c>
    </row>
    <row r="99" ht="13.5" customHeight="1">
      <c r="A99" s="31" t="s">
        <v>96</v>
      </c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17">
        <f t="shared" si="24"/>
        <v>0</v>
      </c>
    </row>
    <row r="100" ht="13.5" customHeight="1">
      <c r="A100" s="31" t="s">
        <v>97</v>
      </c>
      <c r="B100" s="46"/>
      <c r="C100" s="46"/>
      <c r="D100" s="46"/>
      <c r="E100" s="87"/>
      <c r="F100" s="46"/>
      <c r="G100" s="46"/>
      <c r="H100" s="46"/>
      <c r="I100" s="46"/>
      <c r="J100" s="46"/>
      <c r="K100" s="46"/>
      <c r="M100" s="46"/>
      <c r="N100" s="17">
        <f t="shared" si="24"/>
        <v>0</v>
      </c>
    </row>
    <row r="101" ht="13.5" customHeight="1">
      <c r="A101" s="32" t="s">
        <v>98</v>
      </c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17">
        <f t="shared" si="24"/>
        <v>0</v>
      </c>
    </row>
    <row r="102" ht="13.5" customHeight="1">
      <c r="A102" s="31" t="s">
        <v>99</v>
      </c>
      <c r="B102" s="46"/>
      <c r="C102" s="46"/>
      <c r="D102" s="46"/>
      <c r="E102" s="87"/>
      <c r="F102" s="46"/>
      <c r="G102" s="46"/>
      <c r="H102" s="46"/>
      <c r="I102" s="46"/>
      <c r="J102" s="46"/>
      <c r="K102" s="46"/>
      <c r="L102" s="46"/>
      <c r="M102" s="46"/>
      <c r="N102" s="17">
        <f t="shared" si="24"/>
        <v>0</v>
      </c>
    </row>
    <row r="103" ht="13.5" customHeight="1">
      <c r="A103" s="32" t="s">
        <v>100</v>
      </c>
      <c r="B103" s="87">
        <v>200.0</v>
      </c>
      <c r="C103" s="87">
        <v>435.0</v>
      </c>
      <c r="D103" s="87">
        <f>200+113.63</f>
        <v>313.63</v>
      </c>
      <c r="E103" s="87">
        <v>200.0</v>
      </c>
      <c r="F103" s="87">
        <v>200.0</v>
      </c>
      <c r="G103" s="87">
        <v>605.0</v>
      </c>
      <c r="H103" s="87">
        <v>605.0</v>
      </c>
      <c r="I103" s="87">
        <v>200.0</v>
      </c>
      <c r="J103" s="87">
        <f>435+200</f>
        <v>635</v>
      </c>
      <c r="K103" s="87">
        <v>200.0</v>
      </c>
      <c r="L103" s="87">
        <v>200.0</v>
      </c>
      <c r="M103" s="87">
        <v>200.0</v>
      </c>
      <c r="N103" s="17">
        <f t="shared" si="24"/>
        <v>3993.63</v>
      </c>
    </row>
    <row r="104" ht="13.5" customHeight="1">
      <c r="A104" s="27" t="s">
        <v>101</v>
      </c>
      <c r="B104" s="87">
        <v>300.0</v>
      </c>
      <c r="C104" s="87">
        <v>375.0</v>
      </c>
      <c r="D104" s="87">
        <v>375.0</v>
      </c>
      <c r="E104" s="87">
        <v>375.0</v>
      </c>
      <c r="F104" s="87">
        <v>375.0</v>
      </c>
      <c r="G104" s="87">
        <v>375.0</v>
      </c>
      <c r="H104" s="87">
        <v>375.0</v>
      </c>
      <c r="I104" s="87">
        <v>375.0</v>
      </c>
      <c r="J104" s="87">
        <v>375.0</v>
      </c>
      <c r="K104" s="87">
        <v>375.0</v>
      </c>
      <c r="L104" s="87">
        <v>375.0</v>
      </c>
      <c r="M104" s="87">
        <v>375.0</v>
      </c>
      <c r="N104" s="17">
        <f t="shared" si="24"/>
        <v>4425</v>
      </c>
    </row>
    <row r="105" ht="13.5" customHeight="1">
      <c r="A105" s="27" t="s">
        <v>102</v>
      </c>
      <c r="B105" s="28"/>
      <c r="C105" s="28"/>
      <c r="D105" s="147"/>
      <c r="E105" s="28"/>
      <c r="F105" s="28"/>
      <c r="G105" s="28"/>
      <c r="H105" s="28"/>
      <c r="I105" s="28"/>
      <c r="J105" s="28"/>
      <c r="K105" s="28"/>
      <c r="L105" s="28"/>
      <c r="M105" s="28"/>
      <c r="N105" s="17">
        <f t="shared" si="24"/>
        <v>0</v>
      </c>
    </row>
    <row r="106" ht="13.5" customHeight="1">
      <c r="A106" s="9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ht="13.5" customHeight="1">
      <c r="A107" s="91" t="s">
        <v>23</v>
      </c>
      <c r="B107" s="28">
        <f t="shared" ref="B107:N107" si="25">SUM(B92:B105)</f>
        <v>1930</v>
      </c>
      <c r="C107" s="28">
        <f t="shared" si="25"/>
        <v>2240</v>
      </c>
      <c r="D107" s="28">
        <f t="shared" si="25"/>
        <v>1618.63</v>
      </c>
      <c r="E107" s="28">
        <f t="shared" si="25"/>
        <v>1505</v>
      </c>
      <c r="F107" s="28">
        <f t="shared" si="25"/>
        <v>1640</v>
      </c>
      <c r="G107" s="28">
        <f t="shared" si="25"/>
        <v>2427</v>
      </c>
      <c r="H107" s="28">
        <f t="shared" si="25"/>
        <v>1910</v>
      </c>
      <c r="I107" s="28">
        <f t="shared" si="25"/>
        <v>1728.713</v>
      </c>
      <c r="J107" s="28">
        <f t="shared" si="25"/>
        <v>2440</v>
      </c>
      <c r="K107" s="28">
        <f t="shared" si="25"/>
        <v>2072.23</v>
      </c>
      <c r="L107" s="28">
        <f t="shared" si="25"/>
        <v>2005</v>
      </c>
      <c r="M107" s="28">
        <f t="shared" si="25"/>
        <v>2005</v>
      </c>
      <c r="N107" s="28">
        <f t="shared" si="25"/>
        <v>23521.573</v>
      </c>
    </row>
    <row r="108" ht="13.5" customHeight="1">
      <c r="A108" s="91" t="s">
        <v>104</v>
      </c>
      <c r="B108" s="147">
        <v>0.0</v>
      </c>
      <c r="C108" s="147">
        <v>0.0</v>
      </c>
      <c r="D108" s="147">
        <v>0.0</v>
      </c>
      <c r="E108" s="147">
        <v>0.0</v>
      </c>
      <c r="F108" s="147">
        <v>0.0</v>
      </c>
      <c r="G108" s="147">
        <v>0.0</v>
      </c>
      <c r="H108" s="147">
        <v>0.0</v>
      </c>
      <c r="I108" s="147">
        <v>0.0</v>
      </c>
      <c r="J108" s="147">
        <v>0.0</v>
      </c>
      <c r="K108" s="147">
        <v>0.0</v>
      </c>
      <c r="L108" s="147">
        <v>0.0</v>
      </c>
      <c r="M108" s="147">
        <v>0.0</v>
      </c>
      <c r="N108" s="44">
        <f>SUM(B108:M108)</f>
        <v>0</v>
      </c>
    </row>
    <row r="109" ht="13.5" customHeight="1">
      <c r="A109" s="112" t="s">
        <v>105</v>
      </c>
      <c r="B109" s="50">
        <f t="shared" ref="B109:N109" si="26">B107+B90+B83+B32+B21+B13</f>
        <v>40111.51889</v>
      </c>
      <c r="C109" s="50">
        <f t="shared" si="26"/>
        <v>40047.41231</v>
      </c>
      <c r="D109" s="50">
        <f t="shared" si="26"/>
        <v>42765.42327</v>
      </c>
      <c r="E109" s="50">
        <f t="shared" si="26"/>
        <v>43027.13452</v>
      </c>
      <c r="F109" s="50">
        <f t="shared" si="26"/>
        <v>49344.98885</v>
      </c>
      <c r="G109" s="50">
        <f t="shared" si="26"/>
        <v>44182.64787</v>
      </c>
      <c r="H109" s="50">
        <f t="shared" si="26"/>
        <v>41050.18687</v>
      </c>
      <c r="I109" s="50">
        <f t="shared" si="26"/>
        <v>44925.83987</v>
      </c>
      <c r="J109" s="50">
        <f t="shared" si="26"/>
        <v>42570.04646</v>
      </c>
      <c r="K109" s="50">
        <f t="shared" si="26"/>
        <v>44604.3943</v>
      </c>
      <c r="L109" s="50">
        <f t="shared" si="26"/>
        <v>50219.7057</v>
      </c>
      <c r="M109" s="50">
        <f t="shared" si="26"/>
        <v>45219.7057</v>
      </c>
      <c r="N109" s="50">
        <f t="shared" si="26"/>
        <v>528069.0046</v>
      </c>
    </row>
    <row r="110" ht="13.5" customHeight="1">
      <c r="A110" s="35" t="s">
        <v>106</v>
      </c>
      <c r="B110" s="148">
        <v>45.0</v>
      </c>
      <c r="C110" s="117">
        <v>45.0</v>
      </c>
      <c r="D110" s="116">
        <v>50.0</v>
      </c>
      <c r="E110" s="116">
        <v>55.0</v>
      </c>
      <c r="F110" s="116">
        <v>60.0</v>
      </c>
      <c r="G110" s="116">
        <v>55.0</v>
      </c>
      <c r="H110" s="116">
        <v>60.0</v>
      </c>
      <c r="I110" s="116">
        <v>60.0</v>
      </c>
      <c r="J110" s="116">
        <v>55.0</v>
      </c>
      <c r="K110" s="116">
        <v>60.0</v>
      </c>
      <c r="L110" s="116">
        <v>55.0</v>
      </c>
      <c r="M110" s="118">
        <v>60.0</v>
      </c>
      <c r="N110" s="149">
        <f t="shared" ref="N110:N112" si="27">SUM(B110:M110)</f>
        <v>660</v>
      </c>
    </row>
    <row r="111" ht="13.5" customHeight="1">
      <c r="A111" s="35" t="s">
        <v>107</v>
      </c>
      <c r="B111" s="120">
        <v>70.0</v>
      </c>
      <c r="C111" s="120">
        <v>70.0</v>
      </c>
      <c r="D111" s="150">
        <v>75.0</v>
      </c>
      <c r="E111" s="120">
        <v>75.0</v>
      </c>
      <c r="F111" s="120">
        <v>80.0</v>
      </c>
      <c r="G111" s="120">
        <v>80.0</v>
      </c>
      <c r="H111" s="120">
        <v>85.0</v>
      </c>
      <c r="I111" s="120">
        <v>80.0</v>
      </c>
      <c r="J111" s="120">
        <v>75.0</v>
      </c>
      <c r="K111" s="120">
        <v>80.0</v>
      </c>
      <c r="L111" s="120">
        <v>75.0</v>
      </c>
      <c r="M111" s="121">
        <v>80.0</v>
      </c>
      <c r="N111" s="149">
        <f t="shared" si="27"/>
        <v>925</v>
      </c>
    </row>
    <row r="112" ht="13.5" customHeight="1">
      <c r="A112" s="91" t="s">
        <v>23</v>
      </c>
      <c r="B112" s="122">
        <f t="shared" ref="B112:M112" si="28">B110+B111</f>
        <v>115</v>
      </c>
      <c r="C112" s="122">
        <f t="shared" si="28"/>
        <v>115</v>
      </c>
      <c r="D112" s="122">
        <f t="shared" si="28"/>
        <v>125</v>
      </c>
      <c r="E112" s="122">
        <f t="shared" si="28"/>
        <v>130</v>
      </c>
      <c r="F112" s="123">
        <f t="shared" si="28"/>
        <v>140</v>
      </c>
      <c r="G112" s="123">
        <f t="shared" si="28"/>
        <v>135</v>
      </c>
      <c r="H112" s="219">
        <f t="shared" si="28"/>
        <v>145</v>
      </c>
      <c r="I112" s="123">
        <f t="shared" si="28"/>
        <v>140</v>
      </c>
      <c r="J112" s="123">
        <f t="shared" si="28"/>
        <v>130</v>
      </c>
      <c r="K112" s="123">
        <f t="shared" si="28"/>
        <v>140</v>
      </c>
      <c r="L112" s="123">
        <f t="shared" si="28"/>
        <v>130</v>
      </c>
      <c r="M112" s="124">
        <f t="shared" si="28"/>
        <v>140</v>
      </c>
      <c r="N112" s="125">
        <f t="shared" si="27"/>
        <v>1585</v>
      </c>
    </row>
    <row r="113" ht="13.5" customHeight="1">
      <c r="A113" s="126" t="s">
        <v>108</v>
      </c>
      <c r="B113" s="58">
        <f t="shared" ref="B113:N113" si="29">B109/B112</f>
        <v>348.7958164</v>
      </c>
      <c r="C113" s="58">
        <f t="shared" si="29"/>
        <v>348.2383679</v>
      </c>
      <c r="D113" s="58">
        <f t="shared" si="29"/>
        <v>342.1233861</v>
      </c>
      <c r="E113" s="58">
        <f t="shared" si="29"/>
        <v>330.9779578</v>
      </c>
      <c r="F113" s="58">
        <f t="shared" si="29"/>
        <v>352.4642061</v>
      </c>
      <c r="G113" s="58">
        <f t="shared" si="29"/>
        <v>327.2788731</v>
      </c>
      <c r="H113" s="58">
        <f t="shared" si="29"/>
        <v>283.104737</v>
      </c>
      <c r="I113" s="58">
        <f t="shared" si="29"/>
        <v>320.8988562</v>
      </c>
      <c r="J113" s="58">
        <f t="shared" si="29"/>
        <v>327.4618958</v>
      </c>
      <c r="K113" s="58">
        <f t="shared" si="29"/>
        <v>318.6028164</v>
      </c>
      <c r="L113" s="58">
        <f t="shared" si="29"/>
        <v>386.3054285</v>
      </c>
      <c r="M113" s="58">
        <f t="shared" si="29"/>
        <v>322.9978979</v>
      </c>
      <c r="N113" s="179">
        <f t="shared" si="29"/>
        <v>333.1665644</v>
      </c>
    </row>
    <row r="114" ht="13.5" customHeight="1">
      <c r="A114" s="79" t="s">
        <v>109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</row>
    <row r="115" ht="13.5" customHeight="1">
      <c r="A115" s="59" t="s">
        <v>110</v>
      </c>
      <c r="B115" s="87">
        <f t="shared" ref="B115:M115" si="30">1095</f>
        <v>1095</v>
      </c>
      <c r="C115" s="87">
        <f t="shared" si="30"/>
        <v>1095</v>
      </c>
      <c r="D115" s="87">
        <f t="shared" si="30"/>
        <v>1095</v>
      </c>
      <c r="E115" s="87">
        <f t="shared" si="30"/>
        <v>1095</v>
      </c>
      <c r="F115" s="87">
        <f t="shared" si="30"/>
        <v>1095</v>
      </c>
      <c r="G115" s="87">
        <f t="shared" si="30"/>
        <v>1095</v>
      </c>
      <c r="H115" s="87">
        <f t="shared" si="30"/>
        <v>1095</v>
      </c>
      <c r="I115" s="87">
        <f t="shared" si="30"/>
        <v>1095</v>
      </c>
      <c r="J115" s="87">
        <f t="shared" si="30"/>
        <v>1095</v>
      </c>
      <c r="K115" s="87">
        <f t="shared" si="30"/>
        <v>1095</v>
      </c>
      <c r="L115" s="87">
        <f t="shared" si="30"/>
        <v>1095</v>
      </c>
      <c r="M115" s="87">
        <f t="shared" si="30"/>
        <v>1095</v>
      </c>
      <c r="N115" s="17">
        <f t="shared" ref="N115:N120" si="31">SUM(B115:M115)</f>
        <v>13140</v>
      </c>
    </row>
    <row r="116" ht="13.5" customHeight="1">
      <c r="A116" s="60" t="s">
        <v>111</v>
      </c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17">
        <f t="shared" si="31"/>
        <v>0</v>
      </c>
    </row>
    <row r="117" ht="13.5" customHeight="1">
      <c r="A117" s="59" t="s">
        <v>112</v>
      </c>
      <c r="B117" s="87">
        <f>1250+2151.4
</f>
        <v>3401.4</v>
      </c>
      <c r="C117" s="87">
        <v>1250.0</v>
      </c>
      <c r="D117" s="87">
        <v>1250.0</v>
      </c>
      <c r="E117" s="87">
        <f>1250+2151.4
</f>
        <v>3401.4</v>
      </c>
      <c r="F117" s="87">
        <v>1250.0</v>
      </c>
      <c r="G117" s="87">
        <v>1250.0</v>
      </c>
      <c r="H117" s="87">
        <f>1250+2151.4
</f>
        <v>3401.4</v>
      </c>
      <c r="I117" s="87">
        <v>1250.0</v>
      </c>
      <c r="J117" s="87">
        <v>1250.0</v>
      </c>
      <c r="K117" s="87">
        <f>1250+2195.42</f>
        <v>3445.42</v>
      </c>
      <c r="L117" s="87">
        <v>1250.0</v>
      </c>
      <c r="M117" s="87">
        <v>1250.0</v>
      </c>
      <c r="N117" s="17">
        <f t="shared" si="31"/>
        <v>23649.62</v>
      </c>
    </row>
    <row r="118" ht="13.5" customHeight="1">
      <c r="A118" s="59" t="s">
        <v>80</v>
      </c>
      <c r="B118" s="87">
        <v>4000.0</v>
      </c>
      <c r="C118" s="87">
        <v>4000.0</v>
      </c>
      <c r="D118" s="87">
        <v>4000.0</v>
      </c>
      <c r="E118" s="87">
        <v>4000.0</v>
      </c>
      <c r="F118" s="87">
        <v>4000.0</v>
      </c>
      <c r="G118" s="87">
        <v>4000.0</v>
      </c>
      <c r="H118" s="87">
        <v>4000.0</v>
      </c>
      <c r="I118" s="87">
        <v>4000.0</v>
      </c>
      <c r="J118" s="87">
        <v>4000.0</v>
      </c>
      <c r="K118" s="87">
        <v>4000.0</v>
      </c>
      <c r="L118" s="87">
        <v>4000.0</v>
      </c>
      <c r="M118" s="87">
        <v>4000.0</v>
      </c>
      <c r="N118" s="17">
        <f t="shared" si="31"/>
        <v>48000</v>
      </c>
    </row>
    <row r="119" ht="13.5" customHeight="1">
      <c r="A119" s="61" t="s">
        <v>113</v>
      </c>
      <c r="B119" s="87">
        <v>395.0</v>
      </c>
      <c r="C119" s="87">
        <v>395.0</v>
      </c>
      <c r="D119" s="87">
        <v>395.0</v>
      </c>
      <c r="E119" s="87">
        <v>395.0</v>
      </c>
      <c r="F119" s="87">
        <v>395.0</v>
      </c>
      <c r="G119" s="87">
        <v>395.0</v>
      </c>
      <c r="H119" s="87">
        <v>395.0</v>
      </c>
      <c r="I119" s="87">
        <v>395.0</v>
      </c>
      <c r="J119" s="87">
        <v>395.0</v>
      </c>
      <c r="K119" s="87">
        <v>395.0</v>
      </c>
      <c r="L119" s="87">
        <v>395.0</v>
      </c>
      <c r="M119" s="87">
        <v>395.0</v>
      </c>
      <c r="N119" s="17">
        <f t="shared" si="31"/>
        <v>4740</v>
      </c>
    </row>
    <row r="120" ht="13.5" customHeight="1">
      <c r="A120" s="132" t="s">
        <v>114</v>
      </c>
      <c r="B120" s="96">
        <v>1841.0</v>
      </c>
      <c r="C120" s="96">
        <v>1841.0</v>
      </c>
      <c r="D120" s="96">
        <v>1841.0</v>
      </c>
      <c r="E120" s="96">
        <v>1841.0</v>
      </c>
      <c r="F120" s="96">
        <v>1841.0</v>
      </c>
      <c r="G120" s="96">
        <v>1841.0</v>
      </c>
      <c r="H120" s="96">
        <v>1841.0</v>
      </c>
      <c r="I120" s="96">
        <v>1841.0</v>
      </c>
      <c r="J120" s="96">
        <v>1841.0</v>
      </c>
      <c r="K120" s="96">
        <v>6479.0</v>
      </c>
      <c r="L120" s="96">
        <v>1841.0</v>
      </c>
      <c r="M120" s="96">
        <v>1841.0</v>
      </c>
      <c r="N120" s="17">
        <f t="shared" si="31"/>
        <v>26730</v>
      </c>
    </row>
    <row r="121" ht="13.5" customHeight="1">
      <c r="A121" s="99" t="s">
        <v>23</v>
      </c>
      <c r="B121" s="63">
        <f t="shared" ref="B121:N121" si="32">SUM(B115:B120)</f>
        <v>10732.4</v>
      </c>
      <c r="C121" s="63">
        <f t="shared" si="32"/>
        <v>8581</v>
      </c>
      <c r="D121" s="63">
        <f t="shared" si="32"/>
        <v>8581</v>
      </c>
      <c r="E121" s="63">
        <f t="shared" si="32"/>
        <v>10732.4</v>
      </c>
      <c r="F121" s="63">
        <f t="shared" si="32"/>
        <v>8581</v>
      </c>
      <c r="G121" s="63">
        <f t="shared" si="32"/>
        <v>8581</v>
      </c>
      <c r="H121" s="63">
        <f t="shared" si="32"/>
        <v>10732.4</v>
      </c>
      <c r="I121" s="63">
        <f t="shared" si="32"/>
        <v>8581</v>
      </c>
      <c r="J121" s="63">
        <f t="shared" si="32"/>
        <v>8581</v>
      </c>
      <c r="K121" s="63">
        <f t="shared" si="32"/>
        <v>15414.42</v>
      </c>
      <c r="L121" s="63">
        <f t="shared" si="32"/>
        <v>8581</v>
      </c>
      <c r="M121" s="63">
        <f t="shared" si="32"/>
        <v>8581</v>
      </c>
      <c r="N121" s="63">
        <f t="shared" si="32"/>
        <v>116259.62</v>
      </c>
    </row>
    <row r="122" ht="13.5" customHeight="1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</row>
    <row r="123" ht="13.5" customHeight="1">
      <c r="A123" s="64" t="s">
        <v>115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</row>
    <row r="124" ht="13.5" customHeight="1">
      <c r="A124" s="64" t="s">
        <v>116</v>
      </c>
      <c r="B124" s="67">
        <f t="shared" ref="B124:M124" si="33">+B13*0.7+B21*0.7+B32*0.7+B52*0.6+B70+B107*0.6</f>
        <v>27800.90022</v>
      </c>
      <c r="C124" s="67">
        <f t="shared" si="33"/>
        <v>27525.32162</v>
      </c>
      <c r="D124" s="67">
        <f t="shared" si="33"/>
        <v>29299.77029</v>
      </c>
      <c r="E124" s="67">
        <f t="shared" si="33"/>
        <v>29794.33116</v>
      </c>
      <c r="F124" s="67">
        <f t="shared" si="33"/>
        <v>33903.3292</v>
      </c>
      <c r="G124" s="67">
        <f t="shared" si="33"/>
        <v>30210.99051</v>
      </c>
      <c r="H124" s="67">
        <f t="shared" si="33"/>
        <v>28369.96781</v>
      </c>
      <c r="I124" s="67">
        <f t="shared" si="33"/>
        <v>30795.35961</v>
      </c>
      <c r="J124" s="67">
        <f t="shared" si="33"/>
        <v>29075.17552</v>
      </c>
      <c r="K124" s="67">
        <f t="shared" si="33"/>
        <v>30835.99601</v>
      </c>
      <c r="L124" s="67">
        <f t="shared" si="33"/>
        <v>34473.43699</v>
      </c>
      <c r="M124" s="67">
        <f t="shared" si="33"/>
        <v>30973.43699</v>
      </c>
      <c r="N124" s="67">
        <f t="shared" ref="N124:N125" si="35">SUM(B124:M124)</f>
        <v>363058.0159</v>
      </c>
    </row>
    <row r="125" ht="13.5" customHeight="1">
      <c r="A125" s="64" t="s">
        <v>117</v>
      </c>
      <c r="B125" s="67">
        <f t="shared" ref="B125:M125" si="34">+B13*0.3+B21*0.3+B32*0.3+B52*0.4+B82+B90+B107*0.4</f>
        <v>12310.61867</v>
      </c>
      <c r="C125" s="67">
        <f t="shared" si="34"/>
        <v>12522.09069</v>
      </c>
      <c r="D125" s="67">
        <f t="shared" si="34"/>
        <v>13465.65298</v>
      </c>
      <c r="E125" s="67">
        <f t="shared" si="34"/>
        <v>13232.80336</v>
      </c>
      <c r="F125" s="67">
        <f t="shared" si="34"/>
        <v>15441.65966</v>
      </c>
      <c r="G125" s="67">
        <f t="shared" si="34"/>
        <v>13971.65736</v>
      </c>
      <c r="H125" s="67">
        <f t="shared" si="34"/>
        <v>12680.21906</v>
      </c>
      <c r="I125" s="67">
        <f t="shared" si="34"/>
        <v>14130.48026</v>
      </c>
      <c r="J125" s="67">
        <f t="shared" si="34"/>
        <v>13494.87094</v>
      </c>
      <c r="K125" s="67">
        <f t="shared" si="34"/>
        <v>13768.39829</v>
      </c>
      <c r="L125" s="67">
        <f t="shared" si="34"/>
        <v>15746.26871</v>
      </c>
      <c r="M125" s="67">
        <f t="shared" si="34"/>
        <v>14246.26871</v>
      </c>
      <c r="N125" s="67">
        <f t="shared" si="35"/>
        <v>165010.9887</v>
      </c>
    </row>
    <row r="126" ht="13.5" customHeight="1">
      <c r="A126" s="64" t="s">
        <v>23</v>
      </c>
      <c r="B126" s="67">
        <f t="shared" ref="B126:N126" si="36">SUM(B124:B125)</f>
        <v>40111.51889</v>
      </c>
      <c r="C126" s="67">
        <f t="shared" si="36"/>
        <v>40047.41231</v>
      </c>
      <c r="D126" s="67">
        <f t="shared" si="36"/>
        <v>42765.42327</v>
      </c>
      <c r="E126" s="67">
        <f t="shared" si="36"/>
        <v>43027.13452</v>
      </c>
      <c r="F126" s="67">
        <f t="shared" si="36"/>
        <v>49344.98885</v>
      </c>
      <c r="G126" s="67">
        <f t="shared" si="36"/>
        <v>44182.64787</v>
      </c>
      <c r="H126" s="67">
        <f t="shared" si="36"/>
        <v>41050.18687</v>
      </c>
      <c r="I126" s="67">
        <f t="shared" si="36"/>
        <v>44925.83987</v>
      </c>
      <c r="J126" s="67">
        <f t="shared" si="36"/>
        <v>42570.04646</v>
      </c>
      <c r="K126" s="67">
        <f t="shared" si="36"/>
        <v>44604.3943</v>
      </c>
      <c r="L126" s="67">
        <f t="shared" si="36"/>
        <v>50219.7057</v>
      </c>
      <c r="M126" s="67">
        <f t="shared" si="36"/>
        <v>45219.7057</v>
      </c>
      <c r="N126" s="67">
        <f t="shared" si="36"/>
        <v>528069.0046</v>
      </c>
    </row>
    <row r="127" ht="13.5" customHeight="1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</row>
    <row r="128" ht="13.5" customHeight="1">
      <c r="A128" s="69" t="s">
        <v>118</v>
      </c>
      <c r="B128" s="70">
        <f t="shared" ref="B128:N128" si="37">+B109</f>
        <v>40111.51889</v>
      </c>
      <c r="C128" s="70">
        <f t="shared" si="37"/>
        <v>40047.41231</v>
      </c>
      <c r="D128" s="70">
        <f t="shared" si="37"/>
        <v>42765.42327</v>
      </c>
      <c r="E128" s="70">
        <f t="shared" si="37"/>
        <v>43027.13452</v>
      </c>
      <c r="F128" s="70">
        <f t="shared" si="37"/>
        <v>49344.98885</v>
      </c>
      <c r="G128" s="70">
        <f t="shared" si="37"/>
        <v>44182.64787</v>
      </c>
      <c r="H128" s="70">
        <f t="shared" si="37"/>
        <v>41050.18687</v>
      </c>
      <c r="I128" s="70">
        <f t="shared" si="37"/>
        <v>44925.83987</v>
      </c>
      <c r="J128" s="70">
        <f t="shared" si="37"/>
        <v>42570.04646</v>
      </c>
      <c r="K128" s="70">
        <f t="shared" si="37"/>
        <v>44604.3943</v>
      </c>
      <c r="L128" s="70">
        <f t="shared" si="37"/>
        <v>50219.7057</v>
      </c>
      <c r="M128" s="70">
        <f t="shared" si="37"/>
        <v>45219.7057</v>
      </c>
      <c r="N128" s="70">
        <f t="shared" si="37"/>
        <v>528069.0046</v>
      </c>
    </row>
    <row r="129" ht="13.5" customHeight="1">
      <c r="A129" s="134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</row>
    <row r="130" ht="13.5" customHeight="1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</row>
    <row r="131" ht="13.5" customHeight="1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</row>
  </sheetData>
  <mergeCells count="1">
    <mergeCell ref="A1:N1"/>
  </mergeCell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1.38"/>
    <col customWidth="1" min="2" max="9" width="9.13"/>
    <col customWidth="1" min="10" max="10" width="9.63"/>
    <col customWidth="1" min="11" max="13" width="9.13"/>
    <col customWidth="1" min="14" max="14" width="10.13"/>
  </cols>
  <sheetData>
    <row r="1" ht="16.5" customHeight="1">
      <c r="A1" s="220" t="s">
        <v>212</v>
      </c>
    </row>
    <row r="2" ht="16.5" customHeight="1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3"/>
    </row>
    <row r="3" ht="16.5" customHeight="1">
      <c r="A3" s="224"/>
      <c r="B3" s="225" t="s">
        <v>1</v>
      </c>
      <c r="C3" s="225" t="s">
        <v>2</v>
      </c>
      <c r="D3" s="225" t="s">
        <v>3</v>
      </c>
      <c r="E3" s="225" t="s">
        <v>4</v>
      </c>
      <c r="F3" s="225" t="s">
        <v>5</v>
      </c>
      <c r="G3" s="225" t="s">
        <v>6</v>
      </c>
      <c r="H3" s="225" t="s">
        <v>7</v>
      </c>
      <c r="I3" s="225" t="s">
        <v>8</v>
      </c>
      <c r="J3" s="225" t="s">
        <v>9</v>
      </c>
      <c r="K3" s="225" t="s">
        <v>10</v>
      </c>
      <c r="L3" s="225" t="s">
        <v>11</v>
      </c>
      <c r="M3" s="225" t="s">
        <v>12</v>
      </c>
      <c r="N3" s="226" t="s">
        <v>0</v>
      </c>
    </row>
    <row r="4" ht="16.5" customHeight="1">
      <c r="A4" s="227" t="s">
        <v>14</v>
      </c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</row>
    <row r="5" ht="13.5" customHeight="1">
      <c r="A5" s="15" t="s">
        <v>15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30">
        <f t="shared" ref="N5:N12" si="1">SUM(B5:M5)</f>
        <v>0</v>
      </c>
    </row>
    <row r="6" ht="15.0" customHeight="1">
      <c r="A6" s="15" t="s">
        <v>123</v>
      </c>
      <c r="B6" s="231">
        <f>FORMULAS!S213</f>
        <v>0</v>
      </c>
      <c r="C6" s="231">
        <f>FORMULAS!W213</f>
        <v>0</v>
      </c>
      <c r="D6" s="231">
        <f>FORMULAS!AA213</f>
        <v>0</v>
      </c>
      <c r="E6" s="231">
        <f>FORMULAS!AE213</f>
        <v>0</v>
      </c>
      <c r="F6" s="231">
        <f>FORMULAS!AI213</f>
        <v>0</v>
      </c>
      <c r="G6" s="231">
        <f>FORMULAS!AM213</f>
        <v>0</v>
      </c>
      <c r="H6" s="231">
        <f>FORMULAS!AQ213</f>
        <v>0</v>
      </c>
      <c r="I6" s="231">
        <f>FORMULAS!AU213</f>
        <v>0</v>
      </c>
      <c r="J6" s="231">
        <f>FORMULAS!AY213</f>
        <v>0</v>
      </c>
      <c r="K6" s="231">
        <f>FORMULAS!BC213</f>
        <v>0</v>
      </c>
      <c r="L6" s="232">
        <f>FORMULAS!BG213</f>
        <v>0</v>
      </c>
      <c r="M6" s="231">
        <f>FORMULAS!BK213</f>
        <v>0</v>
      </c>
      <c r="N6" s="230">
        <f t="shared" si="1"/>
        <v>0</v>
      </c>
    </row>
    <row r="7" ht="13.5" customHeight="1">
      <c r="A7" s="15" t="s">
        <v>17</v>
      </c>
      <c r="B7" s="231">
        <f>FORMULAS!S221</f>
        <v>3519.736842</v>
      </c>
      <c r="C7" s="231">
        <f>FORMULAS!W221</f>
        <v>3519.736842</v>
      </c>
      <c r="D7" s="231">
        <f>FORMULAS!AA221</f>
        <v>7039.473684</v>
      </c>
      <c r="E7" s="231">
        <f>FORMULAS!AE221</f>
        <v>7039.473684</v>
      </c>
      <c r="F7" s="231">
        <f>FORMULAS!AI221</f>
        <v>10110.5614</v>
      </c>
      <c r="G7" s="231">
        <f>FORMULAS!AM221</f>
        <v>10110.5614</v>
      </c>
      <c r="H7" s="231">
        <f>FORMULAS!AQ221</f>
        <v>7039.473684</v>
      </c>
      <c r="I7" s="231">
        <f>FORMULAS!AU221</f>
        <v>7039.473684</v>
      </c>
      <c r="J7" s="231">
        <f>FORMULAS!AY221</f>
        <v>8703.135965</v>
      </c>
      <c r="K7" s="231">
        <f>FORMULAS!BC221</f>
        <v>8703.135965</v>
      </c>
      <c r="L7" s="232">
        <f>FORMULAS!BG221</f>
        <v>10110.5614</v>
      </c>
      <c r="M7" s="231">
        <f>FORMULAS!BK221</f>
        <v>10110.5614</v>
      </c>
      <c r="N7" s="230">
        <f t="shared" si="1"/>
        <v>93045.88596</v>
      </c>
    </row>
    <row r="8" ht="15.0" customHeight="1">
      <c r="A8" s="15" t="s">
        <v>18</v>
      </c>
      <c r="B8" s="232">
        <f>FORMULAS!S237+FORMULAS!S245</f>
        <v>0</v>
      </c>
      <c r="C8" s="232">
        <f>FORMULAS!W237+FORMULAS!W245</f>
        <v>0</v>
      </c>
      <c r="D8" s="232">
        <f>FORMULAS!AA237+FORMULAS!AA245</f>
        <v>0</v>
      </c>
      <c r="E8" s="232">
        <f>FORMULAS!AE237+FORMULAS!AE245</f>
        <v>0</v>
      </c>
      <c r="F8" s="232">
        <f>FORMULAS!AI237+FORMULAS!AI245</f>
        <v>0</v>
      </c>
      <c r="G8" s="232">
        <f>FORMULAS!AM237+FORMULAS!AM245</f>
        <v>0</v>
      </c>
      <c r="H8" s="232">
        <f>FORMULAS!AQ237+FORMULAS!AQ245</f>
        <v>0</v>
      </c>
      <c r="I8" s="232">
        <f>FORMULAS!AU237+FORMULAS!AU245</f>
        <v>0</v>
      </c>
      <c r="J8" s="232">
        <f>FORMULAS!AY237+FORMULAS!AY245</f>
        <v>0</v>
      </c>
      <c r="K8" s="233">
        <f>FORMULAS!BC237+FORMULAS!BC245</f>
        <v>0</v>
      </c>
      <c r="L8" s="233">
        <f>FORMULAS!BG237+FORMULAS!BG245</f>
        <v>0</v>
      </c>
      <c r="M8" s="233">
        <f>FORMULAS!BK237+FORMULAS!BK245</f>
        <v>0</v>
      </c>
      <c r="N8" s="230">
        <f t="shared" si="1"/>
        <v>0</v>
      </c>
    </row>
    <row r="9" ht="13.5" customHeight="1">
      <c r="A9" s="20" t="s">
        <v>213</v>
      </c>
      <c r="B9" s="232">
        <f>FORMULAS!S229</f>
        <v>938.5964912</v>
      </c>
      <c r="C9" s="232">
        <f>FORMULAS!W229</f>
        <v>938.5964912</v>
      </c>
      <c r="D9" s="232">
        <f>FORMULAS!AA229</f>
        <v>1877.192982</v>
      </c>
      <c r="E9" s="232">
        <f>FORMULAS!AE229</f>
        <v>1877.192982</v>
      </c>
      <c r="F9" s="231">
        <f>FORMULAS!AI229</f>
        <v>6570.175439</v>
      </c>
      <c r="G9" s="231">
        <f>FORMULAS!AM229</f>
        <v>6570.175439</v>
      </c>
      <c r="H9" s="231">
        <f>FORMULAS!AQ229</f>
        <v>1877.192982</v>
      </c>
      <c r="I9" s="231">
        <f>FORMULAS!AU229</f>
        <v>1877.192982</v>
      </c>
      <c r="J9" s="231">
        <f>FORMULAS!AY229</f>
        <v>4223.684211</v>
      </c>
      <c r="K9" s="231">
        <f>FORMULAS!BC229</f>
        <v>4223.684211</v>
      </c>
      <c r="L9" s="232">
        <f>FORMULAS!BG229</f>
        <v>6570.175439</v>
      </c>
      <c r="M9" s="231">
        <f>FORMULAS!BK229</f>
        <v>6570.175439</v>
      </c>
      <c r="N9" s="230">
        <f t="shared" si="1"/>
        <v>44114.03509</v>
      </c>
    </row>
    <row r="10" ht="13.5" customHeight="1">
      <c r="A10" s="20" t="s">
        <v>20</v>
      </c>
      <c r="B10" s="231"/>
      <c r="C10" s="231"/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0">
        <f t="shared" si="1"/>
        <v>0</v>
      </c>
    </row>
    <row r="11" ht="13.5" customHeight="1">
      <c r="A11" s="234" t="s">
        <v>21</v>
      </c>
      <c r="B11" s="87">
        <v>388.0</v>
      </c>
      <c r="C11" s="87">
        <v>426.88</v>
      </c>
      <c r="D11" s="87">
        <v>388.0</v>
      </c>
      <c r="E11" s="87">
        <v>388.0</v>
      </c>
      <c r="F11" s="87">
        <v>388.0</v>
      </c>
      <c r="G11" s="87">
        <v>388.0</v>
      </c>
      <c r="H11" s="87">
        <v>388.0</v>
      </c>
      <c r="I11" s="87">
        <v>388.0</v>
      </c>
      <c r="J11" s="87">
        <v>388.0</v>
      </c>
      <c r="K11" s="87">
        <v>388.0</v>
      </c>
      <c r="L11" s="87">
        <v>388.0</v>
      </c>
      <c r="M11" s="87">
        <v>388.0</v>
      </c>
      <c r="N11" s="230">
        <f t="shared" si="1"/>
        <v>4694.88</v>
      </c>
    </row>
    <row r="12" ht="16.5" customHeight="1">
      <c r="A12" s="234" t="s">
        <v>22</v>
      </c>
      <c r="B12" s="235">
        <f>PRODUCTION!M3</f>
        <v>700</v>
      </c>
      <c r="C12" s="235">
        <f>PRODUCTION!M4</f>
        <v>1370.6</v>
      </c>
      <c r="D12" s="235">
        <f>PRODUCTION!M5</f>
        <v>1370.6</v>
      </c>
      <c r="E12" s="235">
        <f>PRODUCTION!M6</f>
        <v>1370.6</v>
      </c>
      <c r="F12" s="235">
        <f>PRODUCTION!M7</f>
        <v>1370.6</v>
      </c>
      <c r="G12" s="235">
        <f>PRODUCTION!M8</f>
        <v>1370.6</v>
      </c>
      <c r="H12" s="235">
        <f>PRODUCTION!M9</f>
        <v>1370.6</v>
      </c>
      <c r="I12" s="235">
        <f>PRODUCTION!M10</f>
        <v>1370.6</v>
      </c>
      <c r="J12" s="235">
        <f>PRODUCTION!M11</f>
        <v>1370.6</v>
      </c>
      <c r="K12" s="235">
        <f>PRODUCTION!M12</f>
        <v>1370.6</v>
      </c>
      <c r="L12" s="235">
        <f>PRODUCTION!M13</f>
        <v>1370.6</v>
      </c>
      <c r="M12" s="235">
        <f>PRODUCTION!M14</f>
        <v>1370.6</v>
      </c>
      <c r="N12" s="230">
        <f t="shared" si="1"/>
        <v>15776.6</v>
      </c>
    </row>
    <row r="13" ht="13.5" customHeight="1">
      <c r="A13" s="236" t="s">
        <v>23</v>
      </c>
      <c r="B13" s="237">
        <f t="shared" ref="B13:N13" si="2">SUM(B5:B12)</f>
        <v>5546.333333</v>
      </c>
      <c r="C13" s="237">
        <f t="shared" si="2"/>
        <v>6255.813333</v>
      </c>
      <c r="D13" s="237">
        <f t="shared" si="2"/>
        <v>10675.26667</v>
      </c>
      <c r="E13" s="237">
        <f t="shared" si="2"/>
        <v>10675.26667</v>
      </c>
      <c r="F13" s="237">
        <f t="shared" si="2"/>
        <v>18439.33684</v>
      </c>
      <c r="G13" s="237">
        <f t="shared" si="2"/>
        <v>18439.33684</v>
      </c>
      <c r="H13" s="237">
        <f t="shared" si="2"/>
        <v>10675.26667</v>
      </c>
      <c r="I13" s="237">
        <f t="shared" si="2"/>
        <v>10675.26667</v>
      </c>
      <c r="J13" s="237">
        <f t="shared" si="2"/>
        <v>14685.42018</v>
      </c>
      <c r="K13" s="237">
        <f t="shared" si="2"/>
        <v>14685.42018</v>
      </c>
      <c r="L13" s="237">
        <f t="shared" si="2"/>
        <v>18439.33684</v>
      </c>
      <c r="M13" s="237">
        <f t="shared" si="2"/>
        <v>18439.33684</v>
      </c>
      <c r="N13" s="237">
        <f t="shared" si="2"/>
        <v>157631.4011</v>
      </c>
    </row>
    <row r="14" ht="16.5" customHeight="1">
      <c r="A14" s="238" t="s">
        <v>24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28"/>
    </row>
    <row r="15" ht="16.5" customHeight="1">
      <c r="A15" s="240" t="s">
        <v>214</v>
      </c>
      <c r="B15" s="229"/>
      <c r="C15" s="229"/>
      <c r="D15" s="229"/>
      <c r="E15" s="229"/>
      <c r="F15" s="229"/>
      <c r="G15" s="229"/>
      <c r="H15" s="229"/>
      <c r="I15" s="229"/>
      <c r="J15" s="229"/>
      <c r="K15" s="96"/>
      <c r="L15" s="229"/>
      <c r="M15" s="229"/>
      <c r="N15" s="230">
        <f t="shared" ref="N15:N20" si="3">SUM(B15:M15)</f>
        <v>0</v>
      </c>
    </row>
    <row r="16" ht="16.5" customHeight="1">
      <c r="A16" s="241" t="s">
        <v>215</v>
      </c>
      <c r="B16" s="96"/>
      <c r="C16" s="96"/>
      <c r="D16" s="96"/>
      <c r="E16" s="96"/>
      <c r="F16" s="96"/>
      <c r="G16" s="96"/>
      <c r="H16" s="229"/>
      <c r="I16" s="229"/>
      <c r="J16" s="229"/>
      <c r="K16" s="229"/>
      <c r="L16" s="229"/>
      <c r="M16" s="229"/>
      <c r="N16" s="230">
        <f t="shared" si="3"/>
        <v>0</v>
      </c>
    </row>
    <row r="17" ht="16.5" customHeight="1">
      <c r="A17" s="240"/>
      <c r="B17" s="229"/>
      <c r="C17" s="229"/>
      <c r="D17" s="229"/>
      <c r="E17" s="229"/>
      <c r="F17" s="229"/>
      <c r="G17" s="229"/>
      <c r="H17" s="229"/>
      <c r="I17" s="229"/>
      <c r="J17" s="229"/>
      <c r="K17" s="229"/>
      <c r="L17" s="229"/>
      <c r="M17" s="229"/>
      <c r="N17" s="230">
        <f t="shared" si="3"/>
        <v>0</v>
      </c>
    </row>
    <row r="18" ht="16.5" customHeight="1">
      <c r="A18" s="241" t="s">
        <v>28</v>
      </c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230">
        <f t="shared" si="3"/>
        <v>0</v>
      </c>
    </row>
    <row r="19" ht="16.5" customHeight="1">
      <c r="A19" s="240"/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30">
        <f t="shared" si="3"/>
        <v>0</v>
      </c>
    </row>
    <row r="20" ht="16.5" customHeight="1">
      <c r="A20" s="240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230">
        <f t="shared" si="3"/>
        <v>0</v>
      </c>
    </row>
    <row r="21" ht="16.5" customHeight="1">
      <c r="A21" s="242" t="s">
        <v>23</v>
      </c>
      <c r="B21" s="243">
        <f t="shared" ref="B21:N21" si="4">SUM(B15:B20)</f>
        <v>0</v>
      </c>
      <c r="C21" s="243">
        <f t="shared" si="4"/>
        <v>0</v>
      </c>
      <c r="D21" s="243">
        <f t="shared" si="4"/>
        <v>0</v>
      </c>
      <c r="E21" s="243">
        <f t="shared" si="4"/>
        <v>0</v>
      </c>
      <c r="F21" s="243">
        <f t="shared" si="4"/>
        <v>0</v>
      </c>
      <c r="G21" s="243">
        <f t="shared" si="4"/>
        <v>0</v>
      </c>
      <c r="H21" s="243">
        <f t="shared" si="4"/>
        <v>0</v>
      </c>
      <c r="I21" s="243">
        <f t="shared" si="4"/>
        <v>0</v>
      </c>
      <c r="J21" s="243">
        <f t="shared" si="4"/>
        <v>0</v>
      </c>
      <c r="K21" s="243">
        <f t="shared" si="4"/>
        <v>0</v>
      </c>
      <c r="L21" s="243">
        <f t="shared" si="4"/>
        <v>0</v>
      </c>
      <c r="M21" s="243">
        <f t="shared" si="4"/>
        <v>0</v>
      </c>
      <c r="N21" s="243">
        <f t="shared" si="4"/>
        <v>0</v>
      </c>
    </row>
    <row r="22" ht="16.5" customHeight="1">
      <c r="A22" s="238" t="s">
        <v>126</v>
      </c>
      <c r="B22" s="239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28"/>
    </row>
    <row r="23" ht="16.5" customHeight="1">
      <c r="A23" s="26" t="s">
        <v>31</v>
      </c>
      <c r="B23" s="96">
        <v>0.0</v>
      </c>
      <c r="C23" s="96">
        <v>0.0</v>
      </c>
      <c r="D23" s="96">
        <v>2500.0</v>
      </c>
      <c r="E23" s="96">
        <v>0.0</v>
      </c>
      <c r="F23" s="96">
        <v>2500.0</v>
      </c>
      <c r="G23" s="96">
        <v>0.0</v>
      </c>
      <c r="H23" s="96">
        <v>0.0</v>
      </c>
      <c r="I23" s="96">
        <v>2500.0</v>
      </c>
      <c r="J23" s="96">
        <v>0.0</v>
      </c>
      <c r="K23" s="96">
        <v>0.0</v>
      </c>
      <c r="L23" s="96">
        <v>0.0</v>
      </c>
      <c r="M23" s="96">
        <v>0.0</v>
      </c>
      <c r="N23" s="230">
        <f t="shared" ref="N23:N31" si="5">SUM(B23:M23)</f>
        <v>7500</v>
      </c>
    </row>
    <row r="24" ht="16.5" customHeight="1">
      <c r="A24" s="32"/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  <c r="N24" s="230">
        <f t="shared" si="5"/>
        <v>0</v>
      </c>
    </row>
    <row r="25" ht="16.5" customHeight="1">
      <c r="A25" s="15" t="s">
        <v>127</v>
      </c>
      <c r="B25" s="229"/>
      <c r="C25" s="229"/>
      <c r="D25" s="229"/>
      <c r="E25" s="229"/>
      <c r="F25" s="229"/>
      <c r="G25" s="229"/>
      <c r="H25" s="229"/>
      <c r="I25" s="96"/>
      <c r="J25" s="229"/>
      <c r="K25" s="229"/>
      <c r="L25" s="229"/>
      <c r="M25" s="229"/>
      <c r="N25" s="230">
        <f t="shared" si="5"/>
        <v>0</v>
      </c>
    </row>
    <row r="26" ht="16.5" customHeight="1">
      <c r="A26" s="32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30">
        <f t="shared" si="5"/>
        <v>0</v>
      </c>
    </row>
    <row r="27" ht="16.5" customHeight="1">
      <c r="A27" s="31" t="s">
        <v>34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230">
        <f t="shared" si="5"/>
        <v>0</v>
      </c>
    </row>
    <row r="28" ht="16.5" customHeight="1">
      <c r="A28" s="33" t="s">
        <v>35</v>
      </c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230">
        <f t="shared" si="5"/>
        <v>0</v>
      </c>
    </row>
    <row r="29" ht="16.5" customHeight="1">
      <c r="A29" s="27"/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30">
        <f t="shared" si="5"/>
        <v>0</v>
      </c>
    </row>
    <row r="30" ht="16.5" customHeight="1">
      <c r="A30" s="31" t="s">
        <v>37</v>
      </c>
      <c r="B30" s="96"/>
      <c r="C30" s="96"/>
      <c r="D30" s="96"/>
      <c r="E30" s="96"/>
      <c r="F30" s="229"/>
      <c r="G30" s="96"/>
      <c r="H30" s="229"/>
      <c r="I30" s="229"/>
      <c r="J30" s="96"/>
      <c r="K30" s="96"/>
      <c r="L30" s="96"/>
      <c r="M30" s="229"/>
      <c r="N30" s="230">
        <f t="shared" si="5"/>
        <v>0</v>
      </c>
    </row>
    <row r="31" ht="16.5" customHeight="1">
      <c r="A31" s="32"/>
      <c r="B31" s="243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3"/>
      <c r="N31" s="230">
        <f t="shared" si="5"/>
        <v>0</v>
      </c>
    </row>
    <row r="32" ht="16.5" customHeight="1">
      <c r="A32" s="242" t="s">
        <v>23</v>
      </c>
      <c r="B32" s="243">
        <f t="shared" ref="B32:N32" si="6">SUM(B23:B31)</f>
        <v>0</v>
      </c>
      <c r="C32" s="243">
        <f t="shared" si="6"/>
        <v>0</v>
      </c>
      <c r="D32" s="243">
        <f t="shared" si="6"/>
        <v>2500</v>
      </c>
      <c r="E32" s="243">
        <f t="shared" si="6"/>
        <v>0</v>
      </c>
      <c r="F32" s="243">
        <f t="shared" si="6"/>
        <v>2500</v>
      </c>
      <c r="G32" s="243">
        <f t="shared" si="6"/>
        <v>0</v>
      </c>
      <c r="H32" s="243">
        <f t="shared" si="6"/>
        <v>0</v>
      </c>
      <c r="I32" s="243">
        <f t="shared" si="6"/>
        <v>2500</v>
      </c>
      <c r="J32" s="243">
        <f t="shared" si="6"/>
        <v>0</v>
      </c>
      <c r="K32" s="243">
        <f t="shared" si="6"/>
        <v>0</v>
      </c>
      <c r="L32" s="243">
        <f t="shared" si="6"/>
        <v>0</v>
      </c>
      <c r="M32" s="243">
        <f t="shared" si="6"/>
        <v>0</v>
      </c>
      <c r="N32" s="243">
        <f t="shared" si="6"/>
        <v>7500</v>
      </c>
    </row>
    <row r="33" ht="16.5" customHeight="1">
      <c r="A33" s="227" t="s">
        <v>38</v>
      </c>
      <c r="B33" s="228"/>
      <c r="C33" s="228"/>
      <c r="D33" s="228"/>
      <c r="E33" s="228"/>
      <c r="F33" s="228"/>
      <c r="G33" s="228"/>
      <c r="H33" s="228"/>
      <c r="I33" s="228"/>
      <c r="J33" s="228"/>
      <c r="K33" s="228"/>
      <c r="L33" s="228"/>
      <c r="M33" s="228"/>
      <c r="N33" s="228"/>
    </row>
    <row r="34" ht="16.5" customHeight="1">
      <c r="A34" s="234" t="s">
        <v>39</v>
      </c>
      <c r="B34" s="86">
        <f t="shared" ref="B34:M34" si="7">1350.24+61.9+850
</f>
        <v>2262.14</v>
      </c>
      <c r="C34" s="86">
        <f t="shared" si="7"/>
        <v>2262.14</v>
      </c>
      <c r="D34" s="86">
        <f t="shared" si="7"/>
        <v>2262.14</v>
      </c>
      <c r="E34" s="86">
        <f t="shared" si="7"/>
        <v>2262.14</v>
      </c>
      <c r="F34" s="86">
        <f t="shared" si="7"/>
        <v>2262.14</v>
      </c>
      <c r="G34" s="86">
        <f t="shared" si="7"/>
        <v>2262.14</v>
      </c>
      <c r="H34" s="86">
        <f t="shared" si="7"/>
        <v>2262.14</v>
      </c>
      <c r="I34" s="86">
        <f t="shared" si="7"/>
        <v>2262.14</v>
      </c>
      <c r="J34" s="86">
        <f t="shared" si="7"/>
        <v>2262.14</v>
      </c>
      <c r="K34" s="86">
        <f t="shared" si="7"/>
        <v>2262.14</v>
      </c>
      <c r="L34" s="86">
        <f t="shared" si="7"/>
        <v>2262.14</v>
      </c>
      <c r="M34" s="86">
        <f t="shared" si="7"/>
        <v>2262.14</v>
      </c>
      <c r="N34" s="230">
        <f t="shared" ref="N34:N51" si="8">SUM(B34:M34)</f>
        <v>27145.68</v>
      </c>
    </row>
    <row r="35" ht="16.5" customHeight="1">
      <c r="A35" s="244"/>
      <c r="B35" s="229"/>
      <c r="C35" s="229"/>
      <c r="D35" s="229"/>
      <c r="E35" s="229"/>
      <c r="F35" s="229"/>
      <c r="G35" s="229"/>
      <c r="H35" s="229"/>
      <c r="I35" s="229"/>
      <c r="J35" s="229"/>
      <c r="K35" s="229"/>
      <c r="L35" s="229"/>
      <c r="M35" s="229"/>
      <c r="N35" s="230">
        <f t="shared" si="8"/>
        <v>0</v>
      </c>
    </row>
    <row r="36" ht="16.5" customHeight="1">
      <c r="A36" s="240" t="s">
        <v>41</v>
      </c>
      <c r="B36" s="96">
        <v>395.0</v>
      </c>
      <c r="C36" s="96">
        <v>395.0</v>
      </c>
      <c r="D36" s="96">
        <v>395.0</v>
      </c>
      <c r="E36" s="96">
        <v>395.0</v>
      </c>
      <c r="F36" s="96">
        <v>395.0</v>
      </c>
      <c r="G36" s="96">
        <v>395.0</v>
      </c>
      <c r="H36" s="96">
        <v>395.0</v>
      </c>
      <c r="I36" s="96">
        <v>395.0</v>
      </c>
      <c r="J36" s="96">
        <v>395.0</v>
      </c>
      <c r="K36" s="96">
        <v>395.0</v>
      </c>
      <c r="L36" s="96">
        <v>395.0</v>
      </c>
      <c r="M36" s="96">
        <v>395.0</v>
      </c>
      <c r="N36" s="230">
        <f t="shared" si="8"/>
        <v>4740</v>
      </c>
    </row>
    <row r="37" ht="16.5" customHeight="1">
      <c r="A37" s="240" t="s">
        <v>42</v>
      </c>
      <c r="B37" s="87">
        <v>759.0</v>
      </c>
      <c r="C37" s="87">
        <v>759.0</v>
      </c>
      <c r="D37" s="87">
        <v>759.0</v>
      </c>
      <c r="E37" s="87">
        <v>759.0</v>
      </c>
      <c r="F37" s="87">
        <v>759.0</v>
      </c>
      <c r="G37" s="87">
        <v>759.0</v>
      </c>
      <c r="H37" s="87">
        <v>759.0</v>
      </c>
      <c r="I37" s="87">
        <v>759.0</v>
      </c>
      <c r="J37" s="87">
        <v>759.0</v>
      </c>
      <c r="K37" s="87">
        <v>759.0</v>
      </c>
      <c r="L37" s="87">
        <v>759.0</v>
      </c>
      <c r="M37" s="87">
        <v>759.0</v>
      </c>
      <c r="N37" s="230">
        <f t="shared" si="8"/>
        <v>9108</v>
      </c>
    </row>
    <row r="38" ht="16.5" customHeight="1">
      <c r="A38" s="240" t="s">
        <v>43</v>
      </c>
      <c r="B38" s="229"/>
      <c r="C38" s="229"/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30">
        <f t="shared" si="8"/>
        <v>0</v>
      </c>
    </row>
    <row r="39" ht="16.5" customHeight="1">
      <c r="A39" s="240" t="s">
        <v>44</v>
      </c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  <c r="N39" s="230">
        <f t="shared" si="8"/>
        <v>0</v>
      </c>
    </row>
    <row r="40" ht="16.5" customHeight="1">
      <c r="A40" s="240" t="s">
        <v>45</v>
      </c>
      <c r="B40" s="229"/>
      <c r="C40" s="229"/>
      <c r="D40" s="229"/>
      <c r="E40" s="229"/>
      <c r="F40" s="229"/>
      <c r="G40" s="229"/>
      <c r="H40" s="229"/>
      <c r="I40" s="229"/>
      <c r="J40" s="229"/>
      <c r="K40" s="229"/>
      <c r="L40" s="229"/>
      <c r="M40" s="229"/>
      <c r="N40" s="230">
        <f t="shared" si="8"/>
        <v>0</v>
      </c>
    </row>
    <row r="41" ht="16.5" customHeight="1">
      <c r="A41" s="240" t="s">
        <v>46</v>
      </c>
      <c r="B41" s="96">
        <v>4130.0</v>
      </c>
      <c r="C41" s="96">
        <v>4130.0</v>
      </c>
      <c r="D41" s="96">
        <v>4130.0</v>
      </c>
      <c r="E41" s="96">
        <v>4130.0</v>
      </c>
      <c r="F41" s="96">
        <v>4130.0</v>
      </c>
      <c r="G41" s="96">
        <v>4130.0</v>
      </c>
      <c r="H41" s="96">
        <v>4130.0</v>
      </c>
      <c r="I41" s="96">
        <v>4130.0</v>
      </c>
      <c r="J41" s="96">
        <v>4130.0</v>
      </c>
      <c r="K41" s="96">
        <v>4130.0</v>
      </c>
      <c r="L41" s="96">
        <v>4130.0</v>
      </c>
      <c r="M41" s="96">
        <v>4130.0</v>
      </c>
      <c r="N41" s="230">
        <f t="shared" si="8"/>
        <v>49560</v>
      </c>
    </row>
    <row r="42" ht="16.5" customHeight="1">
      <c r="A42" s="244" t="s">
        <v>146</v>
      </c>
      <c r="B42" s="87">
        <v>365.0</v>
      </c>
      <c r="C42" s="87">
        <v>365.0</v>
      </c>
      <c r="D42" s="87">
        <v>365.0</v>
      </c>
      <c r="E42" s="87">
        <v>365.0</v>
      </c>
      <c r="F42" s="87">
        <v>365.0</v>
      </c>
      <c r="G42" s="87">
        <v>365.0</v>
      </c>
      <c r="H42" s="87">
        <v>365.0</v>
      </c>
      <c r="I42" s="87">
        <v>365.0</v>
      </c>
      <c r="J42" s="87">
        <v>365.0</v>
      </c>
      <c r="K42" s="87">
        <v>365.0</v>
      </c>
      <c r="L42" s="87">
        <v>365.0</v>
      </c>
      <c r="M42" s="87">
        <v>365.0</v>
      </c>
      <c r="N42" s="230">
        <f t="shared" si="8"/>
        <v>4380</v>
      </c>
    </row>
    <row r="43" ht="16.5" customHeight="1">
      <c r="A43" s="244" t="s">
        <v>216</v>
      </c>
      <c r="B43" s="87">
        <v>1005.94</v>
      </c>
      <c r="C43" s="87">
        <v>1005.94</v>
      </c>
      <c r="D43" s="87">
        <v>1005.94</v>
      </c>
      <c r="E43" s="87">
        <v>1005.94</v>
      </c>
      <c r="F43" s="87">
        <v>1005.94</v>
      </c>
      <c r="G43" s="87">
        <v>1005.94</v>
      </c>
      <c r="H43" s="87">
        <v>1005.94</v>
      </c>
      <c r="I43" s="87">
        <v>1005.94</v>
      </c>
      <c r="J43" s="87">
        <v>1005.94</v>
      </c>
      <c r="K43" s="87">
        <v>1005.94</v>
      </c>
      <c r="L43" s="87">
        <v>1005.94</v>
      </c>
      <c r="M43" s="87">
        <v>1005.94</v>
      </c>
      <c r="N43" s="230">
        <f t="shared" si="8"/>
        <v>12071.28</v>
      </c>
    </row>
    <row r="44" ht="16.5" customHeight="1">
      <c r="A44" s="244" t="s">
        <v>217</v>
      </c>
      <c r="B44" s="96">
        <v>249.0</v>
      </c>
      <c r="C44" s="96">
        <v>249.0</v>
      </c>
      <c r="D44" s="96">
        <v>249.0</v>
      </c>
      <c r="E44" s="96">
        <v>249.0</v>
      </c>
      <c r="F44" s="96">
        <v>249.0</v>
      </c>
      <c r="G44" s="96">
        <v>249.0</v>
      </c>
      <c r="H44" s="96">
        <v>249.0</v>
      </c>
      <c r="I44" s="96">
        <v>249.0</v>
      </c>
      <c r="J44" s="96">
        <v>249.0</v>
      </c>
      <c r="K44" s="96">
        <v>249.0</v>
      </c>
      <c r="L44" s="96">
        <v>249.0</v>
      </c>
      <c r="M44" s="96">
        <v>249.0</v>
      </c>
      <c r="N44" s="230">
        <f t="shared" si="8"/>
        <v>2988</v>
      </c>
    </row>
    <row r="45" ht="16.5" customHeight="1">
      <c r="A45" s="156" t="s">
        <v>50</v>
      </c>
      <c r="B45" s="46">
        <f t="shared" ref="B45:M45" si="9">45+97.5</f>
        <v>142.5</v>
      </c>
      <c r="C45" s="46">
        <f t="shared" si="9"/>
        <v>142.5</v>
      </c>
      <c r="D45" s="46">
        <f t="shared" si="9"/>
        <v>142.5</v>
      </c>
      <c r="E45" s="46">
        <f t="shared" si="9"/>
        <v>142.5</v>
      </c>
      <c r="F45" s="46">
        <f t="shared" si="9"/>
        <v>142.5</v>
      </c>
      <c r="G45" s="46">
        <f t="shared" si="9"/>
        <v>142.5</v>
      </c>
      <c r="H45" s="46">
        <f t="shared" si="9"/>
        <v>142.5</v>
      </c>
      <c r="I45" s="46">
        <f t="shared" si="9"/>
        <v>142.5</v>
      </c>
      <c r="J45" s="46">
        <f t="shared" si="9"/>
        <v>142.5</v>
      </c>
      <c r="K45" s="46">
        <f t="shared" si="9"/>
        <v>142.5</v>
      </c>
      <c r="L45" s="46">
        <f t="shared" si="9"/>
        <v>142.5</v>
      </c>
      <c r="M45" s="46">
        <f t="shared" si="9"/>
        <v>142.5</v>
      </c>
      <c r="N45" s="230">
        <f t="shared" si="8"/>
        <v>1710</v>
      </c>
    </row>
    <row r="46" ht="16.5" customHeight="1">
      <c r="A46" s="234" t="s">
        <v>51</v>
      </c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229"/>
      <c r="M46" s="229"/>
      <c r="N46" s="230">
        <f t="shared" si="8"/>
        <v>0</v>
      </c>
    </row>
    <row r="47" ht="16.5" customHeight="1">
      <c r="A47" s="244" t="s">
        <v>52</v>
      </c>
      <c r="B47" s="96">
        <f t="shared" ref="B47:M47" si="10">850+30+750+2250</f>
        <v>3880</v>
      </c>
      <c r="C47" s="96">
        <f t="shared" si="10"/>
        <v>3880</v>
      </c>
      <c r="D47" s="96">
        <f t="shared" si="10"/>
        <v>3880</v>
      </c>
      <c r="E47" s="96">
        <f t="shared" si="10"/>
        <v>3880</v>
      </c>
      <c r="F47" s="96">
        <f t="shared" si="10"/>
        <v>3880</v>
      </c>
      <c r="G47" s="96">
        <f t="shared" si="10"/>
        <v>3880</v>
      </c>
      <c r="H47" s="96">
        <f t="shared" si="10"/>
        <v>3880</v>
      </c>
      <c r="I47" s="96">
        <f t="shared" si="10"/>
        <v>3880</v>
      </c>
      <c r="J47" s="96">
        <f t="shared" si="10"/>
        <v>3880</v>
      </c>
      <c r="K47" s="96">
        <f t="shared" si="10"/>
        <v>3880</v>
      </c>
      <c r="L47" s="96">
        <f t="shared" si="10"/>
        <v>3880</v>
      </c>
      <c r="M47" s="96">
        <f t="shared" si="10"/>
        <v>3880</v>
      </c>
      <c r="N47" s="230">
        <f t="shared" si="8"/>
        <v>46560</v>
      </c>
    </row>
    <row r="48" ht="16.5" customHeight="1">
      <c r="A48" s="244" t="s">
        <v>218</v>
      </c>
      <c r="B48" s="87">
        <f t="shared" ref="B48:M48" si="11">480.07+55.66+80</f>
        <v>615.73</v>
      </c>
      <c r="C48" s="87">
        <f t="shared" si="11"/>
        <v>615.73</v>
      </c>
      <c r="D48" s="87">
        <f t="shared" si="11"/>
        <v>615.73</v>
      </c>
      <c r="E48" s="87">
        <f t="shared" si="11"/>
        <v>615.73</v>
      </c>
      <c r="F48" s="87">
        <f t="shared" si="11"/>
        <v>615.73</v>
      </c>
      <c r="G48" s="87">
        <f t="shared" si="11"/>
        <v>615.73</v>
      </c>
      <c r="H48" s="87">
        <f t="shared" si="11"/>
        <v>615.73</v>
      </c>
      <c r="I48" s="87">
        <f t="shared" si="11"/>
        <v>615.73</v>
      </c>
      <c r="J48" s="87">
        <f t="shared" si="11"/>
        <v>615.73</v>
      </c>
      <c r="K48" s="87">
        <f t="shared" si="11"/>
        <v>615.73</v>
      </c>
      <c r="L48" s="87">
        <f t="shared" si="11"/>
        <v>615.73</v>
      </c>
      <c r="M48" s="87">
        <f t="shared" si="11"/>
        <v>615.73</v>
      </c>
      <c r="N48" s="230">
        <f t="shared" si="8"/>
        <v>7388.76</v>
      </c>
    </row>
    <row r="49" ht="16.5" customHeight="1">
      <c r="A49" s="240" t="s">
        <v>54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  <c r="N49" s="230">
        <f t="shared" si="8"/>
        <v>0</v>
      </c>
    </row>
    <row r="50" ht="16.5" customHeight="1">
      <c r="A50" s="19" t="s">
        <v>132</v>
      </c>
      <c r="B50" s="96">
        <v>1600.0</v>
      </c>
      <c r="C50" s="96">
        <v>1600.0</v>
      </c>
      <c r="D50" s="96">
        <v>1600.0</v>
      </c>
      <c r="E50" s="96">
        <v>1600.0</v>
      </c>
      <c r="F50" s="96">
        <v>1600.0</v>
      </c>
      <c r="G50" s="96">
        <v>1600.0</v>
      </c>
      <c r="H50" s="96">
        <v>1600.0</v>
      </c>
      <c r="I50" s="96">
        <v>1600.0</v>
      </c>
      <c r="J50" s="96">
        <v>1600.0</v>
      </c>
      <c r="K50" s="96">
        <v>1600.0</v>
      </c>
      <c r="L50" s="96">
        <v>1600.0</v>
      </c>
      <c r="M50" s="96">
        <v>1600.0</v>
      </c>
      <c r="N50" s="230">
        <f t="shared" si="8"/>
        <v>19200</v>
      </c>
    </row>
    <row r="51" ht="16.5" customHeight="1">
      <c r="A51" s="234"/>
      <c r="B51" s="229"/>
      <c r="C51" s="229"/>
      <c r="D51" s="229"/>
      <c r="E51" s="229"/>
      <c r="F51" s="229"/>
      <c r="G51" s="229"/>
      <c r="H51" s="229"/>
      <c r="I51" s="229"/>
      <c r="J51" s="229"/>
      <c r="K51" s="229"/>
      <c r="L51" s="229"/>
      <c r="M51" s="229"/>
      <c r="N51" s="230">
        <f t="shared" si="8"/>
        <v>0</v>
      </c>
    </row>
    <row r="52" ht="16.5" customHeight="1">
      <c r="A52" s="242" t="s">
        <v>23</v>
      </c>
      <c r="B52" s="243">
        <f t="shared" ref="B52:N52" si="12">SUM(B34:B51)</f>
        <v>15404.31</v>
      </c>
      <c r="C52" s="243">
        <f t="shared" si="12"/>
        <v>15404.31</v>
      </c>
      <c r="D52" s="243">
        <f t="shared" si="12"/>
        <v>15404.31</v>
      </c>
      <c r="E52" s="243">
        <f t="shared" si="12"/>
        <v>15404.31</v>
      </c>
      <c r="F52" s="243">
        <f t="shared" si="12"/>
        <v>15404.31</v>
      </c>
      <c r="G52" s="243">
        <f t="shared" si="12"/>
        <v>15404.31</v>
      </c>
      <c r="H52" s="243">
        <f t="shared" si="12"/>
        <v>15404.31</v>
      </c>
      <c r="I52" s="243">
        <f t="shared" si="12"/>
        <v>15404.31</v>
      </c>
      <c r="J52" s="243">
        <f t="shared" si="12"/>
        <v>15404.31</v>
      </c>
      <c r="K52" s="243">
        <f t="shared" si="12"/>
        <v>15404.31</v>
      </c>
      <c r="L52" s="243">
        <f t="shared" si="12"/>
        <v>15404.31</v>
      </c>
      <c r="M52" s="243">
        <f t="shared" si="12"/>
        <v>15404.31</v>
      </c>
      <c r="N52" s="243">
        <f t="shared" si="12"/>
        <v>184851.72</v>
      </c>
    </row>
    <row r="53" ht="16.5" customHeight="1">
      <c r="A53" s="227" t="s">
        <v>56</v>
      </c>
      <c r="B53" s="228"/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</row>
    <row r="54" ht="16.5" customHeight="1">
      <c r="A54" s="32" t="s">
        <v>57</v>
      </c>
      <c r="B54" s="197">
        <v>1000.0</v>
      </c>
      <c r="C54" s="87">
        <v>681.84</v>
      </c>
      <c r="D54" s="87"/>
      <c r="E54" s="197">
        <v>1000.0</v>
      </c>
      <c r="F54" s="87"/>
      <c r="G54" s="96"/>
      <c r="H54" s="197">
        <v>1000.0</v>
      </c>
      <c r="I54" s="87"/>
      <c r="J54" s="87"/>
      <c r="K54" s="197">
        <v>1000.0</v>
      </c>
      <c r="L54" s="87"/>
      <c r="M54" s="87"/>
      <c r="N54" s="230">
        <f t="shared" ref="N54:N69" si="13">SUM(B54:M54)</f>
        <v>4681.84</v>
      </c>
    </row>
    <row r="55" ht="16.5" customHeight="1">
      <c r="A55" s="32" t="s">
        <v>58</v>
      </c>
      <c r="B55" s="96">
        <v>1350.0</v>
      </c>
      <c r="C55" s="96">
        <v>1700.0</v>
      </c>
      <c r="D55" s="96">
        <v>1700.0</v>
      </c>
      <c r="E55" s="96">
        <v>1700.0</v>
      </c>
      <c r="F55" s="96">
        <v>1700.0</v>
      </c>
      <c r="G55" s="96">
        <v>1700.0</v>
      </c>
      <c r="H55" s="96">
        <v>1700.0</v>
      </c>
      <c r="I55" s="96">
        <v>1700.0</v>
      </c>
      <c r="J55" s="96">
        <v>1700.0</v>
      </c>
      <c r="K55" s="96">
        <v>1700.0</v>
      </c>
      <c r="L55" s="96">
        <v>1700.0</v>
      </c>
      <c r="M55" s="96">
        <v>1700.0</v>
      </c>
      <c r="N55" s="230">
        <f t="shared" si="13"/>
        <v>20050</v>
      </c>
    </row>
    <row r="56" ht="16.5" customHeight="1">
      <c r="A56" s="31" t="s">
        <v>59</v>
      </c>
      <c r="B56" s="87">
        <f t="shared" ref="B56:M56" si="14">399+351+57</f>
        <v>807</v>
      </c>
      <c r="C56" s="87">
        <f t="shared" si="14"/>
        <v>807</v>
      </c>
      <c r="D56" s="87">
        <f t="shared" si="14"/>
        <v>807</v>
      </c>
      <c r="E56" s="87">
        <f t="shared" si="14"/>
        <v>807</v>
      </c>
      <c r="F56" s="87">
        <f t="shared" si="14"/>
        <v>807</v>
      </c>
      <c r="G56" s="87">
        <f t="shared" si="14"/>
        <v>807</v>
      </c>
      <c r="H56" s="87">
        <f t="shared" si="14"/>
        <v>807</v>
      </c>
      <c r="I56" s="87">
        <f t="shared" si="14"/>
        <v>807</v>
      </c>
      <c r="J56" s="87">
        <f t="shared" si="14"/>
        <v>807</v>
      </c>
      <c r="K56" s="87">
        <f t="shared" si="14"/>
        <v>807</v>
      </c>
      <c r="L56" s="87">
        <f t="shared" si="14"/>
        <v>807</v>
      </c>
      <c r="M56" s="87">
        <f t="shared" si="14"/>
        <v>807</v>
      </c>
      <c r="N56" s="230">
        <f t="shared" si="13"/>
        <v>9684</v>
      </c>
    </row>
    <row r="57" ht="16.5" customHeight="1">
      <c r="A57" s="31" t="s">
        <v>133</v>
      </c>
      <c r="B57" s="87">
        <v>0.0</v>
      </c>
      <c r="C57" s="87">
        <v>0.0</v>
      </c>
      <c r="D57" s="87">
        <v>0.0</v>
      </c>
      <c r="E57" s="87">
        <v>0.0</v>
      </c>
      <c r="F57" s="87">
        <v>0.0</v>
      </c>
      <c r="G57" s="87">
        <v>0.0</v>
      </c>
      <c r="H57" s="87">
        <v>0.0</v>
      </c>
      <c r="I57" s="87">
        <v>0.0</v>
      </c>
      <c r="J57" s="87">
        <v>0.0</v>
      </c>
      <c r="K57" s="87">
        <v>0.0</v>
      </c>
      <c r="L57" s="87">
        <v>0.0</v>
      </c>
      <c r="M57" s="87">
        <v>0.0</v>
      </c>
      <c r="N57" s="230">
        <f t="shared" si="13"/>
        <v>0</v>
      </c>
    </row>
    <row r="58" ht="16.5" customHeight="1">
      <c r="A58" s="31" t="s">
        <v>134</v>
      </c>
      <c r="B58" s="229"/>
      <c r="C58" s="229"/>
      <c r="D58" s="229"/>
      <c r="E58" s="229"/>
      <c r="F58" s="229"/>
      <c r="G58" s="229"/>
      <c r="H58" s="229"/>
      <c r="I58" s="229"/>
      <c r="J58" s="229"/>
      <c r="K58" s="229"/>
      <c r="L58" s="229"/>
      <c r="M58" s="229"/>
      <c r="N58" s="230">
        <f t="shared" si="13"/>
        <v>0</v>
      </c>
    </row>
    <row r="59" ht="16.5" customHeight="1">
      <c r="A59" s="31" t="s">
        <v>135</v>
      </c>
      <c r="B59" s="87">
        <v>850.0</v>
      </c>
      <c r="C59" s="87">
        <v>850.0</v>
      </c>
      <c r="D59" s="87">
        <v>850.0</v>
      </c>
      <c r="E59" s="87">
        <v>850.0</v>
      </c>
      <c r="F59" s="87">
        <v>850.0</v>
      </c>
      <c r="G59" s="87">
        <v>850.0</v>
      </c>
      <c r="H59" s="87">
        <v>850.0</v>
      </c>
      <c r="I59" s="87">
        <v>850.0</v>
      </c>
      <c r="J59" s="87">
        <v>850.0</v>
      </c>
      <c r="K59" s="87">
        <v>850.0</v>
      </c>
      <c r="L59" s="87">
        <v>850.0</v>
      </c>
      <c r="M59" s="87">
        <v>850.0</v>
      </c>
      <c r="N59" s="230">
        <f t="shared" si="13"/>
        <v>10200</v>
      </c>
    </row>
    <row r="60" ht="16.5" customHeight="1">
      <c r="A60" s="32" t="s">
        <v>136</v>
      </c>
      <c r="B60" s="229"/>
      <c r="C60" s="229"/>
      <c r="D60" s="229"/>
      <c r="E60" s="229"/>
      <c r="F60" s="229"/>
      <c r="G60" s="229"/>
      <c r="H60" s="229"/>
      <c r="I60" s="229"/>
      <c r="J60" s="229"/>
      <c r="K60" s="229"/>
      <c r="L60" s="229"/>
      <c r="M60" s="229"/>
      <c r="N60" s="230">
        <f t="shared" si="13"/>
        <v>0</v>
      </c>
    </row>
    <row r="61" ht="16.5" customHeight="1">
      <c r="A61" s="32" t="s">
        <v>137</v>
      </c>
      <c r="B61" s="229"/>
      <c r="C61" s="229"/>
      <c r="D61" s="229"/>
      <c r="E61" s="229"/>
      <c r="F61" s="229"/>
      <c r="G61" s="229"/>
      <c r="H61" s="229"/>
      <c r="I61" s="229"/>
      <c r="J61" s="229"/>
      <c r="K61" s="229"/>
      <c r="L61" s="229"/>
      <c r="M61" s="229"/>
      <c r="N61" s="230">
        <f t="shared" si="13"/>
        <v>0</v>
      </c>
    </row>
    <row r="62" ht="16.5" customHeight="1">
      <c r="A62" s="32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230">
        <f t="shared" si="13"/>
        <v>0</v>
      </c>
    </row>
    <row r="63" ht="16.5" customHeight="1">
      <c r="A63" s="31" t="s">
        <v>64</v>
      </c>
      <c r="B63" s="96">
        <f t="shared" ref="B63:M63" si="15">12500</f>
        <v>12500</v>
      </c>
      <c r="C63" s="96">
        <f t="shared" si="15"/>
        <v>12500</v>
      </c>
      <c r="D63" s="96">
        <f t="shared" si="15"/>
        <v>12500</v>
      </c>
      <c r="E63" s="96">
        <f t="shared" si="15"/>
        <v>12500</v>
      </c>
      <c r="F63" s="96">
        <f t="shared" si="15"/>
        <v>12500</v>
      </c>
      <c r="G63" s="96">
        <f t="shared" si="15"/>
        <v>12500</v>
      </c>
      <c r="H63" s="96">
        <f t="shared" si="15"/>
        <v>12500</v>
      </c>
      <c r="I63" s="96">
        <f t="shared" si="15"/>
        <v>12500</v>
      </c>
      <c r="J63" s="96">
        <f t="shared" si="15"/>
        <v>12500</v>
      </c>
      <c r="K63" s="96">
        <f t="shared" si="15"/>
        <v>12500</v>
      </c>
      <c r="L63" s="96">
        <f t="shared" si="15"/>
        <v>12500</v>
      </c>
      <c r="M63" s="96">
        <f t="shared" si="15"/>
        <v>12500</v>
      </c>
      <c r="N63" s="230">
        <f t="shared" si="13"/>
        <v>150000</v>
      </c>
    </row>
    <row r="64" ht="16.5" customHeight="1">
      <c r="A64" s="32" t="s">
        <v>65</v>
      </c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230">
        <f t="shared" si="13"/>
        <v>0</v>
      </c>
    </row>
    <row r="65" ht="16.5" customHeight="1">
      <c r="A65" s="31" t="s">
        <v>66</v>
      </c>
      <c r="B65" s="229"/>
      <c r="C65" s="229"/>
      <c r="D65" s="229"/>
      <c r="E65" s="229"/>
      <c r="F65" s="229"/>
      <c r="G65" s="96"/>
      <c r="H65" s="96"/>
      <c r="I65" s="96"/>
      <c r="J65" s="96"/>
      <c r="K65" s="96"/>
      <c r="L65" s="96"/>
      <c r="M65" s="96"/>
      <c r="N65" s="230">
        <f t="shared" si="13"/>
        <v>0</v>
      </c>
    </row>
    <row r="66" ht="16.5" customHeight="1">
      <c r="A66" s="31" t="s">
        <v>67</v>
      </c>
      <c r="B66" s="245"/>
      <c r="C66" s="245"/>
      <c r="D66" s="245"/>
      <c r="E66" s="245"/>
      <c r="F66" s="245"/>
      <c r="G66" s="245"/>
      <c r="H66" s="245"/>
      <c r="I66" s="245"/>
      <c r="J66" s="245"/>
      <c r="K66" s="245"/>
      <c r="L66" s="245"/>
      <c r="M66" s="245"/>
      <c r="N66" s="230">
        <f t="shared" si="13"/>
        <v>0</v>
      </c>
    </row>
    <row r="67" ht="16.5" customHeight="1">
      <c r="A67" s="25" t="s">
        <v>68</v>
      </c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230">
        <f t="shared" si="13"/>
        <v>0</v>
      </c>
    </row>
    <row r="68" ht="16.5" customHeight="1">
      <c r="A68" s="25" t="s">
        <v>69</v>
      </c>
      <c r="B68" s="246"/>
      <c r="C68" s="246"/>
      <c r="D68" s="246"/>
      <c r="E68" s="246"/>
      <c r="F68" s="246"/>
      <c r="G68" s="246"/>
      <c r="H68" s="246"/>
      <c r="I68" s="246"/>
      <c r="J68" s="246"/>
      <c r="K68" s="246"/>
      <c r="L68" s="246"/>
      <c r="M68" s="246"/>
      <c r="N68" s="230">
        <f t="shared" si="13"/>
        <v>0</v>
      </c>
    </row>
    <row r="69" ht="16.5" customHeight="1">
      <c r="A69" s="39" t="s">
        <v>70</v>
      </c>
      <c r="B69" s="229"/>
      <c r="C69" s="229"/>
      <c r="D69" s="229"/>
      <c r="E69" s="229"/>
      <c r="F69" s="229"/>
      <c r="G69" s="229"/>
      <c r="H69" s="229"/>
      <c r="I69" s="229"/>
      <c r="J69" s="229"/>
      <c r="K69" s="229"/>
      <c r="L69" s="229"/>
      <c r="M69" s="229"/>
      <c r="N69" s="230">
        <f t="shared" si="13"/>
        <v>0</v>
      </c>
    </row>
    <row r="70" ht="16.5" customHeight="1">
      <c r="A70" s="242" t="s">
        <v>23</v>
      </c>
      <c r="B70" s="243">
        <f t="shared" ref="B70:M70" si="16">SUM(B54:B69)</f>
        <v>16507</v>
      </c>
      <c r="C70" s="243">
        <f t="shared" si="16"/>
        <v>16538.84</v>
      </c>
      <c r="D70" s="243">
        <f t="shared" si="16"/>
        <v>15857</v>
      </c>
      <c r="E70" s="243">
        <f t="shared" si="16"/>
        <v>16857</v>
      </c>
      <c r="F70" s="243">
        <f t="shared" si="16"/>
        <v>15857</v>
      </c>
      <c r="G70" s="243">
        <f t="shared" si="16"/>
        <v>15857</v>
      </c>
      <c r="H70" s="243">
        <f t="shared" si="16"/>
        <v>16857</v>
      </c>
      <c r="I70" s="243">
        <f t="shared" si="16"/>
        <v>15857</v>
      </c>
      <c r="J70" s="243">
        <f t="shared" si="16"/>
        <v>15857</v>
      </c>
      <c r="K70" s="243">
        <f t="shared" si="16"/>
        <v>16857</v>
      </c>
      <c r="L70" s="243">
        <f t="shared" si="16"/>
        <v>15857</v>
      </c>
      <c r="M70" s="243">
        <f t="shared" si="16"/>
        <v>15857</v>
      </c>
      <c r="N70" s="243">
        <f>SUM(N54:N66)</f>
        <v>194615.84</v>
      </c>
    </row>
    <row r="71" ht="16.5" customHeight="1">
      <c r="A71" s="227" t="s">
        <v>71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  <c r="N71" s="228"/>
    </row>
    <row r="72" ht="16.5" customHeight="1">
      <c r="A72" s="32" t="s">
        <v>138</v>
      </c>
      <c r="B72" s="87">
        <v>0.0</v>
      </c>
      <c r="C72" s="87">
        <v>0.0</v>
      </c>
      <c r="D72" s="87">
        <v>0.0</v>
      </c>
      <c r="E72" s="87">
        <v>0.0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0.0</v>
      </c>
      <c r="L72" s="87">
        <v>0.0</v>
      </c>
      <c r="M72" s="87">
        <v>0.0</v>
      </c>
      <c r="N72" s="230">
        <f t="shared" ref="N72:N83" si="17">SUM(B72:M72)</f>
        <v>0</v>
      </c>
    </row>
    <row r="73" ht="16.5" customHeight="1">
      <c r="A73" s="31" t="s">
        <v>73</v>
      </c>
      <c r="B73" s="87">
        <v>0.0</v>
      </c>
      <c r="C73" s="87">
        <v>0.0</v>
      </c>
      <c r="D73" s="87">
        <v>0.0</v>
      </c>
      <c r="E73" s="87">
        <v>0.0</v>
      </c>
      <c r="F73" s="87">
        <v>0.0</v>
      </c>
      <c r="G73" s="87">
        <v>0.0</v>
      </c>
      <c r="H73" s="87">
        <v>0.0</v>
      </c>
      <c r="I73" s="87">
        <v>0.0</v>
      </c>
      <c r="J73" s="87">
        <v>0.0</v>
      </c>
      <c r="K73" s="87">
        <v>0.0</v>
      </c>
      <c r="L73" s="87">
        <v>0.0</v>
      </c>
      <c r="M73" s="87">
        <v>0.0</v>
      </c>
      <c r="N73" s="230">
        <f t="shared" si="17"/>
        <v>0</v>
      </c>
    </row>
    <row r="74" ht="16.5" customHeight="1">
      <c r="A74" s="32" t="s">
        <v>139</v>
      </c>
      <c r="B74" s="87">
        <v>850.0</v>
      </c>
      <c r="C74" s="87">
        <v>850.0</v>
      </c>
      <c r="D74" s="87">
        <v>850.0</v>
      </c>
      <c r="E74" s="87">
        <v>850.0</v>
      </c>
      <c r="F74" s="87">
        <v>850.0</v>
      </c>
      <c r="G74" s="87">
        <v>850.0</v>
      </c>
      <c r="H74" s="87">
        <v>850.0</v>
      </c>
      <c r="I74" s="87">
        <v>850.0</v>
      </c>
      <c r="J74" s="87">
        <v>850.0</v>
      </c>
      <c r="K74" s="87">
        <v>850.0</v>
      </c>
      <c r="L74" s="87">
        <v>850.0</v>
      </c>
      <c r="M74" s="87">
        <v>850.0</v>
      </c>
      <c r="N74" s="230">
        <f t="shared" si="17"/>
        <v>10200</v>
      </c>
    </row>
    <row r="75" ht="16.5" customHeight="1">
      <c r="A75" s="31" t="s">
        <v>137</v>
      </c>
      <c r="B75" s="229"/>
      <c r="C75" s="229"/>
      <c r="D75" s="229"/>
      <c r="E75" s="229"/>
      <c r="F75" s="229"/>
      <c r="G75" s="229"/>
      <c r="H75" s="229"/>
      <c r="I75" s="229"/>
      <c r="J75" s="229"/>
      <c r="K75" s="229"/>
      <c r="L75" s="229"/>
      <c r="M75" s="229"/>
      <c r="N75" s="230">
        <f t="shared" si="17"/>
        <v>0</v>
      </c>
    </row>
    <row r="76" ht="16.5" customHeight="1">
      <c r="A76" s="32" t="s">
        <v>136</v>
      </c>
      <c r="B76" s="229"/>
      <c r="C76" s="229"/>
      <c r="D76" s="229"/>
      <c r="E76" s="229"/>
      <c r="F76" s="87"/>
      <c r="G76" s="229"/>
      <c r="H76" s="229"/>
      <c r="I76" s="229"/>
      <c r="J76" s="229"/>
      <c r="K76" s="229"/>
      <c r="L76" s="229"/>
      <c r="M76" s="229"/>
      <c r="N76" s="230">
        <f t="shared" si="17"/>
        <v>0</v>
      </c>
    </row>
    <row r="77" ht="16.5" customHeight="1">
      <c r="A77" s="32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230">
        <f t="shared" si="17"/>
        <v>0</v>
      </c>
    </row>
    <row r="78" ht="16.5" customHeight="1">
      <c r="A78" s="31" t="s">
        <v>140</v>
      </c>
      <c r="B78" s="87">
        <v>0.0</v>
      </c>
      <c r="C78" s="87">
        <v>0.0</v>
      </c>
      <c r="D78" s="87">
        <v>0.0</v>
      </c>
      <c r="E78" s="87">
        <v>0.0</v>
      </c>
      <c r="F78" s="87">
        <v>0.0</v>
      </c>
      <c r="G78" s="87">
        <v>0.0</v>
      </c>
      <c r="H78" s="87">
        <v>0.0</v>
      </c>
      <c r="I78" s="87">
        <v>0.0</v>
      </c>
      <c r="J78" s="87">
        <v>0.0</v>
      </c>
      <c r="K78" s="87">
        <v>0.0</v>
      </c>
      <c r="L78" s="87">
        <v>0.0</v>
      </c>
      <c r="M78" s="87">
        <v>0.0</v>
      </c>
      <c r="N78" s="230">
        <f t="shared" si="17"/>
        <v>0</v>
      </c>
    </row>
    <row r="79" ht="16.5" customHeight="1">
      <c r="A79" s="27" t="s">
        <v>141</v>
      </c>
      <c r="B79" s="96">
        <v>4351.3</v>
      </c>
      <c r="C79" s="96">
        <v>4351.3</v>
      </c>
      <c r="D79" s="96">
        <v>4351.3</v>
      </c>
      <c r="E79" s="96">
        <v>4351.3</v>
      </c>
      <c r="F79" s="96">
        <v>4351.3</v>
      </c>
      <c r="G79" s="96">
        <v>4351.3</v>
      </c>
      <c r="H79" s="96">
        <v>4351.3</v>
      </c>
      <c r="I79" s="96">
        <v>4351.3</v>
      </c>
      <c r="J79" s="96">
        <v>4351.3</v>
      </c>
      <c r="K79" s="96">
        <v>4351.3</v>
      </c>
      <c r="L79" s="96">
        <v>4351.3</v>
      </c>
      <c r="M79" s="96">
        <v>4351.3</v>
      </c>
      <c r="N79" s="230">
        <f t="shared" si="17"/>
        <v>52215.6</v>
      </c>
    </row>
    <row r="80" ht="16.5" customHeight="1">
      <c r="A80" s="145" t="s">
        <v>79</v>
      </c>
      <c r="B80" s="96">
        <v>1050.0</v>
      </c>
      <c r="C80" s="96">
        <v>1050.0</v>
      </c>
      <c r="D80" s="96">
        <v>1050.0</v>
      </c>
      <c r="E80" s="96">
        <v>1050.0</v>
      </c>
      <c r="F80" s="96">
        <v>1050.0</v>
      </c>
      <c r="G80" s="96">
        <v>1050.0</v>
      </c>
      <c r="H80" s="96">
        <v>1050.0</v>
      </c>
      <c r="I80" s="96">
        <v>1050.0</v>
      </c>
      <c r="J80" s="96">
        <v>1050.0</v>
      </c>
      <c r="K80" s="96">
        <v>1050.0</v>
      </c>
      <c r="L80" s="96">
        <v>1050.0</v>
      </c>
      <c r="M80" s="96">
        <v>1050.0</v>
      </c>
      <c r="N80" s="230">
        <f t="shared" si="17"/>
        <v>12600</v>
      </c>
    </row>
    <row r="81" ht="16.5" customHeight="1">
      <c r="A81" s="43" t="s">
        <v>80</v>
      </c>
      <c r="B81" s="96">
        <v>0.0</v>
      </c>
      <c r="C81" s="96">
        <v>0.0</v>
      </c>
      <c r="D81" s="96">
        <v>0.0</v>
      </c>
      <c r="E81" s="96">
        <v>0.0</v>
      </c>
      <c r="F81" s="96">
        <v>0.0</v>
      </c>
      <c r="G81" s="96">
        <v>0.0</v>
      </c>
      <c r="H81" s="96">
        <v>0.0</v>
      </c>
      <c r="I81" s="96">
        <v>0.0</v>
      </c>
      <c r="J81" s="96">
        <v>0.0</v>
      </c>
      <c r="K81" s="96">
        <v>0.0</v>
      </c>
      <c r="L81" s="96">
        <v>0.0</v>
      </c>
      <c r="M81" s="96">
        <v>0.0</v>
      </c>
      <c r="N81" s="230">
        <f t="shared" si="17"/>
        <v>0</v>
      </c>
    </row>
    <row r="82" ht="16.5" customHeight="1">
      <c r="A82" s="242" t="s">
        <v>23</v>
      </c>
      <c r="B82" s="243">
        <f t="shared" ref="B82:M82" si="18">SUM(B72:B81)</f>
        <v>6251.3</v>
      </c>
      <c r="C82" s="243">
        <f t="shared" si="18"/>
        <v>6251.3</v>
      </c>
      <c r="D82" s="243">
        <f t="shared" si="18"/>
        <v>6251.3</v>
      </c>
      <c r="E82" s="243">
        <f t="shared" si="18"/>
        <v>6251.3</v>
      </c>
      <c r="F82" s="243">
        <f t="shared" si="18"/>
        <v>6251.3</v>
      </c>
      <c r="G82" s="243">
        <f t="shared" si="18"/>
        <v>6251.3</v>
      </c>
      <c r="H82" s="243">
        <f t="shared" si="18"/>
        <v>6251.3</v>
      </c>
      <c r="I82" s="243">
        <f t="shared" si="18"/>
        <v>6251.3</v>
      </c>
      <c r="J82" s="243">
        <f t="shared" si="18"/>
        <v>6251.3</v>
      </c>
      <c r="K82" s="243">
        <f t="shared" si="18"/>
        <v>6251.3</v>
      </c>
      <c r="L82" s="243">
        <f t="shared" si="18"/>
        <v>6251.3</v>
      </c>
      <c r="M82" s="243">
        <f t="shared" si="18"/>
        <v>6251.3</v>
      </c>
      <c r="N82" s="247">
        <f t="shared" si="17"/>
        <v>75015.6</v>
      </c>
    </row>
    <row r="83" ht="16.5" customHeight="1">
      <c r="A83" s="248" t="s">
        <v>81</v>
      </c>
      <c r="B83" s="243">
        <f t="shared" ref="B83:M83" si="19">B52+B70+B82</f>
        <v>38162.61</v>
      </c>
      <c r="C83" s="243">
        <f t="shared" si="19"/>
        <v>38194.45</v>
      </c>
      <c r="D83" s="243">
        <f t="shared" si="19"/>
        <v>37512.61</v>
      </c>
      <c r="E83" s="243">
        <f t="shared" si="19"/>
        <v>38512.61</v>
      </c>
      <c r="F83" s="243">
        <f t="shared" si="19"/>
        <v>37512.61</v>
      </c>
      <c r="G83" s="243">
        <f t="shared" si="19"/>
        <v>37512.61</v>
      </c>
      <c r="H83" s="243">
        <f t="shared" si="19"/>
        <v>38512.61</v>
      </c>
      <c r="I83" s="243">
        <f t="shared" si="19"/>
        <v>37512.61</v>
      </c>
      <c r="J83" s="243">
        <f t="shared" si="19"/>
        <v>37512.61</v>
      </c>
      <c r="K83" s="243">
        <f t="shared" si="19"/>
        <v>38512.61</v>
      </c>
      <c r="L83" s="243">
        <f t="shared" si="19"/>
        <v>37512.61</v>
      </c>
      <c r="M83" s="243">
        <f t="shared" si="19"/>
        <v>37512.61</v>
      </c>
      <c r="N83" s="247">
        <f t="shared" si="17"/>
        <v>454483.16</v>
      </c>
    </row>
    <row r="84" ht="16.5" customHeight="1">
      <c r="A84" s="248" t="s">
        <v>82</v>
      </c>
      <c r="B84" s="243">
        <f t="shared" ref="B84:N84" si="20">B83/B112</f>
        <v>393.4289691</v>
      </c>
      <c r="C84" s="243">
        <f t="shared" si="20"/>
        <v>363.7566667</v>
      </c>
      <c r="D84" s="243">
        <f t="shared" si="20"/>
        <v>341.0237273</v>
      </c>
      <c r="E84" s="243">
        <f t="shared" si="20"/>
        <v>296.2508462</v>
      </c>
      <c r="F84" s="243">
        <f t="shared" si="20"/>
        <v>250.0840667</v>
      </c>
      <c r="G84" s="243">
        <f t="shared" si="20"/>
        <v>267.9472143</v>
      </c>
      <c r="H84" s="243">
        <f t="shared" si="20"/>
        <v>269.318951</v>
      </c>
      <c r="I84" s="243">
        <f t="shared" si="20"/>
        <v>242.0168387</v>
      </c>
      <c r="J84" s="243">
        <f t="shared" si="20"/>
        <v>277.8711852</v>
      </c>
      <c r="K84" s="243">
        <f t="shared" si="20"/>
        <v>296.2508462</v>
      </c>
      <c r="L84" s="243">
        <f t="shared" si="20"/>
        <v>277.8711852</v>
      </c>
      <c r="M84" s="243">
        <f t="shared" si="20"/>
        <v>277.8711852</v>
      </c>
      <c r="N84" s="249">
        <f t="shared" si="20"/>
        <v>290.4045751</v>
      </c>
    </row>
    <row r="85" ht="16.5" customHeight="1">
      <c r="A85" s="227" t="s">
        <v>83</v>
      </c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  <c r="N85" s="228"/>
    </row>
    <row r="86" ht="16.5" customHeight="1">
      <c r="A86" s="234" t="s">
        <v>84</v>
      </c>
      <c r="B86" s="87">
        <v>820.0</v>
      </c>
      <c r="C86" s="87">
        <v>820.0</v>
      </c>
      <c r="D86" s="87">
        <v>820.0</v>
      </c>
      <c r="E86" s="87">
        <v>820.0</v>
      </c>
      <c r="F86" s="87">
        <v>820.0</v>
      </c>
      <c r="G86" s="87">
        <v>820.0</v>
      </c>
      <c r="H86" s="87">
        <v>820.0</v>
      </c>
      <c r="I86" s="87">
        <v>820.0</v>
      </c>
      <c r="J86" s="87">
        <v>820.0</v>
      </c>
      <c r="K86" s="87">
        <v>820.0</v>
      </c>
      <c r="L86" s="87">
        <v>820.0</v>
      </c>
      <c r="M86" s="87">
        <v>820.0</v>
      </c>
      <c r="N86" s="230">
        <f t="shared" ref="N86:N89" si="21">SUM(B86:M86)</f>
        <v>9840</v>
      </c>
    </row>
    <row r="87" ht="16.5" customHeight="1">
      <c r="A87" s="234" t="s">
        <v>142</v>
      </c>
      <c r="B87" s="229"/>
      <c r="C87" s="229"/>
      <c r="D87" s="229"/>
      <c r="E87" s="229"/>
      <c r="F87" s="229"/>
      <c r="G87" s="229"/>
      <c r="H87" s="229"/>
      <c r="I87" s="229"/>
      <c r="J87" s="229"/>
      <c r="K87" s="229"/>
      <c r="L87" s="229"/>
      <c r="M87" s="229"/>
      <c r="N87" s="230">
        <f t="shared" si="21"/>
        <v>0</v>
      </c>
    </row>
    <row r="88" ht="16.5" customHeight="1">
      <c r="A88" s="241" t="s">
        <v>219</v>
      </c>
      <c r="B88" s="229"/>
      <c r="C88" s="229"/>
      <c r="D88" s="229"/>
      <c r="E88" s="96"/>
      <c r="F88" s="96"/>
      <c r="G88" s="229"/>
      <c r="H88" s="229"/>
      <c r="I88" s="96"/>
      <c r="J88" s="229"/>
      <c r="K88" s="229"/>
      <c r="L88" s="229"/>
      <c r="M88" s="229"/>
      <c r="N88" s="230">
        <f t="shared" si="21"/>
        <v>0</v>
      </c>
    </row>
    <row r="89" ht="16.5" customHeight="1">
      <c r="A89" s="242"/>
      <c r="B89" s="229"/>
      <c r="C89" s="229"/>
      <c r="D89" s="229"/>
      <c r="E89" s="229"/>
      <c r="F89" s="229"/>
      <c r="G89" s="229"/>
      <c r="H89" s="229"/>
      <c r="I89" s="229"/>
      <c r="J89" s="229"/>
      <c r="K89" s="229"/>
      <c r="L89" s="229"/>
      <c r="M89" s="229"/>
      <c r="N89" s="230">
        <f t="shared" si="21"/>
        <v>0</v>
      </c>
    </row>
    <row r="90" ht="16.5" customHeight="1">
      <c r="A90" s="242" t="s">
        <v>23</v>
      </c>
      <c r="B90" s="243">
        <f t="shared" ref="B90:N90" si="22">SUM(B86:B89)</f>
        <v>820</v>
      </c>
      <c r="C90" s="243">
        <f t="shared" si="22"/>
        <v>820</v>
      </c>
      <c r="D90" s="243">
        <f t="shared" si="22"/>
        <v>820</v>
      </c>
      <c r="E90" s="243">
        <f t="shared" si="22"/>
        <v>820</v>
      </c>
      <c r="F90" s="243">
        <f t="shared" si="22"/>
        <v>820</v>
      </c>
      <c r="G90" s="243">
        <f t="shared" si="22"/>
        <v>820</v>
      </c>
      <c r="H90" s="243">
        <f t="shared" si="22"/>
        <v>820</v>
      </c>
      <c r="I90" s="243">
        <f t="shared" si="22"/>
        <v>820</v>
      </c>
      <c r="J90" s="243">
        <f t="shared" si="22"/>
        <v>820</v>
      </c>
      <c r="K90" s="243">
        <f t="shared" si="22"/>
        <v>820</v>
      </c>
      <c r="L90" s="243">
        <f t="shared" si="22"/>
        <v>820</v>
      </c>
      <c r="M90" s="243">
        <f t="shared" si="22"/>
        <v>820</v>
      </c>
      <c r="N90" s="243">
        <f t="shared" si="22"/>
        <v>9840</v>
      </c>
    </row>
    <row r="91" ht="16.5" customHeight="1">
      <c r="A91" s="238" t="s">
        <v>88</v>
      </c>
      <c r="B91" s="228"/>
      <c r="C91" s="228"/>
      <c r="D91" s="228"/>
      <c r="E91" s="228"/>
      <c r="F91" s="228"/>
      <c r="G91" s="228"/>
      <c r="H91" s="228"/>
      <c r="I91" s="228"/>
      <c r="J91" s="228"/>
      <c r="K91" s="228"/>
      <c r="L91" s="228"/>
      <c r="M91" s="228"/>
      <c r="N91" s="228"/>
    </row>
    <row r="92" ht="16.5" customHeight="1">
      <c r="A92" s="31" t="s">
        <v>89</v>
      </c>
      <c r="B92" s="101">
        <f>PRODUCTION!M18</f>
        <v>750</v>
      </c>
      <c r="C92" s="102">
        <f>PRODUCTION!M19</f>
        <v>750</v>
      </c>
      <c r="D92" s="102">
        <f>PRODUCTION!M20</f>
        <v>750</v>
      </c>
      <c r="E92" s="102">
        <f>PRODUCTION!M21</f>
        <v>750</v>
      </c>
      <c r="F92" s="102">
        <f>PRODUCTION!M22</f>
        <v>750</v>
      </c>
      <c r="G92" s="102">
        <f>PRODUCTION!M23</f>
        <v>750</v>
      </c>
      <c r="H92" s="102">
        <f>PRODUCTION!M24</f>
        <v>750</v>
      </c>
      <c r="I92" s="102">
        <f>PRODUCTION!M25</f>
        <v>750</v>
      </c>
      <c r="J92" s="102">
        <f>PRODUCTION!M26</f>
        <v>750</v>
      </c>
      <c r="K92" s="102">
        <f>PRODUCTION!M27</f>
        <v>750</v>
      </c>
      <c r="L92" s="102">
        <f>PRODUCTION!M28</f>
        <v>750</v>
      </c>
      <c r="M92" s="102">
        <f>PRODUCTION!M29</f>
        <v>750</v>
      </c>
      <c r="N92" s="230">
        <f t="shared" ref="N92:N105" si="23">SUM(B92:M92)</f>
        <v>9000</v>
      </c>
    </row>
    <row r="93" ht="16.5" customHeight="1">
      <c r="A93" s="31" t="s">
        <v>90</v>
      </c>
      <c r="B93" s="46"/>
      <c r="C93" s="87"/>
      <c r="D93" s="87"/>
      <c r="E93" s="87"/>
      <c r="F93" s="87"/>
      <c r="G93" s="87"/>
      <c r="H93" s="46"/>
      <c r="I93" s="46"/>
      <c r="J93" s="46"/>
      <c r="K93" s="87"/>
      <c r="L93" s="46"/>
      <c r="M93" s="87"/>
      <c r="N93" s="230">
        <f t="shared" si="23"/>
        <v>0</v>
      </c>
    </row>
    <row r="94" ht="16.5" customHeight="1">
      <c r="A94" s="31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230">
        <f t="shared" si="23"/>
        <v>2360</v>
      </c>
    </row>
    <row r="95" ht="16.5" customHeight="1">
      <c r="A95" s="31" t="s">
        <v>92</v>
      </c>
      <c r="B95" s="146">
        <v>500.0</v>
      </c>
      <c r="C95" s="105">
        <v>500.0</v>
      </c>
      <c r="D95" s="105">
        <v>0.0</v>
      </c>
      <c r="E95" s="105">
        <v>0.0</v>
      </c>
      <c r="F95" s="104">
        <v>135.0</v>
      </c>
      <c r="G95" s="104">
        <f>350+167</f>
        <v>517</v>
      </c>
      <c r="H95" s="104">
        <v>0.0</v>
      </c>
      <c r="I95" s="218">
        <f>220.48+3.233</f>
        <v>223.713</v>
      </c>
      <c r="J95" s="105">
        <v>500.0</v>
      </c>
      <c r="K95" s="87">
        <v>367.23</v>
      </c>
      <c r="L95" s="105">
        <v>500.0</v>
      </c>
      <c r="M95" s="105">
        <v>500.0</v>
      </c>
      <c r="N95" s="230">
        <f t="shared" si="23"/>
        <v>3742.943</v>
      </c>
    </row>
    <row r="96" ht="16.5" customHeight="1">
      <c r="A96" s="32" t="s">
        <v>143</v>
      </c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230">
        <f t="shared" si="23"/>
        <v>0</v>
      </c>
    </row>
    <row r="97" ht="16.5" customHeight="1">
      <c r="A97" s="32" t="s">
        <v>94</v>
      </c>
      <c r="B97" s="229"/>
      <c r="C97" s="229"/>
      <c r="D97" s="229"/>
      <c r="E97" s="229"/>
      <c r="F97" s="229"/>
      <c r="G97" s="229"/>
      <c r="H97" s="229"/>
      <c r="I97" s="229"/>
      <c r="J97" s="229"/>
      <c r="K97" s="229"/>
      <c r="L97" s="229"/>
      <c r="M97" s="229"/>
      <c r="N97" s="230">
        <f t="shared" si="23"/>
        <v>0</v>
      </c>
    </row>
    <row r="98" ht="16.5" customHeight="1">
      <c r="A98" s="32" t="s">
        <v>95</v>
      </c>
      <c r="B98" s="229"/>
      <c r="C98" s="229"/>
      <c r="D98" s="229"/>
      <c r="E98" s="229"/>
      <c r="F98" s="229"/>
      <c r="G98" s="229"/>
      <c r="H98" s="229"/>
      <c r="I98" s="229"/>
      <c r="J98" s="229"/>
      <c r="K98" s="229"/>
      <c r="L98" s="229"/>
      <c r="M98" s="229"/>
      <c r="N98" s="230">
        <f t="shared" si="23"/>
        <v>0</v>
      </c>
    </row>
    <row r="99" ht="16.5" customHeight="1">
      <c r="A99" s="31" t="s">
        <v>96</v>
      </c>
      <c r="B99" s="96">
        <v>0.0</v>
      </c>
      <c r="C99" s="96">
        <v>0.0</v>
      </c>
      <c r="D99" s="96">
        <v>0.0</v>
      </c>
      <c r="E99" s="96">
        <v>0.0</v>
      </c>
      <c r="F99" s="96">
        <v>0.0</v>
      </c>
      <c r="G99" s="96">
        <v>0.0</v>
      </c>
      <c r="H99" s="96">
        <v>0.0</v>
      </c>
      <c r="I99" s="96">
        <v>0.0</v>
      </c>
      <c r="J99" s="96">
        <v>0.0</v>
      </c>
      <c r="K99" s="96">
        <v>0.0</v>
      </c>
      <c r="L99" s="96">
        <v>0.0</v>
      </c>
      <c r="M99" s="96">
        <v>0.0</v>
      </c>
      <c r="N99" s="230">
        <f t="shared" si="23"/>
        <v>0</v>
      </c>
    </row>
    <row r="100" ht="16.5" customHeight="1">
      <c r="A100" s="31" t="s">
        <v>97</v>
      </c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230">
        <f t="shared" si="23"/>
        <v>0</v>
      </c>
    </row>
    <row r="101" ht="16.5" customHeight="1">
      <c r="A101" s="32" t="s">
        <v>98</v>
      </c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230">
        <f t="shared" si="23"/>
        <v>0</v>
      </c>
    </row>
    <row r="102" ht="16.5" customHeight="1">
      <c r="A102" s="31" t="s">
        <v>99</v>
      </c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230">
        <f t="shared" si="23"/>
        <v>0</v>
      </c>
    </row>
    <row r="103" ht="16.5" customHeight="1">
      <c r="A103" s="32" t="s">
        <v>100</v>
      </c>
      <c r="B103" s="87">
        <v>200.0</v>
      </c>
      <c r="C103" s="87">
        <v>435.0</v>
      </c>
      <c r="D103" s="87">
        <f>200+113.64</f>
        <v>313.64</v>
      </c>
      <c r="E103" s="87">
        <v>200.0</v>
      </c>
      <c r="F103" s="87">
        <v>200.0</v>
      </c>
      <c r="G103" s="87">
        <v>605.0</v>
      </c>
      <c r="H103" s="87">
        <v>605.0</v>
      </c>
      <c r="I103" s="87">
        <v>200.0</v>
      </c>
      <c r="J103" s="87">
        <f>435+200</f>
        <v>635</v>
      </c>
      <c r="K103" s="87">
        <v>200.0</v>
      </c>
      <c r="L103" s="87">
        <v>200.0</v>
      </c>
      <c r="M103" s="87">
        <v>200.0</v>
      </c>
      <c r="N103" s="230">
        <f t="shared" si="23"/>
        <v>3993.64</v>
      </c>
    </row>
    <row r="104" ht="16.5" customHeight="1">
      <c r="A104" s="27" t="s">
        <v>101</v>
      </c>
      <c r="B104" s="96">
        <v>200.0</v>
      </c>
      <c r="C104" s="96">
        <v>315.0</v>
      </c>
      <c r="D104" s="96">
        <v>315.0</v>
      </c>
      <c r="E104" s="96">
        <v>315.0</v>
      </c>
      <c r="F104" s="96">
        <v>315.0</v>
      </c>
      <c r="G104" s="96">
        <v>315.0</v>
      </c>
      <c r="H104" s="96">
        <v>315.0</v>
      </c>
      <c r="I104" s="96">
        <v>315.0</v>
      </c>
      <c r="J104" s="96">
        <v>315.0</v>
      </c>
      <c r="K104" s="96">
        <v>315.0</v>
      </c>
      <c r="L104" s="96">
        <v>315.0</v>
      </c>
      <c r="M104" s="96">
        <v>315.0</v>
      </c>
      <c r="N104" s="230">
        <f t="shared" si="23"/>
        <v>3665</v>
      </c>
    </row>
    <row r="105" ht="16.5" customHeight="1">
      <c r="A105" s="27" t="s">
        <v>102</v>
      </c>
      <c r="B105" s="243"/>
      <c r="C105" s="243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230">
        <f t="shared" si="23"/>
        <v>0</v>
      </c>
    </row>
    <row r="106" ht="16.5" customHeight="1">
      <c r="A106" s="242"/>
      <c r="B106" s="250"/>
      <c r="C106" s="250"/>
      <c r="D106" s="250"/>
      <c r="E106" s="250"/>
      <c r="F106" s="250"/>
      <c r="G106" s="250"/>
      <c r="H106" s="250"/>
      <c r="I106" s="250"/>
      <c r="J106" s="250"/>
      <c r="K106" s="250"/>
      <c r="L106" s="250"/>
      <c r="M106" s="250"/>
      <c r="N106" s="243"/>
    </row>
    <row r="107" ht="16.5" customHeight="1">
      <c r="A107" s="242" t="s">
        <v>23</v>
      </c>
      <c r="B107" s="243">
        <f t="shared" ref="B107:N107" si="24">SUM(B92:B105)</f>
        <v>1830</v>
      </c>
      <c r="C107" s="243">
        <f t="shared" si="24"/>
        <v>2180</v>
      </c>
      <c r="D107" s="243">
        <f t="shared" si="24"/>
        <v>1558.64</v>
      </c>
      <c r="E107" s="243">
        <f t="shared" si="24"/>
        <v>1445</v>
      </c>
      <c r="F107" s="243">
        <f t="shared" si="24"/>
        <v>1580</v>
      </c>
      <c r="G107" s="243">
        <f t="shared" si="24"/>
        <v>2367</v>
      </c>
      <c r="H107" s="243">
        <f t="shared" si="24"/>
        <v>1850</v>
      </c>
      <c r="I107" s="243">
        <f t="shared" si="24"/>
        <v>1668.713</v>
      </c>
      <c r="J107" s="243">
        <f t="shared" si="24"/>
        <v>2380</v>
      </c>
      <c r="K107" s="243">
        <f t="shared" si="24"/>
        <v>2012.23</v>
      </c>
      <c r="L107" s="243">
        <f t="shared" si="24"/>
        <v>1945</v>
      </c>
      <c r="M107" s="243">
        <f t="shared" si="24"/>
        <v>1945</v>
      </c>
      <c r="N107" s="243">
        <f t="shared" si="24"/>
        <v>22761.583</v>
      </c>
    </row>
    <row r="108" ht="16.5" customHeight="1">
      <c r="A108" s="242" t="s">
        <v>104</v>
      </c>
      <c r="B108" s="243"/>
      <c r="C108" s="243"/>
      <c r="D108" s="243"/>
      <c r="E108" s="243"/>
      <c r="F108" s="243"/>
      <c r="G108" s="243"/>
      <c r="H108" s="243"/>
      <c r="I108" s="243"/>
      <c r="J108" s="243"/>
      <c r="K108" s="243"/>
      <c r="L108" s="243"/>
      <c r="M108" s="243"/>
      <c r="N108" s="247">
        <f>SUM(B108:M108)</f>
        <v>0</v>
      </c>
    </row>
    <row r="109" ht="16.5" customHeight="1">
      <c r="A109" s="251" t="s">
        <v>105</v>
      </c>
      <c r="B109" s="252">
        <f t="shared" ref="B109:N109" si="25">B107+B90+B83+B32+B21+B13</f>
        <v>46358.94333</v>
      </c>
      <c r="C109" s="252">
        <f t="shared" si="25"/>
        <v>47450.26333</v>
      </c>
      <c r="D109" s="252">
        <f t="shared" si="25"/>
        <v>53066.51667</v>
      </c>
      <c r="E109" s="252">
        <f t="shared" si="25"/>
        <v>51452.87667</v>
      </c>
      <c r="F109" s="252">
        <f t="shared" si="25"/>
        <v>60851.94684</v>
      </c>
      <c r="G109" s="252">
        <f t="shared" si="25"/>
        <v>59138.94684</v>
      </c>
      <c r="H109" s="252">
        <f t="shared" si="25"/>
        <v>51857.87667</v>
      </c>
      <c r="I109" s="252">
        <f t="shared" si="25"/>
        <v>53176.58967</v>
      </c>
      <c r="J109" s="252">
        <f t="shared" si="25"/>
        <v>55398.03018</v>
      </c>
      <c r="K109" s="252">
        <f t="shared" si="25"/>
        <v>56030.26018</v>
      </c>
      <c r="L109" s="252">
        <f t="shared" si="25"/>
        <v>58716.94684</v>
      </c>
      <c r="M109" s="252">
        <f t="shared" si="25"/>
        <v>58716.94684</v>
      </c>
      <c r="N109" s="252">
        <f t="shared" si="25"/>
        <v>652216.1441</v>
      </c>
    </row>
    <row r="110" ht="16.5" customHeight="1">
      <c r="A110" s="240" t="s">
        <v>106</v>
      </c>
      <c r="B110" s="148">
        <v>37.0</v>
      </c>
      <c r="C110" s="116">
        <v>40.0</v>
      </c>
      <c r="D110" s="116">
        <v>45.0</v>
      </c>
      <c r="E110" s="116">
        <v>65.0</v>
      </c>
      <c r="F110" s="116">
        <v>70.0</v>
      </c>
      <c r="G110" s="116">
        <v>65.0</v>
      </c>
      <c r="H110" s="116">
        <v>68.0</v>
      </c>
      <c r="I110" s="116">
        <v>85.0</v>
      </c>
      <c r="J110" s="116">
        <v>70.0</v>
      </c>
      <c r="K110" s="116">
        <v>65.0</v>
      </c>
      <c r="L110" s="116">
        <v>70.0</v>
      </c>
      <c r="M110" s="116">
        <v>70.0</v>
      </c>
      <c r="N110" s="253">
        <f t="shared" ref="N110:N112" si="26">SUM(B110:M110)</f>
        <v>750</v>
      </c>
    </row>
    <row r="111" ht="16.5" customHeight="1">
      <c r="A111" s="240" t="s">
        <v>107</v>
      </c>
      <c r="B111" s="120">
        <v>60.0</v>
      </c>
      <c r="C111" s="120">
        <v>65.0</v>
      </c>
      <c r="D111" s="120">
        <v>65.0</v>
      </c>
      <c r="E111" s="120">
        <v>65.0</v>
      </c>
      <c r="F111" s="120">
        <v>80.0</v>
      </c>
      <c r="G111" s="120">
        <v>75.0</v>
      </c>
      <c r="H111" s="120">
        <v>75.0</v>
      </c>
      <c r="I111" s="120">
        <v>70.0</v>
      </c>
      <c r="J111" s="120">
        <v>65.0</v>
      </c>
      <c r="K111" s="120">
        <v>65.0</v>
      </c>
      <c r="L111" s="120">
        <v>65.0</v>
      </c>
      <c r="M111" s="120">
        <v>65.0</v>
      </c>
      <c r="N111" s="253">
        <f t="shared" si="26"/>
        <v>815</v>
      </c>
    </row>
    <row r="112" ht="16.5" customHeight="1">
      <c r="A112" s="242" t="s">
        <v>23</v>
      </c>
      <c r="B112" s="254">
        <f t="shared" ref="B112:M112" si="27">B110+B111</f>
        <v>97</v>
      </c>
      <c r="C112" s="254">
        <f t="shared" si="27"/>
        <v>105</v>
      </c>
      <c r="D112" s="254">
        <f t="shared" si="27"/>
        <v>110</v>
      </c>
      <c r="E112" s="254">
        <f t="shared" si="27"/>
        <v>130</v>
      </c>
      <c r="F112" s="255">
        <f t="shared" si="27"/>
        <v>150</v>
      </c>
      <c r="G112" s="255">
        <f t="shared" si="27"/>
        <v>140</v>
      </c>
      <c r="H112" s="256">
        <f t="shared" si="27"/>
        <v>143</v>
      </c>
      <c r="I112" s="255">
        <f t="shared" si="27"/>
        <v>155</v>
      </c>
      <c r="J112" s="255">
        <f t="shared" si="27"/>
        <v>135</v>
      </c>
      <c r="K112" s="255">
        <f t="shared" si="27"/>
        <v>130</v>
      </c>
      <c r="L112" s="255">
        <f t="shared" si="27"/>
        <v>135</v>
      </c>
      <c r="M112" s="257">
        <f t="shared" si="27"/>
        <v>135</v>
      </c>
      <c r="N112" s="258">
        <f t="shared" si="26"/>
        <v>1565</v>
      </c>
    </row>
    <row r="113" ht="16.5" customHeight="1">
      <c r="A113" s="259" t="s">
        <v>108</v>
      </c>
      <c r="B113" s="260">
        <f t="shared" ref="B113:N113" si="28">B109/B112</f>
        <v>477.9272509</v>
      </c>
      <c r="C113" s="260">
        <f t="shared" si="28"/>
        <v>451.9072698</v>
      </c>
      <c r="D113" s="260">
        <f t="shared" si="28"/>
        <v>482.4228788</v>
      </c>
      <c r="E113" s="260">
        <f t="shared" si="28"/>
        <v>395.791359</v>
      </c>
      <c r="F113" s="260">
        <f t="shared" si="28"/>
        <v>405.6796456</v>
      </c>
      <c r="G113" s="260">
        <f t="shared" si="28"/>
        <v>422.4210489</v>
      </c>
      <c r="H113" s="260">
        <f t="shared" si="28"/>
        <v>362.6424942</v>
      </c>
      <c r="I113" s="260">
        <f t="shared" si="28"/>
        <v>343.074772</v>
      </c>
      <c r="J113" s="260">
        <f t="shared" si="28"/>
        <v>410.3557791</v>
      </c>
      <c r="K113" s="260">
        <f t="shared" si="28"/>
        <v>431.0020013</v>
      </c>
      <c r="L113" s="260">
        <f t="shared" si="28"/>
        <v>434.940347</v>
      </c>
      <c r="M113" s="260">
        <f t="shared" si="28"/>
        <v>434.940347</v>
      </c>
      <c r="N113" s="261">
        <f t="shared" si="28"/>
        <v>416.7515297</v>
      </c>
    </row>
    <row r="114" ht="16.5" customHeight="1">
      <c r="A114" s="227" t="s">
        <v>109</v>
      </c>
      <c r="B114" s="228"/>
      <c r="C114" s="228"/>
      <c r="D114" s="228"/>
      <c r="E114" s="228"/>
      <c r="F114" s="228"/>
      <c r="G114" s="228"/>
      <c r="H114" s="228"/>
      <c r="I114" s="228"/>
      <c r="J114" s="228"/>
      <c r="K114" s="228"/>
      <c r="L114" s="228"/>
      <c r="M114" s="228"/>
      <c r="N114" s="228"/>
    </row>
    <row r="115" ht="16.5" customHeight="1">
      <c r="A115" s="59" t="s">
        <v>110</v>
      </c>
      <c r="B115" s="96">
        <v>1095.0</v>
      </c>
      <c r="C115" s="96">
        <v>1095.0</v>
      </c>
      <c r="D115" s="96">
        <v>1095.0</v>
      </c>
      <c r="E115" s="96">
        <v>1095.0</v>
      </c>
      <c r="F115" s="96">
        <v>1095.0</v>
      </c>
      <c r="G115" s="96">
        <v>1095.0</v>
      </c>
      <c r="H115" s="96">
        <v>1095.0</v>
      </c>
      <c r="I115" s="96">
        <v>1095.0</v>
      </c>
      <c r="J115" s="96">
        <v>1095.0</v>
      </c>
      <c r="K115" s="96">
        <v>1095.0</v>
      </c>
      <c r="L115" s="96">
        <v>1095.0</v>
      </c>
      <c r="M115" s="96">
        <v>1095.0</v>
      </c>
      <c r="N115" s="230">
        <f t="shared" ref="N115:N120" si="29">SUM(B115:M115)</f>
        <v>13140</v>
      </c>
    </row>
    <row r="116" ht="16.5" customHeight="1">
      <c r="A116" s="60" t="s">
        <v>111</v>
      </c>
      <c r="B116" s="229"/>
      <c r="C116" s="96"/>
      <c r="D116" s="96">
        <v>816.5</v>
      </c>
      <c r="E116" s="229"/>
      <c r="F116" s="96">
        <v>568.0</v>
      </c>
      <c r="G116" s="229"/>
      <c r="H116" s="229"/>
      <c r="I116" s="229"/>
      <c r="J116" s="229"/>
      <c r="K116" s="229"/>
      <c r="L116" s="229"/>
      <c r="M116" s="229"/>
      <c r="N116" s="230">
        <f t="shared" si="29"/>
        <v>1384.5</v>
      </c>
    </row>
    <row r="117" ht="16.5" customHeight="1">
      <c r="A117" s="59" t="s">
        <v>112</v>
      </c>
      <c r="B117" s="96">
        <f>500+1984.62
</f>
        <v>2484.62</v>
      </c>
      <c r="C117" s="96">
        <v>500.0</v>
      </c>
      <c r="D117" s="96">
        <v>500.0</v>
      </c>
      <c r="E117" s="96">
        <f>500+1984.62
</f>
        <v>2484.62</v>
      </c>
      <c r="F117" s="96">
        <v>500.0</v>
      </c>
      <c r="G117" s="96">
        <v>500.0</v>
      </c>
      <c r="H117" s="96">
        <f>500+1984.62
</f>
        <v>2484.62</v>
      </c>
      <c r="I117" s="96">
        <v>500.0</v>
      </c>
      <c r="J117" s="96">
        <v>500.0</v>
      </c>
      <c r="K117" s="96">
        <f>500+2005.7</f>
        <v>2505.7</v>
      </c>
      <c r="L117" s="96">
        <v>500.0</v>
      </c>
      <c r="M117" s="96">
        <v>500.0</v>
      </c>
      <c r="N117" s="230">
        <f t="shared" si="29"/>
        <v>13959.56</v>
      </c>
    </row>
    <row r="118" ht="16.5" customHeight="1">
      <c r="A118" s="59" t="s">
        <v>161</v>
      </c>
      <c r="B118" s="96">
        <v>1000.0</v>
      </c>
      <c r="C118" s="96">
        <v>1000.0</v>
      </c>
      <c r="D118" s="96">
        <v>1000.0</v>
      </c>
      <c r="E118" s="96">
        <v>1000.0</v>
      </c>
      <c r="F118" s="96">
        <v>1000.0</v>
      </c>
      <c r="G118" s="96">
        <v>1000.0</v>
      </c>
      <c r="H118" s="96">
        <v>1000.0</v>
      </c>
      <c r="I118" s="96">
        <v>1000.0</v>
      </c>
      <c r="J118" s="96">
        <v>1000.0</v>
      </c>
      <c r="K118" s="96">
        <v>1000.0</v>
      </c>
      <c r="L118" s="96">
        <v>1000.0</v>
      </c>
      <c r="M118" s="96">
        <v>1000.0</v>
      </c>
      <c r="N118" s="230">
        <f t="shared" si="29"/>
        <v>12000</v>
      </c>
    </row>
    <row r="119" ht="16.5" customHeight="1">
      <c r="A119" s="61" t="s">
        <v>113</v>
      </c>
      <c r="B119" s="96">
        <v>395.0</v>
      </c>
      <c r="C119" s="96">
        <v>395.0</v>
      </c>
      <c r="D119" s="96">
        <v>395.0</v>
      </c>
      <c r="E119" s="96">
        <v>395.0</v>
      </c>
      <c r="F119" s="96">
        <v>395.0</v>
      </c>
      <c r="G119" s="96">
        <v>395.0</v>
      </c>
      <c r="H119" s="96">
        <v>395.0</v>
      </c>
      <c r="I119" s="96">
        <v>395.0</v>
      </c>
      <c r="J119" s="96">
        <v>395.0</v>
      </c>
      <c r="K119" s="96">
        <v>395.0</v>
      </c>
      <c r="L119" s="96">
        <v>395.0</v>
      </c>
      <c r="M119" s="96">
        <v>395.0</v>
      </c>
      <c r="N119" s="230">
        <f t="shared" si="29"/>
        <v>4740</v>
      </c>
    </row>
    <row r="120" ht="16.5" customHeight="1">
      <c r="A120" s="262" t="s">
        <v>114</v>
      </c>
      <c r="B120" s="96">
        <v>1770.0</v>
      </c>
      <c r="C120" s="96">
        <v>1770.0</v>
      </c>
      <c r="D120" s="96">
        <v>1770.0</v>
      </c>
      <c r="E120" s="96">
        <v>1770.0</v>
      </c>
      <c r="F120" s="96">
        <v>1770.0</v>
      </c>
      <c r="G120" s="96">
        <v>1770.0</v>
      </c>
      <c r="H120" s="96">
        <v>1770.0</v>
      </c>
      <c r="I120" s="96">
        <v>1770.0</v>
      </c>
      <c r="J120" s="96">
        <v>1770.0</v>
      </c>
      <c r="K120" s="96">
        <v>1770.0</v>
      </c>
      <c r="L120" s="96">
        <v>1770.0</v>
      </c>
      <c r="M120" s="96">
        <v>1770.0</v>
      </c>
      <c r="N120" s="230">
        <f t="shared" si="29"/>
        <v>21240</v>
      </c>
    </row>
    <row r="121" ht="16.5" customHeight="1">
      <c r="A121" s="248" t="s">
        <v>23</v>
      </c>
      <c r="B121" s="239">
        <f t="shared" ref="B121:N121" si="30">SUM(B115:B120)</f>
        <v>6744.62</v>
      </c>
      <c r="C121" s="239">
        <f t="shared" si="30"/>
        <v>4760</v>
      </c>
      <c r="D121" s="239">
        <f t="shared" si="30"/>
        <v>5576.5</v>
      </c>
      <c r="E121" s="239">
        <f t="shared" si="30"/>
        <v>6744.62</v>
      </c>
      <c r="F121" s="239">
        <f t="shared" si="30"/>
        <v>5328</v>
      </c>
      <c r="G121" s="239">
        <f t="shared" si="30"/>
        <v>4760</v>
      </c>
      <c r="H121" s="239">
        <f t="shared" si="30"/>
        <v>6744.62</v>
      </c>
      <c r="I121" s="239">
        <f t="shared" si="30"/>
        <v>4760</v>
      </c>
      <c r="J121" s="239">
        <f t="shared" si="30"/>
        <v>4760</v>
      </c>
      <c r="K121" s="239">
        <f t="shared" si="30"/>
        <v>6765.7</v>
      </c>
      <c r="L121" s="239">
        <f t="shared" si="30"/>
        <v>4760</v>
      </c>
      <c r="M121" s="239">
        <f t="shared" si="30"/>
        <v>4760</v>
      </c>
      <c r="N121" s="239">
        <f t="shared" si="30"/>
        <v>66464.06</v>
      </c>
    </row>
    <row r="122" ht="16.5" customHeight="1">
      <c r="A122" s="263"/>
      <c r="B122" s="264"/>
      <c r="C122" s="264"/>
      <c r="D122" s="264"/>
      <c r="E122" s="264"/>
      <c r="F122" s="264"/>
      <c r="G122" s="264"/>
      <c r="H122" s="264"/>
      <c r="I122" s="264"/>
      <c r="J122" s="264"/>
      <c r="K122" s="264"/>
      <c r="L122" s="264"/>
      <c r="M122" s="264"/>
      <c r="N122" s="264"/>
    </row>
    <row r="123" ht="16.5" customHeight="1">
      <c r="A123" s="64" t="s">
        <v>115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</row>
    <row r="124" ht="16.5" customHeight="1">
      <c r="A124" s="64" t="s">
        <v>116</v>
      </c>
      <c r="B124" s="67">
        <f t="shared" ref="B124:M124" si="31">+B13*0.7+B21*0.7+B32*0.7+B52*0.6+B70+B107*0.6</f>
        <v>30730.01933</v>
      </c>
      <c r="C124" s="67">
        <f t="shared" si="31"/>
        <v>31468.49533</v>
      </c>
      <c r="D124" s="67">
        <f t="shared" si="31"/>
        <v>35257.45667</v>
      </c>
      <c r="E124" s="67">
        <f t="shared" si="31"/>
        <v>34439.27267</v>
      </c>
      <c r="F124" s="67">
        <f t="shared" si="31"/>
        <v>40705.12179</v>
      </c>
      <c r="G124" s="67">
        <f t="shared" si="31"/>
        <v>39427.32179</v>
      </c>
      <c r="H124" s="67">
        <f t="shared" si="31"/>
        <v>34682.27267</v>
      </c>
      <c r="I124" s="67">
        <f t="shared" si="31"/>
        <v>35323.50047</v>
      </c>
      <c r="J124" s="67">
        <f t="shared" si="31"/>
        <v>36807.38012</v>
      </c>
      <c r="K124" s="67">
        <f t="shared" si="31"/>
        <v>37586.71812</v>
      </c>
      <c r="L124" s="67">
        <f t="shared" si="31"/>
        <v>39174.12179</v>
      </c>
      <c r="M124" s="67">
        <f t="shared" si="31"/>
        <v>39174.12179</v>
      </c>
      <c r="N124" s="67">
        <f t="shared" ref="N124:N125" si="33">SUM(B124:M124)</f>
        <v>434775.8025</v>
      </c>
    </row>
    <row r="125" ht="16.5" customHeight="1">
      <c r="A125" s="64" t="s">
        <v>117</v>
      </c>
      <c r="B125" s="67">
        <f t="shared" ref="B125:M125" si="32">+B13*0.3+B21*0.3+B32*0.3+B52*0.4+B82+B90+B107*0.4</f>
        <v>15628.924</v>
      </c>
      <c r="C125" s="67">
        <f t="shared" si="32"/>
        <v>15981.768</v>
      </c>
      <c r="D125" s="67">
        <f t="shared" si="32"/>
        <v>17809.06</v>
      </c>
      <c r="E125" s="67">
        <f t="shared" si="32"/>
        <v>17013.604</v>
      </c>
      <c r="F125" s="67">
        <f t="shared" si="32"/>
        <v>20146.82505</v>
      </c>
      <c r="G125" s="67">
        <f t="shared" si="32"/>
        <v>19711.62505</v>
      </c>
      <c r="H125" s="67">
        <f t="shared" si="32"/>
        <v>17175.604</v>
      </c>
      <c r="I125" s="67">
        <f t="shared" si="32"/>
        <v>17853.0892</v>
      </c>
      <c r="J125" s="67">
        <f t="shared" si="32"/>
        <v>18590.65005</v>
      </c>
      <c r="K125" s="67">
        <f t="shared" si="32"/>
        <v>18443.54205</v>
      </c>
      <c r="L125" s="67">
        <f t="shared" si="32"/>
        <v>19542.82505</v>
      </c>
      <c r="M125" s="67">
        <f t="shared" si="32"/>
        <v>19542.82505</v>
      </c>
      <c r="N125" s="67">
        <f t="shared" si="33"/>
        <v>217440.3415</v>
      </c>
    </row>
    <row r="126" ht="16.5" customHeight="1">
      <c r="A126" s="64" t="s">
        <v>23</v>
      </c>
      <c r="B126" s="67">
        <f t="shared" ref="B126:N126" si="34">SUM(B124:B125)</f>
        <v>46358.94333</v>
      </c>
      <c r="C126" s="67">
        <f t="shared" si="34"/>
        <v>47450.26333</v>
      </c>
      <c r="D126" s="67">
        <f t="shared" si="34"/>
        <v>53066.51667</v>
      </c>
      <c r="E126" s="67">
        <f t="shared" si="34"/>
        <v>51452.87667</v>
      </c>
      <c r="F126" s="67">
        <f t="shared" si="34"/>
        <v>60851.94684</v>
      </c>
      <c r="G126" s="67">
        <f t="shared" si="34"/>
        <v>59138.94684</v>
      </c>
      <c r="H126" s="67">
        <f t="shared" si="34"/>
        <v>51857.87667</v>
      </c>
      <c r="I126" s="67">
        <f t="shared" si="34"/>
        <v>53176.58967</v>
      </c>
      <c r="J126" s="67">
        <f t="shared" si="34"/>
        <v>55398.03018</v>
      </c>
      <c r="K126" s="67">
        <f t="shared" si="34"/>
        <v>56030.26018</v>
      </c>
      <c r="L126" s="67">
        <f t="shared" si="34"/>
        <v>58716.94684</v>
      </c>
      <c r="M126" s="67">
        <f t="shared" si="34"/>
        <v>58716.94684</v>
      </c>
      <c r="N126" s="67">
        <f t="shared" si="34"/>
        <v>652216.1441</v>
      </c>
    </row>
    <row r="127" ht="16.5" customHeight="1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</row>
    <row r="128" ht="16.5" customHeight="1">
      <c r="A128" s="69" t="s">
        <v>118</v>
      </c>
      <c r="B128" s="70">
        <f t="shared" ref="B128:N128" si="35">+B109</f>
        <v>46358.94333</v>
      </c>
      <c r="C128" s="70">
        <f t="shared" si="35"/>
        <v>47450.26333</v>
      </c>
      <c r="D128" s="70">
        <f t="shared" si="35"/>
        <v>53066.51667</v>
      </c>
      <c r="E128" s="70">
        <f t="shared" si="35"/>
        <v>51452.87667</v>
      </c>
      <c r="F128" s="70">
        <f t="shared" si="35"/>
        <v>60851.94684</v>
      </c>
      <c r="G128" s="70">
        <f t="shared" si="35"/>
        <v>59138.94684</v>
      </c>
      <c r="H128" s="70">
        <f t="shared" si="35"/>
        <v>51857.87667</v>
      </c>
      <c r="I128" s="70">
        <f t="shared" si="35"/>
        <v>53176.58967</v>
      </c>
      <c r="J128" s="70">
        <f t="shared" si="35"/>
        <v>55398.03018</v>
      </c>
      <c r="K128" s="70">
        <f t="shared" si="35"/>
        <v>56030.26018</v>
      </c>
      <c r="L128" s="70">
        <f t="shared" si="35"/>
        <v>58716.94684</v>
      </c>
      <c r="M128" s="70">
        <f t="shared" si="35"/>
        <v>58716.94684</v>
      </c>
      <c r="N128" s="70">
        <f t="shared" si="35"/>
        <v>652216.1441</v>
      </c>
    </row>
    <row r="129" ht="16.5" customHeight="1">
      <c r="A129" s="263"/>
      <c r="B129" s="264"/>
      <c r="C129" s="264"/>
      <c r="D129" s="264"/>
      <c r="E129" s="264"/>
      <c r="F129" s="264"/>
      <c r="G129" s="264"/>
      <c r="H129" s="264"/>
      <c r="I129" s="264"/>
      <c r="J129" s="264"/>
      <c r="K129" s="264"/>
      <c r="L129" s="264"/>
      <c r="M129" s="264"/>
      <c r="N129" s="264"/>
    </row>
    <row r="130" ht="16.5" customHeight="1">
      <c r="A130" s="263"/>
      <c r="B130" s="264"/>
      <c r="C130" s="264"/>
      <c r="D130" s="264"/>
      <c r="E130" s="264"/>
      <c r="F130" s="264"/>
      <c r="G130" s="264"/>
      <c r="H130" s="264"/>
      <c r="I130" s="264"/>
      <c r="J130" s="264"/>
      <c r="K130" s="264"/>
      <c r="L130" s="264"/>
      <c r="M130" s="264"/>
      <c r="N130" s="264"/>
    </row>
    <row r="131" ht="16.5" customHeight="1">
      <c r="A131" s="263"/>
      <c r="B131" s="264"/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</row>
  </sheetData>
  <mergeCells count="1">
    <mergeCell ref="A1:N1"/>
  </mergeCell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1.75"/>
    <col customWidth="1" min="2" max="13" width="9.75"/>
    <col customWidth="1" min="14" max="14" width="10.75"/>
  </cols>
  <sheetData>
    <row r="1" ht="16.5" customHeight="1">
      <c r="A1" s="220" t="s">
        <v>220</v>
      </c>
    </row>
    <row r="2" ht="16.5" customHeight="1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3"/>
    </row>
    <row r="3" ht="16.5" customHeight="1">
      <c r="A3" s="224"/>
      <c r="B3" s="225" t="s">
        <v>1</v>
      </c>
      <c r="C3" s="225" t="s">
        <v>2</v>
      </c>
      <c r="D3" s="225" t="s">
        <v>3</v>
      </c>
      <c r="E3" s="225" t="s">
        <v>4</v>
      </c>
      <c r="F3" s="225" t="s">
        <v>5</v>
      </c>
      <c r="G3" s="225" t="s">
        <v>6</v>
      </c>
      <c r="H3" s="225" t="s">
        <v>7</v>
      </c>
      <c r="I3" s="225" t="s">
        <v>8</v>
      </c>
      <c r="J3" s="225" t="s">
        <v>9</v>
      </c>
      <c r="K3" s="225" t="s">
        <v>10</v>
      </c>
      <c r="L3" s="225" t="s">
        <v>11</v>
      </c>
      <c r="M3" s="225" t="s">
        <v>12</v>
      </c>
      <c r="N3" s="226" t="s">
        <v>0</v>
      </c>
    </row>
    <row r="4" ht="16.5" customHeight="1">
      <c r="A4" s="227" t="s">
        <v>14</v>
      </c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</row>
    <row r="5" ht="13.5" customHeight="1">
      <c r="A5" s="234" t="s">
        <v>15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30">
        <f t="shared" ref="N5:N12" si="1">SUM(B5:M5)</f>
        <v>0</v>
      </c>
    </row>
    <row r="6" ht="15.0" customHeight="1">
      <c r="A6" s="234" t="s">
        <v>123</v>
      </c>
      <c r="B6" s="229">
        <f>FORMULAS!S212</f>
        <v>0</v>
      </c>
      <c r="C6" s="229">
        <f>FORMULAS!W212</f>
        <v>0</v>
      </c>
      <c r="D6" s="229">
        <f>FORMULAS!AA212</f>
        <v>0</v>
      </c>
      <c r="E6" s="229">
        <f>FORMULAS!AE212</f>
        <v>0</v>
      </c>
      <c r="F6" s="229">
        <f>FORMULAS!AI212</f>
        <v>0</v>
      </c>
      <c r="G6" s="266">
        <f>FORMULAS!AM212</f>
        <v>0</v>
      </c>
      <c r="H6" s="267">
        <f>FORMULAS!AQ212</f>
        <v>0</v>
      </c>
      <c r="I6" s="267">
        <f>FORMULAS!AU212</f>
        <v>0</v>
      </c>
      <c r="J6" s="267">
        <f>FORMULAS!AY212</f>
        <v>0</v>
      </c>
      <c r="K6" s="267">
        <f>FORMULAS!BC212</f>
        <v>0</v>
      </c>
      <c r="L6" s="267">
        <f>FORMULAS!BG212</f>
        <v>0</v>
      </c>
      <c r="M6" s="267">
        <f>FORMULAS!BK212</f>
        <v>0</v>
      </c>
      <c r="N6" s="230">
        <f t="shared" si="1"/>
        <v>0</v>
      </c>
    </row>
    <row r="7" ht="13.5" customHeight="1">
      <c r="A7" s="234" t="s">
        <v>17</v>
      </c>
      <c r="B7" s="229">
        <f>FORMULAS!S220</f>
        <v>3980.263158</v>
      </c>
      <c r="C7" s="229">
        <f>FORMULAS!W220</f>
        <v>3980.263158</v>
      </c>
      <c r="D7" s="229">
        <f>FORMULAS!AA220</f>
        <v>7960.526316</v>
      </c>
      <c r="E7" s="229">
        <f>FORMULAS!AE220</f>
        <v>7960.526316</v>
      </c>
      <c r="F7" s="229">
        <f>FORMULAS!AI220</f>
        <v>11433.4386</v>
      </c>
      <c r="G7" s="266">
        <f>FORMULAS!AM220</f>
        <v>11433.4386</v>
      </c>
      <c r="H7" s="267">
        <f>FORMULAS!AQ220</f>
        <v>7960.526316</v>
      </c>
      <c r="I7" s="267">
        <f>FORMULAS!AU220</f>
        <v>7960.526316</v>
      </c>
      <c r="J7" s="267">
        <f>FORMULAS!AY220</f>
        <v>9841.864035</v>
      </c>
      <c r="K7" s="267">
        <f>FORMULAS!BC220</f>
        <v>9841.864035</v>
      </c>
      <c r="L7" s="267">
        <f>FORMULAS!BG220</f>
        <v>11433.4386</v>
      </c>
      <c r="M7" s="267">
        <f>FORMULAS!BK220</f>
        <v>11433.4386</v>
      </c>
      <c r="N7" s="230">
        <f t="shared" si="1"/>
        <v>105220.114</v>
      </c>
    </row>
    <row r="8" ht="15.0" customHeight="1">
      <c r="A8" s="234" t="s">
        <v>18</v>
      </c>
      <c r="B8" s="96">
        <f>FORMULAS!S236+FORMULAS!S244</f>
        <v>0</v>
      </c>
      <c r="C8" s="96">
        <f>FORMULAS!W236+FORMULAS!W244</f>
        <v>0</v>
      </c>
      <c r="D8" s="96">
        <f>FORMULAS!AA236+FORMULAS!AA244</f>
        <v>0</v>
      </c>
      <c r="E8" s="96">
        <f>FORMULAS!AE236+FORMULAS!AE244</f>
        <v>0</v>
      </c>
      <c r="F8" s="96">
        <f>FORMULAS!AI236+FORMULAS!AI244</f>
        <v>0</v>
      </c>
      <c r="G8" s="268">
        <f>FORMULAS!AM236+FORMULAS!AM244</f>
        <v>0</v>
      </c>
      <c r="H8" s="267">
        <f>FORMULAS!AQ236+FORMULAS!AQ244</f>
        <v>0</v>
      </c>
      <c r="I8" s="267">
        <f>FORMULAS!AU236+FORMULAS!AU244</f>
        <v>0</v>
      </c>
      <c r="J8" s="267">
        <f>FORMULAS!AY236+FORMULAS!AY244</f>
        <v>0</v>
      </c>
      <c r="K8" s="267">
        <f>FORMULAS!BC236+FORMULAS!BC244</f>
        <v>0</v>
      </c>
      <c r="L8" s="267">
        <f>FORMULAS!BG236+FORMULAS!BG244</f>
        <v>0</v>
      </c>
      <c r="M8" s="267">
        <f>FORMULAS!BK236+FORMULAS!BK244</f>
        <v>0</v>
      </c>
      <c r="N8" s="230">
        <f t="shared" si="1"/>
        <v>0</v>
      </c>
    </row>
    <row r="9" ht="13.5" customHeight="1">
      <c r="A9" s="269" t="s">
        <v>213</v>
      </c>
      <c r="B9" s="96">
        <f>FORMULAS!S228</f>
        <v>1061.403509</v>
      </c>
      <c r="C9" s="96">
        <f>FORMULAS!W228</f>
        <v>1061.403509</v>
      </c>
      <c r="D9" s="96">
        <f>FORMULAS!AA228</f>
        <v>2122.807018</v>
      </c>
      <c r="E9" s="96">
        <f>FORMULAS!AE228</f>
        <v>2122.807018</v>
      </c>
      <c r="F9" s="229">
        <f>FORMULAS!AI228</f>
        <v>7429.824561</v>
      </c>
      <c r="G9" s="266">
        <f>FORMULAS!AM228</f>
        <v>7429.824561</v>
      </c>
      <c r="H9" s="267">
        <f>FORMULAS!AQ228</f>
        <v>2122.807018</v>
      </c>
      <c r="I9" s="267">
        <f>FORMULAS!AU228</f>
        <v>2122.807018</v>
      </c>
      <c r="J9" s="267">
        <f>FORMULAS!AY228</f>
        <v>4776.315789</v>
      </c>
      <c r="K9" s="267">
        <f>FORMULAS!BC228</f>
        <v>4776.315789</v>
      </c>
      <c r="L9" s="267">
        <f>FORMULAS!BG228</f>
        <v>7429.824561</v>
      </c>
      <c r="M9" s="267">
        <f>FORMULAS!BK228</f>
        <v>7429.824561</v>
      </c>
      <c r="N9" s="230">
        <f t="shared" si="1"/>
        <v>49885.96491</v>
      </c>
    </row>
    <row r="10" ht="13.5" customHeight="1">
      <c r="A10" s="20" t="s">
        <v>20</v>
      </c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30">
        <f t="shared" si="1"/>
        <v>0</v>
      </c>
    </row>
    <row r="11" ht="13.5" customHeight="1">
      <c r="A11" s="234" t="s">
        <v>21</v>
      </c>
      <c r="B11" s="87">
        <v>388.0</v>
      </c>
      <c r="C11" s="87">
        <v>426.88</v>
      </c>
      <c r="D11" s="87">
        <v>388.0</v>
      </c>
      <c r="E11" s="87">
        <v>388.0</v>
      </c>
      <c r="F11" s="87">
        <v>388.0</v>
      </c>
      <c r="G11" s="87">
        <v>388.0</v>
      </c>
      <c r="H11" s="87">
        <v>388.0</v>
      </c>
      <c r="I11" s="87">
        <v>388.0</v>
      </c>
      <c r="J11" s="87">
        <v>388.0</v>
      </c>
      <c r="K11" s="87">
        <v>388.0</v>
      </c>
      <c r="L11" s="87">
        <v>388.0</v>
      </c>
      <c r="M11" s="87">
        <v>388.0</v>
      </c>
      <c r="N11" s="230">
        <f t="shared" si="1"/>
        <v>4694.88</v>
      </c>
    </row>
    <row r="12" ht="16.5" customHeight="1">
      <c r="A12" s="234" t="s">
        <v>22</v>
      </c>
      <c r="B12" s="229">
        <f>PRODUCTION!L3</f>
        <v>700</v>
      </c>
      <c r="C12" s="229">
        <f>PRODUCTION!L4</f>
        <v>1370.6</v>
      </c>
      <c r="D12" s="229">
        <f>PRODUCTION!L5</f>
        <v>1370.6</v>
      </c>
      <c r="E12" s="229">
        <f>PRODUCTION!L6</f>
        <v>1370.6</v>
      </c>
      <c r="F12" s="229">
        <f>PRODUCTION!L7</f>
        <v>1370.6</v>
      </c>
      <c r="G12" s="229">
        <f>PRODUCTION!L8</f>
        <v>1370.6</v>
      </c>
      <c r="H12" s="229">
        <f>PRODUCTION!L9</f>
        <v>1370.6</v>
      </c>
      <c r="I12" s="229">
        <f>PRODUCTION!L10</f>
        <v>1370.6</v>
      </c>
      <c r="J12" s="229">
        <f>PRODUCTION!L11</f>
        <v>1370.6</v>
      </c>
      <c r="K12" s="229">
        <f>PRODUCTION!L12</f>
        <v>1370.6</v>
      </c>
      <c r="L12" s="229">
        <f>PRODUCTION!L13</f>
        <v>1370.6</v>
      </c>
      <c r="M12" s="229">
        <f>PRODUCTION!L14</f>
        <v>1370.6</v>
      </c>
      <c r="N12" s="230">
        <f t="shared" si="1"/>
        <v>15776.6</v>
      </c>
    </row>
    <row r="13" ht="13.5" customHeight="1">
      <c r="A13" s="236" t="s">
        <v>23</v>
      </c>
      <c r="B13" s="237">
        <f t="shared" ref="B13:N13" si="2">SUM(B5:B12)</f>
        <v>6129.666667</v>
      </c>
      <c r="C13" s="237">
        <f t="shared" si="2"/>
        <v>6839.146667</v>
      </c>
      <c r="D13" s="237">
        <f t="shared" si="2"/>
        <v>11841.93333</v>
      </c>
      <c r="E13" s="237">
        <f t="shared" si="2"/>
        <v>11841.93333</v>
      </c>
      <c r="F13" s="237">
        <f t="shared" si="2"/>
        <v>20621.86316</v>
      </c>
      <c r="G13" s="237">
        <f t="shared" si="2"/>
        <v>20621.86316</v>
      </c>
      <c r="H13" s="237">
        <f t="shared" si="2"/>
        <v>11841.93333</v>
      </c>
      <c r="I13" s="237">
        <f t="shared" si="2"/>
        <v>11841.93333</v>
      </c>
      <c r="J13" s="237">
        <f t="shared" si="2"/>
        <v>16376.77982</v>
      </c>
      <c r="K13" s="237">
        <f t="shared" si="2"/>
        <v>16376.77982</v>
      </c>
      <c r="L13" s="237">
        <f t="shared" si="2"/>
        <v>20621.86316</v>
      </c>
      <c r="M13" s="237">
        <f t="shared" si="2"/>
        <v>20621.86316</v>
      </c>
      <c r="N13" s="237">
        <f t="shared" si="2"/>
        <v>175577.5589</v>
      </c>
    </row>
    <row r="14" ht="16.5" customHeight="1">
      <c r="A14" s="238" t="s">
        <v>24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28"/>
    </row>
    <row r="15" ht="16.5" customHeight="1">
      <c r="A15" s="240" t="s">
        <v>214</v>
      </c>
      <c r="B15" s="229"/>
      <c r="C15" s="229"/>
      <c r="D15" s="229"/>
      <c r="E15" s="229"/>
      <c r="F15" s="229"/>
      <c r="G15" s="229"/>
      <c r="H15" s="229"/>
      <c r="I15" s="229"/>
      <c r="J15" s="229"/>
      <c r="K15" s="96"/>
      <c r="L15" s="229"/>
      <c r="M15" s="229"/>
      <c r="N15" s="230">
        <f t="shared" ref="N15:N20" si="3">SUM(B15:M15)</f>
        <v>0</v>
      </c>
    </row>
    <row r="16" ht="16.5" customHeight="1">
      <c r="A16" s="240"/>
      <c r="B16" s="229"/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30">
        <f t="shared" si="3"/>
        <v>0</v>
      </c>
    </row>
    <row r="17" ht="16.5" customHeight="1">
      <c r="A17" s="240"/>
      <c r="B17" s="229"/>
      <c r="C17" s="229"/>
      <c r="D17" s="229"/>
      <c r="E17" s="229"/>
      <c r="F17" s="229"/>
      <c r="G17" s="229"/>
      <c r="H17" s="229"/>
      <c r="I17" s="229"/>
      <c r="J17" s="229"/>
      <c r="K17" s="229"/>
      <c r="L17" s="229"/>
      <c r="M17" s="229"/>
      <c r="N17" s="230">
        <f t="shared" si="3"/>
        <v>0</v>
      </c>
    </row>
    <row r="18" ht="16.5" customHeight="1">
      <c r="A18" s="241" t="s">
        <v>28</v>
      </c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230">
        <f t="shared" si="3"/>
        <v>0</v>
      </c>
    </row>
    <row r="19" ht="16.5" customHeight="1">
      <c r="A19" s="240"/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30">
        <f t="shared" si="3"/>
        <v>0</v>
      </c>
    </row>
    <row r="20" ht="16.5" customHeight="1">
      <c r="A20" s="240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230">
        <f t="shared" si="3"/>
        <v>0</v>
      </c>
    </row>
    <row r="21" ht="16.5" customHeight="1">
      <c r="A21" s="242" t="s">
        <v>23</v>
      </c>
      <c r="B21" s="243">
        <f t="shared" ref="B21:N21" si="4">SUM(B15:B20)</f>
        <v>0</v>
      </c>
      <c r="C21" s="243">
        <f t="shared" si="4"/>
        <v>0</v>
      </c>
      <c r="D21" s="243">
        <f t="shared" si="4"/>
        <v>0</v>
      </c>
      <c r="E21" s="243">
        <f t="shared" si="4"/>
        <v>0</v>
      </c>
      <c r="F21" s="243">
        <f t="shared" si="4"/>
        <v>0</v>
      </c>
      <c r="G21" s="243">
        <f t="shared" si="4"/>
        <v>0</v>
      </c>
      <c r="H21" s="243">
        <f t="shared" si="4"/>
        <v>0</v>
      </c>
      <c r="I21" s="243">
        <f t="shared" si="4"/>
        <v>0</v>
      </c>
      <c r="J21" s="243">
        <f t="shared" si="4"/>
        <v>0</v>
      </c>
      <c r="K21" s="243">
        <f t="shared" si="4"/>
        <v>0</v>
      </c>
      <c r="L21" s="243">
        <f t="shared" si="4"/>
        <v>0</v>
      </c>
      <c r="M21" s="243">
        <f t="shared" si="4"/>
        <v>0</v>
      </c>
      <c r="N21" s="243">
        <f t="shared" si="4"/>
        <v>0</v>
      </c>
    </row>
    <row r="22" ht="16.5" customHeight="1">
      <c r="A22" s="238" t="s">
        <v>126</v>
      </c>
      <c r="B22" s="239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28"/>
    </row>
    <row r="23" ht="16.5" customHeight="1">
      <c r="A23" s="270" t="s">
        <v>31</v>
      </c>
      <c r="B23" s="96">
        <v>0.0</v>
      </c>
      <c r="C23" s="96">
        <v>0.0</v>
      </c>
      <c r="D23" s="96">
        <v>3000.0</v>
      </c>
      <c r="E23" s="96">
        <v>0.0</v>
      </c>
      <c r="F23" s="96">
        <v>3000.0</v>
      </c>
      <c r="G23" s="96">
        <v>0.0</v>
      </c>
      <c r="H23" s="96">
        <v>0.0</v>
      </c>
      <c r="I23" s="96">
        <v>3000.0</v>
      </c>
      <c r="J23" s="96">
        <v>0.0</v>
      </c>
      <c r="K23" s="96">
        <v>0.0</v>
      </c>
      <c r="L23" s="96">
        <v>0.0</v>
      </c>
      <c r="M23" s="96">
        <v>0.0</v>
      </c>
      <c r="N23" s="230">
        <f t="shared" ref="N23:N31" si="5">SUM(B23:M23)</f>
        <v>9000</v>
      </c>
    </row>
    <row r="24" ht="16.5" customHeight="1">
      <c r="A24" s="271"/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  <c r="N24" s="230">
        <f t="shared" si="5"/>
        <v>0</v>
      </c>
    </row>
    <row r="25" ht="16.5" customHeight="1">
      <c r="A25" s="234" t="s">
        <v>127</v>
      </c>
      <c r="B25" s="229"/>
      <c r="C25" s="229"/>
      <c r="D25" s="229"/>
      <c r="E25" s="96"/>
      <c r="F25" s="96"/>
      <c r="G25" s="272"/>
      <c r="H25" s="229"/>
      <c r="I25" s="96"/>
      <c r="J25" s="229"/>
      <c r="K25" s="229"/>
      <c r="L25" s="229"/>
      <c r="M25" s="229"/>
      <c r="N25" s="230">
        <f t="shared" si="5"/>
        <v>0</v>
      </c>
    </row>
    <row r="26" ht="16.5" customHeight="1">
      <c r="A26" s="271"/>
      <c r="B26" s="229"/>
      <c r="C26" s="229"/>
      <c r="D26" s="229"/>
      <c r="E26" s="229"/>
      <c r="F26" s="96"/>
      <c r="G26" s="273"/>
      <c r="H26" s="229"/>
      <c r="I26" s="229"/>
      <c r="J26" s="229"/>
      <c r="K26" s="229"/>
      <c r="L26" s="229"/>
      <c r="M26" s="229"/>
      <c r="N26" s="230">
        <f t="shared" si="5"/>
        <v>0</v>
      </c>
    </row>
    <row r="27" ht="16.5" customHeight="1">
      <c r="A27" s="274" t="s">
        <v>34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230">
        <f t="shared" si="5"/>
        <v>0</v>
      </c>
    </row>
    <row r="28" ht="16.5" customHeight="1">
      <c r="A28" s="275" t="s">
        <v>35</v>
      </c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230">
        <f t="shared" si="5"/>
        <v>0</v>
      </c>
    </row>
    <row r="29" ht="16.5" customHeight="1">
      <c r="A29" s="276"/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30">
        <f t="shared" si="5"/>
        <v>0</v>
      </c>
    </row>
    <row r="30" ht="16.5" customHeight="1">
      <c r="A30" s="274" t="s">
        <v>37</v>
      </c>
      <c r="B30" s="96"/>
      <c r="C30" s="96"/>
      <c r="D30" s="229"/>
      <c r="E30" s="96"/>
      <c r="F30" s="229"/>
      <c r="G30" s="96"/>
      <c r="H30" s="229"/>
      <c r="I30" s="96"/>
      <c r="J30" s="96"/>
      <c r="K30" s="96"/>
      <c r="L30" s="96"/>
      <c r="M30" s="229"/>
      <c r="N30" s="230">
        <f t="shared" si="5"/>
        <v>0</v>
      </c>
    </row>
    <row r="31" ht="16.5" customHeight="1">
      <c r="A31" s="271"/>
      <c r="B31" s="243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3"/>
      <c r="N31" s="230">
        <f t="shared" si="5"/>
        <v>0</v>
      </c>
    </row>
    <row r="32" ht="16.5" customHeight="1">
      <c r="A32" s="242" t="s">
        <v>23</v>
      </c>
      <c r="B32" s="243">
        <f t="shared" ref="B32:N32" si="6">SUM(B23:B31)</f>
        <v>0</v>
      </c>
      <c r="C32" s="243">
        <f t="shared" si="6"/>
        <v>0</v>
      </c>
      <c r="D32" s="243">
        <f t="shared" si="6"/>
        <v>3000</v>
      </c>
      <c r="E32" s="243">
        <f t="shared" si="6"/>
        <v>0</v>
      </c>
      <c r="F32" s="243">
        <f t="shared" si="6"/>
        <v>3000</v>
      </c>
      <c r="G32" s="243">
        <f t="shared" si="6"/>
        <v>0</v>
      </c>
      <c r="H32" s="243">
        <f t="shared" si="6"/>
        <v>0</v>
      </c>
      <c r="I32" s="243">
        <f t="shared" si="6"/>
        <v>3000</v>
      </c>
      <c r="J32" s="243">
        <f t="shared" si="6"/>
        <v>0</v>
      </c>
      <c r="K32" s="243">
        <f t="shared" si="6"/>
        <v>0</v>
      </c>
      <c r="L32" s="243">
        <f t="shared" si="6"/>
        <v>0</v>
      </c>
      <c r="M32" s="243">
        <f t="shared" si="6"/>
        <v>0</v>
      </c>
      <c r="N32" s="243">
        <f t="shared" si="6"/>
        <v>9000</v>
      </c>
    </row>
    <row r="33" ht="16.5" customHeight="1">
      <c r="A33" s="227" t="s">
        <v>38</v>
      </c>
      <c r="B33" s="228"/>
      <c r="C33" s="228"/>
      <c r="D33" s="228"/>
      <c r="E33" s="228"/>
      <c r="F33" s="228"/>
      <c r="G33" s="228"/>
      <c r="H33" s="228"/>
      <c r="I33" s="228"/>
      <c r="J33" s="228"/>
      <c r="K33" s="228"/>
      <c r="L33" s="228"/>
      <c r="M33" s="228"/>
      <c r="N33" s="228"/>
    </row>
    <row r="34" ht="16.5" customHeight="1">
      <c r="A34" s="277" t="s">
        <v>39</v>
      </c>
      <c r="B34" s="86">
        <f t="shared" ref="B34:M34" si="7">1350.24+61.9+850</f>
        <v>2262.14</v>
      </c>
      <c r="C34" s="86">
        <f t="shared" si="7"/>
        <v>2262.14</v>
      </c>
      <c r="D34" s="86">
        <f t="shared" si="7"/>
        <v>2262.14</v>
      </c>
      <c r="E34" s="86">
        <f t="shared" si="7"/>
        <v>2262.14</v>
      </c>
      <c r="F34" s="86">
        <f t="shared" si="7"/>
        <v>2262.14</v>
      </c>
      <c r="G34" s="86">
        <f t="shared" si="7"/>
        <v>2262.14</v>
      </c>
      <c r="H34" s="86">
        <f t="shared" si="7"/>
        <v>2262.14</v>
      </c>
      <c r="I34" s="86">
        <f t="shared" si="7"/>
        <v>2262.14</v>
      </c>
      <c r="J34" s="86">
        <f t="shared" si="7"/>
        <v>2262.14</v>
      </c>
      <c r="K34" s="86">
        <f t="shared" si="7"/>
        <v>2262.14</v>
      </c>
      <c r="L34" s="86">
        <f t="shared" si="7"/>
        <v>2262.14</v>
      </c>
      <c r="M34" s="86">
        <f t="shared" si="7"/>
        <v>2262.14</v>
      </c>
      <c r="N34" s="278">
        <f t="shared" ref="N34:N51" si="8">SUM(B34:M34)</f>
        <v>27145.68</v>
      </c>
    </row>
    <row r="35" ht="16.5" customHeight="1">
      <c r="A35" s="244" t="s">
        <v>40</v>
      </c>
      <c r="B35" s="96">
        <v>395.0</v>
      </c>
      <c r="C35" s="96">
        <v>395.0</v>
      </c>
      <c r="D35" s="96">
        <v>395.0</v>
      </c>
      <c r="E35" s="96">
        <v>395.0</v>
      </c>
      <c r="F35" s="96">
        <v>395.0</v>
      </c>
      <c r="G35" s="96">
        <v>395.0</v>
      </c>
      <c r="H35" s="96">
        <v>395.0</v>
      </c>
      <c r="I35" s="96">
        <v>395.0</v>
      </c>
      <c r="J35" s="96">
        <v>395.0</v>
      </c>
      <c r="K35" s="96">
        <v>395.0</v>
      </c>
      <c r="L35" s="96">
        <v>395.0</v>
      </c>
      <c r="M35" s="96">
        <v>395.0</v>
      </c>
      <c r="N35" s="230">
        <f t="shared" si="8"/>
        <v>4740</v>
      </c>
    </row>
    <row r="36" ht="16.5" customHeight="1">
      <c r="A36" s="240" t="s">
        <v>41</v>
      </c>
      <c r="B36" s="229">
        <v>395.0</v>
      </c>
      <c r="C36" s="229">
        <v>395.0</v>
      </c>
      <c r="D36" s="229">
        <v>395.0</v>
      </c>
      <c r="E36" s="229">
        <v>395.0</v>
      </c>
      <c r="F36" s="229">
        <v>395.0</v>
      </c>
      <c r="G36" s="229">
        <v>395.0</v>
      </c>
      <c r="H36" s="229">
        <v>395.0</v>
      </c>
      <c r="I36" s="229">
        <v>395.0</v>
      </c>
      <c r="J36" s="229">
        <v>395.0</v>
      </c>
      <c r="K36" s="229">
        <v>395.0</v>
      </c>
      <c r="L36" s="229">
        <v>395.0</v>
      </c>
      <c r="M36" s="229">
        <v>395.0</v>
      </c>
      <c r="N36" s="230">
        <f t="shared" si="8"/>
        <v>4740</v>
      </c>
    </row>
    <row r="37" ht="16.5" customHeight="1">
      <c r="A37" s="240" t="s">
        <v>42</v>
      </c>
      <c r="B37" s="87">
        <v>759.0</v>
      </c>
      <c r="C37" s="87">
        <v>759.0</v>
      </c>
      <c r="D37" s="87">
        <v>759.0</v>
      </c>
      <c r="E37" s="87">
        <v>759.0</v>
      </c>
      <c r="F37" s="87">
        <v>759.0</v>
      </c>
      <c r="G37" s="87">
        <v>759.0</v>
      </c>
      <c r="H37" s="87">
        <v>759.0</v>
      </c>
      <c r="I37" s="87">
        <v>759.0</v>
      </c>
      <c r="J37" s="87">
        <v>759.0</v>
      </c>
      <c r="K37" s="87">
        <v>759.0</v>
      </c>
      <c r="L37" s="87">
        <v>759.0</v>
      </c>
      <c r="M37" s="87">
        <v>759.0</v>
      </c>
      <c r="N37" s="230">
        <f t="shared" si="8"/>
        <v>9108</v>
      </c>
    </row>
    <row r="38" ht="16.5" customHeight="1">
      <c r="A38" s="240" t="s">
        <v>43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230">
        <f t="shared" si="8"/>
        <v>0</v>
      </c>
    </row>
    <row r="39" ht="16.5" customHeight="1">
      <c r="A39" s="240" t="s">
        <v>44</v>
      </c>
      <c r="B39" s="229">
        <v>395.0</v>
      </c>
      <c r="C39" s="229">
        <v>395.0</v>
      </c>
      <c r="D39" s="229">
        <v>395.0</v>
      </c>
      <c r="E39" s="229">
        <v>395.0</v>
      </c>
      <c r="F39" s="229">
        <v>395.0</v>
      </c>
      <c r="G39" s="229">
        <v>395.0</v>
      </c>
      <c r="H39" s="229">
        <v>395.0</v>
      </c>
      <c r="I39" s="229">
        <v>395.0</v>
      </c>
      <c r="J39" s="229">
        <v>395.0</v>
      </c>
      <c r="K39" s="229">
        <v>395.0</v>
      </c>
      <c r="L39" s="229">
        <v>395.0</v>
      </c>
      <c r="M39" s="229">
        <v>395.0</v>
      </c>
      <c r="N39" s="230">
        <f t="shared" si="8"/>
        <v>4740</v>
      </c>
    </row>
    <row r="40" ht="16.5" customHeight="1">
      <c r="A40" s="240" t="s">
        <v>45</v>
      </c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230">
        <f t="shared" si="8"/>
        <v>0</v>
      </c>
    </row>
    <row r="41" ht="16.5" customHeight="1">
      <c r="A41" s="241" t="s">
        <v>181</v>
      </c>
      <c r="B41" s="96">
        <f t="shared" ref="B41:M41" si="9">5530</f>
        <v>5530</v>
      </c>
      <c r="C41" s="96">
        <f t="shared" si="9"/>
        <v>5530</v>
      </c>
      <c r="D41" s="96">
        <f t="shared" si="9"/>
        <v>5530</v>
      </c>
      <c r="E41" s="96">
        <f t="shared" si="9"/>
        <v>5530</v>
      </c>
      <c r="F41" s="96">
        <f t="shared" si="9"/>
        <v>5530</v>
      </c>
      <c r="G41" s="96">
        <f t="shared" si="9"/>
        <v>5530</v>
      </c>
      <c r="H41" s="96">
        <f t="shared" si="9"/>
        <v>5530</v>
      </c>
      <c r="I41" s="96">
        <f t="shared" si="9"/>
        <v>5530</v>
      </c>
      <c r="J41" s="96">
        <f t="shared" si="9"/>
        <v>5530</v>
      </c>
      <c r="K41" s="96">
        <f t="shared" si="9"/>
        <v>5530</v>
      </c>
      <c r="L41" s="96">
        <f t="shared" si="9"/>
        <v>5530</v>
      </c>
      <c r="M41" s="96">
        <f t="shared" si="9"/>
        <v>5530</v>
      </c>
      <c r="N41" s="230">
        <f t="shared" si="8"/>
        <v>66360</v>
      </c>
    </row>
    <row r="42" ht="16.5" customHeight="1">
      <c r="A42" s="244" t="s">
        <v>146</v>
      </c>
      <c r="B42" s="87">
        <v>365.0</v>
      </c>
      <c r="C42" s="87">
        <v>365.0</v>
      </c>
      <c r="D42" s="87">
        <v>365.0</v>
      </c>
      <c r="E42" s="87">
        <v>365.0</v>
      </c>
      <c r="F42" s="87">
        <v>365.0</v>
      </c>
      <c r="G42" s="87">
        <v>365.0</v>
      </c>
      <c r="H42" s="87">
        <v>365.0</v>
      </c>
      <c r="I42" s="87">
        <v>365.0</v>
      </c>
      <c r="J42" s="87">
        <v>365.0</v>
      </c>
      <c r="K42" s="87">
        <v>365.0</v>
      </c>
      <c r="L42" s="87">
        <v>365.0</v>
      </c>
      <c r="M42" s="87">
        <v>365.0</v>
      </c>
      <c r="N42" s="230">
        <f t="shared" si="8"/>
        <v>4380</v>
      </c>
    </row>
    <row r="43" ht="16.5" customHeight="1">
      <c r="A43" s="244" t="s">
        <v>48</v>
      </c>
      <c r="B43" s="87">
        <v>1005.94</v>
      </c>
      <c r="C43" s="87">
        <v>1005.94</v>
      </c>
      <c r="D43" s="87">
        <v>1005.94</v>
      </c>
      <c r="E43" s="87">
        <v>1005.94</v>
      </c>
      <c r="F43" s="87">
        <v>1005.94</v>
      </c>
      <c r="G43" s="87">
        <v>1005.94</v>
      </c>
      <c r="H43" s="87">
        <v>1005.94</v>
      </c>
      <c r="I43" s="87">
        <v>1005.94</v>
      </c>
      <c r="J43" s="87">
        <v>1005.94</v>
      </c>
      <c r="K43" s="87">
        <v>1005.94</v>
      </c>
      <c r="L43" s="87">
        <v>1005.94</v>
      </c>
      <c r="M43" s="87">
        <v>1005.94</v>
      </c>
      <c r="N43" s="230">
        <f t="shared" si="8"/>
        <v>12071.28</v>
      </c>
    </row>
    <row r="44" ht="16.5" customHeight="1">
      <c r="A44" s="244" t="s">
        <v>221</v>
      </c>
      <c r="B44" s="96">
        <v>249.0</v>
      </c>
      <c r="C44" s="96">
        <v>249.0</v>
      </c>
      <c r="D44" s="96">
        <v>249.0</v>
      </c>
      <c r="E44" s="96">
        <v>249.0</v>
      </c>
      <c r="F44" s="96">
        <v>249.0</v>
      </c>
      <c r="G44" s="96">
        <v>249.0</v>
      </c>
      <c r="H44" s="96">
        <v>249.0</v>
      </c>
      <c r="I44" s="96">
        <v>249.0</v>
      </c>
      <c r="J44" s="96">
        <v>249.0</v>
      </c>
      <c r="K44" s="96">
        <v>249.0</v>
      </c>
      <c r="L44" s="96">
        <v>249.0</v>
      </c>
      <c r="M44" s="96">
        <v>249.0</v>
      </c>
      <c r="N44" s="230">
        <f t="shared" si="8"/>
        <v>2988</v>
      </c>
    </row>
    <row r="45" ht="16.5" customHeight="1">
      <c r="A45" s="156" t="s">
        <v>50</v>
      </c>
      <c r="B45" s="46">
        <f t="shared" ref="B45:M45" si="10">45+97.5+349</f>
        <v>491.5</v>
      </c>
      <c r="C45" s="46">
        <f t="shared" si="10"/>
        <v>491.5</v>
      </c>
      <c r="D45" s="46">
        <f t="shared" si="10"/>
        <v>491.5</v>
      </c>
      <c r="E45" s="46">
        <f t="shared" si="10"/>
        <v>491.5</v>
      </c>
      <c r="F45" s="46">
        <f t="shared" si="10"/>
        <v>491.5</v>
      </c>
      <c r="G45" s="46">
        <f t="shared" si="10"/>
        <v>491.5</v>
      </c>
      <c r="H45" s="46">
        <f t="shared" si="10"/>
        <v>491.5</v>
      </c>
      <c r="I45" s="46">
        <f t="shared" si="10"/>
        <v>491.5</v>
      </c>
      <c r="J45" s="46">
        <f t="shared" si="10"/>
        <v>491.5</v>
      </c>
      <c r="K45" s="46">
        <f t="shared" si="10"/>
        <v>491.5</v>
      </c>
      <c r="L45" s="46">
        <f t="shared" si="10"/>
        <v>491.5</v>
      </c>
      <c r="M45" s="46">
        <f t="shared" si="10"/>
        <v>491.5</v>
      </c>
      <c r="N45" s="230">
        <f t="shared" si="8"/>
        <v>5898</v>
      </c>
    </row>
    <row r="46" ht="16.5" customHeight="1">
      <c r="A46" s="234" t="s">
        <v>51</v>
      </c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229"/>
      <c r="M46" s="229"/>
      <c r="N46" s="230">
        <f t="shared" si="8"/>
        <v>0</v>
      </c>
    </row>
    <row r="47" ht="16.5" customHeight="1">
      <c r="A47" s="244" t="s">
        <v>52</v>
      </c>
      <c r="B47" s="96">
        <f t="shared" ref="B47:M47" si="11">850+30+750+2250</f>
        <v>3880</v>
      </c>
      <c r="C47" s="96">
        <f t="shared" si="11"/>
        <v>3880</v>
      </c>
      <c r="D47" s="96">
        <f t="shared" si="11"/>
        <v>3880</v>
      </c>
      <c r="E47" s="96">
        <f t="shared" si="11"/>
        <v>3880</v>
      </c>
      <c r="F47" s="96">
        <f t="shared" si="11"/>
        <v>3880</v>
      </c>
      <c r="G47" s="96">
        <f t="shared" si="11"/>
        <v>3880</v>
      </c>
      <c r="H47" s="96">
        <f t="shared" si="11"/>
        <v>3880</v>
      </c>
      <c r="I47" s="96">
        <f t="shared" si="11"/>
        <v>3880</v>
      </c>
      <c r="J47" s="96">
        <f t="shared" si="11"/>
        <v>3880</v>
      </c>
      <c r="K47" s="96">
        <f t="shared" si="11"/>
        <v>3880</v>
      </c>
      <c r="L47" s="96">
        <f t="shared" si="11"/>
        <v>3880</v>
      </c>
      <c r="M47" s="96">
        <f t="shared" si="11"/>
        <v>3880</v>
      </c>
      <c r="N47" s="230">
        <f t="shared" si="8"/>
        <v>46560</v>
      </c>
    </row>
    <row r="48" ht="16.5" customHeight="1">
      <c r="A48" s="244" t="s">
        <v>131</v>
      </c>
      <c r="B48" s="87">
        <f t="shared" ref="B48:M48" si="12">480.07+55.66+80</f>
        <v>615.73</v>
      </c>
      <c r="C48" s="87">
        <f t="shared" si="12"/>
        <v>615.73</v>
      </c>
      <c r="D48" s="87">
        <f t="shared" si="12"/>
        <v>615.73</v>
      </c>
      <c r="E48" s="87">
        <f t="shared" si="12"/>
        <v>615.73</v>
      </c>
      <c r="F48" s="87">
        <f t="shared" si="12"/>
        <v>615.73</v>
      </c>
      <c r="G48" s="87">
        <f t="shared" si="12"/>
        <v>615.73</v>
      </c>
      <c r="H48" s="87">
        <f t="shared" si="12"/>
        <v>615.73</v>
      </c>
      <c r="I48" s="87">
        <f t="shared" si="12"/>
        <v>615.73</v>
      </c>
      <c r="J48" s="87">
        <f t="shared" si="12"/>
        <v>615.73</v>
      </c>
      <c r="K48" s="87">
        <f t="shared" si="12"/>
        <v>615.73</v>
      </c>
      <c r="L48" s="87">
        <f t="shared" si="12"/>
        <v>615.73</v>
      </c>
      <c r="M48" s="87">
        <f t="shared" si="12"/>
        <v>615.73</v>
      </c>
      <c r="N48" s="230">
        <f t="shared" si="8"/>
        <v>7388.76</v>
      </c>
    </row>
    <row r="49" ht="16.5" customHeight="1">
      <c r="A49" s="240" t="s">
        <v>54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  <c r="N49" s="230">
        <f t="shared" si="8"/>
        <v>0</v>
      </c>
    </row>
    <row r="50" ht="16.5" customHeight="1">
      <c r="A50" s="244" t="s">
        <v>132</v>
      </c>
      <c r="B50" s="96">
        <v>1600.0</v>
      </c>
      <c r="C50" s="96">
        <v>1600.0</v>
      </c>
      <c r="D50" s="96">
        <v>1600.0</v>
      </c>
      <c r="E50" s="96">
        <v>1600.0</v>
      </c>
      <c r="F50" s="96">
        <v>1600.0</v>
      </c>
      <c r="G50" s="96">
        <v>1600.0</v>
      </c>
      <c r="H50" s="96">
        <v>1600.0</v>
      </c>
      <c r="I50" s="96">
        <v>1600.0</v>
      </c>
      <c r="J50" s="96">
        <v>1600.0</v>
      </c>
      <c r="K50" s="96">
        <v>1600.0</v>
      </c>
      <c r="L50" s="96">
        <v>1600.0</v>
      </c>
      <c r="M50" s="96">
        <v>1600.0</v>
      </c>
      <c r="N50" s="230">
        <f t="shared" si="8"/>
        <v>19200</v>
      </c>
    </row>
    <row r="51" ht="16.5" customHeight="1">
      <c r="A51" s="234"/>
      <c r="B51" s="229"/>
      <c r="C51" s="229"/>
      <c r="D51" s="229"/>
      <c r="E51" s="229"/>
      <c r="F51" s="229"/>
      <c r="G51" s="229"/>
      <c r="H51" s="229"/>
      <c r="I51" s="229"/>
      <c r="J51" s="229"/>
      <c r="K51" s="229"/>
      <c r="L51" s="229"/>
      <c r="M51" s="229"/>
      <c r="N51" s="230">
        <f t="shared" si="8"/>
        <v>0</v>
      </c>
    </row>
    <row r="52" ht="16.5" customHeight="1">
      <c r="A52" s="242" t="s">
        <v>23</v>
      </c>
      <c r="B52" s="243">
        <f t="shared" ref="B52:N52" si="13">SUM(B34:B51)</f>
        <v>17943.31</v>
      </c>
      <c r="C52" s="243">
        <f t="shared" si="13"/>
        <v>17943.31</v>
      </c>
      <c r="D52" s="243">
        <f t="shared" si="13"/>
        <v>17943.31</v>
      </c>
      <c r="E52" s="243">
        <f t="shared" si="13"/>
        <v>17943.31</v>
      </c>
      <c r="F52" s="243">
        <f t="shared" si="13"/>
        <v>17943.31</v>
      </c>
      <c r="G52" s="243">
        <f t="shared" si="13"/>
        <v>17943.31</v>
      </c>
      <c r="H52" s="243">
        <f t="shared" si="13"/>
        <v>17943.31</v>
      </c>
      <c r="I52" s="243">
        <f t="shared" si="13"/>
        <v>17943.31</v>
      </c>
      <c r="J52" s="243">
        <f t="shared" si="13"/>
        <v>17943.31</v>
      </c>
      <c r="K52" s="243">
        <f t="shared" si="13"/>
        <v>17943.31</v>
      </c>
      <c r="L52" s="243">
        <f t="shared" si="13"/>
        <v>17943.31</v>
      </c>
      <c r="M52" s="243">
        <f t="shared" si="13"/>
        <v>17943.31</v>
      </c>
      <c r="N52" s="243">
        <f t="shared" si="13"/>
        <v>215319.72</v>
      </c>
    </row>
    <row r="53" ht="16.5" customHeight="1">
      <c r="A53" s="227" t="s">
        <v>56</v>
      </c>
      <c r="B53" s="228"/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</row>
    <row r="54" ht="16.5" customHeight="1">
      <c r="A54" s="271" t="s">
        <v>57</v>
      </c>
      <c r="B54" s="197">
        <v>1000.0</v>
      </c>
      <c r="C54" s="87">
        <v>885.24</v>
      </c>
      <c r="D54" s="87"/>
      <c r="E54" s="197">
        <v>1000.0</v>
      </c>
      <c r="F54" s="87"/>
      <c r="G54" s="96"/>
      <c r="H54" s="197">
        <v>1000.0</v>
      </c>
      <c r="I54" s="87"/>
      <c r="J54" s="87"/>
      <c r="K54" s="197">
        <v>1000.0</v>
      </c>
      <c r="L54" s="87"/>
      <c r="M54" s="87"/>
      <c r="N54" s="230">
        <f t="shared" ref="N54:N69" si="14">SUM(B54:M54)</f>
        <v>4885.24</v>
      </c>
    </row>
    <row r="55" ht="16.5" customHeight="1">
      <c r="A55" s="271" t="s">
        <v>58</v>
      </c>
      <c r="B55" s="96">
        <v>1950.0</v>
      </c>
      <c r="C55" s="96">
        <v>2200.0</v>
      </c>
      <c r="D55" s="96">
        <v>2200.0</v>
      </c>
      <c r="E55" s="96">
        <v>2200.0</v>
      </c>
      <c r="F55" s="96">
        <v>2200.0</v>
      </c>
      <c r="G55" s="96">
        <v>2200.0</v>
      </c>
      <c r="H55" s="96">
        <v>2200.0</v>
      </c>
      <c r="I55" s="96">
        <v>2200.0</v>
      </c>
      <c r="J55" s="96">
        <v>2200.0</v>
      </c>
      <c r="K55" s="96">
        <v>2200.0</v>
      </c>
      <c r="L55" s="96">
        <v>2200.0</v>
      </c>
      <c r="M55" s="96">
        <v>2200.0</v>
      </c>
      <c r="N55" s="230">
        <f t="shared" si="14"/>
        <v>26150</v>
      </c>
    </row>
    <row r="56" ht="16.5" customHeight="1">
      <c r="A56" s="274" t="s">
        <v>59</v>
      </c>
      <c r="B56" s="87">
        <f t="shared" ref="B56:M56" si="15">399+351+57</f>
        <v>807</v>
      </c>
      <c r="C56" s="87">
        <f t="shared" si="15"/>
        <v>807</v>
      </c>
      <c r="D56" s="87">
        <f t="shared" si="15"/>
        <v>807</v>
      </c>
      <c r="E56" s="87">
        <f t="shared" si="15"/>
        <v>807</v>
      </c>
      <c r="F56" s="87">
        <f t="shared" si="15"/>
        <v>807</v>
      </c>
      <c r="G56" s="87">
        <f t="shared" si="15"/>
        <v>807</v>
      </c>
      <c r="H56" s="87">
        <f t="shared" si="15"/>
        <v>807</v>
      </c>
      <c r="I56" s="87">
        <f t="shared" si="15"/>
        <v>807</v>
      </c>
      <c r="J56" s="87">
        <f t="shared" si="15"/>
        <v>807</v>
      </c>
      <c r="K56" s="87">
        <f t="shared" si="15"/>
        <v>807</v>
      </c>
      <c r="L56" s="87">
        <f t="shared" si="15"/>
        <v>807</v>
      </c>
      <c r="M56" s="87">
        <f t="shared" si="15"/>
        <v>807</v>
      </c>
      <c r="N56" s="230">
        <f t="shared" si="14"/>
        <v>9684</v>
      </c>
    </row>
    <row r="57" ht="16.5" customHeight="1">
      <c r="A57" s="274" t="s">
        <v>133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230">
        <f t="shared" si="14"/>
        <v>0</v>
      </c>
    </row>
    <row r="58" ht="16.5" customHeight="1">
      <c r="A58" s="274" t="s">
        <v>134</v>
      </c>
      <c r="B58" s="229"/>
      <c r="C58" s="229"/>
      <c r="D58" s="229"/>
      <c r="E58" s="229"/>
      <c r="F58" s="229"/>
      <c r="G58" s="229"/>
      <c r="H58" s="229"/>
      <c r="I58" s="229"/>
      <c r="J58" s="229"/>
      <c r="K58" s="229"/>
      <c r="L58" s="229"/>
      <c r="M58" s="229"/>
      <c r="N58" s="230">
        <f t="shared" si="14"/>
        <v>0</v>
      </c>
    </row>
    <row r="59" ht="16.5" customHeight="1">
      <c r="A59" s="31" t="s">
        <v>135</v>
      </c>
      <c r="B59" s="87">
        <v>850.0</v>
      </c>
      <c r="C59" s="87">
        <v>850.0</v>
      </c>
      <c r="D59" s="87">
        <v>850.0</v>
      </c>
      <c r="E59" s="87">
        <v>850.0</v>
      </c>
      <c r="F59" s="87">
        <v>850.0</v>
      </c>
      <c r="G59" s="87">
        <v>850.0</v>
      </c>
      <c r="H59" s="87">
        <v>850.0</v>
      </c>
      <c r="I59" s="87">
        <v>850.0</v>
      </c>
      <c r="J59" s="87">
        <v>850.0</v>
      </c>
      <c r="K59" s="87">
        <v>850.0</v>
      </c>
      <c r="L59" s="87">
        <v>850.0</v>
      </c>
      <c r="M59" s="87">
        <v>850.0</v>
      </c>
      <c r="N59" s="230">
        <f t="shared" si="14"/>
        <v>10200</v>
      </c>
    </row>
    <row r="60" ht="16.5" customHeight="1">
      <c r="A60" s="271" t="s">
        <v>136</v>
      </c>
      <c r="B60" s="229"/>
      <c r="C60" s="229"/>
      <c r="D60" s="229"/>
      <c r="E60" s="229"/>
      <c r="F60" s="229"/>
      <c r="G60" s="229"/>
      <c r="H60" s="229"/>
      <c r="I60" s="229"/>
      <c r="J60" s="229"/>
      <c r="K60" s="229"/>
      <c r="L60" s="229"/>
      <c r="M60" s="229"/>
      <c r="N60" s="230">
        <f t="shared" si="14"/>
        <v>0</v>
      </c>
    </row>
    <row r="61" ht="16.5" customHeight="1">
      <c r="A61" s="271" t="s">
        <v>137</v>
      </c>
      <c r="B61" s="229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230">
        <f t="shared" si="14"/>
        <v>0</v>
      </c>
    </row>
    <row r="62" ht="16.5" customHeight="1">
      <c r="A62" s="271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230">
        <f t="shared" si="14"/>
        <v>0</v>
      </c>
    </row>
    <row r="63" ht="16.5" customHeight="1">
      <c r="A63" s="274" t="s">
        <v>64</v>
      </c>
      <c r="B63" s="96">
        <v>10750.0</v>
      </c>
      <c r="C63" s="96">
        <v>10750.0</v>
      </c>
      <c r="D63" s="96">
        <v>10750.0</v>
      </c>
      <c r="E63" s="96">
        <v>10750.0</v>
      </c>
      <c r="F63" s="96">
        <v>10750.0</v>
      </c>
      <c r="G63" s="96">
        <v>10750.0</v>
      </c>
      <c r="H63" s="96">
        <v>10750.0</v>
      </c>
      <c r="I63" s="96">
        <v>10750.0</v>
      </c>
      <c r="J63" s="96">
        <v>10750.0</v>
      </c>
      <c r="K63" s="96">
        <v>10750.0</v>
      </c>
      <c r="L63" s="96">
        <v>10750.0</v>
      </c>
      <c r="M63" s="96">
        <v>10750.0</v>
      </c>
      <c r="N63" s="230">
        <f t="shared" si="14"/>
        <v>129000</v>
      </c>
    </row>
    <row r="64" ht="16.5" customHeight="1">
      <c r="A64" s="271" t="s">
        <v>65</v>
      </c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230">
        <f t="shared" si="14"/>
        <v>0</v>
      </c>
    </row>
    <row r="65" ht="16.5" customHeight="1">
      <c r="A65" s="274" t="s">
        <v>66</v>
      </c>
      <c r="B65" s="229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230">
        <f t="shared" si="14"/>
        <v>0</v>
      </c>
    </row>
    <row r="66" ht="16.5" customHeight="1">
      <c r="A66" s="274" t="s">
        <v>67</v>
      </c>
      <c r="B66" s="245"/>
      <c r="C66" s="245"/>
      <c r="D66" s="245"/>
      <c r="E66" s="245"/>
      <c r="F66" s="245"/>
      <c r="G66" s="245"/>
      <c r="H66" s="245"/>
      <c r="I66" s="245"/>
      <c r="J66" s="245"/>
      <c r="K66" s="245"/>
      <c r="L66" s="245"/>
      <c r="M66" s="245"/>
      <c r="N66" s="230">
        <f t="shared" si="14"/>
        <v>0</v>
      </c>
    </row>
    <row r="67" ht="16.5" customHeight="1">
      <c r="A67" s="279" t="s">
        <v>68</v>
      </c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230">
        <f t="shared" si="14"/>
        <v>0</v>
      </c>
    </row>
    <row r="68" ht="16.5" customHeight="1">
      <c r="A68" s="279" t="s">
        <v>69</v>
      </c>
      <c r="B68" s="229"/>
      <c r="C68" s="229"/>
      <c r="D68" s="229"/>
      <c r="E68" s="229"/>
      <c r="F68" s="229"/>
      <c r="G68" s="229"/>
      <c r="H68" s="246"/>
      <c r="I68" s="246"/>
      <c r="J68" s="246"/>
      <c r="K68" s="246"/>
      <c r="L68" s="246"/>
      <c r="M68" s="246"/>
      <c r="N68" s="230">
        <f t="shared" si="14"/>
        <v>0</v>
      </c>
    </row>
    <row r="69" ht="16.5" customHeight="1">
      <c r="A69" s="241" t="s">
        <v>70</v>
      </c>
      <c r="B69" s="229"/>
      <c r="C69" s="229"/>
      <c r="D69" s="229"/>
      <c r="E69" s="229"/>
      <c r="F69" s="229"/>
      <c r="G69" s="229"/>
      <c r="H69" s="229"/>
      <c r="I69" s="229"/>
      <c r="J69" s="229"/>
      <c r="K69" s="229"/>
      <c r="L69" s="229"/>
      <c r="M69" s="229"/>
      <c r="N69" s="230">
        <f t="shared" si="14"/>
        <v>0</v>
      </c>
    </row>
    <row r="70" ht="16.5" customHeight="1">
      <c r="A70" s="242" t="s">
        <v>23</v>
      </c>
      <c r="B70" s="243">
        <f t="shared" ref="B70:M70" si="16">SUM(B54:B69)</f>
        <v>15357</v>
      </c>
      <c r="C70" s="243">
        <f t="shared" si="16"/>
        <v>15492.24</v>
      </c>
      <c r="D70" s="243">
        <f t="shared" si="16"/>
        <v>14607</v>
      </c>
      <c r="E70" s="243">
        <f t="shared" si="16"/>
        <v>15607</v>
      </c>
      <c r="F70" s="243">
        <f t="shared" si="16"/>
        <v>14607</v>
      </c>
      <c r="G70" s="243">
        <f t="shared" si="16"/>
        <v>14607</v>
      </c>
      <c r="H70" s="243">
        <f t="shared" si="16"/>
        <v>15607</v>
      </c>
      <c r="I70" s="243">
        <f t="shared" si="16"/>
        <v>14607</v>
      </c>
      <c r="J70" s="243">
        <f t="shared" si="16"/>
        <v>14607</v>
      </c>
      <c r="K70" s="243">
        <f t="shared" si="16"/>
        <v>15607</v>
      </c>
      <c r="L70" s="243">
        <f t="shared" si="16"/>
        <v>14607</v>
      </c>
      <c r="M70" s="243">
        <f t="shared" si="16"/>
        <v>14607</v>
      </c>
      <c r="N70" s="243">
        <f>SUM(N54:N66)</f>
        <v>179919.24</v>
      </c>
    </row>
    <row r="71" ht="16.5" customHeight="1">
      <c r="A71" s="227" t="s">
        <v>71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  <c r="N71" s="228"/>
    </row>
    <row r="72" ht="16.5" customHeight="1">
      <c r="A72" s="32" t="s">
        <v>138</v>
      </c>
      <c r="B72" s="87">
        <v>0.0</v>
      </c>
      <c r="C72" s="87">
        <v>0.0</v>
      </c>
      <c r="D72" s="87">
        <v>0.0</v>
      </c>
      <c r="E72" s="87">
        <v>0.0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0.0</v>
      </c>
      <c r="L72" s="87">
        <v>0.0</v>
      </c>
      <c r="M72" s="87">
        <v>0.0</v>
      </c>
      <c r="N72" s="230">
        <f t="shared" ref="N72:N83" si="17">SUM(B72:M72)</f>
        <v>0</v>
      </c>
    </row>
    <row r="73" ht="16.5" customHeight="1">
      <c r="A73" s="31" t="s">
        <v>73</v>
      </c>
      <c r="B73" s="87">
        <v>0.0</v>
      </c>
      <c r="C73" s="87">
        <v>0.0</v>
      </c>
      <c r="D73" s="87">
        <v>0.0</v>
      </c>
      <c r="E73" s="87">
        <v>0.0</v>
      </c>
      <c r="F73" s="87">
        <v>0.0</v>
      </c>
      <c r="G73" s="87">
        <v>0.0</v>
      </c>
      <c r="H73" s="87">
        <v>0.0</v>
      </c>
      <c r="I73" s="87">
        <v>0.0</v>
      </c>
      <c r="J73" s="87">
        <v>0.0</v>
      </c>
      <c r="K73" s="87">
        <v>0.0</v>
      </c>
      <c r="L73" s="87">
        <v>0.0</v>
      </c>
      <c r="M73" s="87">
        <v>0.0</v>
      </c>
      <c r="N73" s="230">
        <f t="shared" si="17"/>
        <v>0</v>
      </c>
    </row>
    <row r="74" ht="16.5" customHeight="1">
      <c r="A74" s="32" t="s">
        <v>139</v>
      </c>
      <c r="B74" s="87">
        <v>850.0</v>
      </c>
      <c r="C74" s="87">
        <v>850.0</v>
      </c>
      <c r="D74" s="87">
        <v>850.0</v>
      </c>
      <c r="E74" s="87">
        <v>850.0</v>
      </c>
      <c r="F74" s="87">
        <v>850.0</v>
      </c>
      <c r="G74" s="87">
        <v>850.0</v>
      </c>
      <c r="H74" s="87">
        <v>850.0</v>
      </c>
      <c r="I74" s="87">
        <v>850.0</v>
      </c>
      <c r="J74" s="87">
        <v>850.0</v>
      </c>
      <c r="K74" s="87">
        <v>850.0</v>
      </c>
      <c r="L74" s="87">
        <v>850.0</v>
      </c>
      <c r="M74" s="87">
        <v>850.0</v>
      </c>
      <c r="N74" s="230">
        <f t="shared" si="17"/>
        <v>10200</v>
      </c>
    </row>
    <row r="75" ht="16.5" customHeight="1">
      <c r="A75" s="31" t="s">
        <v>137</v>
      </c>
      <c r="C75" s="229"/>
      <c r="D75" s="229"/>
      <c r="E75" s="229"/>
      <c r="F75" s="229"/>
      <c r="G75" s="229"/>
      <c r="H75" s="229"/>
      <c r="I75" s="229"/>
      <c r="J75" s="229"/>
      <c r="K75" s="229"/>
      <c r="L75" s="229"/>
      <c r="M75" s="229"/>
      <c r="N75" s="230">
        <f t="shared" si="17"/>
        <v>0</v>
      </c>
    </row>
    <row r="76" ht="16.5" customHeight="1">
      <c r="A76" s="32" t="s">
        <v>136</v>
      </c>
      <c r="B76" s="229"/>
      <c r="C76" s="229"/>
      <c r="D76" s="229"/>
      <c r="E76" s="229"/>
      <c r="F76" s="87"/>
      <c r="G76" s="229"/>
      <c r="H76" s="87"/>
      <c r="I76" s="87"/>
      <c r="J76" s="87"/>
      <c r="K76" s="87"/>
      <c r="L76" s="87"/>
      <c r="M76" s="87"/>
      <c r="N76" s="230">
        <f t="shared" si="17"/>
        <v>0</v>
      </c>
    </row>
    <row r="77" ht="16.5" customHeight="1">
      <c r="A77" s="32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230">
        <f t="shared" si="17"/>
        <v>0</v>
      </c>
    </row>
    <row r="78" ht="16.5" customHeight="1">
      <c r="A78" s="31" t="s">
        <v>140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230">
        <f t="shared" si="17"/>
        <v>0</v>
      </c>
    </row>
    <row r="79" ht="16.5" customHeight="1">
      <c r="A79" s="27" t="s">
        <v>141</v>
      </c>
      <c r="B79" s="96">
        <v>4351.3</v>
      </c>
      <c r="C79" s="96">
        <v>4351.3</v>
      </c>
      <c r="D79" s="96">
        <v>4351.3</v>
      </c>
      <c r="E79" s="96">
        <v>4351.3</v>
      </c>
      <c r="F79" s="96">
        <v>4351.3</v>
      </c>
      <c r="G79" s="96">
        <v>4351.3</v>
      </c>
      <c r="H79" s="96">
        <v>4351.3</v>
      </c>
      <c r="I79" s="96">
        <v>4351.3</v>
      </c>
      <c r="J79" s="96">
        <v>4351.3</v>
      </c>
      <c r="K79" s="96">
        <v>4351.3</v>
      </c>
      <c r="L79" s="96">
        <v>4351.3</v>
      </c>
      <c r="M79" s="96">
        <v>4351.3</v>
      </c>
      <c r="N79" s="230">
        <f t="shared" si="17"/>
        <v>52215.6</v>
      </c>
    </row>
    <row r="80" ht="16.5" customHeight="1">
      <c r="A80" s="42" t="s">
        <v>79</v>
      </c>
      <c r="B80" s="96">
        <v>1050.0</v>
      </c>
      <c r="C80" s="96">
        <v>1050.0</v>
      </c>
      <c r="D80" s="96">
        <v>1050.0</v>
      </c>
      <c r="E80" s="96">
        <v>1050.0</v>
      </c>
      <c r="F80" s="96">
        <v>1050.0</v>
      </c>
      <c r="G80" s="96">
        <v>1050.0</v>
      </c>
      <c r="H80" s="96">
        <v>1050.0</v>
      </c>
      <c r="I80" s="96">
        <v>1050.0</v>
      </c>
      <c r="J80" s="96">
        <v>1050.0</v>
      </c>
      <c r="K80" s="96">
        <v>1050.0</v>
      </c>
      <c r="L80" s="96">
        <v>1050.0</v>
      </c>
      <c r="M80" s="96">
        <v>1050.0</v>
      </c>
      <c r="N80" s="230">
        <f t="shared" si="17"/>
        <v>12600</v>
      </c>
    </row>
    <row r="81" ht="16.5" customHeight="1">
      <c r="A81" s="43" t="s">
        <v>80</v>
      </c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230">
        <f t="shared" si="17"/>
        <v>0</v>
      </c>
    </row>
    <row r="82" ht="16.5" customHeight="1">
      <c r="A82" s="242" t="s">
        <v>23</v>
      </c>
      <c r="B82" s="243">
        <f t="shared" ref="B82:M82" si="18">SUM(B72:B81)</f>
        <v>6251.3</v>
      </c>
      <c r="C82" s="243">
        <f t="shared" si="18"/>
        <v>6251.3</v>
      </c>
      <c r="D82" s="243">
        <f t="shared" si="18"/>
        <v>6251.3</v>
      </c>
      <c r="E82" s="243">
        <f t="shared" si="18"/>
        <v>6251.3</v>
      </c>
      <c r="F82" s="243">
        <f t="shared" si="18"/>
        <v>6251.3</v>
      </c>
      <c r="G82" s="243">
        <f t="shared" si="18"/>
        <v>6251.3</v>
      </c>
      <c r="H82" s="243">
        <f t="shared" si="18"/>
        <v>6251.3</v>
      </c>
      <c r="I82" s="243">
        <f t="shared" si="18"/>
        <v>6251.3</v>
      </c>
      <c r="J82" s="243">
        <f t="shared" si="18"/>
        <v>6251.3</v>
      </c>
      <c r="K82" s="243">
        <f t="shared" si="18"/>
        <v>6251.3</v>
      </c>
      <c r="L82" s="243">
        <f t="shared" si="18"/>
        <v>6251.3</v>
      </c>
      <c r="M82" s="243">
        <f t="shared" si="18"/>
        <v>6251.3</v>
      </c>
      <c r="N82" s="247">
        <f t="shared" si="17"/>
        <v>75015.6</v>
      </c>
    </row>
    <row r="83" ht="16.5" customHeight="1">
      <c r="A83" s="248" t="s">
        <v>81</v>
      </c>
      <c r="B83" s="243">
        <f t="shared" ref="B83:M83" si="19">B52+B70+B82</f>
        <v>39551.61</v>
      </c>
      <c r="C83" s="243">
        <f t="shared" si="19"/>
        <v>39686.85</v>
      </c>
      <c r="D83" s="243">
        <f t="shared" si="19"/>
        <v>38801.61</v>
      </c>
      <c r="E83" s="243">
        <f t="shared" si="19"/>
        <v>39801.61</v>
      </c>
      <c r="F83" s="243">
        <f t="shared" si="19"/>
        <v>38801.61</v>
      </c>
      <c r="G83" s="243">
        <f t="shared" si="19"/>
        <v>38801.61</v>
      </c>
      <c r="H83" s="243">
        <f t="shared" si="19"/>
        <v>39801.61</v>
      </c>
      <c r="I83" s="243">
        <f t="shared" si="19"/>
        <v>38801.61</v>
      </c>
      <c r="J83" s="243">
        <f t="shared" si="19"/>
        <v>38801.61</v>
      </c>
      <c r="K83" s="243">
        <f t="shared" si="19"/>
        <v>39801.61</v>
      </c>
      <c r="L83" s="243">
        <f t="shared" si="19"/>
        <v>38801.61</v>
      </c>
      <c r="M83" s="243">
        <f t="shared" si="19"/>
        <v>38801.61</v>
      </c>
      <c r="N83" s="247">
        <f t="shared" si="17"/>
        <v>470254.56</v>
      </c>
    </row>
    <row r="84" ht="16.5" customHeight="1">
      <c r="A84" s="248" t="s">
        <v>82</v>
      </c>
      <c r="B84" s="243">
        <f t="shared" ref="B84:N84" si="20">B83/B112</f>
        <v>343.9270435</v>
      </c>
      <c r="C84" s="243">
        <f t="shared" si="20"/>
        <v>330.72375</v>
      </c>
      <c r="D84" s="243">
        <f t="shared" si="20"/>
        <v>277.1543571</v>
      </c>
      <c r="E84" s="243">
        <f t="shared" si="20"/>
        <v>248.7600625</v>
      </c>
      <c r="F84" s="243">
        <f t="shared" si="20"/>
        <v>198.9826154</v>
      </c>
      <c r="G84" s="243">
        <f t="shared" si="20"/>
        <v>228.2447647</v>
      </c>
      <c r="H84" s="243">
        <f t="shared" si="20"/>
        <v>215.1438378</v>
      </c>
      <c r="I84" s="243">
        <f t="shared" si="20"/>
        <v>215.5645</v>
      </c>
      <c r="J84" s="243">
        <f t="shared" si="20"/>
        <v>235.1612727</v>
      </c>
      <c r="K84" s="243">
        <f t="shared" si="20"/>
        <v>234.1271176</v>
      </c>
      <c r="L84" s="243">
        <f t="shared" si="20"/>
        <v>250.3329677</v>
      </c>
      <c r="M84" s="243">
        <f t="shared" si="20"/>
        <v>235.1612727</v>
      </c>
      <c r="N84" s="234">
        <f t="shared" si="20"/>
        <v>244.92425</v>
      </c>
    </row>
    <row r="85" ht="16.5" customHeight="1">
      <c r="A85" s="227" t="s">
        <v>83</v>
      </c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  <c r="N85" s="228"/>
    </row>
    <row r="86" ht="16.5" customHeight="1">
      <c r="A86" s="234" t="s">
        <v>84</v>
      </c>
      <c r="B86" s="87">
        <v>820.0</v>
      </c>
      <c r="C86" s="87">
        <v>820.0</v>
      </c>
      <c r="D86" s="87">
        <v>820.0</v>
      </c>
      <c r="E86" s="87">
        <v>820.0</v>
      </c>
      <c r="F86" s="87">
        <v>820.0</v>
      </c>
      <c r="G86" s="87">
        <v>820.0</v>
      </c>
      <c r="H86" s="87">
        <v>820.0</v>
      </c>
      <c r="I86" s="87">
        <v>820.0</v>
      </c>
      <c r="J86" s="87">
        <v>820.0</v>
      </c>
      <c r="K86" s="87">
        <v>820.0</v>
      </c>
      <c r="L86" s="87">
        <v>820.0</v>
      </c>
      <c r="M86" s="87">
        <v>820.0</v>
      </c>
      <c r="N86" s="230">
        <f t="shared" ref="N86:N89" si="21">SUM(B86:M86)</f>
        <v>9840</v>
      </c>
    </row>
    <row r="87" ht="16.5" customHeight="1">
      <c r="A87" s="234" t="s">
        <v>142</v>
      </c>
      <c r="B87" s="229"/>
      <c r="C87" s="229"/>
      <c r="D87" s="229"/>
      <c r="E87" s="229"/>
      <c r="F87" s="229"/>
      <c r="G87" s="229"/>
      <c r="H87" s="229"/>
      <c r="I87" s="229"/>
      <c r="J87" s="229"/>
      <c r="K87" s="229"/>
      <c r="L87" s="229"/>
      <c r="M87" s="229"/>
      <c r="N87" s="230">
        <f t="shared" si="21"/>
        <v>0</v>
      </c>
    </row>
    <row r="88" ht="16.5" customHeight="1">
      <c r="A88" s="241" t="s">
        <v>219</v>
      </c>
      <c r="B88" s="229"/>
      <c r="C88" s="229"/>
      <c r="D88" s="229"/>
      <c r="E88" s="96"/>
      <c r="F88" s="96"/>
      <c r="G88" s="229"/>
      <c r="H88" s="229"/>
      <c r="I88" s="96"/>
      <c r="J88" s="229"/>
      <c r="K88" s="229"/>
      <c r="L88" s="229"/>
      <c r="M88" s="229"/>
      <c r="N88" s="230">
        <f t="shared" si="21"/>
        <v>0</v>
      </c>
    </row>
    <row r="89" ht="16.5" customHeight="1">
      <c r="A89" s="242"/>
      <c r="B89" s="229"/>
      <c r="C89" s="229"/>
      <c r="D89" s="229"/>
      <c r="E89" s="229"/>
      <c r="F89" s="229"/>
      <c r="G89" s="229"/>
      <c r="H89" s="229"/>
      <c r="I89" s="229"/>
      <c r="J89" s="229"/>
      <c r="K89" s="229"/>
      <c r="L89" s="229"/>
      <c r="M89" s="229"/>
      <c r="N89" s="230">
        <f t="shared" si="21"/>
        <v>0</v>
      </c>
    </row>
    <row r="90" ht="16.5" customHeight="1">
      <c r="A90" s="242" t="s">
        <v>23</v>
      </c>
      <c r="B90" s="243">
        <f t="shared" ref="B90:N90" si="22">SUM(B86:B89)</f>
        <v>820</v>
      </c>
      <c r="C90" s="243">
        <f t="shared" si="22"/>
        <v>820</v>
      </c>
      <c r="D90" s="243">
        <f t="shared" si="22"/>
        <v>820</v>
      </c>
      <c r="E90" s="243">
        <f t="shared" si="22"/>
        <v>820</v>
      </c>
      <c r="F90" s="243">
        <f t="shared" si="22"/>
        <v>820</v>
      </c>
      <c r="G90" s="243">
        <f t="shared" si="22"/>
        <v>820</v>
      </c>
      <c r="H90" s="243">
        <f t="shared" si="22"/>
        <v>820</v>
      </c>
      <c r="I90" s="243">
        <f t="shared" si="22"/>
        <v>820</v>
      </c>
      <c r="J90" s="243">
        <f t="shared" si="22"/>
        <v>820</v>
      </c>
      <c r="K90" s="243">
        <f t="shared" si="22"/>
        <v>820</v>
      </c>
      <c r="L90" s="243">
        <f t="shared" si="22"/>
        <v>820</v>
      </c>
      <c r="M90" s="243">
        <f t="shared" si="22"/>
        <v>820</v>
      </c>
      <c r="N90" s="243">
        <f t="shared" si="22"/>
        <v>9840</v>
      </c>
    </row>
    <row r="91" ht="16.5" customHeight="1">
      <c r="A91" s="238" t="s">
        <v>88</v>
      </c>
      <c r="B91" s="228"/>
      <c r="C91" s="228"/>
      <c r="D91" s="228"/>
      <c r="E91" s="228"/>
      <c r="F91" s="228"/>
      <c r="G91" s="228"/>
      <c r="H91" s="228"/>
      <c r="I91" s="228"/>
      <c r="J91" s="228"/>
      <c r="K91" s="228"/>
      <c r="L91" s="228"/>
      <c r="M91" s="228"/>
      <c r="N91" s="228"/>
    </row>
    <row r="92" ht="16.5" customHeight="1">
      <c r="A92" s="31" t="s">
        <v>89</v>
      </c>
      <c r="B92" s="101">
        <f>PRODUCTION!L18</f>
        <v>750</v>
      </c>
      <c r="C92" s="102">
        <f>PRODUCTION!L19</f>
        <v>750</v>
      </c>
      <c r="D92" s="102">
        <f>PRODUCTION!L20</f>
        <v>750</v>
      </c>
      <c r="E92" s="102">
        <f>PRODUCTION!L21</f>
        <v>750</v>
      </c>
      <c r="F92" s="102">
        <f>PRODUCTION!L22</f>
        <v>750</v>
      </c>
      <c r="G92" s="102">
        <f>PRODUCTION!L23</f>
        <v>750</v>
      </c>
      <c r="H92" s="102">
        <f>PRODUCTION!L24</f>
        <v>750</v>
      </c>
      <c r="I92" s="102">
        <f>PRODUCTION!L25</f>
        <v>750</v>
      </c>
      <c r="J92" s="102">
        <f>PRODUCTION!L26</f>
        <v>750</v>
      </c>
      <c r="K92" s="102">
        <f>PRODUCTION!L27</f>
        <v>750</v>
      </c>
      <c r="L92" s="102">
        <f>PRODUCTION!L28</f>
        <v>750</v>
      </c>
      <c r="M92" s="102">
        <f>PRODUCTION!L29</f>
        <v>750</v>
      </c>
      <c r="N92" s="230">
        <f t="shared" ref="N92:N105" si="23">SUM(B92:M92)</f>
        <v>9000</v>
      </c>
    </row>
    <row r="93" ht="16.5" customHeight="1">
      <c r="A93" s="31" t="s">
        <v>90</v>
      </c>
      <c r="B93" s="87">
        <v>6250.0</v>
      </c>
      <c r="C93" s="87"/>
      <c r="D93" s="87"/>
      <c r="E93" s="87"/>
      <c r="F93" s="87"/>
      <c r="G93" s="46"/>
      <c r="H93" s="87"/>
      <c r="I93" s="46"/>
      <c r="J93" s="46"/>
      <c r="K93" s="87"/>
      <c r="L93" s="46"/>
      <c r="M93" s="87"/>
      <c r="N93" s="230">
        <f t="shared" si="23"/>
        <v>6250</v>
      </c>
    </row>
    <row r="94" ht="16.5" customHeight="1">
      <c r="A94" s="31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230">
        <f t="shared" si="23"/>
        <v>2360</v>
      </c>
    </row>
    <row r="95" ht="16.5" customHeight="1">
      <c r="A95" s="31" t="s">
        <v>92</v>
      </c>
      <c r="B95" s="146">
        <v>500.0</v>
      </c>
      <c r="C95" s="105">
        <v>500.0</v>
      </c>
      <c r="D95" s="105">
        <v>0.0</v>
      </c>
      <c r="E95" s="105">
        <v>0.0</v>
      </c>
      <c r="F95" s="104">
        <v>155.0</v>
      </c>
      <c r="G95" s="104">
        <f>350+167</f>
        <v>517</v>
      </c>
      <c r="H95" s="104">
        <v>0.0</v>
      </c>
      <c r="I95" s="105">
        <f>265+3.233</f>
        <v>268.233</v>
      </c>
      <c r="J95" s="105">
        <v>500.0</v>
      </c>
      <c r="K95" s="87">
        <v>456.78</v>
      </c>
      <c r="L95" s="105">
        <v>500.0</v>
      </c>
      <c r="M95" s="105">
        <v>500.0</v>
      </c>
      <c r="N95" s="230">
        <f t="shared" si="23"/>
        <v>3897.013</v>
      </c>
    </row>
    <row r="96" ht="16.5" customHeight="1">
      <c r="A96" s="31" t="s">
        <v>222</v>
      </c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230">
        <f t="shared" si="23"/>
        <v>0</v>
      </c>
    </row>
    <row r="97" ht="16.5" customHeight="1">
      <c r="A97" s="32" t="s">
        <v>94</v>
      </c>
      <c r="B97" s="229"/>
      <c r="C97" s="229"/>
      <c r="D97" s="229"/>
      <c r="E97" s="229"/>
      <c r="F97" s="229"/>
      <c r="G97" s="229"/>
      <c r="H97" s="229"/>
      <c r="I97" s="229"/>
      <c r="J97" s="229"/>
      <c r="K97" s="229"/>
      <c r="L97" s="229"/>
      <c r="M97" s="229"/>
      <c r="N97" s="230">
        <f t="shared" si="23"/>
        <v>0</v>
      </c>
    </row>
    <row r="98" ht="16.5" customHeight="1">
      <c r="A98" s="32" t="s">
        <v>95</v>
      </c>
      <c r="B98" s="229"/>
      <c r="C98" s="229"/>
      <c r="D98" s="229"/>
      <c r="E98" s="229"/>
      <c r="F98" s="229"/>
      <c r="G98" s="229"/>
      <c r="H98" s="229"/>
      <c r="I98" s="229"/>
      <c r="J98" s="229"/>
      <c r="K98" s="229"/>
      <c r="L98" s="229"/>
      <c r="M98" s="229"/>
      <c r="N98" s="230">
        <f t="shared" si="23"/>
        <v>0</v>
      </c>
    </row>
    <row r="99" ht="16.5" customHeight="1">
      <c r="A99" s="31" t="s">
        <v>96</v>
      </c>
      <c r="B99" s="229"/>
      <c r="C99" s="229"/>
      <c r="D99" s="96"/>
      <c r="E99" s="229"/>
      <c r="F99" s="229"/>
      <c r="G99" s="229"/>
      <c r="H99" s="229"/>
      <c r="I99" s="96"/>
      <c r="J99" s="229"/>
      <c r="K99" s="229"/>
      <c r="L99" s="229"/>
      <c r="M99" s="229"/>
      <c r="N99" s="230">
        <f t="shared" si="23"/>
        <v>0</v>
      </c>
    </row>
    <row r="100" ht="16.5" customHeight="1">
      <c r="A100" s="31" t="s">
        <v>97</v>
      </c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230">
        <f t="shared" si="23"/>
        <v>0</v>
      </c>
    </row>
    <row r="101" ht="16.5" customHeight="1">
      <c r="A101" s="32" t="s">
        <v>98</v>
      </c>
      <c r="B101" s="87">
        <v>0.0</v>
      </c>
      <c r="C101" s="87">
        <v>0.0</v>
      </c>
      <c r="D101" s="87">
        <v>0.0</v>
      </c>
      <c r="E101" s="87">
        <v>0.0</v>
      </c>
      <c r="F101" s="87">
        <v>0.0</v>
      </c>
      <c r="G101" s="87">
        <v>0.0</v>
      </c>
      <c r="H101" s="87">
        <v>0.0</v>
      </c>
      <c r="I101" s="87">
        <v>0.0</v>
      </c>
      <c r="J101" s="87">
        <v>0.0</v>
      </c>
      <c r="K101" s="87">
        <v>0.0</v>
      </c>
      <c r="L101" s="87">
        <v>0.0</v>
      </c>
      <c r="M101" s="87">
        <v>0.0</v>
      </c>
      <c r="N101" s="230">
        <f t="shared" si="23"/>
        <v>0</v>
      </c>
    </row>
    <row r="102" ht="16.5" customHeight="1">
      <c r="A102" s="31" t="s">
        <v>99</v>
      </c>
      <c r="B102" s="229"/>
      <c r="C102" s="229"/>
      <c r="D102" s="96"/>
      <c r="E102" s="229"/>
      <c r="F102" s="96"/>
      <c r="G102" s="229"/>
      <c r="H102" s="229"/>
      <c r="I102" s="229"/>
      <c r="J102" s="229"/>
      <c r="K102" s="229"/>
      <c r="L102" s="229"/>
      <c r="M102" s="229"/>
      <c r="N102" s="230">
        <f t="shared" si="23"/>
        <v>0</v>
      </c>
    </row>
    <row r="103" ht="16.5" customHeight="1">
      <c r="A103" s="32" t="s">
        <v>100</v>
      </c>
      <c r="B103" s="87">
        <v>200.0</v>
      </c>
      <c r="C103" s="87">
        <v>435.0</v>
      </c>
      <c r="D103" s="87">
        <f>200+113.64</f>
        <v>313.64</v>
      </c>
      <c r="E103" s="87">
        <v>200.0</v>
      </c>
      <c r="F103" s="87">
        <v>200.0</v>
      </c>
      <c r="G103" s="87">
        <v>605.0</v>
      </c>
      <c r="H103" s="87">
        <v>605.0</v>
      </c>
      <c r="I103" s="87">
        <v>200.0</v>
      </c>
      <c r="J103" s="87">
        <f>435+200</f>
        <v>635</v>
      </c>
      <c r="K103" s="87">
        <v>200.0</v>
      </c>
      <c r="L103" s="87">
        <v>200.0</v>
      </c>
      <c r="M103" s="87">
        <v>200.0</v>
      </c>
      <c r="N103" s="230">
        <f t="shared" si="23"/>
        <v>3993.64</v>
      </c>
    </row>
    <row r="104" ht="16.5" customHeight="1">
      <c r="A104" s="27" t="s">
        <v>101</v>
      </c>
      <c r="B104" s="96">
        <v>300.0</v>
      </c>
      <c r="C104" s="96">
        <v>375.0</v>
      </c>
      <c r="D104" s="96">
        <v>375.0</v>
      </c>
      <c r="E104" s="96">
        <v>375.0</v>
      </c>
      <c r="F104" s="96">
        <v>375.0</v>
      </c>
      <c r="G104" s="96">
        <v>375.0</v>
      </c>
      <c r="H104" s="96">
        <v>375.0</v>
      </c>
      <c r="I104" s="96">
        <v>375.0</v>
      </c>
      <c r="J104" s="96">
        <v>375.0</v>
      </c>
      <c r="K104" s="96">
        <v>375.0</v>
      </c>
      <c r="L104" s="96">
        <v>375.0</v>
      </c>
      <c r="M104" s="96">
        <v>375.0</v>
      </c>
      <c r="N104" s="230">
        <f t="shared" si="23"/>
        <v>4425</v>
      </c>
    </row>
    <row r="105" ht="16.5" customHeight="1">
      <c r="A105" s="27" t="s">
        <v>102</v>
      </c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230">
        <f t="shared" si="23"/>
        <v>0</v>
      </c>
    </row>
    <row r="106" ht="16.5" customHeight="1">
      <c r="A106" s="242"/>
      <c r="B106" s="243"/>
      <c r="C106" s="243"/>
      <c r="D106" s="243"/>
      <c r="E106" s="243"/>
      <c r="F106" s="243"/>
      <c r="G106" s="243"/>
      <c r="H106" s="243"/>
      <c r="I106" s="243"/>
      <c r="J106" s="243"/>
      <c r="K106" s="243"/>
      <c r="L106" s="280"/>
      <c r="M106" s="243"/>
      <c r="N106" s="243"/>
    </row>
    <row r="107" ht="16.5" customHeight="1">
      <c r="A107" s="242" t="s">
        <v>23</v>
      </c>
      <c r="B107" s="243">
        <f t="shared" ref="B107:N107" si="24">SUM(B92:B105)</f>
        <v>8180</v>
      </c>
      <c r="C107" s="243">
        <f t="shared" si="24"/>
        <v>2240</v>
      </c>
      <c r="D107" s="243">
        <f t="shared" si="24"/>
        <v>1618.64</v>
      </c>
      <c r="E107" s="243">
        <f t="shared" si="24"/>
        <v>1505</v>
      </c>
      <c r="F107" s="243">
        <f t="shared" si="24"/>
        <v>1660</v>
      </c>
      <c r="G107" s="243">
        <f t="shared" si="24"/>
        <v>2427</v>
      </c>
      <c r="H107" s="243">
        <f t="shared" si="24"/>
        <v>1910</v>
      </c>
      <c r="I107" s="243">
        <f t="shared" si="24"/>
        <v>1773.233</v>
      </c>
      <c r="J107" s="243">
        <f t="shared" si="24"/>
        <v>2440</v>
      </c>
      <c r="K107" s="243">
        <f t="shared" si="24"/>
        <v>2161.78</v>
      </c>
      <c r="L107" s="243">
        <f t="shared" si="24"/>
        <v>2005</v>
      </c>
      <c r="M107" s="243">
        <f t="shared" si="24"/>
        <v>2005</v>
      </c>
      <c r="N107" s="243">
        <f t="shared" si="24"/>
        <v>29925.653</v>
      </c>
    </row>
    <row r="108" ht="16.5" customHeight="1">
      <c r="A108" s="242" t="s">
        <v>104</v>
      </c>
      <c r="B108" s="280">
        <v>0.0</v>
      </c>
      <c r="C108" s="280">
        <v>0.0</v>
      </c>
      <c r="D108" s="280">
        <v>0.0</v>
      </c>
      <c r="E108" s="280">
        <v>0.0</v>
      </c>
      <c r="F108" s="280">
        <v>0.0</v>
      </c>
      <c r="G108" s="280">
        <v>0.0</v>
      </c>
      <c r="H108" s="280">
        <v>0.0</v>
      </c>
      <c r="I108" s="280">
        <v>0.0</v>
      </c>
      <c r="J108" s="280">
        <v>0.0</v>
      </c>
      <c r="K108" s="280">
        <v>0.0</v>
      </c>
      <c r="L108" s="280">
        <v>0.0</v>
      </c>
      <c r="M108" s="280">
        <v>0.0</v>
      </c>
      <c r="N108" s="247">
        <f>SUM(B108:M108)</f>
        <v>0</v>
      </c>
    </row>
    <row r="109" ht="16.5" customHeight="1">
      <c r="A109" s="251" t="s">
        <v>105</v>
      </c>
      <c r="B109" s="252">
        <f t="shared" ref="B109:N109" si="25">B107+B90+B83+B32+B21+B13</f>
        <v>54681.27667</v>
      </c>
      <c r="C109" s="252">
        <f t="shared" si="25"/>
        <v>49585.99667</v>
      </c>
      <c r="D109" s="252">
        <f t="shared" si="25"/>
        <v>56082.18333</v>
      </c>
      <c r="E109" s="252">
        <f t="shared" si="25"/>
        <v>53968.54333</v>
      </c>
      <c r="F109" s="252">
        <f t="shared" si="25"/>
        <v>64903.47316</v>
      </c>
      <c r="G109" s="252">
        <f t="shared" si="25"/>
        <v>62670.47316</v>
      </c>
      <c r="H109" s="252">
        <f t="shared" si="25"/>
        <v>54373.54333</v>
      </c>
      <c r="I109" s="252">
        <f t="shared" si="25"/>
        <v>56236.77633</v>
      </c>
      <c r="J109" s="252">
        <f t="shared" si="25"/>
        <v>58438.38982</v>
      </c>
      <c r="K109" s="252">
        <f t="shared" si="25"/>
        <v>59160.16982</v>
      </c>
      <c r="L109" s="252">
        <f t="shared" si="25"/>
        <v>62248.47316</v>
      </c>
      <c r="M109" s="252">
        <f t="shared" si="25"/>
        <v>62248.47316</v>
      </c>
      <c r="N109" s="252">
        <f t="shared" si="25"/>
        <v>694597.7719</v>
      </c>
    </row>
    <row r="110" ht="16.5" customHeight="1">
      <c r="A110" s="240" t="s">
        <v>106</v>
      </c>
      <c r="B110" s="148">
        <v>40.0</v>
      </c>
      <c r="C110" s="116">
        <v>45.0</v>
      </c>
      <c r="D110" s="116">
        <v>60.0</v>
      </c>
      <c r="E110" s="116">
        <v>80.0</v>
      </c>
      <c r="F110" s="116">
        <v>100.0</v>
      </c>
      <c r="G110" s="116">
        <v>95.0</v>
      </c>
      <c r="H110" s="116">
        <v>105.0</v>
      </c>
      <c r="I110" s="116">
        <v>100.0</v>
      </c>
      <c r="J110" s="116">
        <v>90.0</v>
      </c>
      <c r="K110" s="116">
        <v>85.0</v>
      </c>
      <c r="L110" s="116">
        <v>75.0</v>
      </c>
      <c r="M110" s="118">
        <v>85.0</v>
      </c>
      <c r="N110" s="253">
        <f t="shared" ref="N110:N112" si="26">SUM(B110:M110)</f>
        <v>960</v>
      </c>
    </row>
    <row r="111" ht="16.5" customHeight="1">
      <c r="A111" s="240" t="s">
        <v>107</v>
      </c>
      <c r="B111" s="120">
        <v>75.0</v>
      </c>
      <c r="C111" s="150">
        <v>75.0</v>
      </c>
      <c r="D111" s="120">
        <v>80.0</v>
      </c>
      <c r="E111" s="120">
        <v>80.0</v>
      </c>
      <c r="F111" s="120">
        <v>95.0</v>
      </c>
      <c r="G111" s="120">
        <v>75.0</v>
      </c>
      <c r="H111" s="120">
        <v>80.0</v>
      </c>
      <c r="I111" s="120">
        <v>80.0</v>
      </c>
      <c r="J111" s="120">
        <v>75.0</v>
      </c>
      <c r="K111" s="120">
        <v>85.0</v>
      </c>
      <c r="L111" s="120">
        <v>80.0</v>
      </c>
      <c r="M111" s="121">
        <v>80.0</v>
      </c>
      <c r="N111" s="253">
        <f t="shared" si="26"/>
        <v>960</v>
      </c>
    </row>
    <row r="112" ht="16.5" customHeight="1">
      <c r="A112" s="242" t="s">
        <v>23</v>
      </c>
      <c r="B112" s="254">
        <f t="shared" ref="B112:M112" si="27">B110+B111</f>
        <v>115</v>
      </c>
      <c r="C112" s="254">
        <f t="shared" si="27"/>
        <v>120</v>
      </c>
      <c r="D112" s="254">
        <f t="shared" si="27"/>
        <v>140</v>
      </c>
      <c r="E112" s="254">
        <f t="shared" si="27"/>
        <v>160</v>
      </c>
      <c r="F112" s="255">
        <f t="shared" si="27"/>
        <v>195</v>
      </c>
      <c r="G112" s="255">
        <f t="shared" si="27"/>
        <v>170</v>
      </c>
      <c r="H112" s="255">
        <f t="shared" si="27"/>
        <v>185</v>
      </c>
      <c r="I112" s="255">
        <f t="shared" si="27"/>
        <v>180</v>
      </c>
      <c r="J112" s="255">
        <f t="shared" si="27"/>
        <v>165</v>
      </c>
      <c r="K112" s="255">
        <f t="shared" si="27"/>
        <v>170</v>
      </c>
      <c r="L112" s="255">
        <f t="shared" si="27"/>
        <v>155</v>
      </c>
      <c r="M112" s="257">
        <f t="shared" si="27"/>
        <v>165</v>
      </c>
      <c r="N112" s="258">
        <f t="shared" si="26"/>
        <v>1920</v>
      </c>
    </row>
    <row r="113" ht="16.5" customHeight="1">
      <c r="A113" s="259" t="s">
        <v>108</v>
      </c>
      <c r="B113" s="260">
        <f t="shared" ref="B113:N113" si="28">B109/B112</f>
        <v>475.4893623</v>
      </c>
      <c r="C113" s="260">
        <f t="shared" si="28"/>
        <v>413.2166389</v>
      </c>
      <c r="D113" s="260">
        <f t="shared" si="28"/>
        <v>400.5870238</v>
      </c>
      <c r="E113" s="260">
        <f t="shared" si="28"/>
        <v>337.3033958</v>
      </c>
      <c r="F113" s="260">
        <f t="shared" si="28"/>
        <v>332.8383239</v>
      </c>
      <c r="G113" s="260">
        <f t="shared" si="28"/>
        <v>368.6498421</v>
      </c>
      <c r="H113" s="260">
        <f t="shared" si="28"/>
        <v>293.911045</v>
      </c>
      <c r="I113" s="260">
        <f t="shared" si="28"/>
        <v>312.4265352</v>
      </c>
      <c r="J113" s="260">
        <f t="shared" si="28"/>
        <v>354.1720595</v>
      </c>
      <c r="K113" s="260">
        <f t="shared" si="28"/>
        <v>348.000999</v>
      </c>
      <c r="L113" s="260">
        <f t="shared" si="28"/>
        <v>401.6030526</v>
      </c>
      <c r="M113" s="260">
        <f t="shared" si="28"/>
        <v>377.2634737</v>
      </c>
      <c r="N113" s="281">
        <f t="shared" si="28"/>
        <v>361.7696729</v>
      </c>
    </row>
    <row r="114" ht="16.5" customHeight="1">
      <c r="A114" s="227" t="s">
        <v>109</v>
      </c>
      <c r="B114" s="228"/>
      <c r="C114" s="228"/>
      <c r="D114" s="228"/>
      <c r="E114" s="228"/>
      <c r="F114" s="228"/>
      <c r="G114" s="228"/>
      <c r="H114" s="228"/>
      <c r="I114" s="228"/>
      <c r="J114" s="228"/>
      <c r="K114" s="228"/>
      <c r="L114" s="228"/>
      <c r="M114" s="228"/>
      <c r="N114" s="228"/>
    </row>
    <row r="115" ht="16.5" customHeight="1">
      <c r="A115" s="59" t="s">
        <v>110</v>
      </c>
      <c r="B115" s="96">
        <f t="shared" ref="B115:M115" si="29">1095</f>
        <v>1095</v>
      </c>
      <c r="C115" s="96">
        <f t="shared" si="29"/>
        <v>1095</v>
      </c>
      <c r="D115" s="96">
        <f t="shared" si="29"/>
        <v>1095</v>
      </c>
      <c r="E115" s="96">
        <f t="shared" si="29"/>
        <v>1095</v>
      </c>
      <c r="F115" s="96">
        <f t="shared" si="29"/>
        <v>1095</v>
      </c>
      <c r="G115" s="96">
        <f t="shared" si="29"/>
        <v>1095</v>
      </c>
      <c r="H115" s="96">
        <f t="shared" si="29"/>
        <v>1095</v>
      </c>
      <c r="I115" s="96">
        <f t="shared" si="29"/>
        <v>1095</v>
      </c>
      <c r="J115" s="96">
        <f t="shared" si="29"/>
        <v>1095</v>
      </c>
      <c r="K115" s="96">
        <f t="shared" si="29"/>
        <v>1095</v>
      </c>
      <c r="L115" s="96">
        <f t="shared" si="29"/>
        <v>1095</v>
      </c>
      <c r="M115" s="96">
        <f t="shared" si="29"/>
        <v>1095</v>
      </c>
      <c r="N115" s="230">
        <f t="shared" ref="N115:N120" si="30">SUM(B115:M115)</f>
        <v>13140</v>
      </c>
    </row>
    <row r="116" ht="16.5" customHeight="1">
      <c r="A116" s="60" t="s">
        <v>111</v>
      </c>
      <c r="B116" s="229"/>
      <c r="C116" s="229"/>
      <c r="D116" s="229"/>
      <c r="E116" s="229"/>
      <c r="F116" s="96"/>
      <c r="G116" s="229"/>
      <c r="H116" s="229"/>
      <c r="I116" s="229"/>
      <c r="J116" s="229"/>
      <c r="K116" s="229"/>
      <c r="L116" s="229"/>
      <c r="M116" s="229"/>
      <c r="N116" s="230">
        <f t="shared" si="30"/>
        <v>0</v>
      </c>
    </row>
    <row r="117" ht="16.5" customHeight="1">
      <c r="A117" s="59" t="s">
        <v>112</v>
      </c>
      <c r="B117" s="96">
        <f>1250+2775.74
</f>
        <v>4025.74</v>
      </c>
      <c r="C117" s="96">
        <v>1250.0</v>
      </c>
      <c r="D117" s="96">
        <v>1250.0</v>
      </c>
      <c r="E117" s="96">
        <f>1250+2775.74
</f>
        <v>4025.74</v>
      </c>
      <c r="F117" s="96">
        <v>1250.0</v>
      </c>
      <c r="G117" s="96">
        <v>1250.0</v>
      </c>
      <c r="H117" s="96">
        <f>1250+2775.74
</f>
        <v>4025.74</v>
      </c>
      <c r="I117" s="96">
        <v>1250.0</v>
      </c>
      <c r="J117" s="96">
        <v>1250.0</v>
      </c>
      <c r="K117" s="96">
        <f>1250+2897.26</f>
        <v>4147.26</v>
      </c>
      <c r="L117" s="96">
        <v>1250.0</v>
      </c>
      <c r="M117" s="96">
        <v>1250.0</v>
      </c>
      <c r="N117" s="230">
        <f t="shared" si="30"/>
        <v>26224.48</v>
      </c>
    </row>
    <row r="118" ht="16.5" customHeight="1">
      <c r="A118" s="59" t="s">
        <v>80</v>
      </c>
      <c r="B118" s="96">
        <v>1000.0</v>
      </c>
      <c r="C118" s="96">
        <v>1000.0</v>
      </c>
      <c r="D118" s="96">
        <v>1000.0</v>
      </c>
      <c r="E118" s="96">
        <v>1000.0</v>
      </c>
      <c r="F118" s="96">
        <v>1000.0</v>
      </c>
      <c r="G118" s="96">
        <v>1000.0</v>
      </c>
      <c r="H118" s="96">
        <v>1000.0</v>
      </c>
      <c r="I118" s="96">
        <v>1000.0</v>
      </c>
      <c r="J118" s="96">
        <v>1000.0</v>
      </c>
      <c r="K118" s="96">
        <v>1000.0</v>
      </c>
      <c r="L118" s="96">
        <v>1000.0</v>
      </c>
      <c r="M118" s="96">
        <v>1000.0</v>
      </c>
      <c r="N118" s="230">
        <f t="shared" si="30"/>
        <v>12000</v>
      </c>
    </row>
    <row r="119" ht="16.5" customHeight="1">
      <c r="A119" s="61" t="s">
        <v>113</v>
      </c>
      <c r="B119" s="96">
        <v>395.0</v>
      </c>
      <c r="C119" s="96">
        <v>395.0</v>
      </c>
      <c r="D119" s="96">
        <v>395.0</v>
      </c>
      <c r="E119" s="96">
        <v>395.0</v>
      </c>
      <c r="F119" s="96">
        <v>395.0</v>
      </c>
      <c r="G119" s="96">
        <v>395.0</v>
      </c>
      <c r="H119" s="96">
        <v>395.0</v>
      </c>
      <c r="I119" s="96">
        <v>395.0</v>
      </c>
      <c r="J119" s="96">
        <v>395.0</v>
      </c>
      <c r="K119" s="96">
        <v>395.0</v>
      </c>
      <c r="L119" s="96">
        <v>395.0</v>
      </c>
      <c r="M119" s="96">
        <v>395.0</v>
      </c>
      <c r="N119" s="230">
        <f t="shared" si="30"/>
        <v>4740</v>
      </c>
    </row>
    <row r="120" ht="16.5" customHeight="1">
      <c r="A120" s="262" t="s">
        <v>114</v>
      </c>
      <c r="B120" s="96">
        <v>1841.0</v>
      </c>
      <c r="C120" s="96">
        <v>1841.0</v>
      </c>
      <c r="D120" s="96">
        <v>1841.0</v>
      </c>
      <c r="E120" s="96">
        <v>1841.0</v>
      </c>
      <c r="F120" s="96">
        <v>1841.0</v>
      </c>
      <c r="G120" s="96">
        <v>1841.0</v>
      </c>
      <c r="H120" s="96">
        <v>1841.0</v>
      </c>
      <c r="I120" s="96">
        <v>1841.0</v>
      </c>
      <c r="J120" s="96">
        <v>1841.0</v>
      </c>
      <c r="K120" s="96">
        <v>1841.0</v>
      </c>
      <c r="L120" s="96">
        <v>1841.0</v>
      </c>
      <c r="M120" s="96">
        <v>1841.0</v>
      </c>
      <c r="N120" s="230">
        <f t="shared" si="30"/>
        <v>22092</v>
      </c>
    </row>
    <row r="121" ht="16.5" customHeight="1">
      <c r="A121" s="248" t="s">
        <v>23</v>
      </c>
      <c r="B121" s="239">
        <f t="shared" ref="B121:N121" si="31">SUM(B115:B120)</f>
        <v>8356.74</v>
      </c>
      <c r="C121" s="239">
        <f t="shared" si="31"/>
        <v>5581</v>
      </c>
      <c r="D121" s="239">
        <f t="shared" si="31"/>
        <v>5581</v>
      </c>
      <c r="E121" s="239">
        <f t="shared" si="31"/>
        <v>8356.74</v>
      </c>
      <c r="F121" s="239">
        <f t="shared" si="31"/>
        <v>5581</v>
      </c>
      <c r="G121" s="239">
        <f t="shared" si="31"/>
        <v>5581</v>
      </c>
      <c r="H121" s="239">
        <f t="shared" si="31"/>
        <v>8356.74</v>
      </c>
      <c r="I121" s="239">
        <f t="shared" si="31"/>
        <v>5581</v>
      </c>
      <c r="J121" s="239">
        <f t="shared" si="31"/>
        <v>5581</v>
      </c>
      <c r="K121" s="239">
        <f t="shared" si="31"/>
        <v>8478.26</v>
      </c>
      <c r="L121" s="239">
        <f t="shared" si="31"/>
        <v>5581</v>
      </c>
      <c r="M121" s="239">
        <f t="shared" si="31"/>
        <v>5581</v>
      </c>
      <c r="N121" s="239">
        <f t="shared" si="31"/>
        <v>78196.48</v>
      </c>
    </row>
    <row r="122" ht="16.5" customHeight="1">
      <c r="A122" s="263"/>
      <c r="B122" s="264"/>
      <c r="C122" s="264"/>
      <c r="D122" s="264"/>
      <c r="E122" s="264"/>
      <c r="F122" s="264"/>
      <c r="G122" s="264"/>
      <c r="H122" s="264"/>
      <c r="I122" s="264"/>
      <c r="J122" s="264"/>
      <c r="K122" s="264"/>
      <c r="L122" s="264"/>
      <c r="M122" s="264"/>
      <c r="N122" s="264"/>
    </row>
    <row r="123" ht="16.5" customHeight="1">
      <c r="A123" s="263"/>
      <c r="B123" s="264"/>
      <c r="C123" s="264"/>
      <c r="D123" s="264"/>
      <c r="E123" s="264"/>
      <c r="F123" s="264"/>
      <c r="G123" s="264"/>
      <c r="H123" s="264"/>
      <c r="I123" s="264"/>
      <c r="J123" s="264"/>
      <c r="K123" s="264"/>
      <c r="L123" s="264"/>
      <c r="M123" s="264"/>
      <c r="N123" s="264"/>
    </row>
    <row r="124" ht="16.5" customHeight="1">
      <c r="A124" s="64" t="s">
        <v>115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</row>
    <row r="125" ht="16.5" customHeight="1">
      <c r="A125" s="64" t="s">
        <v>116</v>
      </c>
      <c r="B125" s="67">
        <f t="shared" ref="B125:M125" si="32">+B13*0.7+B21*0.7+B32*0.7+B52*0.6+B70+B107*0.6</f>
        <v>35321.75267</v>
      </c>
      <c r="C125" s="67">
        <f t="shared" si="32"/>
        <v>32389.62867</v>
      </c>
      <c r="D125" s="67">
        <f t="shared" si="32"/>
        <v>36733.52333</v>
      </c>
      <c r="E125" s="67">
        <f t="shared" si="32"/>
        <v>35565.33933</v>
      </c>
      <c r="F125" s="67">
        <f t="shared" si="32"/>
        <v>42904.29021</v>
      </c>
      <c r="G125" s="67">
        <f t="shared" si="32"/>
        <v>41264.49021</v>
      </c>
      <c r="H125" s="67">
        <f t="shared" si="32"/>
        <v>35808.33933</v>
      </c>
      <c r="I125" s="67">
        <f t="shared" si="32"/>
        <v>36826.27913</v>
      </c>
      <c r="J125" s="67">
        <f t="shared" si="32"/>
        <v>38300.73188</v>
      </c>
      <c r="K125" s="67">
        <f t="shared" si="32"/>
        <v>39133.79988</v>
      </c>
      <c r="L125" s="67">
        <f t="shared" si="32"/>
        <v>41011.29021</v>
      </c>
      <c r="M125" s="67">
        <f t="shared" si="32"/>
        <v>41011.29021</v>
      </c>
      <c r="N125" s="67">
        <f t="shared" ref="N125:N126" si="34">SUM(B125:M125)</f>
        <v>456270.7551</v>
      </c>
    </row>
    <row r="126" ht="16.5" customHeight="1">
      <c r="A126" s="64" t="s">
        <v>117</v>
      </c>
      <c r="B126" s="67">
        <f t="shared" ref="B126:M126" si="33">+B13*0.3+B21*0.3+B32*0.3+B52*0.4+B82+B90+B107*0.4</f>
        <v>19359.524</v>
      </c>
      <c r="C126" s="67">
        <f t="shared" si="33"/>
        <v>17196.368</v>
      </c>
      <c r="D126" s="67">
        <f t="shared" si="33"/>
        <v>19348.66</v>
      </c>
      <c r="E126" s="67">
        <f t="shared" si="33"/>
        <v>18403.204</v>
      </c>
      <c r="F126" s="67">
        <f t="shared" si="33"/>
        <v>21999.18295</v>
      </c>
      <c r="G126" s="67">
        <f t="shared" si="33"/>
        <v>21405.98295</v>
      </c>
      <c r="H126" s="67">
        <f t="shared" si="33"/>
        <v>18565.204</v>
      </c>
      <c r="I126" s="67">
        <f t="shared" si="33"/>
        <v>19410.4972</v>
      </c>
      <c r="J126" s="67">
        <f t="shared" si="33"/>
        <v>20137.65795</v>
      </c>
      <c r="K126" s="67">
        <f t="shared" si="33"/>
        <v>20026.36995</v>
      </c>
      <c r="L126" s="67">
        <f t="shared" si="33"/>
        <v>21237.18295</v>
      </c>
      <c r="M126" s="67">
        <f t="shared" si="33"/>
        <v>21237.18295</v>
      </c>
      <c r="N126" s="67">
        <f t="shared" si="34"/>
        <v>238327.0169</v>
      </c>
    </row>
    <row r="127" ht="16.5" customHeight="1">
      <c r="A127" s="64" t="s">
        <v>23</v>
      </c>
      <c r="B127" s="67">
        <f t="shared" ref="B127:N127" si="35">SUM(B125:B126)</f>
        <v>54681.27667</v>
      </c>
      <c r="C127" s="67">
        <f t="shared" si="35"/>
        <v>49585.99667</v>
      </c>
      <c r="D127" s="67">
        <f t="shared" si="35"/>
        <v>56082.18333</v>
      </c>
      <c r="E127" s="67">
        <f t="shared" si="35"/>
        <v>53968.54333</v>
      </c>
      <c r="F127" s="67">
        <f t="shared" si="35"/>
        <v>64903.47316</v>
      </c>
      <c r="G127" s="67">
        <f t="shared" si="35"/>
        <v>62670.47316</v>
      </c>
      <c r="H127" s="67">
        <f t="shared" si="35"/>
        <v>54373.54333</v>
      </c>
      <c r="I127" s="67">
        <f t="shared" si="35"/>
        <v>56236.77633</v>
      </c>
      <c r="J127" s="67">
        <f t="shared" si="35"/>
        <v>58438.38982</v>
      </c>
      <c r="K127" s="67">
        <f t="shared" si="35"/>
        <v>59160.16982</v>
      </c>
      <c r="L127" s="67">
        <f t="shared" si="35"/>
        <v>62248.47316</v>
      </c>
      <c r="M127" s="67">
        <f t="shared" si="35"/>
        <v>62248.47316</v>
      </c>
      <c r="N127" s="67">
        <f t="shared" si="35"/>
        <v>694597.7719</v>
      </c>
    </row>
    <row r="128" ht="16.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</row>
    <row r="129" ht="16.5" customHeight="1">
      <c r="A129" s="69" t="s">
        <v>118</v>
      </c>
      <c r="B129" s="70">
        <f t="shared" ref="B129:N129" si="36">+B109</f>
        <v>54681.27667</v>
      </c>
      <c r="C129" s="70">
        <f t="shared" si="36"/>
        <v>49585.99667</v>
      </c>
      <c r="D129" s="70">
        <f t="shared" si="36"/>
        <v>56082.18333</v>
      </c>
      <c r="E129" s="70">
        <f t="shared" si="36"/>
        <v>53968.54333</v>
      </c>
      <c r="F129" s="70">
        <f t="shared" si="36"/>
        <v>64903.47316</v>
      </c>
      <c r="G129" s="70">
        <f t="shared" si="36"/>
        <v>62670.47316</v>
      </c>
      <c r="H129" s="70">
        <f t="shared" si="36"/>
        <v>54373.54333</v>
      </c>
      <c r="I129" s="70">
        <f t="shared" si="36"/>
        <v>56236.77633</v>
      </c>
      <c r="J129" s="70">
        <f t="shared" si="36"/>
        <v>58438.38982</v>
      </c>
      <c r="K129" s="70">
        <f t="shared" si="36"/>
        <v>59160.16982</v>
      </c>
      <c r="L129" s="70">
        <f t="shared" si="36"/>
        <v>62248.47316</v>
      </c>
      <c r="M129" s="70">
        <f t="shared" si="36"/>
        <v>62248.47316</v>
      </c>
      <c r="N129" s="70">
        <f t="shared" si="36"/>
        <v>694597.7719</v>
      </c>
    </row>
    <row r="130" ht="16.5" customHeight="1">
      <c r="A130" s="263"/>
      <c r="B130" s="264"/>
      <c r="C130" s="264"/>
      <c r="D130" s="264"/>
      <c r="E130" s="264"/>
      <c r="F130" s="264"/>
      <c r="G130" s="264"/>
      <c r="H130" s="264"/>
      <c r="I130" s="264"/>
      <c r="J130" s="264"/>
      <c r="K130" s="264"/>
      <c r="L130" s="264"/>
      <c r="M130" s="264"/>
      <c r="N130" s="264"/>
    </row>
    <row r="131" ht="16.5" customHeight="1">
      <c r="A131" s="263"/>
      <c r="B131" s="264"/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</row>
  </sheetData>
  <mergeCells count="1">
    <mergeCell ref="A1:N1"/>
  </mergeCell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1.38"/>
    <col customWidth="1" min="2" max="9" width="9.13"/>
    <col customWidth="1" min="10" max="10" width="9.63"/>
    <col customWidth="1" min="11" max="13" width="9.13"/>
    <col customWidth="1" min="14" max="14" width="10.63"/>
  </cols>
  <sheetData>
    <row r="1" ht="13.5" customHeight="1">
      <c r="A1" s="76" t="s">
        <v>223</v>
      </c>
    </row>
    <row r="2" ht="13.5" customHeight="1">
      <c r="A2" s="16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ht="13.5" customHeight="1">
      <c r="A3" s="16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</row>
    <row r="4" ht="13.5" customHeight="1">
      <c r="A4" s="79" t="s">
        <v>14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</row>
    <row r="5" ht="13.5" customHeight="1">
      <c r="A5" s="15" t="s">
        <v>15</v>
      </c>
      <c r="B5" s="46">
        <f>FORMULAS!S47</f>
        <v>5526.349206</v>
      </c>
      <c r="C5" s="46">
        <f>FORMULAS!W47</f>
        <v>5526.349206</v>
      </c>
      <c r="D5" s="46">
        <f>FORMULAS!AA47</f>
        <v>5526.349206</v>
      </c>
      <c r="E5" s="46">
        <f>FORMULAS!AE47</f>
        <v>7424.584369</v>
      </c>
      <c r="F5" s="46">
        <f>FORMULAS!AI47</f>
        <v>10565.12045</v>
      </c>
      <c r="G5" s="46">
        <f>FORMULAS!AM47</f>
        <v>9615.204996</v>
      </c>
      <c r="H5" s="46">
        <f>FORMULAS!AQ47</f>
        <v>6524.60339</v>
      </c>
      <c r="I5" s="46">
        <f>FORMULAS!AU47</f>
        <v>6524.60339</v>
      </c>
      <c r="J5" s="46">
        <f>FORMULAS!AY47</f>
        <v>8241.604282</v>
      </c>
      <c r="K5" s="46">
        <f>FORMULAS!BC47</f>
        <v>8241.604282</v>
      </c>
      <c r="L5" s="46">
        <f>FORMULAS!BG47</f>
        <v>9615.204996</v>
      </c>
      <c r="M5" s="46">
        <f>FORMULAS!BK47</f>
        <v>9615.204996</v>
      </c>
      <c r="N5" s="17">
        <f t="shared" ref="N5:N12" si="1">SUM(B5:M5)</f>
        <v>92946.78277</v>
      </c>
    </row>
    <row r="6" ht="13.5" customHeight="1">
      <c r="A6" s="15" t="s">
        <v>123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7">
        <f t="shared" si="1"/>
        <v>0</v>
      </c>
    </row>
    <row r="7" ht="13.5" customHeight="1">
      <c r="A7" s="15" t="s">
        <v>17</v>
      </c>
      <c r="B7" s="87"/>
      <c r="C7" s="46"/>
      <c r="D7" s="87"/>
      <c r="E7" s="87"/>
      <c r="F7" s="87"/>
      <c r="G7" s="87"/>
      <c r="H7" s="87"/>
      <c r="I7" s="87"/>
      <c r="J7" s="87"/>
      <c r="K7" s="87"/>
      <c r="L7" s="87"/>
      <c r="M7" s="87"/>
      <c r="N7" s="17">
        <f t="shared" si="1"/>
        <v>0</v>
      </c>
    </row>
    <row r="8" ht="13.5" customHeight="1">
      <c r="A8" s="15" t="s">
        <v>18</v>
      </c>
      <c r="B8" s="46"/>
      <c r="C8" s="46"/>
      <c r="D8" s="46"/>
      <c r="E8" s="46"/>
      <c r="F8" s="46"/>
      <c r="G8" s="87"/>
      <c r="H8" s="87"/>
      <c r="I8" s="87"/>
      <c r="J8" s="87"/>
      <c r="K8" s="87"/>
      <c r="L8" s="87"/>
      <c r="M8" s="87"/>
      <c r="N8" s="17">
        <f t="shared" si="1"/>
        <v>0</v>
      </c>
    </row>
    <row r="9" ht="13.5" customHeight="1">
      <c r="A9" s="20" t="s">
        <v>168</v>
      </c>
      <c r="B9" s="46">
        <f>FORMULAS!S95</f>
        <v>493.4240363</v>
      </c>
      <c r="C9" s="46">
        <f>FORMULAS!W95</f>
        <v>493.4240363</v>
      </c>
      <c r="D9" s="46">
        <f>FORMULAS!AA95</f>
        <v>493.4240363</v>
      </c>
      <c r="E9" s="46">
        <f>FORMULAS!AE95</f>
        <v>2765.042951</v>
      </c>
      <c r="F9" s="46">
        <f>FORMULAS!AI95</f>
        <v>4817.694924</v>
      </c>
      <c r="G9" s="46">
        <f>FORMULAS!AM95</f>
        <v>4384.533478</v>
      </c>
      <c r="H9" s="46">
        <f>FORMULAS!AQ95</f>
        <v>2516.436508</v>
      </c>
      <c r="I9" s="46">
        <f>FORMULAS!AU95</f>
        <v>2516.436508</v>
      </c>
      <c r="J9" s="46">
        <f>FORMULAS!AY95</f>
        <v>3450.484993</v>
      </c>
      <c r="K9" s="46">
        <f>FORMULAS!BC95</f>
        <v>3450.484993</v>
      </c>
      <c r="L9" s="46">
        <f>FORMULAS!BG95</f>
        <v>4384.533478</v>
      </c>
      <c r="M9" s="46">
        <f>FORMULAS!BK95</f>
        <v>4384.533478</v>
      </c>
      <c r="N9" s="17">
        <f t="shared" si="1"/>
        <v>34150.45342</v>
      </c>
    </row>
    <row r="10" ht="13.5" customHeight="1">
      <c r="A10" s="20" t="s">
        <v>20</v>
      </c>
      <c r="B10" s="46">
        <f>FORMULAS!S71</f>
        <v>2120.078609</v>
      </c>
      <c r="C10" s="46">
        <f>FORMULAS!W71</f>
        <v>1553.496236</v>
      </c>
      <c r="D10" s="46">
        <f>FORMULAS!AA71</f>
        <v>2248.434649</v>
      </c>
      <c r="E10" s="46">
        <f>FORMULAS!AE71</f>
        <v>2023.038549</v>
      </c>
      <c r="F10" s="46">
        <f>FORMULAS!AI71</f>
        <v>0</v>
      </c>
      <c r="G10" s="46">
        <f>FORMULAS!AM71</f>
        <v>0</v>
      </c>
      <c r="H10" s="46">
        <f>FORMULAS!AQ71</f>
        <v>0</v>
      </c>
      <c r="I10" s="46">
        <f>FORMULAS!AU71</f>
        <v>0</v>
      </c>
      <c r="J10" s="46">
        <f>FORMULAS!AY71</f>
        <v>0</v>
      </c>
      <c r="K10" s="46">
        <f>FORMULAS!BC71</f>
        <v>1923.040999</v>
      </c>
      <c r="L10" s="46">
        <f>FORMULAS!BG71</f>
        <v>1923.040999</v>
      </c>
      <c r="M10" s="46">
        <f>FORMULAS!BK71</f>
        <v>1923.040999</v>
      </c>
      <c r="N10" s="17">
        <f t="shared" si="1"/>
        <v>13714.17104</v>
      </c>
    </row>
    <row r="11" ht="13.5" customHeight="1">
      <c r="A11" s="15" t="s">
        <v>21</v>
      </c>
      <c r="B11" s="87">
        <v>388.0</v>
      </c>
      <c r="C11" s="87">
        <v>426.88</v>
      </c>
      <c r="D11" s="87">
        <v>388.0</v>
      </c>
      <c r="E11" s="87">
        <v>388.0</v>
      </c>
      <c r="F11" s="87">
        <v>388.0</v>
      </c>
      <c r="G11" s="87">
        <v>388.0</v>
      </c>
      <c r="H11" s="87">
        <v>388.0</v>
      </c>
      <c r="I11" s="87">
        <v>388.0</v>
      </c>
      <c r="J11" s="87">
        <v>388.0</v>
      </c>
      <c r="K11" s="87">
        <v>388.0</v>
      </c>
      <c r="L11" s="87">
        <v>388.0</v>
      </c>
      <c r="M11" s="87">
        <v>388.0</v>
      </c>
      <c r="N11" s="17">
        <f t="shared" si="1"/>
        <v>4694.88</v>
      </c>
    </row>
    <row r="12" ht="13.5" customHeight="1">
      <c r="A12" s="15" t="s">
        <v>22</v>
      </c>
      <c r="B12" s="46">
        <f>PRODUCTION!O3</f>
        <v>700</v>
      </c>
      <c r="C12" s="46">
        <f>PRODUCTION!O4</f>
        <v>1370.6</v>
      </c>
      <c r="D12" s="46">
        <f>PRODUCTION!O5</f>
        <v>1370.6</v>
      </c>
      <c r="E12" s="46">
        <f>PRODUCTION!O6</f>
        <v>1370.6</v>
      </c>
      <c r="F12" s="46">
        <f>PRODUCTION!O7</f>
        <v>1370.6</v>
      </c>
      <c r="G12" s="46">
        <f>PRODUCTION!O8</f>
        <v>1370.6</v>
      </c>
      <c r="H12" s="46">
        <f>PRODUCTION!O9</f>
        <v>1370.6</v>
      </c>
      <c r="I12" s="46">
        <f>PRODUCTION!O10</f>
        <v>1370.6</v>
      </c>
      <c r="J12" s="46">
        <f>PRODUCTION!O11</f>
        <v>1370.6</v>
      </c>
      <c r="K12" s="46">
        <f>PRODUCTION!O12</f>
        <v>1370.6</v>
      </c>
      <c r="L12" s="46">
        <f>PRODUCTION!O13</f>
        <v>1370.6</v>
      </c>
      <c r="M12" s="46">
        <f>PRODUCTION!O14</f>
        <v>1370.6</v>
      </c>
      <c r="N12" s="17">
        <f t="shared" si="1"/>
        <v>15776.6</v>
      </c>
    </row>
    <row r="13" ht="13.5" customHeight="1">
      <c r="A13" s="21" t="s">
        <v>23</v>
      </c>
      <c r="B13" s="22">
        <f t="shared" ref="B13:N13" si="2">SUM(B5:B12)</f>
        <v>9227.851852</v>
      </c>
      <c r="C13" s="22">
        <f t="shared" si="2"/>
        <v>9370.749478</v>
      </c>
      <c r="D13" s="22">
        <f t="shared" si="2"/>
        <v>10026.80789</v>
      </c>
      <c r="E13" s="22">
        <f t="shared" si="2"/>
        <v>13971.26587</v>
      </c>
      <c r="F13" s="22">
        <f t="shared" si="2"/>
        <v>17141.41537</v>
      </c>
      <c r="G13" s="22">
        <f t="shared" si="2"/>
        <v>15758.33847</v>
      </c>
      <c r="H13" s="22">
        <f t="shared" si="2"/>
        <v>10799.6399</v>
      </c>
      <c r="I13" s="22">
        <f t="shared" si="2"/>
        <v>10799.6399</v>
      </c>
      <c r="J13" s="22">
        <f t="shared" si="2"/>
        <v>13450.68928</v>
      </c>
      <c r="K13" s="22">
        <f t="shared" si="2"/>
        <v>15373.73027</v>
      </c>
      <c r="L13" s="22">
        <f t="shared" si="2"/>
        <v>17681.37947</v>
      </c>
      <c r="M13" s="22">
        <f t="shared" si="2"/>
        <v>17681.37947</v>
      </c>
      <c r="N13" s="22">
        <f t="shared" si="2"/>
        <v>161282.8872</v>
      </c>
    </row>
    <row r="14" ht="13.5" customHeight="1">
      <c r="A14" s="89" t="s">
        <v>24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83"/>
    </row>
    <row r="15" ht="13.5" customHeight="1">
      <c r="A15" s="35" t="s">
        <v>153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17">
        <f t="shared" ref="N15:N18" si="3">SUM(B15:M15)</f>
        <v>0</v>
      </c>
    </row>
    <row r="16" ht="13.5" customHeight="1">
      <c r="A16" s="35" t="s">
        <v>26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17">
        <f t="shared" si="3"/>
        <v>0</v>
      </c>
    </row>
    <row r="17" ht="13.5" customHeight="1">
      <c r="A17" s="35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17">
        <f t="shared" si="3"/>
        <v>0</v>
      </c>
    </row>
    <row r="18" ht="13.5" customHeight="1">
      <c r="A18" s="35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17">
        <f t="shared" si="3"/>
        <v>0</v>
      </c>
    </row>
    <row r="19" ht="13.5" customHeight="1">
      <c r="A19" s="27" t="s">
        <v>29</v>
      </c>
      <c r="B19" s="103"/>
      <c r="C19" s="103"/>
      <c r="D19" s="28"/>
      <c r="E19" s="87"/>
      <c r="F19" s="28"/>
      <c r="G19" s="28"/>
      <c r="H19" s="28"/>
      <c r="I19" s="28"/>
      <c r="J19" s="28"/>
      <c r="K19" s="28"/>
      <c r="L19" s="28"/>
      <c r="M19" s="28"/>
      <c r="N19" s="17">
        <f>SUM(C19:M19)</f>
        <v>0</v>
      </c>
    </row>
    <row r="20" ht="13.5" customHeight="1">
      <c r="A20" s="35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17">
        <f>SUM(B20:M20)</f>
        <v>0</v>
      </c>
    </row>
    <row r="21" ht="13.5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</row>
    <row r="22" ht="13.5" customHeight="1">
      <c r="A22" s="89" t="s">
        <v>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3"/>
    </row>
    <row r="23" ht="13.5" customHeight="1">
      <c r="A23" s="26" t="s">
        <v>31</v>
      </c>
      <c r="B23" s="87">
        <v>0.0</v>
      </c>
      <c r="C23" s="87">
        <v>0.0</v>
      </c>
      <c r="D23" s="87">
        <v>6816.66</v>
      </c>
      <c r="E23" s="87">
        <v>0.0</v>
      </c>
      <c r="F23" s="87">
        <v>0.0</v>
      </c>
      <c r="G23" s="87">
        <v>0.0</v>
      </c>
      <c r="H23" s="87">
        <v>0.0</v>
      </c>
      <c r="I23" s="87">
        <v>0.0</v>
      </c>
      <c r="J23" s="87">
        <v>0.0</v>
      </c>
      <c r="K23" s="87">
        <v>0.0</v>
      </c>
      <c r="L23" s="87">
        <v>0.0</v>
      </c>
      <c r="M23" s="87">
        <v>0.0</v>
      </c>
      <c r="N23" s="17">
        <f t="shared" ref="N23:N31" si="5">SUM(B23:M23)</f>
        <v>6816.66</v>
      </c>
    </row>
    <row r="24" ht="13.5" customHeight="1">
      <c r="A24" s="32"/>
      <c r="B24" s="46"/>
      <c r="C24" s="46"/>
      <c r="D24" s="46"/>
      <c r="E24" s="46"/>
      <c r="F24" s="46"/>
      <c r="G24" s="46"/>
      <c r="H24" s="46"/>
      <c r="I24" s="87"/>
      <c r="J24" s="87"/>
      <c r="K24" s="46"/>
      <c r="L24" s="46"/>
      <c r="M24" s="46"/>
      <c r="N24" s="17">
        <f t="shared" si="5"/>
        <v>0</v>
      </c>
    </row>
    <row r="25" ht="13.5" customHeight="1">
      <c r="A25" s="15" t="s">
        <v>127</v>
      </c>
      <c r="B25" s="46"/>
      <c r="C25" s="46"/>
      <c r="D25" s="46"/>
      <c r="E25" s="46"/>
      <c r="F25" s="46"/>
      <c r="G25" s="46"/>
      <c r="H25" s="46"/>
      <c r="I25" s="87"/>
      <c r="J25" s="46"/>
      <c r="K25" s="46"/>
      <c r="L25" s="46"/>
      <c r="M25" s="46"/>
      <c r="N25" s="17">
        <f t="shared" si="5"/>
        <v>0</v>
      </c>
    </row>
    <row r="26" ht="13.5" customHeight="1">
      <c r="A26" s="32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17">
        <f t="shared" si="5"/>
        <v>0</v>
      </c>
    </row>
    <row r="27" ht="13.5" customHeight="1">
      <c r="A27" s="31" t="s">
        <v>34</v>
      </c>
      <c r="B27" s="28"/>
      <c r="C27" s="28"/>
      <c r="D27" s="139"/>
      <c r="E27" s="140"/>
      <c r="F27" s="141"/>
      <c r="G27" s="141"/>
      <c r="H27" s="140"/>
      <c r="I27" s="141"/>
      <c r="J27" s="140"/>
      <c r="K27" s="141"/>
      <c r="L27" s="141"/>
      <c r="M27" s="141"/>
      <c r="N27" s="17">
        <f t="shared" si="5"/>
        <v>0</v>
      </c>
    </row>
    <row r="28" ht="13.5" customHeight="1">
      <c r="A28" s="33" t="s">
        <v>35</v>
      </c>
      <c r="B28" s="28"/>
      <c r="C28" s="28"/>
      <c r="D28" s="87"/>
      <c r="E28" s="28"/>
      <c r="F28" s="28"/>
      <c r="G28" s="28"/>
      <c r="H28" s="28"/>
      <c r="I28" s="28"/>
      <c r="J28" s="87"/>
      <c r="K28" s="28"/>
      <c r="L28" s="28"/>
      <c r="M28" s="28"/>
      <c r="N28" s="17">
        <f t="shared" si="5"/>
        <v>0</v>
      </c>
    </row>
    <row r="29" ht="13.5" customHeight="1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17">
        <f t="shared" si="5"/>
        <v>0</v>
      </c>
    </row>
    <row r="30" ht="13.5" customHeight="1">
      <c r="A30" s="31" t="s">
        <v>224</v>
      </c>
      <c r="B30" s="87"/>
      <c r="C30" s="87"/>
      <c r="D30" s="87"/>
      <c r="E30" s="87"/>
      <c r="F30" s="28"/>
      <c r="G30" s="87"/>
      <c r="H30" s="87"/>
      <c r="I30" s="87"/>
      <c r="J30" s="87"/>
      <c r="K30" s="28"/>
      <c r="L30" s="87"/>
      <c r="M30" s="28"/>
      <c r="N30" s="17">
        <f t="shared" si="5"/>
        <v>0</v>
      </c>
    </row>
    <row r="31" ht="13.5" customHeight="1">
      <c r="A31" s="3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17">
        <f t="shared" si="5"/>
        <v>0</v>
      </c>
    </row>
    <row r="32" ht="13.5" customHeight="1">
      <c r="A32" s="91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6816.66</v>
      </c>
      <c r="E32" s="28">
        <f t="shared" si="6"/>
        <v>0</v>
      </c>
      <c r="F32" s="28">
        <f t="shared" si="6"/>
        <v>0</v>
      </c>
      <c r="G32" s="28">
        <f t="shared" si="6"/>
        <v>0</v>
      </c>
      <c r="H32" s="28">
        <f t="shared" si="6"/>
        <v>0</v>
      </c>
      <c r="I32" s="28">
        <f t="shared" si="6"/>
        <v>0</v>
      </c>
      <c r="J32" s="28">
        <f t="shared" si="6"/>
        <v>0</v>
      </c>
      <c r="K32" s="28">
        <f t="shared" si="6"/>
        <v>0</v>
      </c>
      <c r="L32" s="28">
        <f t="shared" si="6"/>
        <v>0</v>
      </c>
      <c r="M32" s="28">
        <f t="shared" si="6"/>
        <v>0</v>
      </c>
      <c r="N32" s="28">
        <f t="shared" si="6"/>
        <v>6816.66</v>
      </c>
    </row>
    <row r="33" ht="13.5" customHeight="1">
      <c r="A33" s="79" t="s">
        <v>38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</row>
    <row r="34" ht="13.5" customHeight="1">
      <c r="A34" s="15" t="s">
        <v>39</v>
      </c>
      <c r="B34" s="87">
        <f t="shared" ref="B34:M34" si="7">1599+61.9+850</f>
        <v>2510.9</v>
      </c>
      <c r="C34" s="87">
        <f t="shared" si="7"/>
        <v>2510.9</v>
      </c>
      <c r="D34" s="87">
        <f t="shared" si="7"/>
        <v>2510.9</v>
      </c>
      <c r="E34" s="87">
        <f t="shared" si="7"/>
        <v>2510.9</v>
      </c>
      <c r="F34" s="87">
        <f t="shared" si="7"/>
        <v>2510.9</v>
      </c>
      <c r="G34" s="87">
        <f t="shared" si="7"/>
        <v>2510.9</v>
      </c>
      <c r="H34" s="87">
        <f t="shared" si="7"/>
        <v>2510.9</v>
      </c>
      <c r="I34" s="87">
        <f t="shared" si="7"/>
        <v>2510.9</v>
      </c>
      <c r="J34" s="87">
        <f t="shared" si="7"/>
        <v>2510.9</v>
      </c>
      <c r="K34" s="87">
        <f t="shared" si="7"/>
        <v>2510.9</v>
      </c>
      <c r="L34" s="87">
        <f t="shared" si="7"/>
        <v>2510.9</v>
      </c>
      <c r="M34" s="87">
        <f t="shared" si="7"/>
        <v>2510.9</v>
      </c>
      <c r="N34" s="17">
        <f t="shared" ref="N34:N51" si="8">SUM(B34:M34)</f>
        <v>30130.8</v>
      </c>
    </row>
    <row r="35" ht="13.5" customHeight="1">
      <c r="A35" s="19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17">
        <f t="shared" si="8"/>
        <v>0</v>
      </c>
    </row>
    <row r="36" ht="13.5" customHeight="1">
      <c r="A36" s="35" t="s">
        <v>41</v>
      </c>
      <c r="B36" s="87">
        <f t="shared" ref="B36:M36" si="9">395+75</f>
        <v>470</v>
      </c>
      <c r="C36" s="87">
        <f t="shared" si="9"/>
        <v>470</v>
      </c>
      <c r="D36" s="87">
        <f t="shared" si="9"/>
        <v>470</v>
      </c>
      <c r="E36" s="87">
        <f t="shared" si="9"/>
        <v>470</v>
      </c>
      <c r="F36" s="87">
        <f t="shared" si="9"/>
        <v>470</v>
      </c>
      <c r="G36" s="87">
        <f t="shared" si="9"/>
        <v>470</v>
      </c>
      <c r="H36" s="87">
        <f t="shared" si="9"/>
        <v>470</v>
      </c>
      <c r="I36" s="87">
        <f t="shared" si="9"/>
        <v>470</v>
      </c>
      <c r="J36" s="87">
        <f t="shared" si="9"/>
        <v>470</v>
      </c>
      <c r="K36" s="87">
        <f t="shared" si="9"/>
        <v>470</v>
      </c>
      <c r="L36" s="87">
        <f t="shared" si="9"/>
        <v>470</v>
      </c>
      <c r="M36" s="87">
        <f t="shared" si="9"/>
        <v>470</v>
      </c>
      <c r="N36" s="17">
        <f t="shared" si="8"/>
        <v>5640</v>
      </c>
    </row>
    <row r="37" ht="13.5" customHeight="1">
      <c r="A37" s="35" t="s">
        <v>42</v>
      </c>
      <c r="B37" s="87">
        <v>759.0</v>
      </c>
      <c r="C37" s="87">
        <v>759.0</v>
      </c>
      <c r="D37" s="87">
        <v>759.0</v>
      </c>
      <c r="E37" s="87">
        <v>759.0</v>
      </c>
      <c r="F37" s="87">
        <v>759.0</v>
      </c>
      <c r="G37" s="87">
        <v>759.0</v>
      </c>
      <c r="H37" s="87">
        <v>759.0</v>
      </c>
      <c r="I37" s="87">
        <v>759.0</v>
      </c>
      <c r="J37" s="87">
        <v>759.0</v>
      </c>
      <c r="K37" s="87">
        <v>759.0</v>
      </c>
      <c r="L37" s="87">
        <v>759.0</v>
      </c>
      <c r="M37" s="87">
        <v>759.0</v>
      </c>
      <c r="N37" s="17">
        <f t="shared" si="8"/>
        <v>9108</v>
      </c>
    </row>
    <row r="38" ht="13.5" customHeight="1">
      <c r="A38" s="35" t="s">
        <v>43</v>
      </c>
      <c r="B38" s="46"/>
      <c r="C38" s="46"/>
      <c r="D38" s="46"/>
      <c r="E38" s="46"/>
      <c r="F38" s="46"/>
      <c r="G38" s="46"/>
      <c r="H38" s="46"/>
      <c r="I38" s="46"/>
      <c r="J38" s="87"/>
      <c r="K38" s="87"/>
      <c r="L38" s="87"/>
      <c r="M38" s="87"/>
      <c r="N38" s="17">
        <f t="shared" si="8"/>
        <v>0</v>
      </c>
    </row>
    <row r="39" ht="13.5" customHeight="1">
      <c r="A39" s="35" t="s">
        <v>44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17">
        <f t="shared" si="8"/>
        <v>0</v>
      </c>
    </row>
    <row r="40" ht="13.5" customHeight="1">
      <c r="A40" s="35" t="s">
        <v>45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17">
        <f t="shared" si="8"/>
        <v>0</v>
      </c>
    </row>
    <row r="41" ht="13.5" customHeight="1">
      <c r="A41" s="39" t="s">
        <v>181</v>
      </c>
      <c r="B41" s="87">
        <f t="shared" ref="B41:M41" si="10">6440</f>
        <v>6440</v>
      </c>
      <c r="C41" s="87">
        <f t="shared" si="10"/>
        <v>6440</v>
      </c>
      <c r="D41" s="87">
        <f t="shared" si="10"/>
        <v>6440</v>
      </c>
      <c r="E41" s="87">
        <f t="shared" si="10"/>
        <v>6440</v>
      </c>
      <c r="F41" s="87">
        <f t="shared" si="10"/>
        <v>6440</v>
      </c>
      <c r="G41" s="87">
        <f t="shared" si="10"/>
        <v>6440</v>
      </c>
      <c r="H41" s="87">
        <f t="shared" si="10"/>
        <v>6440</v>
      </c>
      <c r="I41" s="87">
        <f t="shared" si="10"/>
        <v>6440</v>
      </c>
      <c r="J41" s="87">
        <f t="shared" si="10"/>
        <v>6440</v>
      </c>
      <c r="K41" s="87">
        <f t="shared" si="10"/>
        <v>6440</v>
      </c>
      <c r="L41" s="87">
        <f t="shared" si="10"/>
        <v>6440</v>
      </c>
      <c r="M41" s="87">
        <f t="shared" si="10"/>
        <v>6440</v>
      </c>
      <c r="N41" s="17">
        <f t="shared" si="8"/>
        <v>77280</v>
      </c>
    </row>
    <row r="42" ht="13.5" customHeight="1">
      <c r="A42" s="19" t="s">
        <v>225</v>
      </c>
      <c r="B42" s="87">
        <v>365.0</v>
      </c>
      <c r="C42" s="87">
        <v>365.0</v>
      </c>
      <c r="D42" s="87">
        <v>365.0</v>
      </c>
      <c r="E42" s="87">
        <v>365.0</v>
      </c>
      <c r="F42" s="87">
        <v>365.0</v>
      </c>
      <c r="G42" s="87">
        <v>365.0</v>
      </c>
      <c r="H42" s="87">
        <v>365.0</v>
      </c>
      <c r="I42" s="87">
        <v>365.0</v>
      </c>
      <c r="J42" s="87">
        <v>365.0</v>
      </c>
      <c r="K42" s="87">
        <v>365.0</v>
      </c>
      <c r="L42" s="87">
        <v>365.0</v>
      </c>
      <c r="M42" s="87">
        <v>365.0</v>
      </c>
      <c r="N42" s="17">
        <f t="shared" si="8"/>
        <v>4380</v>
      </c>
    </row>
    <row r="43" ht="13.5" customHeight="1">
      <c r="A43" s="19" t="s">
        <v>48</v>
      </c>
      <c r="B43" s="87">
        <v>949.0</v>
      </c>
      <c r="C43" s="87">
        <v>949.0</v>
      </c>
      <c r="D43" s="87">
        <v>949.0</v>
      </c>
      <c r="E43" s="87">
        <v>949.0</v>
      </c>
      <c r="F43" s="87">
        <v>949.0</v>
      </c>
      <c r="G43" s="87">
        <v>949.0</v>
      </c>
      <c r="H43" s="87">
        <v>949.0</v>
      </c>
      <c r="I43" s="87">
        <v>949.0</v>
      </c>
      <c r="J43" s="87">
        <v>949.0</v>
      </c>
      <c r="K43" s="87">
        <v>949.0</v>
      </c>
      <c r="L43" s="87">
        <v>949.0</v>
      </c>
      <c r="M43" s="87">
        <v>949.0</v>
      </c>
      <c r="N43" s="17">
        <f t="shared" si="8"/>
        <v>11388</v>
      </c>
    </row>
    <row r="44" ht="13.5" customHeight="1">
      <c r="A44" s="31" t="s">
        <v>130</v>
      </c>
      <c r="B44" s="87">
        <v>249.0</v>
      </c>
      <c r="C44" s="87">
        <v>249.0</v>
      </c>
      <c r="D44" s="87">
        <v>249.0</v>
      </c>
      <c r="E44" s="87">
        <v>249.0</v>
      </c>
      <c r="F44" s="87">
        <v>249.0</v>
      </c>
      <c r="G44" s="87">
        <v>249.0</v>
      </c>
      <c r="H44" s="87">
        <v>249.0</v>
      </c>
      <c r="I44" s="87">
        <v>249.0</v>
      </c>
      <c r="J44" s="87">
        <v>249.0</v>
      </c>
      <c r="K44" s="87">
        <v>249.0</v>
      </c>
      <c r="L44" s="87">
        <v>249.0</v>
      </c>
      <c r="M44" s="87">
        <v>249.0</v>
      </c>
      <c r="N44" s="17">
        <f t="shared" si="8"/>
        <v>2988</v>
      </c>
    </row>
    <row r="45" ht="13.5" customHeight="1">
      <c r="A45" s="156" t="s">
        <v>50</v>
      </c>
      <c r="B45" s="46">
        <f t="shared" ref="B45:M45" si="11">45+97.5</f>
        <v>142.5</v>
      </c>
      <c r="C45" s="46">
        <f t="shared" si="11"/>
        <v>142.5</v>
      </c>
      <c r="D45" s="46">
        <f t="shared" si="11"/>
        <v>142.5</v>
      </c>
      <c r="E45" s="46">
        <f t="shared" si="11"/>
        <v>142.5</v>
      </c>
      <c r="F45" s="46">
        <f t="shared" si="11"/>
        <v>142.5</v>
      </c>
      <c r="G45" s="46">
        <f t="shared" si="11"/>
        <v>142.5</v>
      </c>
      <c r="H45" s="46">
        <f t="shared" si="11"/>
        <v>142.5</v>
      </c>
      <c r="I45" s="46">
        <f t="shared" si="11"/>
        <v>142.5</v>
      </c>
      <c r="J45" s="46">
        <f t="shared" si="11"/>
        <v>142.5</v>
      </c>
      <c r="K45" s="46">
        <f t="shared" si="11"/>
        <v>142.5</v>
      </c>
      <c r="L45" s="46">
        <f t="shared" si="11"/>
        <v>142.5</v>
      </c>
      <c r="M45" s="46">
        <f t="shared" si="11"/>
        <v>142.5</v>
      </c>
      <c r="N45" s="17">
        <f t="shared" si="8"/>
        <v>1710</v>
      </c>
    </row>
    <row r="46" ht="13.5" customHeight="1">
      <c r="A46" s="15" t="s">
        <v>51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17">
        <f t="shared" si="8"/>
        <v>0</v>
      </c>
    </row>
    <row r="47" ht="13.5" customHeight="1">
      <c r="A47" s="19" t="s">
        <v>52</v>
      </c>
      <c r="B47" s="87">
        <f t="shared" ref="B47:M47" si="12">850+50+750+1500</f>
        <v>3150</v>
      </c>
      <c r="C47" s="87">
        <f t="shared" si="12"/>
        <v>3150</v>
      </c>
      <c r="D47" s="87">
        <f t="shared" si="12"/>
        <v>3150</v>
      </c>
      <c r="E47" s="87">
        <f t="shared" si="12"/>
        <v>3150</v>
      </c>
      <c r="F47" s="87">
        <f t="shared" si="12"/>
        <v>3150</v>
      </c>
      <c r="G47" s="87">
        <f t="shared" si="12"/>
        <v>3150</v>
      </c>
      <c r="H47" s="87">
        <f t="shared" si="12"/>
        <v>3150</v>
      </c>
      <c r="I47" s="87">
        <f t="shared" si="12"/>
        <v>3150</v>
      </c>
      <c r="J47" s="87">
        <f t="shared" si="12"/>
        <v>3150</v>
      </c>
      <c r="K47" s="87">
        <f t="shared" si="12"/>
        <v>3150</v>
      </c>
      <c r="L47" s="87">
        <f t="shared" si="12"/>
        <v>3150</v>
      </c>
      <c r="M47" s="87">
        <f t="shared" si="12"/>
        <v>3150</v>
      </c>
      <c r="N47" s="17">
        <f t="shared" si="8"/>
        <v>37800</v>
      </c>
    </row>
    <row r="48" ht="13.5" customHeight="1">
      <c r="A48" s="15" t="s">
        <v>53</v>
      </c>
      <c r="B48" s="87">
        <f t="shared" ref="B48:M48" si="13">350.33+55.66+80</f>
        <v>485.99</v>
      </c>
      <c r="C48" s="87">
        <f t="shared" si="13"/>
        <v>485.99</v>
      </c>
      <c r="D48" s="87">
        <f t="shared" si="13"/>
        <v>485.99</v>
      </c>
      <c r="E48" s="87">
        <f t="shared" si="13"/>
        <v>485.99</v>
      </c>
      <c r="F48" s="87">
        <f t="shared" si="13"/>
        <v>485.99</v>
      </c>
      <c r="G48" s="87">
        <f t="shared" si="13"/>
        <v>485.99</v>
      </c>
      <c r="H48" s="87">
        <f t="shared" si="13"/>
        <v>485.99</v>
      </c>
      <c r="I48" s="87">
        <f t="shared" si="13"/>
        <v>485.99</v>
      </c>
      <c r="J48" s="87">
        <f t="shared" si="13"/>
        <v>485.99</v>
      </c>
      <c r="K48" s="87">
        <f t="shared" si="13"/>
        <v>485.99</v>
      </c>
      <c r="L48" s="87">
        <f t="shared" si="13"/>
        <v>485.99</v>
      </c>
      <c r="M48" s="87">
        <f t="shared" si="13"/>
        <v>485.99</v>
      </c>
      <c r="N48" s="17">
        <f t="shared" si="8"/>
        <v>5831.88</v>
      </c>
    </row>
    <row r="49" ht="13.5" customHeight="1">
      <c r="A49" s="35" t="s">
        <v>54</v>
      </c>
      <c r="B49" s="46"/>
      <c r="C49" s="46"/>
      <c r="D49" s="46"/>
      <c r="E49" s="46"/>
      <c r="F49" s="46"/>
      <c r="G49" s="46"/>
      <c r="H49" s="87"/>
      <c r="I49" s="46"/>
      <c r="J49" s="46"/>
      <c r="K49" s="46"/>
      <c r="L49" s="46"/>
      <c r="M49" s="46"/>
      <c r="N49" s="17">
        <f t="shared" si="8"/>
        <v>0</v>
      </c>
    </row>
    <row r="50" ht="13.5" customHeight="1">
      <c r="A50" s="19" t="s">
        <v>132</v>
      </c>
      <c r="B50" s="87">
        <v>1795.0</v>
      </c>
      <c r="C50" s="87">
        <v>1795.0</v>
      </c>
      <c r="D50" s="87">
        <v>1795.0</v>
      </c>
      <c r="E50" s="87">
        <v>1795.0</v>
      </c>
      <c r="F50" s="87">
        <v>1795.0</v>
      </c>
      <c r="G50" s="87">
        <v>1795.0</v>
      </c>
      <c r="H50" s="87">
        <v>1795.0</v>
      </c>
      <c r="I50" s="87">
        <v>1795.0</v>
      </c>
      <c r="J50" s="87">
        <v>1795.0</v>
      </c>
      <c r="K50" s="87">
        <v>1795.0</v>
      </c>
      <c r="L50" s="87">
        <v>1795.0</v>
      </c>
      <c r="M50" s="87">
        <v>1795.0</v>
      </c>
      <c r="N50" s="17">
        <f t="shared" si="8"/>
        <v>21540</v>
      </c>
    </row>
    <row r="51" ht="13.5" customHeight="1">
      <c r="A51" s="1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17">
        <f t="shared" si="8"/>
        <v>0</v>
      </c>
    </row>
    <row r="52" ht="13.5" customHeight="1">
      <c r="A52" s="91" t="s">
        <v>23</v>
      </c>
      <c r="B52" s="46">
        <f t="shared" ref="B52:N52" si="14">SUM(B34:B51)</f>
        <v>17316.39</v>
      </c>
      <c r="C52" s="46">
        <f t="shared" si="14"/>
        <v>17316.39</v>
      </c>
      <c r="D52" s="46">
        <f t="shared" si="14"/>
        <v>17316.39</v>
      </c>
      <c r="E52" s="46">
        <f t="shared" si="14"/>
        <v>17316.39</v>
      </c>
      <c r="F52" s="46">
        <f t="shared" si="14"/>
        <v>17316.39</v>
      </c>
      <c r="G52" s="46">
        <f t="shared" si="14"/>
        <v>17316.39</v>
      </c>
      <c r="H52" s="46">
        <f t="shared" si="14"/>
        <v>17316.39</v>
      </c>
      <c r="I52" s="46">
        <f t="shared" si="14"/>
        <v>17316.39</v>
      </c>
      <c r="J52" s="46">
        <f t="shared" si="14"/>
        <v>17316.39</v>
      </c>
      <c r="K52" s="46">
        <f t="shared" si="14"/>
        <v>17316.39</v>
      </c>
      <c r="L52" s="46">
        <f t="shared" si="14"/>
        <v>17316.39</v>
      </c>
      <c r="M52" s="46">
        <f t="shared" si="14"/>
        <v>17316.39</v>
      </c>
      <c r="N52" s="28">
        <f t="shared" si="14"/>
        <v>207796.68</v>
      </c>
    </row>
    <row r="53" ht="13.5" customHeight="1">
      <c r="A53" s="79" t="s">
        <v>56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</row>
    <row r="54" ht="13.5" customHeight="1">
      <c r="A54" s="32" t="s">
        <v>57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17">
        <f t="shared" ref="N54:N69" si="15">SUM(B54:M54)</f>
        <v>0</v>
      </c>
    </row>
    <row r="55" ht="13.5" customHeight="1">
      <c r="A55" s="32" t="s">
        <v>58</v>
      </c>
      <c r="B55" s="87">
        <v>2650.0</v>
      </c>
      <c r="C55" s="87">
        <v>2400.0</v>
      </c>
      <c r="D55" s="87">
        <v>2400.0</v>
      </c>
      <c r="E55" s="87">
        <v>2400.0</v>
      </c>
      <c r="F55" s="87">
        <v>2400.0</v>
      </c>
      <c r="G55" s="87">
        <v>2400.0</v>
      </c>
      <c r="H55" s="87">
        <v>2400.0</v>
      </c>
      <c r="I55" s="87">
        <v>2400.0</v>
      </c>
      <c r="J55" s="87">
        <v>2400.0</v>
      </c>
      <c r="K55" s="87">
        <v>2400.0</v>
      </c>
      <c r="L55" s="87">
        <v>2400.0</v>
      </c>
      <c r="M55" s="87">
        <v>2400.0</v>
      </c>
      <c r="N55" s="17">
        <f t="shared" si="15"/>
        <v>29050</v>
      </c>
    </row>
    <row r="56" ht="13.5" customHeight="1">
      <c r="A56" s="31" t="s">
        <v>59</v>
      </c>
      <c r="B56" s="87">
        <f t="shared" ref="B56:M56" si="16">399+351+57</f>
        <v>807</v>
      </c>
      <c r="C56" s="87">
        <f t="shared" si="16"/>
        <v>807</v>
      </c>
      <c r="D56" s="87">
        <f t="shared" si="16"/>
        <v>807</v>
      </c>
      <c r="E56" s="87">
        <f t="shared" si="16"/>
        <v>807</v>
      </c>
      <c r="F56" s="87">
        <f t="shared" si="16"/>
        <v>807</v>
      </c>
      <c r="G56" s="87">
        <f t="shared" si="16"/>
        <v>807</v>
      </c>
      <c r="H56" s="87">
        <f t="shared" si="16"/>
        <v>807</v>
      </c>
      <c r="I56" s="87">
        <f t="shared" si="16"/>
        <v>807</v>
      </c>
      <c r="J56" s="87">
        <f t="shared" si="16"/>
        <v>807</v>
      </c>
      <c r="K56" s="87">
        <f t="shared" si="16"/>
        <v>807</v>
      </c>
      <c r="L56" s="87">
        <f t="shared" si="16"/>
        <v>807</v>
      </c>
      <c r="M56" s="87">
        <f t="shared" si="16"/>
        <v>807</v>
      </c>
      <c r="N56" s="17">
        <f t="shared" si="15"/>
        <v>9684</v>
      </c>
    </row>
    <row r="57" ht="13.5" customHeight="1">
      <c r="A57" s="31" t="s">
        <v>133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17">
        <f t="shared" si="15"/>
        <v>0</v>
      </c>
    </row>
    <row r="58" ht="13.5" customHeight="1">
      <c r="A58" s="31" t="s">
        <v>134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17">
        <f t="shared" si="15"/>
        <v>0</v>
      </c>
    </row>
    <row r="59" ht="13.5" customHeight="1">
      <c r="A59" s="31" t="s">
        <v>135</v>
      </c>
      <c r="B59" s="87">
        <v>850.0</v>
      </c>
      <c r="C59" s="87">
        <v>850.0</v>
      </c>
      <c r="D59" s="87">
        <v>850.0</v>
      </c>
      <c r="E59" s="87">
        <v>850.0</v>
      </c>
      <c r="F59" s="87">
        <v>850.0</v>
      </c>
      <c r="G59" s="87">
        <v>850.0</v>
      </c>
      <c r="H59" s="87">
        <v>850.0</v>
      </c>
      <c r="I59" s="87">
        <v>850.0</v>
      </c>
      <c r="J59" s="87">
        <v>850.0</v>
      </c>
      <c r="K59" s="87">
        <v>850.0</v>
      </c>
      <c r="L59" s="87">
        <v>850.0</v>
      </c>
      <c r="M59" s="87">
        <v>850.0</v>
      </c>
      <c r="N59" s="17">
        <f t="shared" si="15"/>
        <v>10200</v>
      </c>
    </row>
    <row r="60" ht="13.5" customHeight="1">
      <c r="A60" s="32" t="s">
        <v>136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17">
        <f t="shared" si="15"/>
        <v>0</v>
      </c>
    </row>
    <row r="61" ht="13.5" customHeight="1">
      <c r="A61" s="32" t="s">
        <v>137</v>
      </c>
      <c r="B61" s="46"/>
      <c r="C61" s="46"/>
      <c r="D61" s="46"/>
      <c r="E61" s="46"/>
      <c r="F61" s="46"/>
      <c r="G61" s="46"/>
      <c r="H61" s="87"/>
      <c r="I61" s="87"/>
      <c r="J61" s="87"/>
      <c r="K61" s="87"/>
      <c r="L61" s="87"/>
      <c r="M61" s="87"/>
      <c r="N61" s="17">
        <f t="shared" si="15"/>
        <v>0</v>
      </c>
    </row>
    <row r="62" ht="13.5" customHeight="1">
      <c r="A62" s="32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15"/>
        <v>0</v>
      </c>
    </row>
    <row r="63" ht="13.5" customHeight="1">
      <c r="A63" s="31" t="s">
        <v>64</v>
      </c>
      <c r="B63" s="87">
        <f t="shared" ref="B63:M63" si="17">8900</f>
        <v>8900</v>
      </c>
      <c r="C63" s="87">
        <f t="shared" si="17"/>
        <v>8900</v>
      </c>
      <c r="D63" s="87">
        <f t="shared" si="17"/>
        <v>8900</v>
      </c>
      <c r="E63" s="87">
        <f t="shared" si="17"/>
        <v>8900</v>
      </c>
      <c r="F63" s="87">
        <f t="shared" si="17"/>
        <v>8900</v>
      </c>
      <c r="G63" s="87">
        <f t="shared" si="17"/>
        <v>8900</v>
      </c>
      <c r="H63" s="87">
        <f t="shared" si="17"/>
        <v>8900</v>
      </c>
      <c r="I63" s="87">
        <f t="shared" si="17"/>
        <v>8900</v>
      </c>
      <c r="J63" s="87">
        <f t="shared" si="17"/>
        <v>8900</v>
      </c>
      <c r="K63" s="87">
        <f t="shared" si="17"/>
        <v>8900</v>
      </c>
      <c r="L63" s="87">
        <f t="shared" si="17"/>
        <v>8900</v>
      </c>
      <c r="M63" s="87">
        <f t="shared" si="17"/>
        <v>8900</v>
      </c>
      <c r="N63" s="17">
        <f t="shared" si="15"/>
        <v>106800</v>
      </c>
    </row>
    <row r="64" ht="13.5" customHeight="1">
      <c r="A64" s="32" t="s">
        <v>65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17">
        <f t="shared" si="15"/>
        <v>0</v>
      </c>
    </row>
    <row r="65" ht="13.5" customHeight="1">
      <c r="A65" s="31" t="s">
        <v>66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17">
        <f t="shared" si="15"/>
        <v>0</v>
      </c>
    </row>
    <row r="66" ht="13.5" customHeight="1">
      <c r="A66" s="31" t="s">
        <v>67</v>
      </c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17">
        <f t="shared" si="15"/>
        <v>0</v>
      </c>
    </row>
    <row r="67" ht="13.5" customHeight="1">
      <c r="A67" s="25" t="s">
        <v>68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17">
        <f t="shared" si="15"/>
        <v>0</v>
      </c>
    </row>
    <row r="68" ht="13.5" customHeight="1">
      <c r="A68" s="25" t="s">
        <v>69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17">
        <f t="shared" si="15"/>
        <v>0</v>
      </c>
    </row>
    <row r="69" ht="13.5" customHeight="1">
      <c r="A69" s="39" t="s">
        <v>70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17">
        <f t="shared" si="15"/>
        <v>0</v>
      </c>
    </row>
    <row r="70" ht="13.5" customHeight="1">
      <c r="A70" s="91" t="s">
        <v>23</v>
      </c>
      <c r="B70" s="28">
        <f t="shared" ref="B70:M70" si="18">SUM(B54:B69)</f>
        <v>13207</v>
      </c>
      <c r="C70" s="28">
        <f t="shared" si="18"/>
        <v>12957</v>
      </c>
      <c r="D70" s="28">
        <f t="shared" si="18"/>
        <v>12957</v>
      </c>
      <c r="E70" s="28">
        <f t="shared" si="18"/>
        <v>12957</v>
      </c>
      <c r="F70" s="28">
        <f t="shared" si="18"/>
        <v>12957</v>
      </c>
      <c r="G70" s="28">
        <f t="shared" si="18"/>
        <v>12957</v>
      </c>
      <c r="H70" s="28">
        <f t="shared" si="18"/>
        <v>12957</v>
      </c>
      <c r="I70" s="28">
        <f t="shared" si="18"/>
        <v>12957</v>
      </c>
      <c r="J70" s="28">
        <f t="shared" si="18"/>
        <v>12957</v>
      </c>
      <c r="K70" s="28">
        <f t="shared" si="18"/>
        <v>12957</v>
      </c>
      <c r="L70" s="28">
        <f t="shared" si="18"/>
        <v>12957</v>
      </c>
      <c r="M70" s="28">
        <f t="shared" si="18"/>
        <v>12957</v>
      </c>
      <c r="N70" s="28">
        <f>SUM(N54:N66)</f>
        <v>155734</v>
      </c>
    </row>
    <row r="71" ht="13.5" customHeight="1">
      <c r="A71" s="79" t="s">
        <v>71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</row>
    <row r="72" ht="13.5" customHeight="1">
      <c r="A72" s="32" t="s">
        <v>138</v>
      </c>
      <c r="B72" s="87">
        <v>0.0</v>
      </c>
      <c r="C72" s="87">
        <v>0.0</v>
      </c>
      <c r="D72" s="87">
        <v>0.0</v>
      </c>
      <c r="E72" s="87">
        <v>0.0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0.0</v>
      </c>
      <c r="L72" s="87">
        <v>0.0</v>
      </c>
      <c r="M72" s="87">
        <v>0.0</v>
      </c>
      <c r="N72" s="17">
        <f t="shared" ref="N72:N83" si="19">SUM(B72:M72)</f>
        <v>0</v>
      </c>
    </row>
    <row r="73" ht="13.5" customHeight="1">
      <c r="A73" s="31" t="s">
        <v>73</v>
      </c>
      <c r="B73" s="87">
        <v>0.0</v>
      </c>
      <c r="C73" s="87">
        <v>0.0</v>
      </c>
      <c r="D73" s="87">
        <v>0.0</v>
      </c>
      <c r="E73" s="87">
        <v>0.0</v>
      </c>
      <c r="F73" s="87">
        <v>0.0</v>
      </c>
      <c r="G73" s="87">
        <v>0.0</v>
      </c>
      <c r="H73" s="87">
        <v>0.0</v>
      </c>
      <c r="I73" s="87">
        <v>0.0</v>
      </c>
      <c r="J73" s="87">
        <v>0.0</v>
      </c>
      <c r="K73" s="87">
        <v>0.0</v>
      </c>
      <c r="L73" s="87">
        <v>0.0</v>
      </c>
      <c r="M73" s="87">
        <v>0.0</v>
      </c>
      <c r="N73" s="17">
        <f t="shared" si="19"/>
        <v>0</v>
      </c>
    </row>
    <row r="74" ht="13.5" customHeight="1">
      <c r="A74" s="32" t="s">
        <v>139</v>
      </c>
      <c r="B74" s="87">
        <v>850.0</v>
      </c>
      <c r="C74" s="87">
        <v>850.0</v>
      </c>
      <c r="D74" s="87">
        <v>850.0</v>
      </c>
      <c r="E74" s="87">
        <v>850.0</v>
      </c>
      <c r="F74" s="87">
        <v>850.0</v>
      </c>
      <c r="G74" s="87">
        <v>850.0</v>
      </c>
      <c r="H74" s="87">
        <v>850.0</v>
      </c>
      <c r="I74" s="87">
        <v>850.0</v>
      </c>
      <c r="J74" s="87">
        <v>850.0</v>
      </c>
      <c r="K74" s="87">
        <v>850.0</v>
      </c>
      <c r="L74" s="87">
        <v>850.0</v>
      </c>
      <c r="M74" s="87">
        <v>850.0</v>
      </c>
      <c r="N74" s="17">
        <f t="shared" si="19"/>
        <v>10200</v>
      </c>
    </row>
    <row r="75" ht="13.5" customHeight="1">
      <c r="A75" s="31" t="s">
        <v>137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17">
        <f t="shared" si="19"/>
        <v>0</v>
      </c>
    </row>
    <row r="76" ht="13.5" customHeight="1">
      <c r="A76" s="31" t="s">
        <v>226</v>
      </c>
      <c r="B76" s="87">
        <f t="shared" ref="B76:M76" si="20">799+49</f>
        <v>848</v>
      </c>
      <c r="C76" s="87">
        <f t="shared" si="20"/>
        <v>848</v>
      </c>
      <c r="D76" s="87">
        <f t="shared" si="20"/>
        <v>848</v>
      </c>
      <c r="E76" s="87">
        <f t="shared" si="20"/>
        <v>848</v>
      </c>
      <c r="F76" s="87">
        <f t="shared" si="20"/>
        <v>848</v>
      </c>
      <c r="G76" s="87">
        <f t="shared" si="20"/>
        <v>848</v>
      </c>
      <c r="H76" s="87">
        <f t="shared" si="20"/>
        <v>848</v>
      </c>
      <c r="I76" s="87">
        <f t="shared" si="20"/>
        <v>848</v>
      </c>
      <c r="J76" s="87">
        <f t="shared" si="20"/>
        <v>848</v>
      </c>
      <c r="K76" s="87">
        <f t="shared" si="20"/>
        <v>848</v>
      </c>
      <c r="L76" s="87">
        <f t="shared" si="20"/>
        <v>848</v>
      </c>
      <c r="M76" s="87">
        <f t="shared" si="20"/>
        <v>848</v>
      </c>
      <c r="N76" s="17">
        <f t="shared" si="19"/>
        <v>10176</v>
      </c>
    </row>
    <row r="77" ht="13.5" customHeight="1">
      <c r="A77" s="32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17">
        <f t="shared" si="19"/>
        <v>0</v>
      </c>
    </row>
    <row r="78" ht="13.5" customHeight="1">
      <c r="A78" s="31" t="s">
        <v>140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17">
        <f t="shared" si="19"/>
        <v>0</v>
      </c>
    </row>
    <row r="79" ht="13.5" customHeight="1">
      <c r="A79" s="27" t="s">
        <v>141</v>
      </c>
      <c r="B79" s="87">
        <v>4105.0</v>
      </c>
      <c r="C79" s="87">
        <v>4105.0</v>
      </c>
      <c r="D79" s="87">
        <v>4105.0</v>
      </c>
      <c r="E79" s="87">
        <v>4105.0</v>
      </c>
      <c r="F79" s="87">
        <v>4105.0</v>
      </c>
      <c r="G79" s="87">
        <v>4105.0</v>
      </c>
      <c r="H79" s="87">
        <v>4105.0</v>
      </c>
      <c r="I79" s="87">
        <v>4105.0</v>
      </c>
      <c r="J79" s="87">
        <v>4105.0</v>
      </c>
      <c r="K79" s="87">
        <v>4105.0</v>
      </c>
      <c r="L79" s="87">
        <v>4105.0</v>
      </c>
      <c r="M79" s="87">
        <v>4105.0</v>
      </c>
      <c r="N79" s="17">
        <f t="shared" si="19"/>
        <v>49260</v>
      </c>
    </row>
    <row r="80" ht="13.5" customHeight="1">
      <c r="A80" s="42" t="s">
        <v>79</v>
      </c>
      <c r="B80" s="87">
        <v>2150.0</v>
      </c>
      <c r="C80" s="87">
        <v>2150.0</v>
      </c>
      <c r="D80" s="87">
        <v>2150.0</v>
      </c>
      <c r="E80" s="87">
        <v>2150.0</v>
      </c>
      <c r="F80" s="87">
        <v>2150.0</v>
      </c>
      <c r="G80" s="87">
        <v>2150.0</v>
      </c>
      <c r="H80" s="87">
        <v>2150.0</v>
      </c>
      <c r="I80" s="87">
        <v>2150.0</v>
      </c>
      <c r="J80" s="87">
        <v>2150.0</v>
      </c>
      <c r="K80" s="87">
        <v>2150.0</v>
      </c>
      <c r="L80" s="87">
        <v>2150.0</v>
      </c>
      <c r="M80" s="87">
        <v>2150.0</v>
      </c>
      <c r="N80" s="17">
        <f t="shared" si="19"/>
        <v>25800</v>
      </c>
    </row>
    <row r="81" ht="13.5" customHeight="1">
      <c r="A81" s="43" t="s">
        <v>80</v>
      </c>
      <c r="B81" s="87">
        <v>400.0</v>
      </c>
      <c r="C81" s="87">
        <v>400.0</v>
      </c>
      <c r="D81" s="87">
        <v>400.0</v>
      </c>
      <c r="E81" s="87">
        <v>400.0</v>
      </c>
      <c r="F81" s="87">
        <v>400.0</v>
      </c>
      <c r="G81" s="87">
        <v>400.0</v>
      </c>
      <c r="H81" s="87">
        <v>400.0</v>
      </c>
      <c r="I81" s="87">
        <v>400.0</v>
      </c>
      <c r="J81" s="87">
        <v>400.0</v>
      </c>
      <c r="K81" s="87">
        <v>400.0</v>
      </c>
      <c r="L81" s="87">
        <v>400.0</v>
      </c>
      <c r="M81" s="87">
        <v>400.0</v>
      </c>
      <c r="N81" s="17">
        <f t="shared" si="19"/>
        <v>4800</v>
      </c>
    </row>
    <row r="82" ht="13.5" customHeight="1">
      <c r="A82" s="91" t="s">
        <v>23</v>
      </c>
      <c r="B82" s="28">
        <f t="shared" ref="B82:M82" si="21">SUM(B72:B81)</f>
        <v>8353</v>
      </c>
      <c r="C82" s="28">
        <f t="shared" si="21"/>
        <v>8353</v>
      </c>
      <c r="D82" s="28">
        <f t="shared" si="21"/>
        <v>8353</v>
      </c>
      <c r="E82" s="28">
        <f t="shared" si="21"/>
        <v>8353</v>
      </c>
      <c r="F82" s="28">
        <f t="shared" si="21"/>
        <v>8353</v>
      </c>
      <c r="G82" s="28">
        <f t="shared" si="21"/>
        <v>8353</v>
      </c>
      <c r="H82" s="28">
        <f t="shared" si="21"/>
        <v>8353</v>
      </c>
      <c r="I82" s="28">
        <f t="shared" si="21"/>
        <v>8353</v>
      </c>
      <c r="J82" s="28">
        <f t="shared" si="21"/>
        <v>8353</v>
      </c>
      <c r="K82" s="28">
        <f t="shared" si="21"/>
        <v>8353</v>
      </c>
      <c r="L82" s="28">
        <f t="shared" si="21"/>
        <v>8353</v>
      </c>
      <c r="M82" s="28">
        <f t="shared" si="21"/>
        <v>8353</v>
      </c>
      <c r="N82" s="44">
        <f t="shared" si="19"/>
        <v>100236</v>
      </c>
    </row>
    <row r="83" ht="13.5" customHeight="1">
      <c r="A83" s="99" t="s">
        <v>81</v>
      </c>
      <c r="B83" s="28">
        <f t="shared" ref="B83:M83" si="22">B52+B70+B82</f>
        <v>38876.39</v>
      </c>
      <c r="C83" s="28">
        <f t="shared" si="22"/>
        <v>38626.39</v>
      </c>
      <c r="D83" s="28">
        <f t="shared" si="22"/>
        <v>38626.39</v>
      </c>
      <c r="E83" s="28">
        <f t="shared" si="22"/>
        <v>38626.39</v>
      </c>
      <c r="F83" s="28">
        <f t="shared" si="22"/>
        <v>38626.39</v>
      </c>
      <c r="G83" s="28">
        <f t="shared" si="22"/>
        <v>38626.39</v>
      </c>
      <c r="H83" s="28">
        <f t="shared" si="22"/>
        <v>38626.39</v>
      </c>
      <c r="I83" s="28">
        <f t="shared" si="22"/>
        <v>38626.39</v>
      </c>
      <c r="J83" s="28">
        <f t="shared" si="22"/>
        <v>38626.39</v>
      </c>
      <c r="K83" s="28">
        <f t="shared" si="22"/>
        <v>38626.39</v>
      </c>
      <c r="L83" s="28">
        <f t="shared" si="22"/>
        <v>38626.39</v>
      </c>
      <c r="M83" s="28">
        <f t="shared" si="22"/>
        <v>38626.39</v>
      </c>
      <c r="N83" s="44">
        <f t="shared" si="19"/>
        <v>463766.68</v>
      </c>
    </row>
    <row r="84" ht="13.5" customHeight="1">
      <c r="A84" s="99" t="s">
        <v>82</v>
      </c>
      <c r="B84" s="46">
        <f t="shared" ref="B84:N84" si="23">B83/B112</f>
        <v>287.9732593</v>
      </c>
      <c r="C84" s="46">
        <f t="shared" si="23"/>
        <v>264.5643151</v>
      </c>
      <c r="D84" s="46">
        <f t="shared" si="23"/>
        <v>234.0993333</v>
      </c>
      <c r="E84" s="46">
        <f t="shared" si="23"/>
        <v>220.7222286</v>
      </c>
      <c r="F84" s="46">
        <f t="shared" si="23"/>
        <v>198.0840513</v>
      </c>
      <c r="G84" s="46">
        <f t="shared" si="23"/>
        <v>198.0840513</v>
      </c>
      <c r="H84" s="46">
        <f t="shared" si="23"/>
        <v>193.13195</v>
      </c>
      <c r="I84" s="46">
        <f t="shared" si="23"/>
        <v>185.7037981</v>
      </c>
      <c r="J84" s="46">
        <f t="shared" si="23"/>
        <v>203.2967895</v>
      </c>
      <c r="K84" s="46">
        <f t="shared" si="23"/>
        <v>214.5910556</v>
      </c>
      <c r="L84" s="46">
        <f t="shared" si="23"/>
        <v>214.5910556</v>
      </c>
      <c r="M84" s="46">
        <f t="shared" si="23"/>
        <v>179.6576279</v>
      </c>
      <c r="N84" s="15">
        <f t="shared" si="23"/>
        <v>212.347381</v>
      </c>
    </row>
    <row r="85" ht="13.5" customHeight="1">
      <c r="A85" s="79" t="s">
        <v>83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</row>
    <row r="86" ht="13.5" customHeight="1">
      <c r="A86" s="15" t="s">
        <v>84</v>
      </c>
      <c r="B86" s="87">
        <v>820.0</v>
      </c>
      <c r="C86" s="87">
        <v>820.0</v>
      </c>
      <c r="D86" s="87">
        <v>820.0</v>
      </c>
      <c r="E86" s="87">
        <v>820.0</v>
      </c>
      <c r="F86" s="87">
        <v>820.0</v>
      </c>
      <c r="G86" s="87">
        <v>820.0</v>
      </c>
      <c r="H86" s="87">
        <v>820.0</v>
      </c>
      <c r="I86" s="87">
        <v>820.0</v>
      </c>
      <c r="J86" s="87">
        <v>820.0</v>
      </c>
      <c r="K86" s="87">
        <v>820.0</v>
      </c>
      <c r="L86" s="87">
        <v>820.0</v>
      </c>
      <c r="M86" s="87">
        <v>820.0</v>
      </c>
      <c r="N86" s="17">
        <f t="shared" ref="N86:N89" si="24">SUM(B86:M86)</f>
        <v>9840</v>
      </c>
    </row>
    <row r="87" ht="13.5" customHeight="1">
      <c r="A87" s="15" t="s">
        <v>142</v>
      </c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17">
        <f t="shared" si="24"/>
        <v>0</v>
      </c>
    </row>
    <row r="88" ht="13.5" customHeight="1">
      <c r="A88" s="35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17">
        <f t="shared" si="24"/>
        <v>0</v>
      </c>
    </row>
    <row r="89" ht="13.5" customHeight="1">
      <c r="A89" s="9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17">
        <f t="shared" si="24"/>
        <v>0</v>
      </c>
    </row>
    <row r="90" ht="13.5" customHeight="1">
      <c r="A90" s="91" t="s">
        <v>23</v>
      </c>
      <c r="B90" s="28">
        <f t="shared" ref="B90:N90" si="25">SUM(B86:B89)</f>
        <v>820</v>
      </c>
      <c r="C90" s="28">
        <f t="shared" si="25"/>
        <v>820</v>
      </c>
      <c r="D90" s="28">
        <f t="shared" si="25"/>
        <v>820</v>
      </c>
      <c r="E90" s="28">
        <f t="shared" si="25"/>
        <v>820</v>
      </c>
      <c r="F90" s="28">
        <f t="shared" si="25"/>
        <v>820</v>
      </c>
      <c r="G90" s="28">
        <f t="shared" si="25"/>
        <v>820</v>
      </c>
      <c r="H90" s="28">
        <f t="shared" si="25"/>
        <v>820</v>
      </c>
      <c r="I90" s="28">
        <f t="shared" si="25"/>
        <v>820</v>
      </c>
      <c r="J90" s="28">
        <f t="shared" si="25"/>
        <v>820</v>
      </c>
      <c r="K90" s="28">
        <f t="shared" si="25"/>
        <v>820</v>
      </c>
      <c r="L90" s="28">
        <f t="shared" si="25"/>
        <v>820</v>
      </c>
      <c r="M90" s="28">
        <f t="shared" si="25"/>
        <v>820</v>
      </c>
      <c r="N90" s="28">
        <f t="shared" si="25"/>
        <v>9840</v>
      </c>
    </row>
    <row r="91" ht="13.5" customHeight="1">
      <c r="A91" s="89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</row>
    <row r="92" ht="13.5" customHeight="1">
      <c r="A92" s="31" t="s">
        <v>89</v>
      </c>
      <c r="B92" s="101">
        <f>PRODUCTION!O18</f>
        <v>750</v>
      </c>
      <c r="C92" s="102">
        <f>PRODUCTION!O19</f>
        <v>750</v>
      </c>
      <c r="D92" s="102">
        <f>PRODUCTION!O20</f>
        <v>750</v>
      </c>
      <c r="E92" s="102">
        <f>PRODUCTION!O21</f>
        <v>750</v>
      </c>
      <c r="F92" s="102">
        <f>PRODUCTION!O22</f>
        <v>750</v>
      </c>
      <c r="G92" s="102">
        <f>PRODUCTION!O23</f>
        <v>750</v>
      </c>
      <c r="H92" s="102">
        <f>PRODUCTION!O24</f>
        <v>750</v>
      </c>
      <c r="I92" s="102">
        <f>PRODUCTION!O25</f>
        <v>750</v>
      </c>
      <c r="J92" s="102">
        <f>PRODUCTION!O26</f>
        <v>750</v>
      </c>
      <c r="K92" s="102">
        <f>PRODUCTION!O27</f>
        <v>750</v>
      </c>
      <c r="L92" s="102">
        <f>PRODUCTION!O28</f>
        <v>750</v>
      </c>
      <c r="M92" s="102">
        <f>PRODUCTION!O29</f>
        <v>750</v>
      </c>
      <c r="N92" s="17">
        <f t="shared" ref="N92:N104" si="26">SUM(B92:M92)</f>
        <v>9000</v>
      </c>
    </row>
    <row r="93" ht="13.5" customHeight="1">
      <c r="A93" s="31" t="s">
        <v>90</v>
      </c>
      <c r="B93" s="46"/>
      <c r="C93" s="87"/>
      <c r="D93" s="87"/>
      <c r="E93" s="87"/>
      <c r="F93" s="87"/>
      <c r="G93" s="87"/>
      <c r="H93" s="87"/>
      <c r="I93" s="87"/>
      <c r="J93" s="46"/>
      <c r="K93" s="87"/>
      <c r="L93" s="46"/>
      <c r="M93" s="87"/>
      <c r="N93" s="17">
        <f t="shared" si="26"/>
        <v>0</v>
      </c>
    </row>
    <row r="94" ht="13.5" customHeight="1">
      <c r="A94" s="31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17">
        <f t="shared" si="26"/>
        <v>2360</v>
      </c>
    </row>
    <row r="95" ht="13.5" customHeight="1">
      <c r="A95" s="31" t="s">
        <v>92</v>
      </c>
      <c r="B95" s="146">
        <v>500.0</v>
      </c>
      <c r="C95" s="105">
        <v>500.0</v>
      </c>
      <c r="D95" s="105">
        <v>0.0</v>
      </c>
      <c r="E95" s="105">
        <v>0.0</v>
      </c>
      <c r="F95" s="104">
        <v>155.0</v>
      </c>
      <c r="G95" s="104">
        <f>350+167</f>
        <v>517</v>
      </c>
      <c r="H95" s="104">
        <v>0.0</v>
      </c>
      <c r="I95" s="105">
        <f>265+3.233</f>
        <v>268.233</v>
      </c>
      <c r="J95" s="105">
        <v>500.0</v>
      </c>
      <c r="K95" s="87">
        <v>456.78</v>
      </c>
      <c r="L95" s="105">
        <v>500.0</v>
      </c>
      <c r="M95" s="105">
        <v>500.0</v>
      </c>
      <c r="N95" s="17">
        <f t="shared" si="26"/>
        <v>3897.013</v>
      </c>
    </row>
    <row r="96" ht="13.5" customHeight="1">
      <c r="A96" s="32" t="s">
        <v>143</v>
      </c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17">
        <f t="shared" si="26"/>
        <v>0</v>
      </c>
    </row>
    <row r="97" ht="13.5" customHeight="1">
      <c r="A97" s="32" t="s">
        <v>94</v>
      </c>
      <c r="B97" s="46"/>
      <c r="C97" s="46"/>
      <c r="D97" s="46"/>
      <c r="E97" s="87"/>
      <c r="F97" s="87"/>
      <c r="G97" s="87"/>
      <c r="H97" s="87"/>
      <c r="I97" s="87"/>
      <c r="J97" s="87"/>
      <c r="K97" s="87"/>
      <c r="L97" s="87"/>
      <c r="M97" s="87"/>
      <c r="N97" s="17">
        <f t="shared" si="26"/>
        <v>0</v>
      </c>
    </row>
    <row r="98" ht="13.5" customHeight="1">
      <c r="A98" s="32" t="s">
        <v>95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17">
        <f t="shared" si="26"/>
        <v>0</v>
      </c>
    </row>
    <row r="99" ht="13.5" customHeight="1">
      <c r="A99" s="31" t="s">
        <v>96</v>
      </c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17">
        <f t="shared" si="26"/>
        <v>0</v>
      </c>
    </row>
    <row r="100" ht="13.5" customHeight="1">
      <c r="A100" s="31" t="s">
        <v>97</v>
      </c>
      <c r="B100" s="46"/>
      <c r="C100" s="46"/>
      <c r="D100" s="87"/>
      <c r="E100" s="46"/>
      <c r="F100" s="46"/>
      <c r="G100" s="46"/>
      <c r="H100" s="46"/>
      <c r="I100" s="46"/>
      <c r="J100" s="46"/>
      <c r="K100" s="46"/>
      <c r="L100" s="46"/>
      <c r="M100" s="46"/>
      <c r="N100" s="17">
        <f t="shared" si="26"/>
        <v>0</v>
      </c>
    </row>
    <row r="101" ht="13.5" customHeight="1">
      <c r="A101" s="32" t="s">
        <v>98</v>
      </c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17">
        <f t="shared" si="26"/>
        <v>0</v>
      </c>
    </row>
    <row r="102" ht="13.5" customHeight="1">
      <c r="A102" s="31" t="s">
        <v>99</v>
      </c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17">
        <f t="shared" si="26"/>
        <v>0</v>
      </c>
    </row>
    <row r="103" ht="13.5" customHeight="1">
      <c r="A103" s="32" t="s">
        <v>100</v>
      </c>
      <c r="B103" s="87">
        <v>200.0</v>
      </c>
      <c r="C103" s="87">
        <v>435.0</v>
      </c>
      <c r="D103" s="87">
        <f>200+113.64</f>
        <v>313.64</v>
      </c>
      <c r="E103" s="87">
        <v>200.0</v>
      </c>
      <c r="F103" s="87">
        <v>200.0</v>
      </c>
      <c r="G103" s="87">
        <v>605.0</v>
      </c>
      <c r="H103" s="87">
        <v>605.0</v>
      </c>
      <c r="I103" s="87">
        <v>200.0</v>
      </c>
      <c r="J103" s="87">
        <f>435+200</f>
        <v>635</v>
      </c>
      <c r="K103" s="87">
        <v>200.0</v>
      </c>
      <c r="L103" s="87">
        <v>200.0</v>
      </c>
      <c r="M103" s="87">
        <v>200.0</v>
      </c>
      <c r="N103" s="17">
        <f t="shared" si="26"/>
        <v>3993.64</v>
      </c>
    </row>
    <row r="104" ht="13.5" customHeight="1">
      <c r="A104" s="27" t="s">
        <v>101</v>
      </c>
      <c r="B104" s="87">
        <v>800.0</v>
      </c>
      <c r="C104" s="87">
        <v>875.0</v>
      </c>
      <c r="D104" s="87">
        <v>875.0</v>
      </c>
      <c r="E104" s="87">
        <v>875.0</v>
      </c>
      <c r="F104" s="87">
        <v>875.0</v>
      </c>
      <c r="G104" s="87">
        <v>875.0</v>
      </c>
      <c r="H104" s="87">
        <v>875.0</v>
      </c>
      <c r="I104" s="87">
        <v>875.0</v>
      </c>
      <c r="J104" s="87">
        <v>875.0</v>
      </c>
      <c r="K104" s="87">
        <v>875.0</v>
      </c>
      <c r="L104" s="87">
        <v>875.0</v>
      </c>
      <c r="M104" s="87">
        <v>875.0</v>
      </c>
      <c r="N104" s="17">
        <f t="shared" si="26"/>
        <v>10425</v>
      </c>
    </row>
    <row r="105" ht="13.5" customHeight="1">
      <c r="A105" s="27" t="s">
        <v>102</v>
      </c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17"/>
    </row>
    <row r="106" ht="13.5" customHeight="1">
      <c r="A106" s="39" t="s">
        <v>166</v>
      </c>
      <c r="B106" s="206">
        <v>1875.0</v>
      </c>
      <c r="C106" s="206">
        <v>1875.0</v>
      </c>
      <c r="D106" s="206">
        <v>1875.0</v>
      </c>
      <c r="E106" s="206">
        <v>1875.0</v>
      </c>
      <c r="F106" s="206">
        <v>1875.0</v>
      </c>
      <c r="G106" s="206">
        <v>1875.0</v>
      </c>
      <c r="H106" s="206">
        <v>1875.0</v>
      </c>
      <c r="I106" s="206">
        <v>1875.0</v>
      </c>
      <c r="J106" s="206">
        <v>1875.0</v>
      </c>
      <c r="K106" s="206">
        <v>1875.0</v>
      </c>
      <c r="L106" s="206">
        <v>1875.0</v>
      </c>
      <c r="M106" s="206">
        <v>1875.0</v>
      </c>
      <c r="N106" s="17">
        <f>SUM(B106:M106)</f>
        <v>22500</v>
      </c>
    </row>
    <row r="107" ht="13.5" customHeight="1">
      <c r="A107" s="91" t="s">
        <v>23</v>
      </c>
      <c r="B107" s="28">
        <f>SUM(B92:B106)</f>
        <v>4305</v>
      </c>
      <c r="C107" s="28">
        <f t="shared" ref="C107:N107" si="27">SUM(C92:C105)</f>
        <v>2740</v>
      </c>
      <c r="D107" s="28">
        <f t="shared" si="27"/>
        <v>2118.64</v>
      </c>
      <c r="E107" s="28">
        <f t="shared" si="27"/>
        <v>2005</v>
      </c>
      <c r="F107" s="28">
        <f t="shared" si="27"/>
        <v>2160</v>
      </c>
      <c r="G107" s="28">
        <f t="shared" si="27"/>
        <v>2927</v>
      </c>
      <c r="H107" s="28">
        <f t="shared" si="27"/>
        <v>2410</v>
      </c>
      <c r="I107" s="28">
        <f t="shared" si="27"/>
        <v>2273.233</v>
      </c>
      <c r="J107" s="28">
        <f t="shared" si="27"/>
        <v>2940</v>
      </c>
      <c r="K107" s="28">
        <f t="shared" si="27"/>
        <v>2661.78</v>
      </c>
      <c r="L107" s="28">
        <f t="shared" si="27"/>
        <v>2505</v>
      </c>
      <c r="M107" s="28">
        <f t="shared" si="27"/>
        <v>2505</v>
      </c>
      <c r="N107" s="28">
        <f t="shared" si="27"/>
        <v>29675.653</v>
      </c>
    </row>
    <row r="108" ht="13.5" customHeight="1">
      <c r="A108" s="91" t="s">
        <v>104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44">
        <f>SUM(B108:M108)</f>
        <v>0</v>
      </c>
    </row>
    <row r="109" ht="13.5" customHeight="1">
      <c r="A109" s="112" t="s">
        <v>105</v>
      </c>
      <c r="B109" s="50">
        <f t="shared" ref="B109:N109" si="28">B107+B90+B83+B32+B21+B13</f>
        <v>53229.24185</v>
      </c>
      <c r="C109" s="50">
        <f t="shared" si="28"/>
        <v>51557.13948</v>
      </c>
      <c r="D109" s="50">
        <f t="shared" si="28"/>
        <v>58408.49789</v>
      </c>
      <c r="E109" s="50">
        <f t="shared" si="28"/>
        <v>55422.65587</v>
      </c>
      <c r="F109" s="50">
        <f t="shared" si="28"/>
        <v>58747.80537</v>
      </c>
      <c r="G109" s="50">
        <f t="shared" si="28"/>
        <v>58131.72847</v>
      </c>
      <c r="H109" s="50">
        <f t="shared" si="28"/>
        <v>52656.0299</v>
      </c>
      <c r="I109" s="50">
        <f t="shared" si="28"/>
        <v>52519.2629</v>
      </c>
      <c r="J109" s="50">
        <f t="shared" si="28"/>
        <v>55837.07928</v>
      </c>
      <c r="K109" s="50">
        <f t="shared" si="28"/>
        <v>57481.90027</v>
      </c>
      <c r="L109" s="50">
        <f t="shared" si="28"/>
        <v>59632.76947</v>
      </c>
      <c r="M109" s="50">
        <f t="shared" si="28"/>
        <v>59632.76947</v>
      </c>
      <c r="N109" s="50">
        <f t="shared" si="28"/>
        <v>671381.8802</v>
      </c>
    </row>
    <row r="110" ht="13.5" customHeight="1">
      <c r="A110" s="35" t="s">
        <v>106</v>
      </c>
      <c r="B110" s="148">
        <v>70.0</v>
      </c>
      <c r="C110" s="116">
        <v>76.0</v>
      </c>
      <c r="D110" s="116">
        <v>85.0</v>
      </c>
      <c r="E110" s="116">
        <v>95.0</v>
      </c>
      <c r="F110" s="116">
        <v>110.0</v>
      </c>
      <c r="G110" s="116">
        <v>110.0</v>
      </c>
      <c r="H110" s="116">
        <v>115.0</v>
      </c>
      <c r="I110" s="116">
        <v>120.0</v>
      </c>
      <c r="J110" s="116">
        <v>110.0</v>
      </c>
      <c r="K110" s="116">
        <v>105.0</v>
      </c>
      <c r="L110" s="117">
        <v>105.0</v>
      </c>
      <c r="M110" s="118">
        <v>130.0</v>
      </c>
      <c r="N110" s="149">
        <f t="shared" ref="N110:N112" si="29">SUM(B110:M110)</f>
        <v>1231</v>
      </c>
    </row>
    <row r="111" ht="13.5" customHeight="1">
      <c r="A111" s="35" t="s">
        <v>107</v>
      </c>
      <c r="B111" s="120">
        <v>65.0</v>
      </c>
      <c r="C111" s="120">
        <v>70.0</v>
      </c>
      <c r="D111" s="150">
        <v>80.0</v>
      </c>
      <c r="E111" s="120">
        <v>80.0</v>
      </c>
      <c r="F111" s="120">
        <v>85.0</v>
      </c>
      <c r="G111" s="120">
        <v>85.0</v>
      </c>
      <c r="H111" s="120">
        <v>85.0</v>
      </c>
      <c r="I111" s="120">
        <v>88.0</v>
      </c>
      <c r="J111" s="120">
        <v>80.0</v>
      </c>
      <c r="K111" s="120">
        <v>75.0</v>
      </c>
      <c r="L111" s="120">
        <v>75.0</v>
      </c>
      <c r="M111" s="121">
        <v>85.0</v>
      </c>
      <c r="N111" s="149">
        <f t="shared" si="29"/>
        <v>953</v>
      </c>
    </row>
    <row r="112" ht="13.5" customHeight="1">
      <c r="A112" s="91" t="s">
        <v>23</v>
      </c>
      <c r="B112" s="122">
        <f t="shared" ref="B112:M112" si="30">B110+B111</f>
        <v>135</v>
      </c>
      <c r="C112" s="122">
        <f t="shared" si="30"/>
        <v>146</v>
      </c>
      <c r="D112" s="122">
        <f t="shared" si="30"/>
        <v>165</v>
      </c>
      <c r="E112" s="122">
        <f t="shared" si="30"/>
        <v>175</v>
      </c>
      <c r="F112" s="123">
        <f t="shared" si="30"/>
        <v>195</v>
      </c>
      <c r="G112" s="123">
        <f t="shared" si="30"/>
        <v>195</v>
      </c>
      <c r="H112" s="123">
        <f t="shared" si="30"/>
        <v>200</v>
      </c>
      <c r="I112" s="123">
        <f t="shared" si="30"/>
        <v>208</v>
      </c>
      <c r="J112" s="123">
        <f t="shared" si="30"/>
        <v>190</v>
      </c>
      <c r="K112" s="123">
        <f t="shared" si="30"/>
        <v>180</v>
      </c>
      <c r="L112" s="123">
        <f t="shared" si="30"/>
        <v>180</v>
      </c>
      <c r="M112" s="124">
        <f t="shared" si="30"/>
        <v>215</v>
      </c>
      <c r="N112" s="125">
        <f t="shared" si="29"/>
        <v>2184</v>
      </c>
    </row>
    <row r="113" ht="13.5" customHeight="1">
      <c r="A113" s="126" t="s">
        <v>108</v>
      </c>
      <c r="B113" s="58">
        <f t="shared" ref="B113:N113" si="31">B109/B112</f>
        <v>394.2906804</v>
      </c>
      <c r="C113" s="58">
        <f t="shared" si="31"/>
        <v>353.1310923</v>
      </c>
      <c r="D113" s="58">
        <f t="shared" si="31"/>
        <v>353.9908963</v>
      </c>
      <c r="E113" s="58">
        <f t="shared" si="31"/>
        <v>316.7008907</v>
      </c>
      <c r="F113" s="58">
        <f t="shared" si="31"/>
        <v>301.2707968</v>
      </c>
      <c r="G113" s="58">
        <f t="shared" si="31"/>
        <v>298.1114281</v>
      </c>
      <c r="H113" s="58">
        <f t="shared" si="31"/>
        <v>263.2801495</v>
      </c>
      <c r="I113" s="58">
        <f t="shared" si="31"/>
        <v>252.4964562</v>
      </c>
      <c r="J113" s="58">
        <f t="shared" si="31"/>
        <v>293.8793646</v>
      </c>
      <c r="K113" s="58">
        <f t="shared" si="31"/>
        <v>319.3438904</v>
      </c>
      <c r="L113" s="58">
        <f t="shared" si="31"/>
        <v>331.2931637</v>
      </c>
      <c r="M113" s="58">
        <f t="shared" si="31"/>
        <v>277.3617185</v>
      </c>
      <c r="N113" s="57">
        <f t="shared" si="31"/>
        <v>307.4092858</v>
      </c>
    </row>
    <row r="114" ht="13.5" customHeight="1">
      <c r="A114" s="79" t="s">
        <v>109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</row>
    <row r="115" ht="13.5" customHeight="1">
      <c r="A115" s="59" t="s">
        <v>110</v>
      </c>
      <c r="B115" s="87">
        <f t="shared" ref="B115:M115" si="32">1695</f>
        <v>1695</v>
      </c>
      <c r="C115" s="87">
        <f t="shared" si="32"/>
        <v>1695</v>
      </c>
      <c r="D115" s="87">
        <f t="shared" si="32"/>
        <v>1695</v>
      </c>
      <c r="E115" s="87">
        <f t="shared" si="32"/>
        <v>1695</v>
      </c>
      <c r="F115" s="87">
        <f t="shared" si="32"/>
        <v>1695</v>
      </c>
      <c r="G115" s="87">
        <f t="shared" si="32"/>
        <v>1695</v>
      </c>
      <c r="H115" s="87">
        <f t="shared" si="32"/>
        <v>1695</v>
      </c>
      <c r="I115" s="87">
        <f t="shared" si="32"/>
        <v>1695</v>
      </c>
      <c r="J115" s="87">
        <f t="shared" si="32"/>
        <v>1695</v>
      </c>
      <c r="K115" s="87">
        <f t="shared" si="32"/>
        <v>1695</v>
      </c>
      <c r="L115" s="87">
        <f t="shared" si="32"/>
        <v>1695</v>
      </c>
      <c r="M115" s="87">
        <f t="shared" si="32"/>
        <v>1695</v>
      </c>
      <c r="N115" s="17">
        <f t="shared" ref="N115:N120" si="33">SUM(B115:M115)</f>
        <v>20340</v>
      </c>
    </row>
    <row r="116" ht="13.5" customHeight="1">
      <c r="A116" s="60" t="s">
        <v>111</v>
      </c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17">
        <f t="shared" si="33"/>
        <v>0</v>
      </c>
    </row>
    <row r="117" ht="13.5" customHeight="1">
      <c r="A117" s="59" t="s">
        <v>112</v>
      </c>
      <c r="B117" s="87">
        <f>2100+3837.76
</f>
        <v>5937.76</v>
      </c>
      <c r="C117" s="87">
        <v>2100.0</v>
      </c>
      <c r="D117" s="87">
        <v>2100.0</v>
      </c>
      <c r="E117" s="87">
        <f>2100+3837.76
</f>
        <v>5937.76</v>
      </c>
      <c r="F117" s="87">
        <v>2100.0</v>
      </c>
      <c r="G117" s="87">
        <v>2100.0</v>
      </c>
      <c r="H117" s="87">
        <f>2100+3837.76
</f>
        <v>5937.76</v>
      </c>
      <c r="I117" s="87">
        <v>2100.0</v>
      </c>
      <c r="J117" s="87">
        <v>2100.0</v>
      </c>
      <c r="K117" s="87">
        <f>2100+3922.85</f>
        <v>6022.85</v>
      </c>
      <c r="L117" s="87">
        <v>2100.0</v>
      </c>
      <c r="M117" s="87">
        <v>2100.0</v>
      </c>
      <c r="N117" s="17">
        <f t="shared" si="33"/>
        <v>40636.13</v>
      </c>
    </row>
    <row r="118" ht="13.5" customHeight="1">
      <c r="A118" s="59" t="s">
        <v>161</v>
      </c>
      <c r="B118" s="87">
        <f t="shared" ref="B118:M118" si="34">700+300+500</f>
        <v>1500</v>
      </c>
      <c r="C118" s="87">
        <f t="shared" si="34"/>
        <v>1500</v>
      </c>
      <c r="D118" s="87">
        <f t="shared" si="34"/>
        <v>1500</v>
      </c>
      <c r="E118" s="87">
        <f t="shared" si="34"/>
        <v>1500</v>
      </c>
      <c r="F118" s="87">
        <f t="shared" si="34"/>
        <v>1500</v>
      </c>
      <c r="G118" s="87">
        <f t="shared" si="34"/>
        <v>1500</v>
      </c>
      <c r="H118" s="87">
        <f t="shared" si="34"/>
        <v>1500</v>
      </c>
      <c r="I118" s="87">
        <f t="shared" si="34"/>
        <v>1500</v>
      </c>
      <c r="J118" s="87">
        <f t="shared" si="34"/>
        <v>1500</v>
      </c>
      <c r="K118" s="87">
        <f t="shared" si="34"/>
        <v>1500</v>
      </c>
      <c r="L118" s="87">
        <f t="shared" si="34"/>
        <v>1500</v>
      </c>
      <c r="M118" s="87">
        <f t="shared" si="34"/>
        <v>1500</v>
      </c>
      <c r="N118" s="17">
        <f t="shared" si="33"/>
        <v>18000</v>
      </c>
    </row>
    <row r="119" ht="13.5" customHeight="1">
      <c r="A119" s="61" t="s">
        <v>113</v>
      </c>
      <c r="B119" s="87">
        <v>395.0</v>
      </c>
      <c r="C119" s="87">
        <v>395.0</v>
      </c>
      <c r="D119" s="87">
        <v>395.0</v>
      </c>
      <c r="E119" s="87">
        <v>395.0</v>
      </c>
      <c r="F119" s="87">
        <v>395.0</v>
      </c>
      <c r="G119" s="87">
        <v>395.0</v>
      </c>
      <c r="H119" s="87">
        <v>395.0</v>
      </c>
      <c r="I119" s="87">
        <v>395.0</v>
      </c>
      <c r="J119" s="87">
        <v>395.0</v>
      </c>
      <c r="K119" s="87">
        <v>395.0</v>
      </c>
      <c r="L119" s="87">
        <v>395.0</v>
      </c>
      <c r="M119" s="87">
        <v>395.0</v>
      </c>
      <c r="N119" s="17">
        <f t="shared" si="33"/>
        <v>4740</v>
      </c>
    </row>
    <row r="120" ht="13.5" customHeight="1">
      <c r="A120" s="132" t="s">
        <v>114</v>
      </c>
      <c r="B120" s="87">
        <v>1933.0</v>
      </c>
      <c r="C120" s="87">
        <v>1933.0</v>
      </c>
      <c r="D120" s="87">
        <v>1933.0</v>
      </c>
      <c r="E120" s="87">
        <v>1933.0</v>
      </c>
      <c r="F120" s="87">
        <v>1933.0</v>
      </c>
      <c r="G120" s="87">
        <v>1933.0</v>
      </c>
      <c r="H120" s="87">
        <v>1933.0</v>
      </c>
      <c r="I120" s="87">
        <v>1933.0</v>
      </c>
      <c r="J120" s="87">
        <v>1933.0</v>
      </c>
      <c r="K120" s="87">
        <v>1933.0</v>
      </c>
      <c r="L120" s="87">
        <v>1933.0</v>
      </c>
      <c r="M120" s="87">
        <v>1933.0</v>
      </c>
      <c r="N120" s="17">
        <f t="shared" si="33"/>
        <v>23196</v>
      </c>
    </row>
    <row r="121" ht="13.5" customHeight="1">
      <c r="A121" s="99" t="s">
        <v>23</v>
      </c>
      <c r="B121" s="63">
        <f t="shared" ref="B121:N121" si="35">SUM(B115:B120)</f>
        <v>11460.76</v>
      </c>
      <c r="C121" s="63">
        <f t="shared" si="35"/>
        <v>7623</v>
      </c>
      <c r="D121" s="63">
        <f t="shared" si="35"/>
        <v>7623</v>
      </c>
      <c r="E121" s="63">
        <f t="shared" si="35"/>
        <v>11460.76</v>
      </c>
      <c r="F121" s="63">
        <f t="shared" si="35"/>
        <v>7623</v>
      </c>
      <c r="G121" s="63">
        <f t="shared" si="35"/>
        <v>7623</v>
      </c>
      <c r="H121" s="63">
        <f t="shared" si="35"/>
        <v>11460.76</v>
      </c>
      <c r="I121" s="63">
        <f t="shared" si="35"/>
        <v>7623</v>
      </c>
      <c r="J121" s="63">
        <f t="shared" si="35"/>
        <v>7623</v>
      </c>
      <c r="K121" s="63">
        <f t="shared" si="35"/>
        <v>11545.85</v>
      </c>
      <c r="L121" s="63">
        <f t="shared" si="35"/>
        <v>7623</v>
      </c>
      <c r="M121" s="63">
        <f t="shared" si="35"/>
        <v>7623</v>
      </c>
      <c r="N121" s="63">
        <f t="shared" si="35"/>
        <v>106912.13</v>
      </c>
    </row>
    <row r="122" ht="13.5" customHeight="1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</row>
    <row r="123" ht="13.5" customHeight="1">
      <c r="A123" s="134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</row>
    <row r="124" ht="13.5" customHeight="1">
      <c r="A124" s="64" t="s">
        <v>115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</row>
    <row r="125" ht="13.5" customHeight="1">
      <c r="A125" s="64" t="s">
        <v>116</v>
      </c>
      <c r="B125" s="67">
        <f t="shared" ref="B125:M125" si="36">+B13*0.7+B21*0.7+B32*0.7+B52*0.6+B70+B107*0.6</f>
        <v>32639.3303</v>
      </c>
      <c r="C125" s="67">
        <f t="shared" si="36"/>
        <v>31550.35863</v>
      </c>
      <c r="D125" s="67">
        <f t="shared" si="36"/>
        <v>36408.44552</v>
      </c>
      <c r="E125" s="67">
        <f t="shared" si="36"/>
        <v>34329.72011</v>
      </c>
      <c r="F125" s="67">
        <f t="shared" si="36"/>
        <v>36641.82476</v>
      </c>
      <c r="G125" s="67">
        <f t="shared" si="36"/>
        <v>36133.87093</v>
      </c>
      <c r="H125" s="67">
        <f t="shared" si="36"/>
        <v>32352.58193</v>
      </c>
      <c r="I125" s="67">
        <f t="shared" si="36"/>
        <v>32270.52173</v>
      </c>
      <c r="J125" s="67">
        <f t="shared" si="36"/>
        <v>34526.31649</v>
      </c>
      <c r="K125" s="67">
        <f t="shared" si="36"/>
        <v>35705.51319</v>
      </c>
      <c r="L125" s="67">
        <f t="shared" si="36"/>
        <v>37226.79963</v>
      </c>
      <c r="M125" s="67">
        <f t="shared" si="36"/>
        <v>37226.79963</v>
      </c>
      <c r="N125" s="67">
        <f t="shared" ref="N125:N126" si="38">SUM(B125:M125)</f>
        <v>417012.0829</v>
      </c>
    </row>
    <row r="126" ht="13.5" customHeight="1">
      <c r="A126" s="64" t="s">
        <v>117</v>
      </c>
      <c r="B126" s="67">
        <f t="shared" ref="B126:M126" si="37">+B13*0.3+B21*0.3+B32*0.3+B52*0.4+B82+B90+B107*0.4</f>
        <v>20589.91156</v>
      </c>
      <c r="C126" s="67">
        <f t="shared" si="37"/>
        <v>20006.78084</v>
      </c>
      <c r="D126" s="67">
        <f t="shared" si="37"/>
        <v>22000.05237</v>
      </c>
      <c r="E126" s="67">
        <f t="shared" si="37"/>
        <v>21092.93576</v>
      </c>
      <c r="F126" s="67">
        <f t="shared" si="37"/>
        <v>22105.98061</v>
      </c>
      <c r="G126" s="67">
        <f t="shared" si="37"/>
        <v>21997.85754</v>
      </c>
      <c r="H126" s="67">
        <f t="shared" si="37"/>
        <v>20303.44797</v>
      </c>
      <c r="I126" s="67">
        <f t="shared" si="37"/>
        <v>20248.74117</v>
      </c>
      <c r="J126" s="67">
        <f t="shared" si="37"/>
        <v>21310.76278</v>
      </c>
      <c r="K126" s="67">
        <f t="shared" si="37"/>
        <v>21776.38708</v>
      </c>
      <c r="L126" s="67">
        <f t="shared" si="37"/>
        <v>22405.96984</v>
      </c>
      <c r="M126" s="67">
        <f t="shared" si="37"/>
        <v>22405.96984</v>
      </c>
      <c r="N126" s="67">
        <f t="shared" si="38"/>
        <v>256244.7974</v>
      </c>
    </row>
    <row r="127" ht="13.5" customHeight="1">
      <c r="A127" s="64" t="s">
        <v>23</v>
      </c>
      <c r="B127" s="67">
        <f t="shared" ref="B127:N127" si="39">SUM(B125:B126)</f>
        <v>53229.24185</v>
      </c>
      <c r="C127" s="67">
        <f t="shared" si="39"/>
        <v>51557.13948</v>
      </c>
      <c r="D127" s="67">
        <f t="shared" si="39"/>
        <v>58408.49789</v>
      </c>
      <c r="E127" s="67">
        <f t="shared" si="39"/>
        <v>55422.65587</v>
      </c>
      <c r="F127" s="67">
        <f t="shared" si="39"/>
        <v>58747.80537</v>
      </c>
      <c r="G127" s="67">
        <f t="shared" si="39"/>
        <v>58131.72847</v>
      </c>
      <c r="H127" s="67">
        <f t="shared" si="39"/>
        <v>52656.0299</v>
      </c>
      <c r="I127" s="67">
        <f t="shared" si="39"/>
        <v>52519.2629</v>
      </c>
      <c r="J127" s="67">
        <f t="shared" si="39"/>
        <v>55837.07928</v>
      </c>
      <c r="K127" s="67">
        <f t="shared" si="39"/>
        <v>57481.90027</v>
      </c>
      <c r="L127" s="67">
        <f t="shared" si="39"/>
        <v>59632.76947</v>
      </c>
      <c r="M127" s="67">
        <f t="shared" si="39"/>
        <v>59632.76947</v>
      </c>
      <c r="N127" s="67">
        <f t="shared" si="39"/>
        <v>673256.8802</v>
      </c>
    </row>
    <row r="128" ht="13.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</row>
    <row r="129" ht="13.5" customHeight="1">
      <c r="A129" s="69" t="s">
        <v>118</v>
      </c>
      <c r="B129" s="70">
        <f t="shared" ref="B129:N129" si="40">+B109</f>
        <v>53229.24185</v>
      </c>
      <c r="C129" s="70">
        <f t="shared" si="40"/>
        <v>51557.13948</v>
      </c>
      <c r="D129" s="70">
        <f t="shared" si="40"/>
        <v>58408.49789</v>
      </c>
      <c r="E129" s="70">
        <f t="shared" si="40"/>
        <v>55422.65587</v>
      </c>
      <c r="F129" s="70">
        <f t="shared" si="40"/>
        <v>58747.80537</v>
      </c>
      <c r="G129" s="70">
        <f t="shared" si="40"/>
        <v>58131.72847</v>
      </c>
      <c r="H129" s="70">
        <f t="shared" si="40"/>
        <v>52656.0299</v>
      </c>
      <c r="I129" s="70">
        <f t="shared" si="40"/>
        <v>52519.2629</v>
      </c>
      <c r="J129" s="70">
        <f t="shared" si="40"/>
        <v>55837.07928</v>
      </c>
      <c r="K129" s="70">
        <f t="shared" si="40"/>
        <v>57481.90027</v>
      </c>
      <c r="L129" s="70">
        <f t="shared" si="40"/>
        <v>59632.76947</v>
      </c>
      <c r="M129" s="70">
        <f t="shared" si="40"/>
        <v>59632.76947</v>
      </c>
      <c r="N129" s="70">
        <f t="shared" si="40"/>
        <v>671381.8802</v>
      </c>
    </row>
    <row r="130" ht="13.5" customHeight="1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</row>
    <row r="131" ht="13.5" customHeight="1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</row>
  </sheetData>
  <mergeCells count="1">
    <mergeCell ref="A1:N1"/>
  </mergeCell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1.75"/>
    <col customWidth="1" min="2" max="9" width="9.13"/>
    <col customWidth="1" min="10" max="10" width="9.63"/>
    <col customWidth="1" min="11" max="13" width="9.13"/>
    <col customWidth="1" min="14" max="14" width="10.63"/>
  </cols>
  <sheetData>
    <row r="1" ht="13.5" customHeight="1">
      <c r="A1" s="76" t="s">
        <v>227</v>
      </c>
    </row>
    <row r="2" ht="13.5" customHeight="1">
      <c r="A2" s="7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ht="13.5" customHeight="1">
      <c r="A3" s="1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</row>
    <row r="4" ht="13.5" customHeight="1">
      <c r="A4" s="79" t="s">
        <v>14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</row>
    <row r="5" ht="13.5" customHeight="1">
      <c r="A5" s="15" t="s">
        <v>15</v>
      </c>
      <c r="B5" s="46">
        <f>FORMULAS!S48</f>
        <v>4761.904762</v>
      </c>
      <c r="C5" s="46">
        <f>FORMULAS!W48</f>
        <v>4761.904762</v>
      </c>
      <c r="D5" s="46">
        <f>FORMULAS!AA48</f>
        <v>4761.904762</v>
      </c>
      <c r="E5" s="46">
        <f>FORMULAS!AE48</f>
        <v>6397.562358</v>
      </c>
      <c r="F5" s="46">
        <f>FORMULAS!AI48</f>
        <v>9035.075061</v>
      </c>
      <c r="G5" s="46">
        <f>FORMULAS!AM48</f>
        <v>8242.193864</v>
      </c>
      <c r="H5" s="46">
        <f>FORMULAS!AQ48</f>
        <v>5592.917265</v>
      </c>
      <c r="I5" s="46">
        <f>FORMULAS!AU48</f>
        <v>5592.917265</v>
      </c>
      <c r="J5" s="46">
        <f>FORMULAS!AY48</f>
        <v>7064.737597</v>
      </c>
      <c r="K5" s="46">
        <f>FORMULAS!BC48</f>
        <v>7064.737597</v>
      </c>
      <c r="L5" s="46">
        <f>FORMULAS!BG48</f>
        <v>8242.193864</v>
      </c>
      <c r="M5" s="46">
        <f>FORMULAS!BK48</f>
        <v>8242.193864</v>
      </c>
      <c r="N5" s="17">
        <f t="shared" ref="N5:N12" si="1">SUM(B5:M5)</f>
        <v>79760.24302</v>
      </c>
    </row>
    <row r="6" ht="13.5" customHeight="1">
      <c r="A6" s="15" t="s">
        <v>123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17">
        <f t="shared" si="1"/>
        <v>0</v>
      </c>
    </row>
    <row r="7" ht="13.5" customHeight="1">
      <c r="A7" s="15" t="s">
        <v>17</v>
      </c>
      <c r="B7" s="46"/>
      <c r="C7" s="46"/>
      <c r="D7" s="46"/>
      <c r="E7" s="46"/>
      <c r="F7" s="87"/>
      <c r="G7" s="87"/>
      <c r="H7" s="87"/>
      <c r="I7" s="87"/>
      <c r="J7" s="87"/>
      <c r="K7" s="46"/>
      <c r="L7" s="87"/>
      <c r="M7" s="46"/>
      <c r="N7" s="17">
        <f t="shared" si="1"/>
        <v>0</v>
      </c>
    </row>
    <row r="8" ht="13.5" customHeight="1">
      <c r="A8" s="15" t="s">
        <v>18</v>
      </c>
      <c r="B8" s="46"/>
      <c r="C8" s="46"/>
      <c r="D8" s="46"/>
      <c r="E8" s="87"/>
      <c r="F8" s="46"/>
      <c r="G8" s="87"/>
      <c r="H8" s="87"/>
      <c r="I8" s="87"/>
      <c r="J8" s="87"/>
      <c r="K8" s="87"/>
      <c r="L8" s="87"/>
      <c r="M8" s="87"/>
      <c r="N8" s="17">
        <f t="shared" si="1"/>
        <v>0</v>
      </c>
    </row>
    <row r="9" ht="13.5" customHeight="1">
      <c r="A9" s="20" t="s">
        <v>168</v>
      </c>
      <c r="B9" s="46">
        <f>FORMULAS!S96</f>
        <v>425.170068</v>
      </c>
      <c r="C9" s="46">
        <f>FORMULAS!W96</f>
        <v>425.170068</v>
      </c>
      <c r="D9" s="46">
        <f>FORMULAS!AA96</f>
        <v>425.170068</v>
      </c>
      <c r="E9" s="46">
        <f>FORMULAS!AE96</f>
        <v>2364.608216</v>
      </c>
      <c r="F9" s="46">
        <f>FORMULAS!AI96</f>
        <v>4119.994228</v>
      </c>
      <c r="G9" s="46">
        <f>FORMULAS!AM96</f>
        <v>3758.440402</v>
      </c>
      <c r="H9" s="46">
        <f>FORMULAS!AQ96</f>
        <v>2157.09988</v>
      </c>
      <c r="I9" s="46">
        <f>FORMULAS!AU96</f>
        <v>2157.09988</v>
      </c>
      <c r="J9" s="46">
        <f>FORMULAS!AY96</f>
        <v>2957.770141</v>
      </c>
      <c r="K9" s="46">
        <f>FORMULAS!BC96</f>
        <v>2957.770141</v>
      </c>
      <c r="L9" s="46">
        <f>FORMULAS!BG96</f>
        <v>3758.440402</v>
      </c>
      <c r="M9" s="46">
        <f>FORMULAS!BK96</f>
        <v>3758.440402</v>
      </c>
      <c r="N9" s="17">
        <f t="shared" si="1"/>
        <v>29265.17389</v>
      </c>
    </row>
    <row r="10" ht="13.5" customHeight="1">
      <c r="A10" s="20" t="s">
        <v>228</v>
      </c>
      <c r="B10" s="46">
        <f>FORMULAS!S72</f>
        <v>1826.814059</v>
      </c>
      <c r="C10" s="46">
        <f>FORMULAS!W72</f>
        <v>1338.605442</v>
      </c>
      <c r="D10" s="46">
        <f>FORMULAS!AA72</f>
        <v>1937.414966</v>
      </c>
      <c r="E10" s="46">
        <f>FORMULAS!AE72</f>
        <v>1743.197279</v>
      </c>
      <c r="F10" s="46">
        <f>FORMULAS!AI72</f>
        <v>0</v>
      </c>
      <c r="G10" s="46">
        <f>FORMULAS!AM72</f>
        <v>0</v>
      </c>
      <c r="H10" s="46">
        <f>FORMULAS!AQ72</f>
        <v>0</v>
      </c>
      <c r="I10" s="46">
        <f>FORMULAS!AU72</f>
        <v>0</v>
      </c>
      <c r="J10" s="46">
        <f>FORMULAS!AY72</f>
        <v>0</v>
      </c>
      <c r="K10" s="46">
        <f>FORMULAS!BC72</f>
        <v>1648.438773</v>
      </c>
      <c r="L10" s="46">
        <f>FORMULAS!BG72</f>
        <v>1648.438773</v>
      </c>
      <c r="M10" s="46">
        <f>FORMULAS!BK72</f>
        <v>1648.438773</v>
      </c>
      <c r="N10" s="17">
        <f t="shared" si="1"/>
        <v>11791.34806</v>
      </c>
    </row>
    <row r="11" ht="13.5" customHeight="1">
      <c r="A11" s="15" t="s">
        <v>21</v>
      </c>
      <c r="B11" s="87">
        <v>388.0</v>
      </c>
      <c r="C11" s="87">
        <v>426.88</v>
      </c>
      <c r="D11" s="87">
        <v>388.0</v>
      </c>
      <c r="E11" s="87">
        <v>388.0</v>
      </c>
      <c r="F11" s="87">
        <v>388.0</v>
      </c>
      <c r="G11" s="87">
        <v>388.0</v>
      </c>
      <c r="H11" s="87">
        <v>388.0</v>
      </c>
      <c r="I11" s="87">
        <v>388.0</v>
      </c>
      <c r="J11" s="87">
        <v>388.0</v>
      </c>
      <c r="K11" s="87">
        <v>388.0</v>
      </c>
      <c r="L11" s="87">
        <v>388.0</v>
      </c>
      <c r="M11" s="87">
        <v>388.0</v>
      </c>
      <c r="N11" s="17">
        <f t="shared" si="1"/>
        <v>4694.88</v>
      </c>
    </row>
    <row r="12" ht="13.5" customHeight="1">
      <c r="A12" s="15" t="s">
        <v>22</v>
      </c>
      <c r="B12" s="46">
        <f>PRODUCTION!Q3</f>
        <v>700</v>
      </c>
      <c r="C12" s="46">
        <f>PRODUCTION!Q4</f>
        <v>1370.6</v>
      </c>
      <c r="D12" s="46">
        <f>PRODUCTION!Q5</f>
        <v>1370.6</v>
      </c>
      <c r="E12" s="46">
        <f>PRODUCTION!Q6</f>
        <v>1370.6</v>
      </c>
      <c r="F12" s="46">
        <f>PRODUCTION!Q7</f>
        <v>1370.6</v>
      </c>
      <c r="G12" s="46">
        <f>PRODUCTION!Q8</f>
        <v>1370.6</v>
      </c>
      <c r="H12" s="46">
        <f>PRODUCTION!Q9</f>
        <v>1370.6</v>
      </c>
      <c r="I12" s="46">
        <f>PRODUCTION!Q10</f>
        <v>1370.6</v>
      </c>
      <c r="J12" s="46">
        <f>PRODUCTION!Q11</f>
        <v>1370.6</v>
      </c>
      <c r="K12" s="46">
        <f>PRODUCTION!Q12</f>
        <v>1370.6</v>
      </c>
      <c r="L12" s="46">
        <f>PRODUCTION!Q13</f>
        <v>1370.6</v>
      </c>
      <c r="M12" s="46">
        <f>PRODUCTION!Q14</f>
        <v>1370.6</v>
      </c>
      <c r="N12" s="17">
        <f t="shared" si="1"/>
        <v>15776.6</v>
      </c>
    </row>
    <row r="13" ht="13.5" customHeight="1">
      <c r="A13" s="21" t="s">
        <v>23</v>
      </c>
      <c r="B13" s="22">
        <f t="shared" ref="B13:N13" si="2">SUM(B5:B12)</f>
        <v>8101.888889</v>
      </c>
      <c r="C13" s="22">
        <f t="shared" si="2"/>
        <v>8323.160272</v>
      </c>
      <c r="D13" s="22">
        <f t="shared" si="2"/>
        <v>8883.089796</v>
      </c>
      <c r="E13" s="22">
        <f t="shared" si="2"/>
        <v>12263.96785</v>
      </c>
      <c r="F13" s="22">
        <f t="shared" si="2"/>
        <v>14913.66929</v>
      </c>
      <c r="G13" s="22">
        <f t="shared" si="2"/>
        <v>13759.23427</v>
      </c>
      <c r="H13" s="22">
        <f t="shared" si="2"/>
        <v>9508.617144</v>
      </c>
      <c r="I13" s="22">
        <f t="shared" si="2"/>
        <v>9508.617144</v>
      </c>
      <c r="J13" s="22">
        <f t="shared" si="2"/>
        <v>11781.10774</v>
      </c>
      <c r="K13" s="22">
        <f t="shared" si="2"/>
        <v>13429.54651</v>
      </c>
      <c r="L13" s="22">
        <f t="shared" si="2"/>
        <v>15407.67304</v>
      </c>
      <c r="M13" s="22">
        <f t="shared" si="2"/>
        <v>15407.67304</v>
      </c>
      <c r="N13" s="22">
        <f t="shared" si="2"/>
        <v>141288.245</v>
      </c>
    </row>
    <row r="14" ht="13.5" customHeight="1">
      <c r="A14" s="89" t="s">
        <v>24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83"/>
    </row>
    <row r="15" ht="13.5" customHeight="1">
      <c r="A15" s="35" t="s">
        <v>153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17">
        <f t="shared" ref="N15:N18" si="3">SUM(B15:M15)</f>
        <v>0</v>
      </c>
    </row>
    <row r="16" ht="13.5" customHeight="1">
      <c r="A16" s="35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17">
        <f t="shared" si="3"/>
        <v>0</v>
      </c>
    </row>
    <row r="17" ht="13.5" customHeight="1">
      <c r="A17" s="35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17">
        <f t="shared" si="3"/>
        <v>0</v>
      </c>
    </row>
    <row r="18" ht="13.5" customHeight="1">
      <c r="A18" s="35"/>
      <c r="B18" s="46"/>
      <c r="C18" s="46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17">
        <f t="shared" si="3"/>
        <v>0</v>
      </c>
    </row>
    <row r="19" ht="13.5" customHeight="1">
      <c r="A19" s="27" t="s">
        <v>29</v>
      </c>
      <c r="B19" s="103"/>
      <c r="C19" s="103"/>
      <c r="D19" s="46"/>
      <c r="E19" s="87"/>
      <c r="F19" s="84"/>
      <c r="G19" s="84"/>
      <c r="H19" s="84"/>
      <c r="I19" s="84"/>
      <c r="J19" s="84"/>
      <c r="K19" s="84"/>
      <c r="L19" s="84"/>
      <c r="M19" s="84"/>
      <c r="N19" s="17">
        <f>SUM(C19:M19)</f>
        <v>0</v>
      </c>
    </row>
    <row r="20" ht="13.5" customHeight="1">
      <c r="A20" s="35"/>
      <c r="B20" s="46"/>
      <c r="C20" s="46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17">
        <f>SUM(B20:M20)</f>
        <v>0</v>
      </c>
    </row>
    <row r="21" ht="13.5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</row>
    <row r="22" ht="13.5" customHeight="1">
      <c r="A22" s="89" t="s">
        <v>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3"/>
    </row>
    <row r="23" ht="13.5" customHeight="1">
      <c r="A23" s="26" t="s">
        <v>31</v>
      </c>
      <c r="B23" s="87">
        <v>0.0</v>
      </c>
      <c r="C23" s="87">
        <v>0.0</v>
      </c>
      <c r="D23" s="87">
        <v>3013.0</v>
      </c>
      <c r="E23" s="87">
        <v>0.0</v>
      </c>
      <c r="F23" s="87">
        <v>0.0</v>
      </c>
      <c r="G23" s="87">
        <v>0.0</v>
      </c>
      <c r="H23" s="87">
        <v>0.0</v>
      </c>
      <c r="I23" s="87">
        <v>0.0</v>
      </c>
      <c r="J23" s="87">
        <v>0.0</v>
      </c>
      <c r="K23" s="87">
        <v>5000.0</v>
      </c>
      <c r="L23" s="87">
        <v>5000.0</v>
      </c>
      <c r="M23" s="87">
        <v>0.0</v>
      </c>
      <c r="N23" s="17">
        <f t="shared" ref="N23:N31" si="5">SUM(B23:M23)</f>
        <v>13013</v>
      </c>
    </row>
    <row r="24" ht="13.5" customHeight="1">
      <c r="A24" s="32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17">
        <f t="shared" si="5"/>
        <v>0</v>
      </c>
    </row>
    <row r="25" ht="13.5" customHeight="1">
      <c r="A25" s="15" t="s">
        <v>127</v>
      </c>
      <c r="B25" s="46"/>
      <c r="C25" s="138"/>
      <c r="D25" s="46"/>
      <c r="E25" s="46"/>
      <c r="F25" s="46"/>
      <c r="G25" s="46"/>
      <c r="H25" s="46"/>
      <c r="I25" s="87"/>
      <c r="J25" s="46"/>
      <c r="K25" s="46"/>
      <c r="L25" s="46"/>
      <c r="M25" s="46"/>
      <c r="N25" s="17">
        <f t="shared" si="5"/>
        <v>0</v>
      </c>
    </row>
    <row r="26" ht="13.5" customHeight="1">
      <c r="A26" s="32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17">
        <f t="shared" si="5"/>
        <v>0</v>
      </c>
    </row>
    <row r="27" ht="13.5" customHeight="1">
      <c r="A27" s="31" t="s">
        <v>34</v>
      </c>
      <c r="B27" s="172"/>
      <c r="C27" s="46"/>
      <c r="D27" s="139"/>
      <c r="E27" s="140"/>
      <c r="F27" s="141"/>
      <c r="G27" s="141"/>
      <c r="H27" s="140"/>
      <c r="I27" s="141"/>
      <c r="J27" s="172"/>
      <c r="K27" s="172"/>
      <c r="L27" s="172"/>
      <c r="M27" s="172"/>
      <c r="N27" s="17">
        <f t="shared" si="5"/>
        <v>0</v>
      </c>
    </row>
    <row r="28" ht="13.5" customHeight="1">
      <c r="A28" s="33" t="s">
        <v>35</v>
      </c>
      <c r="B28" s="87"/>
      <c r="C28" s="46"/>
      <c r="D28" s="46"/>
      <c r="E28" s="87"/>
      <c r="F28" s="46"/>
      <c r="G28" s="46"/>
      <c r="H28" s="46"/>
      <c r="I28" s="46"/>
      <c r="J28" s="46"/>
      <c r="K28" s="46"/>
      <c r="L28" s="46"/>
      <c r="M28" s="46"/>
      <c r="N28" s="17">
        <f t="shared" si="5"/>
        <v>0</v>
      </c>
    </row>
    <row r="29" ht="13.5" customHeight="1">
      <c r="A29" s="27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17">
        <f t="shared" si="5"/>
        <v>0</v>
      </c>
    </row>
    <row r="30" ht="13.5" customHeight="1">
      <c r="A30" s="31" t="s">
        <v>37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46"/>
      <c r="N30" s="17">
        <f t="shared" si="5"/>
        <v>0</v>
      </c>
    </row>
    <row r="31" ht="13.5" customHeight="1">
      <c r="A31" s="3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17">
        <f t="shared" si="5"/>
        <v>0</v>
      </c>
    </row>
    <row r="32" ht="13.5" customHeight="1">
      <c r="A32" s="91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3013</v>
      </c>
      <c r="E32" s="28">
        <f t="shared" si="6"/>
        <v>0</v>
      </c>
      <c r="F32" s="28">
        <f t="shared" si="6"/>
        <v>0</v>
      </c>
      <c r="G32" s="28">
        <f t="shared" si="6"/>
        <v>0</v>
      </c>
      <c r="H32" s="28">
        <f t="shared" si="6"/>
        <v>0</v>
      </c>
      <c r="I32" s="28">
        <f t="shared" si="6"/>
        <v>0</v>
      </c>
      <c r="J32" s="28">
        <f t="shared" si="6"/>
        <v>0</v>
      </c>
      <c r="K32" s="28">
        <f t="shared" si="6"/>
        <v>5000</v>
      </c>
      <c r="L32" s="28">
        <f t="shared" si="6"/>
        <v>5000</v>
      </c>
      <c r="M32" s="28">
        <f t="shared" si="6"/>
        <v>0</v>
      </c>
      <c r="N32" s="28">
        <f t="shared" si="6"/>
        <v>13013</v>
      </c>
    </row>
    <row r="33" ht="13.5" customHeight="1">
      <c r="A33" s="79" t="s">
        <v>38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</row>
    <row r="34" ht="13.5" customHeight="1">
      <c r="A34" s="15" t="s">
        <v>39</v>
      </c>
      <c r="B34" s="87">
        <f t="shared" ref="B34:M34" si="7">1050+850+61.9+295+200</f>
        <v>2456.9</v>
      </c>
      <c r="C34" s="87">
        <f t="shared" si="7"/>
        <v>2456.9</v>
      </c>
      <c r="D34" s="87">
        <f t="shared" si="7"/>
        <v>2456.9</v>
      </c>
      <c r="E34" s="87">
        <f t="shared" si="7"/>
        <v>2456.9</v>
      </c>
      <c r="F34" s="87">
        <f t="shared" si="7"/>
        <v>2456.9</v>
      </c>
      <c r="G34" s="87">
        <f t="shared" si="7"/>
        <v>2456.9</v>
      </c>
      <c r="H34" s="87">
        <f t="shared" si="7"/>
        <v>2456.9</v>
      </c>
      <c r="I34" s="87">
        <f t="shared" si="7"/>
        <v>2456.9</v>
      </c>
      <c r="J34" s="87">
        <f t="shared" si="7"/>
        <v>2456.9</v>
      </c>
      <c r="K34" s="87">
        <f t="shared" si="7"/>
        <v>2456.9</v>
      </c>
      <c r="L34" s="87">
        <f t="shared" si="7"/>
        <v>2456.9</v>
      </c>
      <c r="M34" s="87">
        <f t="shared" si="7"/>
        <v>2456.9</v>
      </c>
      <c r="N34" s="17">
        <f t="shared" ref="N34:N51" si="8">SUM(B34:M34)</f>
        <v>29482.8</v>
      </c>
    </row>
    <row r="35" ht="13.5" customHeight="1">
      <c r="A35" s="87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17">
        <f t="shared" si="8"/>
        <v>0</v>
      </c>
    </row>
    <row r="36" ht="13.5" customHeight="1">
      <c r="A36" s="35" t="s">
        <v>41</v>
      </c>
      <c r="B36" s="87">
        <f t="shared" ref="B36:M36" si="9">395+75</f>
        <v>470</v>
      </c>
      <c r="C36" s="87">
        <f t="shared" si="9"/>
        <v>470</v>
      </c>
      <c r="D36" s="87">
        <f t="shared" si="9"/>
        <v>470</v>
      </c>
      <c r="E36" s="87">
        <f t="shared" si="9"/>
        <v>470</v>
      </c>
      <c r="F36" s="87">
        <f t="shared" si="9"/>
        <v>470</v>
      </c>
      <c r="G36" s="87">
        <f t="shared" si="9"/>
        <v>470</v>
      </c>
      <c r="H36" s="87">
        <f t="shared" si="9"/>
        <v>470</v>
      </c>
      <c r="I36" s="87">
        <f t="shared" si="9"/>
        <v>470</v>
      </c>
      <c r="J36" s="87">
        <f t="shared" si="9"/>
        <v>470</v>
      </c>
      <c r="K36" s="87">
        <f t="shared" si="9"/>
        <v>470</v>
      </c>
      <c r="L36" s="87">
        <f t="shared" si="9"/>
        <v>470</v>
      </c>
      <c r="M36" s="87">
        <f t="shared" si="9"/>
        <v>470</v>
      </c>
      <c r="N36" s="17">
        <f t="shared" si="8"/>
        <v>5640</v>
      </c>
    </row>
    <row r="37" ht="13.5" customHeight="1">
      <c r="A37" s="35" t="s">
        <v>42</v>
      </c>
      <c r="B37" s="87">
        <v>759.0</v>
      </c>
      <c r="C37" s="87">
        <v>759.0</v>
      </c>
      <c r="D37" s="87">
        <v>759.0</v>
      </c>
      <c r="E37" s="87">
        <v>759.0</v>
      </c>
      <c r="F37" s="87">
        <v>759.0</v>
      </c>
      <c r="G37" s="87">
        <v>759.0</v>
      </c>
      <c r="H37" s="87">
        <v>759.0</v>
      </c>
      <c r="I37" s="87">
        <v>759.0</v>
      </c>
      <c r="J37" s="87">
        <v>759.0</v>
      </c>
      <c r="K37" s="87">
        <v>759.0</v>
      </c>
      <c r="L37" s="87">
        <v>759.0</v>
      </c>
      <c r="M37" s="87">
        <v>759.0</v>
      </c>
      <c r="N37" s="17">
        <f t="shared" si="8"/>
        <v>9108</v>
      </c>
    </row>
    <row r="38" ht="13.5" customHeight="1">
      <c r="A38" s="35" t="s">
        <v>43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17">
        <f t="shared" si="8"/>
        <v>0</v>
      </c>
    </row>
    <row r="39" ht="13.5" customHeight="1">
      <c r="A39" s="35" t="s">
        <v>44</v>
      </c>
      <c r="B39" s="46"/>
      <c r="C39" s="46"/>
      <c r="D39" s="87"/>
      <c r="E39" s="46"/>
      <c r="F39" s="46"/>
      <c r="G39" s="46"/>
      <c r="H39" s="46"/>
      <c r="I39" s="46"/>
      <c r="J39" s="46"/>
      <c r="K39" s="46"/>
      <c r="L39" s="46"/>
      <c r="M39" s="46"/>
      <c r="N39" s="17">
        <f t="shared" si="8"/>
        <v>0</v>
      </c>
    </row>
    <row r="40" ht="13.5" customHeight="1">
      <c r="A40" s="35" t="s">
        <v>45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17">
        <f t="shared" si="8"/>
        <v>0</v>
      </c>
    </row>
    <row r="41" ht="13.5" customHeight="1">
      <c r="A41" s="39" t="s">
        <v>181</v>
      </c>
      <c r="B41" s="87">
        <v>2765.0</v>
      </c>
      <c r="C41" s="87">
        <v>2765.0</v>
      </c>
      <c r="D41" s="87">
        <v>2765.0</v>
      </c>
      <c r="E41" s="87">
        <v>2765.0</v>
      </c>
      <c r="F41" s="87">
        <v>2765.0</v>
      </c>
      <c r="G41" s="87">
        <v>2765.0</v>
      </c>
      <c r="H41" s="87">
        <v>2765.0</v>
      </c>
      <c r="I41" s="87">
        <v>2765.0</v>
      </c>
      <c r="J41" s="87">
        <v>2765.0</v>
      </c>
      <c r="K41" s="87">
        <v>2765.0</v>
      </c>
      <c r="L41" s="87">
        <v>2765.0</v>
      </c>
      <c r="M41" s="87">
        <v>2765.0</v>
      </c>
      <c r="N41" s="17">
        <f t="shared" si="8"/>
        <v>33180</v>
      </c>
    </row>
    <row r="42" ht="13.5" customHeight="1">
      <c r="A42" s="19" t="s">
        <v>146</v>
      </c>
      <c r="B42" s="87">
        <v>365.0</v>
      </c>
      <c r="C42" s="87">
        <v>365.0</v>
      </c>
      <c r="D42" s="87">
        <v>365.0</v>
      </c>
      <c r="E42" s="87">
        <v>365.0</v>
      </c>
      <c r="F42" s="87">
        <v>365.0</v>
      </c>
      <c r="G42" s="87">
        <v>365.0</v>
      </c>
      <c r="H42" s="87">
        <v>365.0</v>
      </c>
      <c r="I42" s="87">
        <v>365.0</v>
      </c>
      <c r="J42" s="87">
        <v>365.0</v>
      </c>
      <c r="K42" s="87">
        <v>365.0</v>
      </c>
      <c r="L42" s="87">
        <v>365.0</v>
      </c>
      <c r="M42" s="87">
        <v>365.0</v>
      </c>
      <c r="N42" s="17">
        <f t="shared" si="8"/>
        <v>4380</v>
      </c>
    </row>
    <row r="43" ht="13.5" customHeight="1">
      <c r="A43" s="19" t="s">
        <v>129</v>
      </c>
      <c r="B43" s="87">
        <v>949.0</v>
      </c>
      <c r="C43" s="87">
        <v>949.0</v>
      </c>
      <c r="D43" s="87">
        <v>949.0</v>
      </c>
      <c r="E43" s="87">
        <v>949.0</v>
      </c>
      <c r="F43" s="87">
        <v>949.0</v>
      </c>
      <c r="G43" s="87">
        <v>949.0</v>
      </c>
      <c r="H43" s="87">
        <v>949.0</v>
      </c>
      <c r="I43" s="87">
        <v>1005.94</v>
      </c>
      <c r="J43" s="87">
        <v>1005.94</v>
      </c>
      <c r="K43" s="87">
        <v>1005.94</v>
      </c>
      <c r="L43" s="87">
        <v>1005.94</v>
      </c>
      <c r="M43" s="87">
        <v>1005.94</v>
      </c>
      <c r="N43" s="17">
        <f t="shared" si="8"/>
        <v>11672.7</v>
      </c>
    </row>
    <row r="44" ht="13.5" customHeight="1">
      <c r="A44" s="31" t="s">
        <v>130</v>
      </c>
      <c r="B44" s="87">
        <v>499.0</v>
      </c>
      <c r="C44" s="87">
        <v>499.0</v>
      </c>
      <c r="D44" s="87">
        <v>499.0</v>
      </c>
      <c r="E44" s="87">
        <v>499.0</v>
      </c>
      <c r="F44" s="87">
        <v>499.0</v>
      </c>
      <c r="G44" s="87">
        <v>499.0</v>
      </c>
      <c r="H44" s="87">
        <v>499.0</v>
      </c>
      <c r="I44" s="87">
        <v>499.0</v>
      </c>
      <c r="J44" s="87">
        <v>499.0</v>
      </c>
      <c r="K44" s="87">
        <v>499.0</v>
      </c>
      <c r="L44" s="87">
        <v>499.0</v>
      </c>
      <c r="M44" s="87">
        <v>499.0</v>
      </c>
      <c r="N44" s="17">
        <f t="shared" si="8"/>
        <v>5988</v>
      </c>
    </row>
    <row r="45" ht="13.5" customHeight="1">
      <c r="A45" s="156" t="s">
        <v>50</v>
      </c>
      <c r="B45" s="46">
        <f t="shared" ref="B45:M45" si="10">45+97.5+448</f>
        <v>590.5</v>
      </c>
      <c r="C45" s="46">
        <f t="shared" si="10"/>
        <v>590.5</v>
      </c>
      <c r="D45" s="46">
        <f t="shared" si="10"/>
        <v>590.5</v>
      </c>
      <c r="E45" s="46">
        <f t="shared" si="10"/>
        <v>590.5</v>
      </c>
      <c r="F45" s="46">
        <f t="shared" si="10"/>
        <v>590.5</v>
      </c>
      <c r="G45" s="46">
        <f t="shared" si="10"/>
        <v>590.5</v>
      </c>
      <c r="H45" s="46">
        <f t="shared" si="10"/>
        <v>590.5</v>
      </c>
      <c r="I45" s="46">
        <f t="shared" si="10"/>
        <v>590.5</v>
      </c>
      <c r="J45" s="46">
        <f t="shared" si="10"/>
        <v>590.5</v>
      </c>
      <c r="K45" s="46">
        <f t="shared" si="10"/>
        <v>590.5</v>
      </c>
      <c r="L45" s="46">
        <f t="shared" si="10"/>
        <v>590.5</v>
      </c>
      <c r="M45" s="46">
        <f t="shared" si="10"/>
        <v>590.5</v>
      </c>
      <c r="N45" s="17">
        <f t="shared" si="8"/>
        <v>7086</v>
      </c>
    </row>
    <row r="46" ht="13.5" customHeight="1">
      <c r="A46" s="15" t="s">
        <v>51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17">
        <f t="shared" si="8"/>
        <v>0</v>
      </c>
    </row>
    <row r="47" ht="13.5" customHeight="1">
      <c r="A47" s="19" t="s">
        <v>52</v>
      </c>
      <c r="B47" s="87">
        <f t="shared" ref="B47:M47" si="11">850+750+2500+500</f>
        <v>4600</v>
      </c>
      <c r="C47" s="87">
        <f t="shared" si="11"/>
        <v>4600</v>
      </c>
      <c r="D47" s="87">
        <f t="shared" si="11"/>
        <v>4600</v>
      </c>
      <c r="E47" s="87">
        <f t="shared" si="11"/>
        <v>4600</v>
      </c>
      <c r="F47" s="87">
        <f t="shared" si="11"/>
        <v>4600</v>
      </c>
      <c r="G47" s="87">
        <f t="shared" si="11"/>
        <v>4600</v>
      </c>
      <c r="H47" s="87">
        <f t="shared" si="11"/>
        <v>4600</v>
      </c>
      <c r="I47" s="87">
        <f t="shared" si="11"/>
        <v>4600</v>
      </c>
      <c r="J47" s="87">
        <f t="shared" si="11"/>
        <v>4600</v>
      </c>
      <c r="K47" s="87">
        <f t="shared" si="11"/>
        <v>4600</v>
      </c>
      <c r="L47" s="87">
        <f t="shared" si="11"/>
        <v>4600</v>
      </c>
      <c r="M47" s="87">
        <f t="shared" si="11"/>
        <v>4600</v>
      </c>
      <c r="N47" s="17">
        <f t="shared" si="8"/>
        <v>55200</v>
      </c>
    </row>
    <row r="48" ht="13.5" customHeight="1">
      <c r="A48" s="19" t="s">
        <v>229</v>
      </c>
      <c r="B48" s="87">
        <f t="shared" ref="B48:M48" si="12">350.33+55.66+80</f>
        <v>485.99</v>
      </c>
      <c r="C48" s="87">
        <f t="shared" si="12"/>
        <v>485.99</v>
      </c>
      <c r="D48" s="87">
        <f t="shared" si="12"/>
        <v>485.99</v>
      </c>
      <c r="E48" s="87">
        <f t="shared" si="12"/>
        <v>485.99</v>
      </c>
      <c r="F48" s="87">
        <f t="shared" si="12"/>
        <v>485.99</v>
      </c>
      <c r="G48" s="87">
        <f t="shared" si="12"/>
        <v>485.99</v>
      </c>
      <c r="H48" s="87">
        <f t="shared" si="12"/>
        <v>485.99</v>
      </c>
      <c r="I48" s="87">
        <f t="shared" si="12"/>
        <v>485.99</v>
      </c>
      <c r="J48" s="87">
        <f t="shared" si="12"/>
        <v>485.99</v>
      </c>
      <c r="K48" s="87">
        <f t="shared" si="12"/>
        <v>485.99</v>
      </c>
      <c r="L48" s="87">
        <f t="shared" si="12"/>
        <v>485.99</v>
      </c>
      <c r="M48" s="87">
        <f t="shared" si="12"/>
        <v>485.99</v>
      </c>
      <c r="N48" s="17">
        <f t="shared" si="8"/>
        <v>5831.88</v>
      </c>
    </row>
    <row r="49" ht="13.5" customHeight="1">
      <c r="A49" s="35" t="s">
        <v>54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17">
        <f t="shared" si="8"/>
        <v>0</v>
      </c>
    </row>
    <row r="50" ht="13.5" customHeight="1">
      <c r="A50" s="19" t="s">
        <v>132</v>
      </c>
      <c r="B50" s="87">
        <v>1775.0</v>
      </c>
      <c r="C50" s="87">
        <v>1775.0</v>
      </c>
      <c r="D50" s="87">
        <v>1775.0</v>
      </c>
      <c r="E50" s="87">
        <v>1775.0</v>
      </c>
      <c r="F50" s="87">
        <v>1775.0</v>
      </c>
      <c r="G50" s="87">
        <v>1775.0</v>
      </c>
      <c r="H50" s="87">
        <v>1775.0</v>
      </c>
      <c r="I50" s="87">
        <v>1775.0</v>
      </c>
      <c r="J50" s="87">
        <v>1775.0</v>
      </c>
      <c r="K50" s="87">
        <v>1775.0</v>
      </c>
      <c r="L50" s="87">
        <v>1775.0</v>
      </c>
      <c r="M50" s="87">
        <v>1775.0</v>
      </c>
      <c r="N50" s="17">
        <f t="shared" si="8"/>
        <v>21300</v>
      </c>
    </row>
    <row r="51" ht="13.5" customHeight="1">
      <c r="A51" s="15" t="s">
        <v>160</v>
      </c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17">
        <f t="shared" si="8"/>
        <v>0</v>
      </c>
    </row>
    <row r="52" ht="13.5" customHeight="1">
      <c r="A52" s="91" t="s">
        <v>23</v>
      </c>
      <c r="B52" s="28">
        <f t="shared" ref="B52:N52" si="13">SUM(B34:B51)</f>
        <v>15715.39</v>
      </c>
      <c r="C52" s="28">
        <f t="shared" si="13"/>
        <v>15715.39</v>
      </c>
      <c r="D52" s="28">
        <f t="shared" si="13"/>
        <v>15715.39</v>
      </c>
      <c r="E52" s="28">
        <f t="shared" si="13"/>
        <v>15715.39</v>
      </c>
      <c r="F52" s="28">
        <f t="shared" si="13"/>
        <v>15715.39</v>
      </c>
      <c r="G52" s="28">
        <f t="shared" si="13"/>
        <v>15715.39</v>
      </c>
      <c r="H52" s="28">
        <f t="shared" si="13"/>
        <v>15715.39</v>
      </c>
      <c r="I52" s="28">
        <f t="shared" si="13"/>
        <v>15772.33</v>
      </c>
      <c r="J52" s="28">
        <f t="shared" si="13"/>
        <v>15772.33</v>
      </c>
      <c r="K52" s="28">
        <f t="shared" si="13"/>
        <v>15772.33</v>
      </c>
      <c r="L52" s="28">
        <f t="shared" si="13"/>
        <v>15772.33</v>
      </c>
      <c r="M52" s="28">
        <f t="shared" si="13"/>
        <v>15772.33</v>
      </c>
      <c r="N52" s="28">
        <f t="shared" si="13"/>
        <v>188869.38</v>
      </c>
    </row>
    <row r="53" ht="13.5" customHeight="1">
      <c r="A53" s="79" t="s">
        <v>56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</row>
    <row r="54" ht="13.5" customHeight="1">
      <c r="A54" s="32" t="s">
        <v>57</v>
      </c>
      <c r="B54" s="87">
        <v>2500.0</v>
      </c>
      <c r="C54" s="87">
        <v>2500.0</v>
      </c>
      <c r="D54" s="87">
        <v>2500.0</v>
      </c>
      <c r="E54" s="87">
        <v>2500.0</v>
      </c>
      <c r="F54" s="87">
        <v>2500.0</v>
      </c>
      <c r="G54" s="87">
        <v>2500.0</v>
      </c>
      <c r="H54" s="87">
        <v>2500.0</v>
      </c>
      <c r="I54" s="87">
        <v>2500.0</v>
      </c>
      <c r="J54" s="87">
        <v>2500.0</v>
      </c>
      <c r="K54" s="87">
        <v>2500.0</v>
      </c>
      <c r="L54" s="87">
        <v>2500.0</v>
      </c>
      <c r="M54" s="87">
        <v>2500.0</v>
      </c>
      <c r="N54" s="17">
        <f t="shared" ref="N54:N69" si="14">SUM(B54:M54)</f>
        <v>30000</v>
      </c>
    </row>
    <row r="55" ht="13.5" customHeight="1">
      <c r="A55" s="32" t="s">
        <v>58</v>
      </c>
      <c r="B55" s="87">
        <v>3400.0</v>
      </c>
      <c r="C55" s="87">
        <v>4500.0</v>
      </c>
      <c r="D55" s="87">
        <v>4500.0</v>
      </c>
      <c r="E55" s="87">
        <v>4500.0</v>
      </c>
      <c r="F55" s="87">
        <v>4500.0</v>
      </c>
      <c r="G55" s="87">
        <v>4500.0</v>
      </c>
      <c r="H55" s="87">
        <v>4500.0</v>
      </c>
      <c r="I55" s="87">
        <v>4500.0</v>
      </c>
      <c r="J55" s="87">
        <v>4500.0</v>
      </c>
      <c r="K55" s="87">
        <v>4500.0</v>
      </c>
      <c r="L55" s="87">
        <v>4500.0</v>
      </c>
      <c r="M55" s="87">
        <v>4500.0</v>
      </c>
      <c r="N55" s="17">
        <f t="shared" si="14"/>
        <v>52900</v>
      </c>
    </row>
    <row r="56" ht="13.5" customHeight="1">
      <c r="A56" s="31" t="s">
        <v>59</v>
      </c>
      <c r="B56" s="87">
        <f t="shared" ref="B56:M56" si="15">399+351+57</f>
        <v>807</v>
      </c>
      <c r="C56" s="87">
        <f t="shared" si="15"/>
        <v>807</v>
      </c>
      <c r="D56" s="87">
        <f t="shared" si="15"/>
        <v>807</v>
      </c>
      <c r="E56" s="87">
        <f t="shared" si="15"/>
        <v>807</v>
      </c>
      <c r="F56" s="87">
        <f t="shared" si="15"/>
        <v>807</v>
      </c>
      <c r="G56" s="87">
        <f t="shared" si="15"/>
        <v>807</v>
      </c>
      <c r="H56" s="87">
        <f t="shared" si="15"/>
        <v>807</v>
      </c>
      <c r="I56" s="87">
        <f t="shared" si="15"/>
        <v>807</v>
      </c>
      <c r="J56" s="87">
        <f t="shared" si="15"/>
        <v>807</v>
      </c>
      <c r="K56" s="87">
        <f t="shared" si="15"/>
        <v>807</v>
      </c>
      <c r="L56" s="87">
        <f t="shared" si="15"/>
        <v>807</v>
      </c>
      <c r="M56" s="87">
        <f t="shared" si="15"/>
        <v>807</v>
      </c>
      <c r="N56" s="17">
        <f t="shared" si="14"/>
        <v>9684</v>
      </c>
    </row>
    <row r="57" ht="13.5" customHeight="1">
      <c r="A57" s="31" t="s">
        <v>133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17">
        <f t="shared" si="14"/>
        <v>0</v>
      </c>
    </row>
    <row r="58" ht="13.5" customHeight="1">
      <c r="A58" s="31" t="s">
        <v>134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17">
        <f t="shared" si="14"/>
        <v>0</v>
      </c>
    </row>
    <row r="59" ht="13.5" customHeight="1">
      <c r="A59" s="31" t="s">
        <v>135</v>
      </c>
      <c r="B59" s="87">
        <v>850.0</v>
      </c>
      <c r="C59" s="87">
        <v>850.0</v>
      </c>
      <c r="D59" s="87">
        <v>850.0</v>
      </c>
      <c r="E59" s="87">
        <v>850.0</v>
      </c>
      <c r="F59" s="87">
        <v>850.0</v>
      </c>
      <c r="G59" s="87">
        <v>850.0</v>
      </c>
      <c r="H59" s="87">
        <v>850.0</v>
      </c>
      <c r="I59" s="87">
        <v>850.0</v>
      </c>
      <c r="J59" s="87">
        <v>850.0</v>
      </c>
      <c r="K59" s="87">
        <v>850.0</v>
      </c>
      <c r="L59" s="87">
        <v>850.0</v>
      </c>
      <c r="M59" s="87">
        <v>850.0</v>
      </c>
      <c r="N59" s="17">
        <f t="shared" si="14"/>
        <v>10200</v>
      </c>
    </row>
    <row r="60" ht="13.5" customHeight="1">
      <c r="A60" s="32" t="s">
        <v>136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17">
        <f t="shared" si="14"/>
        <v>0</v>
      </c>
    </row>
    <row r="61" ht="13.5" customHeight="1">
      <c r="A61" s="32" t="s">
        <v>137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17">
        <f t="shared" si="14"/>
        <v>0</v>
      </c>
    </row>
    <row r="62" ht="13.5" customHeight="1">
      <c r="A62" s="31" t="s">
        <v>230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14"/>
        <v>0</v>
      </c>
    </row>
    <row r="63" ht="13.5" customHeight="1">
      <c r="A63" s="31" t="s">
        <v>64</v>
      </c>
      <c r="B63" s="87">
        <f t="shared" ref="B63:M63" si="16">13000-4000</f>
        <v>9000</v>
      </c>
      <c r="C63" s="87">
        <f t="shared" si="16"/>
        <v>9000</v>
      </c>
      <c r="D63" s="87">
        <f t="shared" si="16"/>
        <v>9000</v>
      </c>
      <c r="E63" s="87">
        <f t="shared" si="16"/>
        <v>9000</v>
      </c>
      <c r="F63" s="87">
        <f t="shared" si="16"/>
        <v>9000</v>
      </c>
      <c r="G63" s="87">
        <f t="shared" si="16"/>
        <v>9000</v>
      </c>
      <c r="H63" s="87">
        <f t="shared" si="16"/>
        <v>9000</v>
      </c>
      <c r="I63" s="87">
        <f t="shared" si="16"/>
        <v>9000</v>
      </c>
      <c r="J63" s="87">
        <f t="shared" si="16"/>
        <v>9000</v>
      </c>
      <c r="K63" s="87">
        <f t="shared" si="16"/>
        <v>9000</v>
      </c>
      <c r="L63" s="87">
        <f t="shared" si="16"/>
        <v>9000</v>
      </c>
      <c r="M63" s="87">
        <f t="shared" si="16"/>
        <v>9000</v>
      </c>
      <c r="N63" s="17">
        <f t="shared" si="14"/>
        <v>108000</v>
      </c>
    </row>
    <row r="64" ht="13.5" customHeight="1">
      <c r="A64" s="32" t="s">
        <v>65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17">
        <f t="shared" si="14"/>
        <v>0</v>
      </c>
    </row>
    <row r="65" ht="13.5" customHeight="1">
      <c r="A65" s="31" t="s">
        <v>231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17">
        <f t="shared" si="14"/>
        <v>0</v>
      </c>
    </row>
    <row r="66" ht="13.5" customHeight="1">
      <c r="A66" s="31" t="s">
        <v>67</v>
      </c>
      <c r="B66" s="46"/>
      <c r="C66" s="46"/>
      <c r="D66" s="46"/>
      <c r="E66" s="46"/>
      <c r="F66" s="46"/>
      <c r="G66" s="46"/>
      <c r="H66" s="87"/>
      <c r="I66" s="87"/>
      <c r="J66" s="46"/>
      <c r="K66" s="46"/>
      <c r="L66" s="87"/>
      <c r="M66" s="46"/>
      <c r="N66" s="17">
        <f t="shared" si="14"/>
        <v>0</v>
      </c>
    </row>
    <row r="67" ht="13.5" customHeight="1">
      <c r="A67" s="25" t="s">
        <v>68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17">
        <f t="shared" si="14"/>
        <v>0</v>
      </c>
    </row>
    <row r="68" ht="13.5" customHeight="1">
      <c r="A68" s="25" t="s">
        <v>69</v>
      </c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17">
        <f t="shared" si="14"/>
        <v>0</v>
      </c>
    </row>
    <row r="69" ht="13.5" customHeight="1">
      <c r="A69" s="39" t="s">
        <v>70</v>
      </c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17">
        <f t="shared" si="14"/>
        <v>0</v>
      </c>
    </row>
    <row r="70" ht="13.5" customHeight="1">
      <c r="A70" s="91" t="s">
        <v>23</v>
      </c>
      <c r="B70" s="28">
        <f t="shared" ref="B70:M70" si="17">SUM(B54:B69)</f>
        <v>16557</v>
      </c>
      <c r="C70" s="28">
        <f t="shared" si="17"/>
        <v>17657</v>
      </c>
      <c r="D70" s="28">
        <f t="shared" si="17"/>
        <v>17657</v>
      </c>
      <c r="E70" s="28">
        <f t="shared" si="17"/>
        <v>17657</v>
      </c>
      <c r="F70" s="28">
        <f t="shared" si="17"/>
        <v>17657</v>
      </c>
      <c r="G70" s="28">
        <f t="shared" si="17"/>
        <v>17657</v>
      </c>
      <c r="H70" s="28">
        <f t="shared" si="17"/>
        <v>17657</v>
      </c>
      <c r="I70" s="28">
        <f t="shared" si="17"/>
        <v>17657</v>
      </c>
      <c r="J70" s="28">
        <f t="shared" si="17"/>
        <v>17657</v>
      </c>
      <c r="K70" s="28">
        <f t="shared" si="17"/>
        <v>17657</v>
      </c>
      <c r="L70" s="28">
        <f t="shared" si="17"/>
        <v>17657</v>
      </c>
      <c r="M70" s="28">
        <f t="shared" si="17"/>
        <v>17657</v>
      </c>
      <c r="N70" s="28">
        <f>SUM(N54:N66)</f>
        <v>210784</v>
      </c>
    </row>
    <row r="71" ht="13.5" customHeight="1">
      <c r="A71" s="79" t="s">
        <v>71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</row>
    <row r="72" ht="13.5" customHeight="1">
      <c r="A72" s="32" t="s">
        <v>138</v>
      </c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17">
        <f t="shared" ref="N72:N83" si="18">SUM(B72:M72)</f>
        <v>0</v>
      </c>
    </row>
    <row r="73" ht="13.5" customHeight="1">
      <c r="A73" s="31" t="s">
        <v>73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17">
        <f t="shared" si="18"/>
        <v>0</v>
      </c>
    </row>
    <row r="74" ht="13.5" customHeight="1">
      <c r="A74" s="32" t="s">
        <v>139</v>
      </c>
      <c r="B74" s="87">
        <v>850.0</v>
      </c>
      <c r="C74" s="87">
        <v>850.0</v>
      </c>
      <c r="D74" s="87">
        <v>850.0</v>
      </c>
      <c r="E74" s="87">
        <v>850.0</v>
      </c>
      <c r="F74" s="87">
        <v>850.0</v>
      </c>
      <c r="G74" s="87">
        <v>850.0</v>
      </c>
      <c r="H74" s="87">
        <v>850.0</v>
      </c>
      <c r="I74" s="87">
        <v>850.0</v>
      </c>
      <c r="J74" s="87">
        <v>850.0</v>
      </c>
      <c r="K74" s="87">
        <v>850.0</v>
      </c>
      <c r="L74" s="87">
        <v>850.0</v>
      </c>
      <c r="M74" s="87">
        <v>850.0</v>
      </c>
      <c r="N74" s="17">
        <f t="shared" si="18"/>
        <v>10200</v>
      </c>
    </row>
    <row r="75" ht="13.5" customHeight="1">
      <c r="A75" s="31" t="s">
        <v>137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17">
        <f t="shared" si="18"/>
        <v>0</v>
      </c>
    </row>
    <row r="76" ht="13.5" customHeight="1">
      <c r="A76" s="32" t="s">
        <v>136</v>
      </c>
      <c r="B76" s="46"/>
      <c r="C76" s="46"/>
      <c r="D76" s="46"/>
      <c r="E76" s="46"/>
      <c r="F76" s="87"/>
      <c r="G76" s="46"/>
      <c r="H76" s="46"/>
      <c r="I76" s="46"/>
      <c r="J76" s="46"/>
      <c r="K76" s="46"/>
      <c r="L76" s="46"/>
      <c r="M76" s="46"/>
      <c r="N76" s="17">
        <f t="shared" si="18"/>
        <v>0</v>
      </c>
    </row>
    <row r="77" ht="13.5" customHeight="1">
      <c r="A77" s="31" t="s">
        <v>230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17">
        <f t="shared" si="18"/>
        <v>0</v>
      </c>
    </row>
    <row r="78" ht="13.5" customHeight="1">
      <c r="A78" s="31" t="s">
        <v>140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17">
        <f t="shared" si="18"/>
        <v>0</v>
      </c>
    </row>
    <row r="79" ht="13.5" customHeight="1">
      <c r="A79" s="27" t="s">
        <v>141</v>
      </c>
      <c r="B79" s="96">
        <v>4351.3</v>
      </c>
      <c r="C79" s="96">
        <v>4351.3</v>
      </c>
      <c r="D79" s="96">
        <v>4351.3</v>
      </c>
      <c r="E79" s="96">
        <v>4351.3</v>
      </c>
      <c r="F79" s="96">
        <v>4351.3</v>
      </c>
      <c r="G79" s="96">
        <v>4351.3</v>
      </c>
      <c r="H79" s="96">
        <v>4351.3</v>
      </c>
      <c r="I79" s="96">
        <v>4351.3</v>
      </c>
      <c r="J79" s="96">
        <v>4351.3</v>
      </c>
      <c r="K79" s="96">
        <v>4351.3</v>
      </c>
      <c r="L79" s="96">
        <v>4351.3</v>
      </c>
      <c r="M79" s="96">
        <v>4351.3</v>
      </c>
      <c r="N79" s="17">
        <f t="shared" si="18"/>
        <v>52215.6</v>
      </c>
    </row>
    <row r="80" ht="13.5" customHeight="1">
      <c r="A80" s="42" t="s">
        <v>79</v>
      </c>
      <c r="B80" s="87">
        <v>2150.0</v>
      </c>
      <c r="C80" s="87">
        <v>2150.0</v>
      </c>
      <c r="D80" s="87">
        <v>2150.0</v>
      </c>
      <c r="E80" s="87">
        <v>2150.0</v>
      </c>
      <c r="F80" s="87">
        <v>2150.0</v>
      </c>
      <c r="G80" s="87">
        <v>2150.0</v>
      </c>
      <c r="H80" s="87">
        <v>2150.0</v>
      </c>
      <c r="I80" s="87">
        <v>2150.0</v>
      </c>
      <c r="J80" s="87">
        <v>2150.0</v>
      </c>
      <c r="K80" s="87">
        <v>2150.0</v>
      </c>
      <c r="L80" s="87">
        <v>2150.0</v>
      </c>
      <c r="M80" s="87">
        <v>2150.0</v>
      </c>
      <c r="N80" s="17">
        <f t="shared" si="18"/>
        <v>25800</v>
      </c>
    </row>
    <row r="81" ht="13.5" customHeight="1">
      <c r="A81" s="43" t="s">
        <v>80</v>
      </c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>
        <v>2000.0</v>
      </c>
      <c r="N81" s="17">
        <f t="shared" si="18"/>
        <v>2000</v>
      </c>
    </row>
    <row r="82" ht="13.5" customHeight="1">
      <c r="A82" s="91" t="s">
        <v>23</v>
      </c>
      <c r="B82" s="28">
        <f t="shared" ref="B82:M82" si="19">SUM(B72:B81)</f>
        <v>7351.3</v>
      </c>
      <c r="C82" s="28">
        <f t="shared" si="19"/>
        <v>7351.3</v>
      </c>
      <c r="D82" s="28">
        <f t="shared" si="19"/>
        <v>7351.3</v>
      </c>
      <c r="E82" s="28">
        <f t="shared" si="19"/>
        <v>7351.3</v>
      </c>
      <c r="F82" s="28">
        <f t="shared" si="19"/>
        <v>7351.3</v>
      </c>
      <c r="G82" s="28">
        <f t="shared" si="19"/>
        <v>7351.3</v>
      </c>
      <c r="H82" s="28">
        <f t="shared" si="19"/>
        <v>7351.3</v>
      </c>
      <c r="I82" s="28">
        <f t="shared" si="19"/>
        <v>7351.3</v>
      </c>
      <c r="J82" s="28">
        <f t="shared" si="19"/>
        <v>7351.3</v>
      </c>
      <c r="K82" s="28">
        <f t="shared" si="19"/>
        <v>7351.3</v>
      </c>
      <c r="L82" s="28">
        <f t="shared" si="19"/>
        <v>7351.3</v>
      </c>
      <c r="M82" s="28">
        <f t="shared" si="19"/>
        <v>9351.3</v>
      </c>
      <c r="N82" s="44">
        <f t="shared" si="18"/>
        <v>90215.6</v>
      </c>
    </row>
    <row r="83" ht="13.5" customHeight="1">
      <c r="A83" s="99" t="s">
        <v>81</v>
      </c>
      <c r="B83" s="28">
        <f t="shared" ref="B83:M83" si="20">B52+B70+B82</f>
        <v>39623.69</v>
      </c>
      <c r="C83" s="28">
        <f t="shared" si="20"/>
        <v>40723.69</v>
      </c>
      <c r="D83" s="28">
        <f t="shared" si="20"/>
        <v>40723.69</v>
      </c>
      <c r="E83" s="28">
        <f t="shared" si="20"/>
        <v>40723.69</v>
      </c>
      <c r="F83" s="28">
        <f t="shared" si="20"/>
        <v>40723.69</v>
      </c>
      <c r="G83" s="28">
        <f t="shared" si="20"/>
        <v>40723.69</v>
      </c>
      <c r="H83" s="28">
        <f t="shared" si="20"/>
        <v>40723.69</v>
      </c>
      <c r="I83" s="28">
        <f t="shared" si="20"/>
        <v>40780.63</v>
      </c>
      <c r="J83" s="28">
        <f t="shared" si="20"/>
        <v>40780.63</v>
      </c>
      <c r="K83" s="28">
        <f t="shared" si="20"/>
        <v>40780.63</v>
      </c>
      <c r="L83" s="28">
        <f t="shared" si="20"/>
        <v>40780.63</v>
      </c>
      <c r="M83" s="28">
        <f t="shared" si="20"/>
        <v>42780.63</v>
      </c>
      <c r="N83" s="44">
        <f t="shared" si="18"/>
        <v>489868.98</v>
      </c>
    </row>
    <row r="84" ht="13.5" customHeight="1">
      <c r="A84" s="99" t="s">
        <v>82</v>
      </c>
      <c r="B84" s="46">
        <f t="shared" ref="B84:N84" si="21">B83/B112</f>
        <v>377.3684762</v>
      </c>
      <c r="C84" s="46">
        <f t="shared" si="21"/>
        <v>370.2153636</v>
      </c>
      <c r="D84" s="46">
        <f t="shared" si="21"/>
        <v>339.3640833</v>
      </c>
      <c r="E84" s="46">
        <f t="shared" si="21"/>
        <v>301.656963</v>
      </c>
      <c r="F84" s="46">
        <f t="shared" si="21"/>
        <v>271.4912667</v>
      </c>
      <c r="G84" s="46">
        <f t="shared" si="21"/>
        <v>271.4912667</v>
      </c>
      <c r="H84" s="46">
        <f t="shared" si="21"/>
        <v>254.5230625</v>
      </c>
      <c r="I84" s="46">
        <f t="shared" si="21"/>
        <v>247.1553333</v>
      </c>
      <c r="J84" s="46">
        <f t="shared" si="21"/>
        <v>281.2457241</v>
      </c>
      <c r="K84" s="46">
        <f t="shared" si="21"/>
        <v>263.1008387</v>
      </c>
      <c r="L84" s="46">
        <f t="shared" si="21"/>
        <v>254.8789375</v>
      </c>
      <c r="M84" s="46">
        <f t="shared" si="21"/>
        <v>251.6507647</v>
      </c>
      <c r="N84" s="15">
        <f t="shared" si="21"/>
        <v>283.9820174</v>
      </c>
    </row>
    <row r="85" ht="13.5" customHeight="1">
      <c r="A85" s="79" t="s">
        <v>83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</row>
    <row r="86" ht="13.5" customHeight="1">
      <c r="A86" s="15" t="s">
        <v>84</v>
      </c>
      <c r="B86" s="87">
        <v>820.0</v>
      </c>
      <c r="C86" s="87">
        <v>820.0</v>
      </c>
      <c r="D86" s="87">
        <v>820.0</v>
      </c>
      <c r="E86" s="87">
        <v>820.0</v>
      </c>
      <c r="F86" s="87">
        <v>820.0</v>
      </c>
      <c r="G86" s="87">
        <v>820.0</v>
      </c>
      <c r="H86" s="87">
        <v>820.0</v>
      </c>
      <c r="I86" s="87">
        <v>820.0</v>
      </c>
      <c r="J86" s="87">
        <v>820.0</v>
      </c>
      <c r="K86" s="87">
        <v>820.0</v>
      </c>
      <c r="L86" s="87">
        <v>820.0</v>
      </c>
      <c r="M86" s="87">
        <v>820.0</v>
      </c>
      <c r="N86" s="17">
        <f t="shared" ref="N86:N89" si="22">SUM(B86:M86)</f>
        <v>9840</v>
      </c>
    </row>
    <row r="87" ht="13.5" customHeight="1">
      <c r="A87" s="19" t="s">
        <v>232</v>
      </c>
      <c r="B87" s="46"/>
      <c r="C87" s="87"/>
      <c r="D87" s="46"/>
      <c r="E87" s="46"/>
      <c r="F87" s="46"/>
      <c r="G87" s="46"/>
      <c r="H87" s="46"/>
      <c r="I87" s="46"/>
      <c r="J87" s="46"/>
      <c r="K87" s="87"/>
      <c r="L87" s="87"/>
      <c r="M87" s="46"/>
      <c r="N87" s="17">
        <f t="shared" si="22"/>
        <v>0</v>
      </c>
    </row>
    <row r="88" ht="13.5" customHeight="1">
      <c r="A88" s="39" t="s">
        <v>233</v>
      </c>
      <c r="B88" s="28"/>
      <c r="C88" s="28"/>
      <c r="D88" s="28"/>
      <c r="E88" s="28"/>
      <c r="F88" s="28"/>
      <c r="G88" s="28"/>
      <c r="H88" s="28"/>
      <c r="I88" s="28"/>
      <c r="J88" s="28"/>
      <c r="K88" s="87"/>
      <c r="L88" s="28"/>
      <c r="M88" s="28"/>
      <c r="N88" s="17">
        <f t="shared" si="22"/>
        <v>0</v>
      </c>
    </row>
    <row r="89" ht="13.5" customHeight="1">
      <c r="A89" s="9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17">
        <f t="shared" si="22"/>
        <v>0</v>
      </c>
    </row>
    <row r="90" ht="13.5" customHeight="1">
      <c r="A90" s="91" t="s">
        <v>23</v>
      </c>
      <c r="B90" s="28">
        <f t="shared" ref="B90:N90" si="23">SUM(B86:B89)</f>
        <v>820</v>
      </c>
      <c r="C90" s="28">
        <f t="shared" si="23"/>
        <v>820</v>
      </c>
      <c r="D90" s="28">
        <f t="shared" si="23"/>
        <v>820</v>
      </c>
      <c r="E90" s="28">
        <f t="shared" si="23"/>
        <v>820</v>
      </c>
      <c r="F90" s="28">
        <f t="shared" si="23"/>
        <v>820</v>
      </c>
      <c r="G90" s="28">
        <f t="shared" si="23"/>
        <v>820</v>
      </c>
      <c r="H90" s="28">
        <f t="shared" si="23"/>
        <v>820</v>
      </c>
      <c r="I90" s="28">
        <f t="shared" si="23"/>
        <v>820</v>
      </c>
      <c r="J90" s="28">
        <f t="shared" si="23"/>
        <v>820</v>
      </c>
      <c r="K90" s="28">
        <f t="shared" si="23"/>
        <v>820</v>
      </c>
      <c r="L90" s="28">
        <f t="shared" si="23"/>
        <v>820</v>
      </c>
      <c r="M90" s="28">
        <f t="shared" si="23"/>
        <v>820</v>
      </c>
      <c r="N90" s="28">
        <f t="shared" si="23"/>
        <v>9840</v>
      </c>
    </row>
    <row r="91" ht="13.5" customHeight="1">
      <c r="A91" s="89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</row>
    <row r="92" ht="13.5" customHeight="1">
      <c r="A92" s="31" t="s">
        <v>89</v>
      </c>
      <c r="B92" s="101">
        <f>PRODUCTION!Q18</f>
        <v>750</v>
      </c>
      <c r="C92" s="102">
        <f>PRODUCTION!Q19</f>
        <v>750</v>
      </c>
      <c r="D92" s="102">
        <f>PRODUCTION!Q20</f>
        <v>750</v>
      </c>
      <c r="E92" s="102">
        <f>PRODUCTION!Q21</f>
        <v>750</v>
      </c>
      <c r="F92" s="102">
        <f>PRODUCTION!Q22</f>
        <v>750</v>
      </c>
      <c r="G92" s="102">
        <f>PRODUCTION!Q23</f>
        <v>750</v>
      </c>
      <c r="H92" s="102">
        <f>PRODUCTION!Q24</f>
        <v>750</v>
      </c>
      <c r="I92" s="102">
        <f>PRODUCTION!Q25</f>
        <v>750</v>
      </c>
      <c r="J92" s="102">
        <f>PRODUCTION!Q26</f>
        <v>750</v>
      </c>
      <c r="K92" s="102">
        <f>PRODUCTION!Q27</f>
        <v>750</v>
      </c>
      <c r="L92" s="102">
        <f>PRODUCTION!Q28</f>
        <v>750</v>
      </c>
      <c r="M92" s="102">
        <f>PRODUCTION!Q29</f>
        <v>750</v>
      </c>
      <c r="N92" s="17">
        <f t="shared" ref="N92:N105" si="24">SUM(B92:M92)</f>
        <v>9000</v>
      </c>
    </row>
    <row r="93" ht="13.5" customHeight="1">
      <c r="A93" s="31" t="s">
        <v>90</v>
      </c>
      <c r="B93" s="87"/>
      <c r="C93" s="87"/>
      <c r="D93" s="87"/>
      <c r="E93" s="87"/>
      <c r="F93" s="87"/>
      <c r="G93" s="46"/>
      <c r="H93" s="87"/>
      <c r="I93" s="87"/>
      <c r="J93" s="87"/>
      <c r="K93" s="87"/>
      <c r="L93" s="46"/>
      <c r="M93" s="87"/>
      <c r="N93" s="17">
        <f t="shared" si="24"/>
        <v>0</v>
      </c>
    </row>
    <row r="94" ht="13.5" customHeight="1">
      <c r="A94" s="31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17">
        <f t="shared" si="24"/>
        <v>2360</v>
      </c>
    </row>
    <row r="95" ht="13.5" customHeight="1">
      <c r="A95" s="31" t="s">
        <v>92</v>
      </c>
      <c r="B95" s="146">
        <v>500.0</v>
      </c>
      <c r="C95" s="105">
        <v>500.0</v>
      </c>
      <c r="D95" s="105">
        <v>0.0</v>
      </c>
      <c r="E95" s="105">
        <v>0.0</v>
      </c>
      <c r="F95" s="104">
        <v>155.0</v>
      </c>
      <c r="G95" s="104">
        <f>350+167</f>
        <v>517</v>
      </c>
      <c r="H95" s="104">
        <v>0.0</v>
      </c>
      <c r="I95" s="105">
        <f>265+3.233</f>
        <v>268.233</v>
      </c>
      <c r="J95" s="105">
        <v>500.0</v>
      </c>
      <c r="K95" s="87">
        <v>456.78</v>
      </c>
      <c r="L95" s="105">
        <v>500.0</v>
      </c>
      <c r="M95" s="105">
        <v>500.0</v>
      </c>
      <c r="N95" s="17">
        <f t="shared" si="24"/>
        <v>3897.013</v>
      </c>
    </row>
    <row r="96" ht="13.5" customHeight="1">
      <c r="A96" s="32" t="s">
        <v>143</v>
      </c>
      <c r="B96" s="46"/>
      <c r="C96" s="46"/>
      <c r="D96" s="46"/>
      <c r="F96" s="46"/>
      <c r="G96" s="46"/>
      <c r="H96" s="46"/>
      <c r="I96" s="46"/>
      <c r="J96" s="46"/>
      <c r="K96" s="46"/>
      <c r="L96" s="46"/>
      <c r="M96" s="46"/>
      <c r="N96" s="17">
        <f t="shared" si="24"/>
        <v>0</v>
      </c>
    </row>
    <row r="97" ht="13.5" customHeight="1">
      <c r="A97" s="32" t="s">
        <v>94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17">
        <f t="shared" si="24"/>
        <v>0</v>
      </c>
    </row>
    <row r="98" ht="13.5" customHeight="1">
      <c r="A98" s="32" t="s">
        <v>95</v>
      </c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17">
        <f t="shared" si="24"/>
        <v>0</v>
      </c>
    </row>
    <row r="99" ht="13.5" customHeight="1">
      <c r="A99" s="31" t="s">
        <v>96</v>
      </c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17">
        <f t="shared" si="24"/>
        <v>0</v>
      </c>
    </row>
    <row r="100" ht="13.5" customHeight="1">
      <c r="A100" s="31" t="s">
        <v>97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17">
        <f t="shared" si="24"/>
        <v>0</v>
      </c>
    </row>
    <row r="101" ht="13.5" customHeight="1">
      <c r="A101" s="32" t="s">
        <v>98</v>
      </c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17">
        <f t="shared" si="24"/>
        <v>0</v>
      </c>
    </row>
    <row r="102" ht="13.5" customHeight="1">
      <c r="A102" s="31" t="s">
        <v>99</v>
      </c>
      <c r="B102" s="46"/>
      <c r="C102" s="46"/>
      <c r="D102" s="46"/>
      <c r="E102" s="46"/>
      <c r="F102" s="46"/>
      <c r="G102" s="46"/>
      <c r="H102" s="46"/>
      <c r="I102" s="46"/>
      <c r="J102" s="87"/>
      <c r="K102" s="46"/>
      <c r="L102" s="46"/>
      <c r="M102" s="46"/>
      <c r="N102" s="17">
        <f t="shared" si="24"/>
        <v>0</v>
      </c>
    </row>
    <row r="103" ht="13.5" customHeight="1">
      <c r="A103" s="32" t="s">
        <v>100</v>
      </c>
      <c r="B103" s="87">
        <v>200.0</v>
      </c>
      <c r="C103" s="87">
        <v>435.0</v>
      </c>
      <c r="D103" s="87">
        <f>200+113.64</f>
        <v>313.64</v>
      </c>
      <c r="E103" s="87">
        <v>200.0</v>
      </c>
      <c r="F103" s="87">
        <v>200.0</v>
      </c>
      <c r="G103" s="87">
        <v>605.0</v>
      </c>
      <c r="H103" s="87">
        <v>605.0</v>
      </c>
      <c r="I103" s="87">
        <v>200.0</v>
      </c>
      <c r="J103" s="87">
        <f>435+200</f>
        <v>635</v>
      </c>
      <c r="K103" s="87">
        <v>200.0</v>
      </c>
      <c r="L103" s="87">
        <v>200.0</v>
      </c>
      <c r="M103" s="87">
        <v>200.0</v>
      </c>
      <c r="N103" s="17">
        <f t="shared" si="24"/>
        <v>3993.64</v>
      </c>
    </row>
    <row r="104" ht="13.5" customHeight="1">
      <c r="A104" s="27" t="s">
        <v>101</v>
      </c>
      <c r="B104" s="87">
        <v>300.0</v>
      </c>
      <c r="C104" s="87">
        <v>375.0</v>
      </c>
      <c r="D104" s="87">
        <v>375.0</v>
      </c>
      <c r="E104" s="87">
        <v>375.0</v>
      </c>
      <c r="F104" s="87">
        <v>375.0</v>
      </c>
      <c r="G104" s="87">
        <v>375.0</v>
      </c>
      <c r="H104" s="87">
        <v>375.0</v>
      </c>
      <c r="I104" s="87">
        <v>375.0</v>
      </c>
      <c r="J104" s="87">
        <v>375.0</v>
      </c>
      <c r="K104" s="87">
        <v>375.0</v>
      </c>
      <c r="L104" s="87">
        <v>375.0</v>
      </c>
      <c r="M104" s="87">
        <v>375.0</v>
      </c>
      <c r="N104" s="17">
        <f t="shared" si="24"/>
        <v>4425</v>
      </c>
    </row>
    <row r="105" ht="13.5" customHeight="1">
      <c r="A105" s="27" t="s">
        <v>102</v>
      </c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17">
        <f t="shared" si="24"/>
        <v>0</v>
      </c>
    </row>
    <row r="106" ht="13.5" customHeight="1">
      <c r="A106" s="9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ht="13.5" customHeight="1">
      <c r="A107" s="91" t="s">
        <v>23</v>
      </c>
      <c r="B107" s="28">
        <f t="shared" ref="B107:N107" si="25">SUM(B92:B105)</f>
        <v>1930</v>
      </c>
      <c r="C107" s="28">
        <f t="shared" si="25"/>
        <v>2240</v>
      </c>
      <c r="D107" s="28">
        <f t="shared" si="25"/>
        <v>1618.64</v>
      </c>
      <c r="E107" s="28">
        <f t="shared" si="25"/>
        <v>1505</v>
      </c>
      <c r="F107" s="28">
        <f t="shared" si="25"/>
        <v>1660</v>
      </c>
      <c r="G107" s="28">
        <f t="shared" si="25"/>
        <v>2427</v>
      </c>
      <c r="H107" s="28">
        <f t="shared" si="25"/>
        <v>1910</v>
      </c>
      <c r="I107" s="28">
        <f t="shared" si="25"/>
        <v>1773.233</v>
      </c>
      <c r="J107" s="28">
        <f t="shared" si="25"/>
        <v>2440</v>
      </c>
      <c r="K107" s="28">
        <f t="shared" si="25"/>
        <v>2161.78</v>
      </c>
      <c r="L107" s="28">
        <f t="shared" si="25"/>
        <v>2005</v>
      </c>
      <c r="M107" s="28">
        <f t="shared" si="25"/>
        <v>2005</v>
      </c>
      <c r="N107" s="28">
        <f t="shared" si="25"/>
        <v>23675.653</v>
      </c>
    </row>
    <row r="108" ht="13.5" customHeight="1">
      <c r="A108" s="91" t="s">
        <v>104</v>
      </c>
      <c r="B108" s="108">
        <v>-10606.793</v>
      </c>
      <c r="C108" s="108">
        <v>-10606.793</v>
      </c>
      <c r="D108" s="108">
        <v>-10606.793</v>
      </c>
      <c r="E108" s="108">
        <v>-18276.06</v>
      </c>
      <c r="F108" s="108">
        <v>-18276.06</v>
      </c>
      <c r="G108" s="108">
        <v>-18276.06</v>
      </c>
      <c r="H108" s="108">
        <v>-21015.593</v>
      </c>
      <c r="I108" s="108">
        <v>-21015.593</v>
      </c>
      <c r="J108" s="108">
        <v>-21015.593</v>
      </c>
      <c r="K108" s="110">
        <v>-13259.0</v>
      </c>
      <c r="L108" s="110">
        <v>-13259.0</v>
      </c>
      <c r="M108" s="110">
        <v>-13259.0</v>
      </c>
      <c r="N108" s="44">
        <f>SUM(B108:M108)</f>
        <v>-189472.338</v>
      </c>
    </row>
    <row r="109" ht="13.5" customHeight="1">
      <c r="A109" s="112" t="s">
        <v>105</v>
      </c>
      <c r="B109" s="50">
        <f t="shared" ref="B109:N109" si="26">B107+B90+B83+B32+B21+B13</f>
        <v>50475.57889</v>
      </c>
      <c r="C109" s="50">
        <f t="shared" si="26"/>
        <v>52106.85027</v>
      </c>
      <c r="D109" s="50">
        <f t="shared" si="26"/>
        <v>55058.4198</v>
      </c>
      <c r="E109" s="50">
        <f t="shared" si="26"/>
        <v>55312.65785</v>
      </c>
      <c r="F109" s="50">
        <f t="shared" si="26"/>
        <v>58117.35929</v>
      </c>
      <c r="G109" s="50">
        <f t="shared" si="26"/>
        <v>57729.92427</v>
      </c>
      <c r="H109" s="50">
        <f t="shared" si="26"/>
        <v>52962.30714</v>
      </c>
      <c r="I109" s="50">
        <f t="shared" si="26"/>
        <v>52882.48014</v>
      </c>
      <c r="J109" s="50">
        <f t="shared" si="26"/>
        <v>55821.73774</v>
      </c>
      <c r="K109" s="50">
        <f t="shared" si="26"/>
        <v>62191.95651</v>
      </c>
      <c r="L109" s="50">
        <f t="shared" si="26"/>
        <v>64013.30304</v>
      </c>
      <c r="M109" s="50">
        <f t="shared" si="26"/>
        <v>61013.30304</v>
      </c>
      <c r="N109" s="50">
        <f t="shared" si="26"/>
        <v>677685.878</v>
      </c>
    </row>
    <row r="110" ht="13.5" customHeight="1">
      <c r="A110" s="35" t="s">
        <v>106</v>
      </c>
      <c r="B110" s="148">
        <v>50.0</v>
      </c>
      <c r="C110" s="116">
        <v>55.0</v>
      </c>
      <c r="D110" s="116">
        <v>60.0</v>
      </c>
      <c r="E110" s="116">
        <v>70.0</v>
      </c>
      <c r="F110" s="116">
        <v>80.0</v>
      </c>
      <c r="G110" s="116">
        <v>85.0</v>
      </c>
      <c r="H110" s="116">
        <v>90.0</v>
      </c>
      <c r="I110" s="116">
        <v>90.0</v>
      </c>
      <c r="J110" s="116">
        <v>80.0</v>
      </c>
      <c r="K110" s="116">
        <v>85.0</v>
      </c>
      <c r="L110" s="116">
        <v>90.0</v>
      </c>
      <c r="M110" s="118">
        <v>95.0</v>
      </c>
      <c r="N110" s="149">
        <f t="shared" ref="N110:N112" si="27">SUM(B110:M110)</f>
        <v>930</v>
      </c>
    </row>
    <row r="111" ht="13.5" customHeight="1">
      <c r="A111" s="35" t="s">
        <v>107</v>
      </c>
      <c r="B111" s="120">
        <v>55.0</v>
      </c>
      <c r="C111" s="150">
        <v>55.0</v>
      </c>
      <c r="D111" s="150">
        <v>60.0</v>
      </c>
      <c r="E111" s="120">
        <v>65.0</v>
      </c>
      <c r="F111" s="120">
        <v>70.0</v>
      </c>
      <c r="G111" s="120">
        <v>65.0</v>
      </c>
      <c r="H111" s="120">
        <v>70.0</v>
      </c>
      <c r="I111" s="120">
        <v>75.0</v>
      </c>
      <c r="J111" s="120">
        <v>65.0</v>
      </c>
      <c r="K111" s="120">
        <v>70.0</v>
      </c>
      <c r="L111" s="120">
        <v>70.0</v>
      </c>
      <c r="M111" s="151">
        <v>75.0</v>
      </c>
      <c r="N111" s="149">
        <f t="shared" si="27"/>
        <v>795</v>
      </c>
    </row>
    <row r="112" ht="13.5" customHeight="1">
      <c r="A112" s="91" t="s">
        <v>23</v>
      </c>
      <c r="B112" s="122">
        <f t="shared" ref="B112:M112" si="28">B110+B111</f>
        <v>105</v>
      </c>
      <c r="C112" s="122">
        <f t="shared" si="28"/>
        <v>110</v>
      </c>
      <c r="D112" s="122">
        <f t="shared" si="28"/>
        <v>120</v>
      </c>
      <c r="E112" s="122">
        <f t="shared" si="28"/>
        <v>135</v>
      </c>
      <c r="F112" s="123">
        <f t="shared" si="28"/>
        <v>150</v>
      </c>
      <c r="G112" s="123">
        <f t="shared" si="28"/>
        <v>150</v>
      </c>
      <c r="H112" s="123">
        <f t="shared" si="28"/>
        <v>160</v>
      </c>
      <c r="I112" s="123">
        <f t="shared" si="28"/>
        <v>165</v>
      </c>
      <c r="J112" s="219">
        <f t="shared" si="28"/>
        <v>145</v>
      </c>
      <c r="K112" s="123">
        <f t="shared" si="28"/>
        <v>155</v>
      </c>
      <c r="L112" s="123">
        <f t="shared" si="28"/>
        <v>160</v>
      </c>
      <c r="M112" s="124">
        <f t="shared" si="28"/>
        <v>170</v>
      </c>
      <c r="N112" s="125">
        <f t="shared" si="27"/>
        <v>1725</v>
      </c>
    </row>
    <row r="113" ht="13.5" customHeight="1">
      <c r="A113" s="126" t="s">
        <v>108</v>
      </c>
      <c r="B113" s="58">
        <f t="shared" ref="B113:N113" si="29">B109/B112</f>
        <v>480.7197989</v>
      </c>
      <c r="C113" s="58">
        <f t="shared" si="29"/>
        <v>473.6986388</v>
      </c>
      <c r="D113" s="58">
        <f t="shared" si="29"/>
        <v>458.820165</v>
      </c>
      <c r="E113" s="58">
        <f t="shared" si="29"/>
        <v>409.7233915</v>
      </c>
      <c r="F113" s="58">
        <f t="shared" si="29"/>
        <v>387.4490619</v>
      </c>
      <c r="G113" s="58">
        <f t="shared" si="29"/>
        <v>384.8661618</v>
      </c>
      <c r="H113" s="58">
        <f t="shared" si="29"/>
        <v>331.0144197</v>
      </c>
      <c r="I113" s="58">
        <f t="shared" si="29"/>
        <v>320.4998797</v>
      </c>
      <c r="J113" s="58">
        <f t="shared" si="29"/>
        <v>384.9775016</v>
      </c>
      <c r="K113" s="58">
        <f t="shared" si="29"/>
        <v>401.2384291</v>
      </c>
      <c r="L113" s="58">
        <f t="shared" si="29"/>
        <v>400.083144</v>
      </c>
      <c r="M113" s="58">
        <f t="shared" si="29"/>
        <v>358.9017826</v>
      </c>
      <c r="N113" s="179">
        <f t="shared" si="29"/>
        <v>392.8613785</v>
      </c>
    </row>
    <row r="114" ht="13.5" customHeight="1">
      <c r="A114" s="79" t="s">
        <v>109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</row>
    <row r="115" ht="13.5" customHeight="1">
      <c r="A115" s="59" t="s">
        <v>110</v>
      </c>
      <c r="B115" s="87">
        <f t="shared" ref="B115:M115" si="30">1095</f>
        <v>1095</v>
      </c>
      <c r="C115" s="87">
        <f t="shared" si="30"/>
        <v>1095</v>
      </c>
      <c r="D115" s="87">
        <f t="shared" si="30"/>
        <v>1095</v>
      </c>
      <c r="E115" s="87">
        <f t="shared" si="30"/>
        <v>1095</v>
      </c>
      <c r="F115" s="87">
        <f t="shared" si="30"/>
        <v>1095</v>
      </c>
      <c r="G115" s="87">
        <f t="shared" si="30"/>
        <v>1095</v>
      </c>
      <c r="H115" s="87">
        <f t="shared" si="30"/>
        <v>1095</v>
      </c>
      <c r="I115" s="87">
        <f t="shared" si="30"/>
        <v>1095</v>
      </c>
      <c r="J115" s="87">
        <f t="shared" si="30"/>
        <v>1095</v>
      </c>
      <c r="K115" s="87">
        <f t="shared" si="30"/>
        <v>1095</v>
      </c>
      <c r="L115" s="87">
        <f t="shared" si="30"/>
        <v>1095</v>
      </c>
      <c r="M115" s="87">
        <f t="shared" si="30"/>
        <v>1095</v>
      </c>
      <c r="N115" s="17">
        <f t="shared" ref="N115:N120" si="31">SUM(B115:M115)</f>
        <v>13140</v>
      </c>
    </row>
    <row r="116" ht="13.5" customHeight="1">
      <c r="A116" s="60" t="s">
        <v>111</v>
      </c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17">
        <f t="shared" si="31"/>
        <v>0</v>
      </c>
    </row>
    <row r="117" ht="13.5" customHeight="1">
      <c r="A117" s="59" t="s">
        <v>112</v>
      </c>
      <c r="B117" s="87">
        <f>650+2094.48
</f>
        <v>2744.48</v>
      </c>
      <c r="C117" s="87">
        <v>650.0</v>
      </c>
      <c r="D117" s="87">
        <v>650.0</v>
      </c>
      <c r="E117" s="87">
        <f>650+2094.48
</f>
        <v>2744.48</v>
      </c>
      <c r="F117" s="87">
        <v>650.0</v>
      </c>
      <c r="G117" s="87">
        <v>650.0</v>
      </c>
      <c r="H117" s="87">
        <f>650+2094.48
</f>
        <v>2744.48</v>
      </c>
      <c r="I117" s="87">
        <v>650.0</v>
      </c>
      <c r="J117" s="87">
        <v>650.0</v>
      </c>
      <c r="K117" s="87">
        <f>650+1823.04</f>
        <v>2473.04</v>
      </c>
      <c r="L117" s="87">
        <v>650.0</v>
      </c>
      <c r="M117" s="87">
        <v>650.0</v>
      </c>
      <c r="N117" s="17">
        <f t="shared" si="31"/>
        <v>15906.48</v>
      </c>
    </row>
    <row r="118" ht="13.5" customHeight="1">
      <c r="A118" s="59" t="s">
        <v>80</v>
      </c>
      <c r="B118" s="87">
        <v>4000.0</v>
      </c>
      <c r="C118" s="87">
        <v>4000.0</v>
      </c>
      <c r="D118" s="87">
        <v>4000.0</v>
      </c>
      <c r="E118" s="87">
        <v>4000.0</v>
      </c>
      <c r="F118" s="87">
        <v>4000.0</v>
      </c>
      <c r="G118" s="87">
        <v>4000.0</v>
      </c>
      <c r="H118" s="87">
        <v>4000.0</v>
      </c>
      <c r="I118" s="87">
        <v>4000.0</v>
      </c>
      <c r="J118" s="87">
        <v>4000.0</v>
      </c>
      <c r="K118" s="87">
        <v>4000.0</v>
      </c>
      <c r="L118" s="87">
        <v>4000.0</v>
      </c>
      <c r="M118" s="87">
        <v>4000.0</v>
      </c>
      <c r="N118" s="17">
        <f t="shared" si="31"/>
        <v>48000</v>
      </c>
    </row>
    <row r="119" ht="13.5" customHeight="1">
      <c r="A119" s="61" t="s">
        <v>113</v>
      </c>
      <c r="B119" s="87">
        <v>395.0</v>
      </c>
      <c r="C119" s="87">
        <v>395.0</v>
      </c>
      <c r="D119" s="87">
        <v>395.0</v>
      </c>
      <c r="E119" s="87">
        <v>395.0</v>
      </c>
      <c r="F119" s="87">
        <v>395.0</v>
      </c>
      <c r="G119" s="87">
        <v>395.0</v>
      </c>
      <c r="H119" s="87">
        <v>395.0</v>
      </c>
      <c r="I119" s="87">
        <v>395.0</v>
      </c>
      <c r="J119" s="87">
        <v>395.0</v>
      </c>
      <c r="K119" s="87">
        <v>395.0</v>
      </c>
      <c r="L119" s="87">
        <v>395.0</v>
      </c>
      <c r="M119" s="87">
        <v>395.0</v>
      </c>
      <c r="N119" s="17">
        <f t="shared" si="31"/>
        <v>4740</v>
      </c>
    </row>
    <row r="120" ht="13.5" customHeight="1">
      <c r="A120" s="132" t="s">
        <v>114</v>
      </c>
      <c r="B120" s="87">
        <v>1545.0</v>
      </c>
      <c r="C120" s="87">
        <v>1545.0</v>
      </c>
      <c r="D120" s="87">
        <v>1545.0</v>
      </c>
      <c r="E120" s="87">
        <v>1545.0</v>
      </c>
      <c r="F120" s="87">
        <v>1545.0</v>
      </c>
      <c r="G120" s="87">
        <v>1545.0</v>
      </c>
      <c r="H120" s="87">
        <v>1545.0</v>
      </c>
      <c r="I120" s="87">
        <v>1545.0</v>
      </c>
      <c r="J120" s="87">
        <v>1545.0</v>
      </c>
      <c r="K120" s="87">
        <v>1545.0</v>
      </c>
      <c r="L120" s="87">
        <v>1545.0</v>
      </c>
      <c r="M120" s="87">
        <v>1545.0</v>
      </c>
      <c r="N120" s="17">
        <f t="shared" si="31"/>
        <v>18540</v>
      </c>
    </row>
    <row r="121" ht="13.5" customHeight="1">
      <c r="A121" s="99" t="s">
        <v>23</v>
      </c>
      <c r="B121" s="63">
        <f t="shared" ref="B121:N121" si="32">SUM(B115:B120)</f>
        <v>9779.48</v>
      </c>
      <c r="C121" s="63">
        <f t="shared" si="32"/>
        <v>7685</v>
      </c>
      <c r="D121" s="63">
        <f t="shared" si="32"/>
        <v>7685</v>
      </c>
      <c r="E121" s="63">
        <f t="shared" si="32"/>
        <v>9779.48</v>
      </c>
      <c r="F121" s="63">
        <f t="shared" si="32"/>
        <v>7685</v>
      </c>
      <c r="G121" s="63">
        <f t="shared" si="32"/>
        <v>7685</v>
      </c>
      <c r="H121" s="63">
        <f t="shared" si="32"/>
        <v>9779.48</v>
      </c>
      <c r="I121" s="63">
        <f t="shared" si="32"/>
        <v>7685</v>
      </c>
      <c r="J121" s="63">
        <f t="shared" si="32"/>
        <v>7685</v>
      </c>
      <c r="K121" s="63">
        <f t="shared" si="32"/>
        <v>9508.04</v>
      </c>
      <c r="L121" s="63">
        <f t="shared" si="32"/>
        <v>7685</v>
      </c>
      <c r="M121" s="63">
        <f t="shared" si="32"/>
        <v>7685</v>
      </c>
      <c r="N121" s="63">
        <f t="shared" si="32"/>
        <v>100326.48</v>
      </c>
    </row>
    <row r="122" ht="13.5" customHeight="1">
      <c r="A122" s="152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2"/>
    </row>
    <row r="123" ht="13.5" customHeight="1">
      <c r="A123" s="152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2"/>
    </row>
    <row r="124" ht="13.5" customHeight="1">
      <c r="A124" s="64" t="s">
        <v>115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</row>
    <row r="125" ht="13.5" customHeight="1">
      <c r="A125" s="64" t="s">
        <v>116</v>
      </c>
      <c r="B125" s="67">
        <f t="shared" ref="B125:M125" si="33">+B13*0.7+B21*0.7+B32*0.7+B52*0.6+B70+B107*0.6</f>
        <v>32815.55622</v>
      </c>
      <c r="C125" s="67">
        <f t="shared" si="33"/>
        <v>34256.44619</v>
      </c>
      <c r="D125" s="67">
        <f t="shared" si="33"/>
        <v>36384.68086</v>
      </c>
      <c r="E125" s="67">
        <f t="shared" si="33"/>
        <v>36574.0115</v>
      </c>
      <c r="F125" s="67">
        <f t="shared" si="33"/>
        <v>38521.8025</v>
      </c>
      <c r="G125" s="67">
        <f t="shared" si="33"/>
        <v>38173.89799</v>
      </c>
      <c r="H125" s="67">
        <f t="shared" si="33"/>
        <v>34888.266</v>
      </c>
      <c r="I125" s="67">
        <f t="shared" si="33"/>
        <v>34840.3698</v>
      </c>
      <c r="J125" s="67">
        <f t="shared" si="33"/>
        <v>36831.17342</v>
      </c>
      <c r="K125" s="67">
        <f t="shared" si="33"/>
        <v>41318.14856</v>
      </c>
      <c r="L125" s="67">
        <f t="shared" si="33"/>
        <v>42608.76913</v>
      </c>
      <c r="M125" s="67">
        <f t="shared" si="33"/>
        <v>39108.76913</v>
      </c>
      <c r="N125" s="67">
        <f t="shared" ref="N125:N126" si="35">SUM(B125:M125)</f>
        <v>446321.8913</v>
      </c>
    </row>
    <row r="126" ht="13.5" customHeight="1">
      <c r="A126" s="64" t="s">
        <v>117</v>
      </c>
      <c r="B126" s="67">
        <f t="shared" ref="B126:M126" si="34">+B13*0.3+B21*0.3+B32*0.3+B52*0.4+B82+B90+B107*0.4</f>
        <v>17660.02267</v>
      </c>
      <c r="C126" s="67">
        <f t="shared" si="34"/>
        <v>17850.40408</v>
      </c>
      <c r="D126" s="67">
        <f t="shared" si="34"/>
        <v>18673.73894</v>
      </c>
      <c r="E126" s="67">
        <f t="shared" si="34"/>
        <v>18738.64636</v>
      </c>
      <c r="F126" s="67">
        <f t="shared" si="34"/>
        <v>19595.55679</v>
      </c>
      <c r="G126" s="67">
        <f t="shared" si="34"/>
        <v>19556.02628</v>
      </c>
      <c r="H126" s="67">
        <f t="shared" si="34"/>
        <v>18074.04114</v>
      </c>
      <c r="I126" s="67">
        <f t="shared" si="34"/>
        <v>18042.11034</v>
      </c>
      <c r="J126" s="67">
        <f t="shared" si="34"/>
        <v>18990.56432</v>
      </c>
      <c r="K126" s="67">
        <f t="shared" si="34"/>
        <v>20873.80795</v>
      </c>
      <c r="L126" s="67">
        <f t="shared" si="34"/>
        <v>21404.53391</v>
      </c>
      <c r="M126" s="67">
        <f t="shared" si="34"/>
        <v>21904.53391</v>
      </c>
      <c r="N126" s="67">
        <f t="shared" si="35"/>
        <v>231363.9867</v>
      </c>
    </row>
    <row r="127" ht="13.5" customHeight="1">
      <c r="A127" s="64" t="s">
        <v>23</v>
      </c>
      <c r="B127" s="67">
        <f t="shared" ref="B127:N127" si="36">SUM(B125:B126)</f>
        <v>50475.57889</v>
      </c>
      <c r="C127" s="67">
        <f t="shared" si="36"/>
        <v>52106.85027</v>
      </c>
      <c r="D127" s="67">
        <f t="shared" si="36"/>
        <v>55058.4198</v>
      </c>
      <c r="E127" s="67">
        <f t="shared" si="36"/>
        <v>55312.65785</v>
      </c>
      <c r="F127" s="67">
        <f t="shared" si="36"/>
        <v>58117.35929</v>
      </c>
      <c r="G127" s="67">
        <f t="shared" si="36"/>
        <v>57729.92427</v>
      </c>
      <c r="H127" s="67">
        <f t="shared" si="36"/>
        <v>52962.30714</v>
      </c>
      <c r="I127" s="67">
        <f t="shared" si="36"/>
        <v>52882.48014</v>
      </c>
      <c r="J127" s="67">
        <f t="shared" si="36"/>
        <v>55821.73774</v>
      </c>
      <c r="K127" s="67">
        <f t="shared" si="36"/>
        <v>62191.95651</v>
      </c>
      <c r="L127" s="67">
        <f t="shared" si="36"/>
        <v>64013.30304</v>
      </c>
      <c r="M127" s="67">
        <f t="shared" si="36"/>
        <v>61013.30304</v>
      </c>
      <c r="N127" s="67">
        <f t="shared" si="36"/>
        <v>677685.878</v>
      </c>
    </row>
    <row r="128" ht="13.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</row>
    <row r="129" ht="13.5" customHeight="1">
      <c r="A129" s="69" t="s">
        <v>118</v>
      </c>
      <c r="B129" s="70">
        <f t="shared" ref="B129:N129" si="37">+B109</f>
        <v>50475.57889</v>
      </c>
      <c r="C129" s="70">
        <f t="shared" si="37"/>
        <v>52106.85027</v>
      </c>
      <c r="D129" s="70">
        <f t="shared" si="37"/>
        <v>55058.4198</v>
      </c>
      <c r="E129" s="70">
        <f t="shared" si="37"/>
        <v>55312.65785</v>
      </c>
      <c r="F129" s="70">
        <f t="shared" si="37"/>
        <v>58117.35929</v>
      </c>
      <c r="G129" s="70">
        <f t="shared" si="37"/>
        <v>57729.92427</v>
      </c>
      <c r="H129" s="70">
        <f t="shared" si="37"/>
        <v>52962.30714</v>
      </c>
      <c r="I129" s="70">
        <f t="shared" si="37"/>
        <v>52882.48014</v>
      </c>
      <c r="J129" s="70">
        <f t="shared" si="37"/>
        <v>55821.73774</v>
      </c>
      <c r="K129" s="70">
        <f t="shared" si="37"/>
        <v>62191.95651</v>
      </c>
      <c r="L129" s="70">
        <f t="shared" si="37"/>
        <v>64013.30304</v>
      </c>
      <c r="M129" s="70">
        <f t="shared" si="37"/>
        <v>61013.30304</v>
      </c>
      <c r="N129" s="70">
        <f t="shared" si="37"/>
        <v>677685.878</v>
      </c>
    </row>
    <row r="130" ht="13.5" customHeight="1">
      <c r="A130" s="152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2"/>
    </row>
    <row r="131" ht="13.5" customHeight="1">
      <c r="A131" s="152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2"/>
    </row>
    <row r="132" ht="13.5" customHeight="1">
      <c r="A132" s="152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2"/>
    </row>
    <row r="133" ht="13.5" customHeight="1">
      <c r="A133" s="152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2"/>
    </row>
    <row r="134" ht="13.5" customHeight="1">
      <c r="A134" s="152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2"/>
    </row>
    <row r="135" ht="13.5" customHeight="1">
      <c r="A135" s="152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2"/>
    </row>
    <row r="136" ht="13.5" customHeight="1">
      <c r="A136" s="152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2"/>
    </row>
    <row r="137" ht="13.5" customHeight="1">
      <c r="A137" s="152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2"/>
    </row>
    <row r="138" ht="13.5" customHeight="1">
      <c r="A138" s="152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2"/>
    </row>
    <row r="139" ht="13.5" customHeight="1">
      <c r="A139" s="152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2"/>
    </row>
    <row r="140" ht="13.5" customHeight="1">
      <c r="A140" s="152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2"/>
    </row>
    <row r="141" ht="13.5" customHeight="1">
      <c r="A141" s="152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2"/>
    </row>
    <row r="142" ht="13.5" customHeight="1">
      <c r="A142" s="152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2"/>
    </row>
    <row r="143" ht="13.5" customHeight="1">
      <c r="A143" s="152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2"/>
    </row>
    <row r="144" ht="13.5" customHeight="1">
      <c r="A144" s="152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2"/>
    </row>
    <row r="145" ht="13.5" customHeight="1">
      <c r="A145" s="152"/>
      <c r="B145" s="153"/>
      <c r="C145" s="282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2"/>
    </row>
  </sheetData>
  <mergeCells count="1">
    <mergeCell ref="A1:N1"/>
  </mergeCells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1.38"/>
    <col customWidth="1" min="2" max="13" width="9.75"/>
    <col customWidth="1" min="14" max="15" width="11.63"/>
    <col customWidth="1" min="16" max="16" width="27.88"/>
  </cols>
  <sheetData>
    <row r="1" ht="15.0" customHeight="1">
      <c r="A1" s="76" t="s">
        <v>234</v>
      </c>
      <c r="O1" s="76"/>
      <c r="P1" s="283"/>
    </row>
    <row r="2" ht="15.0" customHeight="1">
      <c r="A2" s="16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182"/>
    </row>
    <row r="3" ht="15.0" customHeight="1">
      <c r="A3" s="16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  <c r="O3" s="7"/>
      <c r="P3" s="183" t="s">
        <v>173</v>
      </c>
    </row>
    <row r="4" ht="15.0" customHeight="1">
      <c r="A4" s="79" t="s">
        <v>14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170"/>
      <c r="P4" s="184"/>
    </row>
    <row r="5" ht="13.5" customHeight="1">
      <c r="A5" s="15" t="s">
        <v>15</v>
      </c>
      <c r="B5" s="46">
        <f>FORMULAS!S50</f>
        <v>5447.619048</v>
      </c>
      <c r="C5" s="46">
        <f>FORMULAS!W50</f>
        <v>5447.619048</v>
      </c>
      <c r="D5" s="46">
        <f>FORMULAS!AA50</f>
        <v>5447.619048</v>
      </c>
      <c r="E5" s="46">
        <f>FORMULAS!AE50</f>
        <v>7318.811338</v>
      </c>
      <c r="F5" s="46">
        <f>FORMULAS!AI50</f>
        <v>10407.54102</v>
      </c>
      <c r="G5" s="46">
        <f>FORMULAS!AM50</f>
        <v>9473.798534</v>
      </c>
      <c r="H5" s="46">
        <f>FORMULAS!AQ50</f>
        <v>6428.649005</v>
      </c>
      <c r="I5" s="46">
        <f>FORMULAS!AU50</f>
        <v>6428.649005</v>
      </c>
      <c r="J5" s="46">
        <f>FORMULAS!AY50</f>
        <v>8120.398743</v>
      </c>
      <c r="K5" s="46">
        <f>FORMULAS!BC50</f>
        <v>8120.398743</v>
      </c>
      <c r="L5" s="46">
        <f>FORMULAS!BG50</f>
        <v>9473.798534</v>
      </c>
      <c r="M5" s="46">
        <f>FORMULAS!BK50</f>
        <v>9473.798534</v>
      </c>
      <c r="N5" s="17">
        <f t="shared" ref="N5:N12" si="1">SUM(B5:M5)</f>
        <v>91588.7006</v>
      </c>
      <c r="O5" s="153"/>
      <c r="P5" s="185" t="s">
        <v>174</v>
      </c>
    </row>
    <row r="6" ht="15.0" customHeight="1">
      <c r="A6" s="15" t="s">
        <v>123</v>
      </c>
      <c r="B6" s="46"/>
      <c r="C6" s="46"/>
      <c r="D6" s="46"/>
      <c r="E6" s="46"/>
      <c r="F6" s="46"/>
      <c r="G6" s="46"/>
      <c r="H6" s="46"/>
      <c r="I6" s="87"/>
      <c r="J6" s="87"/>
      <c r="K6" s="87"/>
      <c r="L6" s="87"/>
      <c r="M6" s="46"/>
      <c r="N6" s="17">
        <f t="shared" si="1"/>
        <v>0</v>
      </c>
      <c r="O6" s="153"/>
      <c r="P6" s="186"/>
    </row>
    <row r="7" ht="15.0" customHeight="1">
      <c r="A7" s="15" t="s">
        <v>17</v>
      </c>
      <c r="B7" s="87">
        <f>FORMULAS!P305</f>
        <v>7500</v>
      </c>
      <c r="C7" s="87">
        <f>FORMULAS!T305</f>
        <v>7500</v>
      </c>
      <c r="D7" s="87">
        <f>FORMULAS!X305</f>
        <v>7500</v>
      </c>
      <c r="E7" s="87">
        <f>FORMULAS!AB305</f>
        <v>16250</v>
      </c>
      <c r="F7" s="87">
        <f>FORMULAS!AF305</f>
        <v>18467</v>
      </c>
      <c r="G7" s="87">
        <f>FORMULAS!AJ305</f>
        <v>18467</v>
      </c>
      <c r="H7" s="87">
        <f>FORMULAS!AN305</f>
        <v>16250</v>
      </c>
      <c r="I7" s="87">
        <f>FORMULAS!AR305</f>
        <v>12117</v>
      </c>
      <c r="J7" s="87">
        <f>FORMULAS!AV305</f>
        <v>16250</v>
      </c>
      <c r="K7" s="87">
        <f>FORMULAS!AZ305</f>
        <v>16250</v>
      </c>
      <c r="L7" s="87">
        <f>FORMULAS!BD305</f>
        <v>18467</v>
      </c>
      <c r="M7" s="87">
        <f>FORMULAS!BH305</f>
        <v>18467</v>
      </c>
      <c r="N7" s="17">
        <f t="shared" si="1"/>
        <v>173485</v>
      </c>
      <c r="O7" s="153"/>
      <c r="P7" s="186"/>
    </row>
    <row r="8" ht="15.0" customHeight="1">
      <c r="A8" s="15" t="s">
        <v>18</v>
      </c>
      <c r="B8" s="46"/>
      <c r="C8" s="46"/>
      <c r="D8" s="46"/>
      <c r="E8" s="87"/>
      <c r="F8" s="46"/>
      <c r="G8" s="87"/>
      <c r="H8" s="87"/>
      <c r="I8" s="87"/>
      <c r="J8" s="87"/>
      <c r="K8" s="87"/>
      <c r="L8" s="87"/>
      <c r="M8" s="87"/>
      <c r="N8" s="17">
        <f t="shared" si="1"/>
        <v>0</v>
      </c>
      <c r="O8" s="153"/>
      <c r="P8" s="186"/>
    </row>
    <row r="9" ht="13.5" customHeight="1">
      <c r="A9" s="20" t="s">
        <v>159</v>
      </c>
      <c r="B9" s="284">
        <f>FORMULAS!S98</f>
        <v>486.3945578</v>
      </c>
      <c r="C9" s="284">
        <f>FORMULAS!W98</f>
        <v>486.3945578</v>
      </c>
      <c r="D9" s="284">
        <f>FORMULAS!AA98</f>
        <v>486.3945578</v>
      </c>
      <c r="E9" s="285">
        <f>FORMULAS!AE98</f>
        <v>2723.802165</v>
      </c>
      <c r="F9" s="285">
        <f>FORMULAS!AI98</f>
        <v>4745.838706</v>
      </c>
      <c r="G9" s="285">
        <f>FORMULAS!AM98</f>
        <v>4320.052131</v>
      </c>
      <c r="H9" s="285">
        <f>FORMULAS!AQ98</f>
        <v>2479.428416</v>
      </c>
      <c r="I9" s="285">
        <f>FORMULAS!AU98</f>
        <v>2479.428416</v>
      </c>
      <c r="J9" s="285">
        <f>FORMULAS!AY98</f>
        <v>3399.740274</v>
      </c>
      <c r="K9" s="285">
        <f>FORMULAS!BC98</f>
        <v>3399.740274</v>
      </c>
      <c r="L9" s="285">
        <f>FORMULAS!BG98</f>
        <v>4320.052131</v>
      </c>
      <c r="M9" s="285">
        <f>FORMULAS!BK98</f>
        <v>4320.052131</v>
      </c>
      <c r="N9" s="17">
        <f t="shared" si="1"/>
        <v>33647.31832</v>
      </c>
      <c r="O9" s="153"/>
      <c r="P9" s="187" t="s">
        <v>175</v>
      </c>
    </row>
    <row r="10" ht="13.5" customHeight="1">
      <c r="A10" s="20" t="s">
        <v>235</v>
      </c>
      <c r="B10" s="46">
        <f>FORMULAS!S74</f>
        <v>2089.875283</v>
      </c>
      <c r="C10" s="46">
        <f>FORMULAS!W74</f>
        <v>1531.364626</v>
      </c>
      <c r="D10" s="46">
        <f>FORMULAS!AA74</f>
        <v>2216.402721</v>
      </c>
      <c r="E10" s="46">
        <f>FORMULAS!AE74</f>
        <v>1994.217687</v>
      </c>
      <c r="F10" s="46">
        <f>FORMULAS!AI74</f>
        <v>0</v>
      </c>
      <c r="G10" s="46">
        <f>FORMULAS!AM74</f>
        <v>0</v>
      </c>
      <c r="H10" s="46">
        <f>FORMULAS!AQ74</f>
        <v>0</v>
      </c>
      <c r="I10" s="46">
        <f>FORMULAS!AU74</f>
        <v>0</v>
      </c>
      <c r="J10" s="46">
        <f>FORMULAS!AY74</f>
        <v>0</v>
      </c>
      <c r="K10" s="46">
        <f>FORMULAS!BC74</f>
        <v>1894.759707</v>
      </c>
      <c r="L10" s="46">
        <f>FORMULAS!BG74</f>
        <v>1894.759707</v>
      </c>
      <c r="M10" s="46">
        <f>FORMULAS!BK74</f>
        <v>1894.759707</v>
      </c>
      <c r="N10" s="17">
        <f t="shared" si="1"/>
        <v>13516.13944</v>
      </c>
      <c r="O10" s="153"/>
      <c r="P10" s="187" t="s">
        <v>176</v>
      </c>
    </row>
    <row r="11" ht="13.5" customHeight="1">
      <c r="A11" s="15" t="s">
        <v>21</v>
      </c>
      <c r="B11" s="87">
        <v>388.0</v>
      </c>
      <c r="C11" s="87">
        <v>426.88</v>
      </c>
      <c r="D11" s="87">
        <v>388.0</v>
      </c>
      <c r="E11" s="87">
        <v>388.0</v>
      </c>
      <c r="F11" s="87">
        <v>388.0</v>
      </c>
      <c r="G11" s="87">
        <v>388.0</v>
      </c>
      <c r="H11" s="87">
        <v>388.0</v>
      </c>
      <c r="I11" s="87">
        <v>388.0</v>
      </c>
      <c r="J11" s="87">
        <v>388.0</v>
      </c>
      <c r="K11" s="87">
        <v>388.0</v>
      </c>
      <c r="L11" s="87">
        <v>388.0</v>
      </c>
      <c r="M11" s="87">
        <v>388.0</v>
      </c>
      <c r="N11" s="17">
        <f t="shared" si="1"/>
        <v>4694.88</v>
      </c>
      <c r="O11" s="153"/>
      <c r="P11" s="186"/>
    </row>
    <row r="12" ht="15.0" customHeight="1">
      <c r="A12" s="15" t="s">
        <v>22</v>
      </c>
      <c r="B12" s="46">
        <f>PRODUCTION!N3</f>
        <v>700</v>
      </c>
      <c r="C12" s="46">
        <f>PRODUCTION!N4</f>
        <v>1370.6</v>
      </c>
      <c r="D12" s="46">
        <f>PRODUCTION!N5</f>
        <v>1370.6</v>
      </c>
      <c r="E12" s="46">
        <f>PRODUCTION!N6</f>
        <v>1370.6</v>
      </c>
      <c r="F12" s="46">
        <f>PRODUCTION!N7</f>
        <v>1370.6</v>
      </c>
      <c r="G12" s="46">
        <f>PRODUCTION!N8</f>
        <v>1370.6</v>
      </c>
      <c r="H12" s="46">
        <f>PRODUCTION!N9</f>
        <v>1370.6</v>
      </c>
      <c r="I12" s="46">
        <f>PRODUCTION!N10</f>
        <v>1370.6</v>
      </c>
      <c r="J12" s="46">
        <f>PRODUCTION!N11</f>
        <v>1370.6</v>
      </c>
      <c r="K12" s="46">
        <f>PRODUCTION!N12</f>
        <v>1370.6</v>
      </c>
      <c r="L12" s="46">
        <f>PRODUCTION!N13</f>
        <v>1370.6</v>
      </c>
      <c r="M12" s="46">
        <f>PRODUCTION!N14</f>
        <v>1370.6</v>
      </c>
      <c r="N12" s="17">
        <f t="shared" si="1"/>
        <v>15776.6</v>
      </c>
      <c r="O12" s="153"/>
      <c r="P12" s="186"/>
    </row>
    <row r="13" ht="13.5" customHeight="1">
      <c r="A13" s="21" t="s">
        <v>23</v>
      </c>
      <c r="B13" s="22">
        <f t="shared" ref="B13:N13" si="2">SUM(B5:B12)</f>
        <v>16611.88889</v>
      </c>
      <c r="C13" s="22">
        <f t="shared" si="2"/>
        <v>16762.85823</v>
      </c>
      <c r="D13" s="22">
        <f t="shared" si="2"/>
        <v>17409.01633</v>
      </c>
      <c r="E13" s="22">
        <f t="shared" si="2"/>
        <v>30045.43119</v>
      </c>
      <c r="F13" s="22">
        <f t="shared" si="2"/>
        <v>35378.97973</v>
      </c>
      <c r="G13" s="22">
        <f t="shared" si="2"/>
        <v>34019.45067</v>
      </c>
      <c r="H13" s="22">
        <f t="shared" si="2"/>
        <v>26916.67742</v>
      </c>
      <c r="I13" s="22">
        <f t="shared" si="2"/>
        <v>22783.67742</v>
      </c>
      <c r="J13" s="22">
        <f t="shared" si="2"/>
        <v>29528.73902</v>
      </c>
      <c r="K13" s="22">
        <f t="shared" si="2"/>
        <v>31423.49872</v>
      </c>
      <c r="L13" s="22">
        <f t="shared" si="2"/>
        <v>35914.21037</v>
      </c>
      <c r="M13" s="22">
        <f t="shared" si="2"/>
        <v>35914.21037</v>
      </c>
      <c r="N13" s="22">
        <f t="shared" si="2"/>
        <v>332708.6384</v>
      </c>
      <c r="O13" s="190"/>
      <c r="P13" s="186"/>
    </row>
    <row r="14" ht="15.0" customHeight="1">
      <c r="A14" s="89" t="s">
        <v>24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83"/>
      <c r="O14" s="170"/>
      <c r="P14" s="184"/>
    </row>
    <row r="15" ht="15.0" customHeight="1">
      <c r="A15" s="35" t="s">
        <v>153</v>
      </c>
      <c r="B15" s="46"/>
      <c r="C15" s="46"/>
      <c r="D15" s="46"/>
      <c r="E15" s="46"/>
      <c r="F15" s="87"/>
      <c r="G15" s="46"/>
      <c r="H15" s="46"/>
      <c r="I15" s="46"/>
      <c r="J15" s="46"/>
      <c r="K15" s="46"/>
      <c r="L15" s="46"/>
      <c r="M15" s="46"/>
      <c r="N15" s="17">
        <f t="shared" ref="N15:N18" si="3">SUM(B15:M15)</f>
        <v>0</v>
      </c>
      <c r="O15" s="153"/>
      <c r="P15" s="186"/>
    </row>
    <row r="16" ht="15.0" customHeight="1">
      <c r="A16" s="35" t="s">
        <v>236</v>
      </c>
      <c r="B16" s="87"/>
      <c r="C16" s="46"/>
      <c r="D16" s="46"/>
      <c r="E16" s="87"/>
      <c r="F16" s="46"/>
      <c r="G16" s="46"/>
      <c r="H16" s="46"/>
      <c r="I16" s="46"/>
      <c r="J16" s="46"/>
      <c r="K16" s="46"/>
      <c r="L16" s="46"/>
      <c r="M16" s="46"/>
      <c r="N16" s="17">
        <f t="shared" si="3"/>
        <v>0</v>
      </c>
      <c r="O16" s="153"/>
      <c r="P16" s="186"/>
    </row>
    <row r="17" ht="15.0" customHeight="1">
      <c r="A17" s="35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17">
        <f t="shared" si="3"/>
        <v>0</v>
      </c>
      <c r="O17" s="153"/>
      <c r="P17" s="186"/>
    </row>
    <row r="18" ht="15.0" customHeight="1">
      <c r="A18" s="35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17">
        <f t="shared" si="3"/>
        <v>0</v>
      </c>
      <c r="O18" s="153"/>
      <c r="P18" s="186"/>
    </row>
    <row r="19" ht="15.0" customHeight="1">
      <c r="A19" s="27" t="s">
        <v>29</v>
      </c>
      <c r="B19" s="103"/>
      <c r="C19" s="103"/>
      <c r="D19" s="28"/>
      <c r="E19" s="87"/>
      <c r="F19" s="28"/>
      <c r="G19" s="28"/>
      <c r="H19" s="28"/>
      <c r="I19" s="28"/>
      <c r="J19" s="28"/>
      <c r="K19" s="28"/>
      <c r="L19" s="28"/>
      <c r="M19" s="28"/>
      <c r="N19" s="17">
        <f>SUM(C19:M19)</f>
        <v>0</v>
      </c>
      <c r="O19" s="153"/>
      <c r="P19" s="186"/>
    </row>
    <row r="20" ht="15.0" customHeight="1">
      <c r="A20" s="35"/>
      <c r="B20" s="46"/>
      <c r="C20" s="46"/>
      <c r="D20" s="46"/>
      <c r="E20" s="87"/>
      <c r="F20" s="87"/>
      <c r="G20" s="87"/>
      <c r="H20" s="87"/>
      <c r="I20" s="87"/>
      <c r="J20" s="87"/>
      <c r="K20" s="87"/>
      <c r="L20" s="87"/>
      <c r="M20" s="87"/>
      <c r="N20" s="17">
        <f>SUM(B20:M20)</f>
        <v>0</v>
      </c>
      <c r="O20" s="153"/>
      <c r="P20" s="186"/>
    </row>
    <row r="21" ht="15.0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  <c r="O21" s="175"/>
      <c r="P21" s="186"/>
    </row>
    <row r="22" ht="15.0" customHeight="1">
      <c r="A22" s="89" t="s">
        <v>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3"/>
      <c r="O22" s="170"/>
      <c r="P22" s="184"/>
    </row>
    <row r="23" ht="15.0" customHeight="1">
      <c r="A23" s="26" t="s">
        <v>31</v>
      </c>
      <c r="B23" s="232">
        <v>0.0</v>
      </c>
      <c r="C23" s="232">
        <v>0.0</v>
      </c>
      <c r="D23" s="232">
        <v>9346.8</v>
      </c>
      <c r="E23" s="232">
        <v>0.0</v>
      </c>
      <c r="F23" s="232">
        <v>0.0</v>
      </c>
      <c r="G23" s="232">
        <v>0.0</v>
      </c>
      <c r="H23" s="232">
        <v>0.0</v>
      </c>
      <c r="I23" s="232">
        <v>0.0</v>
      </c>
      <c r="J23" s="232">
        <v>0.0</v>
      </c>
      <c r="K23" s="232">
        <v>0.0</v>
      </c>
      <c r="L23" s="232">
        <v>0.0</v>
      </c>
      <c r="M23" s="232">
        <v>0.0</v>
      </c>
      <c r="N23" s="17">
        <f t="shared" ref="N23:N31" si="5">SUM(B23:M23)</f>
        <v>9346.8</v>
      </c>
      <c r="O23" s="153"/>
      <c r="P23" s="185" t="s">
        <v>177</v>
      </c>
    </row>
    <row r="24" ht="15.0" customHeight="1">
      <c r="A24" s="32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17">
        <f t="shared" si="5"/>
        <v>0</v>
      </c>
      <c r="O24" s="153"/>
      <c r="P24" s="186"/>
    </row>
    <row r="25" ht="15.0" customHeight="1">
      <c r="A25" s="15" t="s">
        <v>127</v>
      </c>
      <c r="B25" s="46"/>
      <c r="C25" s="46"/>
      <c r="D25" s="46"/>
      <c r="E25" s="46"/>
      <c r="F25" s="46"/>
      <c r="G25" s="46"/>
      <c r="H25" s="46"/>
      <c r="I25" s="232"/>
      <c r="J25" s="46"/>
      <c r="K25" s="46"/>
      <c r="L25" s="46"/>
      <c r="M25" s="46"/>
      <c r="N25" s="17">
        <f t="shared" si="5"/>
        <v>0</v>
      </c>
      <c r="O25" s="153"/>
      <c r="P25" s="186"/>
    </row>
    <row r="26" ht="15.0" customHeight="1">
      <c r="A26" s="32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17">
        <f t="shared" si="5"/>
        <v>0</v>
      </c>
      <c r="O26" s="153"/>
      <c r="P26" s="186"/>
    </row>
    <row r="27" ht="15.0" customHeight="1">
      <c r="A27" s="31" t="s">
        <v>34</v>
      </c>
      <c r="B27" s="28"/>
      <c r="C27" s="28"/>
      <c r="D27" s="46"/>
      <c r="E27" s="46"/>
      <c r="F27" s="46"/>
      <c r="G27" s="46"/>
      <c r="H27" s="28"/>
      <c r="I27" s="46"/>
      <c r="J27" s="28"/>
      <c r="K27" s="46"/>
      <c r="L27" s="46"/>
      <c r="M27" s="46"/>
      <c r="N27" s="17">
        <f t="shared" si="5"/>
        <v>0</v>
      </c>
      <c r="O27" s="153"/>
      <c r="P27" s="186"/>
    </row>
    <row r="28" ht="15.0" customHeight="1">
      <c r="A28" s="33" t="s">
        <v>35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17">
        <f t="shared" si="5"/>
        <v>0</v>
      </c>
      <c r="O28" s="153"/>
      <c r="P28" s="186"/>
    </row>
    <row r="29" ht="15.0" customHeight="1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17">
        <f t="shared" si="5"/>
        <v>0</v>
      </c>
      <c r="O29" s="153"/>
      <c r="P29" s="186"/>
    </row>
    <row r="30" ht="15.0" customHeight="1">
      <c r="A30" s="31" t="s">
        <v>37</v>
      </c>
      <c r="B30" s="28"/>
      <c r="C30" s="28"/>
      <c r="D30" s="28"/>
      <c r="E30" s="28"/>
      <c r="F30" s="28"/>
      <c r="G30" s="28"/>
      <c r="H30" s="28"/>
      <c r="I30" s="28"/>
      <c r="J30" s="199"/>
      <c r="K30" s="28"/>
      <c r="L30" s="28"/>
      <c r="M30" s="28"/>
      <c r="N30" s="17">
        <f t="shared" si="5"/>
        <v>0</v>
      </c>
      <c r="O30" s="153"/>
      <c r="P30" s="186"/>
    </row>
    <row r="31" ht="15.0" customHeight="1">
      <c r="A31" s="3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17">
        <f t="shared" si="5"/>
        <v>0</v>
      </c>
      <c r="O31" s="153"/>
      <c r="P31" s="186"/>
    </row>
    <row r="32" ht="15.0" customHeight="1">
      <c r="A32" s="91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9346.8</v>
      </c>
      <c r="E32" s="28">
        <f t="shared" si="6"/>
        <v>0</v>
      </c>
      <c r="F32" s="28">
        <f t="shared" si="6"/>
        <v>0</v>
      </c>
      <c r="G32" s="28">
        <f t="shared" si="6"/>
        <v>0</v>
      </c>
      <c r="H32" s="28">
        <f t="shared" si="6"/>
        <v>0</v>
      </c>
      <c r="I32" s="28">
        <f t="shared" si="6"/>
        <v>0</v>
      </c>
      <c r="J32" s="28">
        <f t="shared" si="6"/>
        <v>0</v>
      </c>
      <c r="K32" s="28">
        <f t="shared" si="6"/>
        <v>0</v>
      </c>
      <c r="L32" s="28">
        <f t="shared" si="6"/>
        <v>0</v>
      </c>
      <c r="M32" s="28">
        <f t="shared" si="6"/>
        <v>0</v>
      </c>
      <c r="N32" s="28">
        <f t="shared" si="6"/>
        <v>9346.8</v>
      </c>
      <c r="O32" s="175"/>
      <c r="P32" s="186"/>
    </row>
    <row r="33" ht="15.0" customHeight="1">
      <c r="A33" s="79" t="s">
        <v>38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170"/>
      <c r="P33" s="184"/>
    </row>
    <row r="34" ht="15.0" customHeight="1">
      <c r="A34" s="15" t="s">
        <v>39</v>
      </c>
      <c r="B34" s="87">
        <f t="shared" ref="B34:M34" si="7">1900+61.9+850+199</f>
        <v>3010.9</v>
      </c>
      <c r="C34" s="87">
        <f t="shared" si="7"/>
        <v>3010.9</v>
      </c>
      <c r="D34" s="87">
        <f t="shared" si="7"/>
        <v>3010.9</v>
      </c>
      <c r="E34" s="87">
        <f t="shared" si="7"/>
        <v>3010.9</v>
      </c>
      <c r="F34" s="87">
        <f t="shared" si="7"/>
        <v>3010.9</v>
      </c>
      <c r="G34" s="87">
        <f t="shared" si="7"/>
        <v>3010.9</v>
      </c>
      <c r="H34" s="87">
        <f t="shared" si="7"/>
        <v>3010.9</v>
      </c>
      <c r="I34" s="87">
        <f t="shared" si="7"/>
        <v>3010.9</v>
      </c>
      <c r="J34" s="87">
        <f t="shared" si="7"/>
        <v>3010.9</v>
      </c>
      <c r="K34" s="87">
        <f t="shared" si="7"/>
        <v>3010.9</v>
      </c>
      <c r="L34" s="87">
        <f t="shared" si="7"/>
        <v>3010.9</v>
      </c>
      <c r="M34" s="87">
        <f t="shared" si="7"/>
        <v>3010.9</v>
      </c>
      <c r="N34" s="17">
        <f t="shared" ref="N34:N51" si="8">SUM(B34:M34)</f>
        <v>36130.8</v>
      </c>
      <c r="O34" s="153"/>
      <c r="P34" s="286" t="s">
        <v>237</v>
      </c>
    </row>
    <row r="35" ht="15.0" customHeight="1">
      <c r="A35" s="19"/>
      <c r="B35" s="46"/>
      <c r="C35" s="46"/>
      <c r="D35" s="46"/>
      <c r="E35" s="46"/>
      <c r="F35" s="46"/>
      <c r="G35" s="87"/>
      <c r="H35" s="87"/>
      <c r="I35" s="87"/>
      <c r="J35" s="87"/>
      <c r="K35" s="87"/>
      <c r="L35" s="87"/>
      <c r="M35" s="87"/>
      <c r="N35" s="17">
        <f t="shared" si="8"/>
        <v>0</v>
      </c>
      <c r="O35" s="153"/>
      <c r="P35" s="186"/>
    </row>
    <row r="36" ht="15.0" customHeight="1">
      <c r="A36" s="35" t="s">
        <v>41</v>
      </c>
      <c r="B36" s="46">
        <v>395.0</v>
      </c>
      <c r="C36" s="46">
        <v>395.0</v>
      </c>
      <c r="D36" s="46">
        <v>395.0</v>
      </c>
      <c r="E36" s="46">
        <v>395.0</v>
      </c>
      <c r="F36" s="46">
        <v>395.0</v>
      </c>
      <c r="G36" s="46">
        <v>395.0</v>
      </c>
      <c r="H36" s="46">
        <v>395.0</v>
      </c>
      <c r="I36" s="46">
        <v>395.0</v>
      </c>
      <c r="J36" s="46">
        <v>395.0</v>
      </c>
      <c r="K36" s="46">
        <v>395.0</v>
      </c>
      <c r="L36" s="46">
        <v>395.0</v>
      </c>
      <c r="M36" s="46">
        <v>395.0</v>
      </c>
      <c r="N36" s="17">
        <f t="shared" si="8"/>
        <v>4740</v>
      </c>
      <c r="O36" s="153"/>
      <c r="P36" s="287" t="s">
        <v>179</v>
      </c>
    </row>
    <row r="37" ht="15.0" customHeight="1">
      <c r="A37" s="35" t="s">
        <v>42</v>
      </c>
      <c r="B37" s="87">
        <v>759.0</v>
      </c>
      <c r="C37" s="87">
        <v>759.0</v>
      </c>
      <c r="D37" s="87">
        <v>759.0</v>
      </c>
      <c r="E37" s="87">
        <v>759.0</v>
      </c>
      <c r="F37" s="87">
        <v>759.0</v>
      </c>
      <c r="G37" s="87">
        <v>759.0</v>
      </c>
      <c r="H37" s="87">
        <v>759.0</v>
      </c>
      <c r="I37" s="87">
        <v>759.0</v>
      </c>
      <c r="J37" s="87">
        <v>759.0</v>
      </c>
      <c r="K37" s="87">
        <v>759.0</v>
      </c>
      <c r="L37" s="87">
        <v>759.0</v>
      </c>
      <c r="M37" s="87">
        <v>759.0</v>
      </c>
      <c r="N37" s="17">
        <f t="shared" si="8"/>
        <v>9108</v>
      </c>
      <c r="O37" s="153"/>
      <c r="P37" s="287" t="s">
        <v>180</v>
      </c>
    </row>
    <row r="38" ht="15.0" customHeight="1">
      <c r="A38" s="35" t="s">
        <v>43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17">
        <f t="shared" si="8"/>
        <v>0</v>
      </c>
      <c r="O38" s="153"/>
      <c r="P38" s="186"/>
    </row>
    <row r="39" ht="15.0" customHeight="1">
      <c r="A39" s="35" t="s">
        <v>44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17">
        <f t="shared" si="8"/>
        <v>0</v>
      </c>
      <c r="O39" s="153"/>
      <c r="P39" s="186"/>
    </row>
    <row r="40" ht="15.0" customHeight="1">
      <c r="A40" s="35" t="s">
        <v>45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17">
        <f t="shared" si="8"/>
        <v>0</v>
      </c>
      <c r="O40" s="153"/>
      <c r="P40" s="186"/>
    </row>
    <row r="41" ht="15.0" customHeight="1">
      <c r="A41" s="35" t="s">
        <v>46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17">
        <f t="shared" si="8"/>
        <v>0</v>
      </c>
      <c r="O41" s="153"/>
      <c r="P41" s="196" t="s">
        <v>182</v>
      </c>
    </row>
    <row r="42" ht="15.0" customHeight="1">
      <c r="A42" s="19" t="s">
        <v>225</v>
      </c>
      <c r="B42" s="87">
        <v>365.0</v>
      </c>
      <c r="C42" s="87">
        <v>365.0</v>
      </c>
      <c r="D42" s="87">
        <v>365.0</v>
      </c>
      <c r="E42" s="87">
        <v>365.0</v>
      </c>
      <c r="F42" s="87">
        <v>365.0</v>
      </c>
      <c r="G42" s="87">
        <v>365.0</v>
      </c>
      <c r="H42" s="87">
        <v>365.0</v>
      </c>
      <c r="I42" s="87">
        <v>365.0</v>
      </c>
      <c r="J42" s="87">
        <v>365.0</v>
      </c>
      <c r="K42" s="87">
        <v>365.0</v>
      </c>
      <c r="L42" s="87">
        <v>365.0</v>
      </c>
      <c r="M42" s="87">
        <v>365.0</v>
      </c>
      <c r="N42" s="17">
        <f t="shared" si="8"/>
        <v>4380</v>
      </c>
      <c r="O42" s="153"/>
      <c r="P42" s="196" t="s">
        <v>183</v>
      </c>
    </row>
    <row r="43" ht="15.0" customHeight="1">
      <c r="A43" s="19" t="s">
        <v>238</v>
      </c>
      <c r="B43" s="87">
        <v>1949.0</v>
      </c>
      <c r="C43" s="87">
        <v>1949.0</v>
      </c>
      <c r="D43" s="87">
        <v>1949.0</v>
      </c>
      <c r="E43" s="87">
        <v>1949.0</v>
      </c>
      <c r="F43" s="87">
        <v>1949.0</v>
      </c>
      <c r="G43" s="87">
        <v>1949.0</v>
      </c>
      <c r="H43" s="87">
        <v>1949.0</v>
      </c>
      <c r="I43" s="87">
        <v>1949.0</v>
      </c>
      <c r="J43" s="87">
        <v>1949.0</v>
      </c>
      <c r="K43" s="87">
        <v>1949.0</v>
      </c>
      <c r="L43" s="87">
        <v>1949.0</v>
      </c>
      <c r="M43" s="87">
        <v>1949.0</v>
      </c>
      <c r="N43" s="17">
        <f t="shared" si="8"/>
        <v>23388</v>
      </c>
      <c r="O43" s="153"/>
      <c r="P43" s="288" t="s">
        <v>185</v>
      </c>
    </row>
    <row r="44" ht="15.0" customHeight="1">
      <c r="A44" s="19" t="s">
        <v>239</v>
      </c>
      <c r="B44" s="87">
        <v>189.0</v>
      </c>
      <c r="C44" s="87">
        <v>189.0</v>
      </c>
      <c r="D44" s="87">
        <v>189.0</v>
      </c>
      <c r="E44" s="87">
        <v>189.0</v>
      </c>
      <c r="F44" s="87">
        <v>189.0</v>
      </c>
      <c r="G44" s="87">
        <v>189.0</v>
      </c>
      <c r="H44" s="87">
        <v>189.0</v>
      </c>
      <c r="I44" s="87">
        <v>189.0</v>
      </c>
      <c r="J44" s="87">
        <v>189.0</v>
      </c>
      <c r="K44" s="87">
        <v>189.0</v>
      </c>
      <c r="L44" s="87">
        <v>189.0</v>
      </c>
      <c r="M44" s="87">
        <v>189.0</v>
      </c>
      <c r="N44" s="17">
        <f t="shared" si="8"/>
        <v>2268</v>
      </c>
      <c r="O44" s="153"/>
      <c r="P44" s="288" t="s">
        <v>186</v>
      </c>
    </row>
    <row r="45" ht="15.0" customHeight="1">
      <c r="A45" s="156" t="s">
        <v>50</v>
      </c>
      <c r="B45" s="46">
        <f t="shared" ref="B45:M45" si="9">45+97.5</f>
        <v>142.5</v>
      </c>
      <c r="C45" s="46">
        <f t="shared" si="9"/>
        <v>142.5</v>
      </c>
      <c r="D45" s="46">
        <f t="shared" si="9"/>
        <v>142.5</v>
      </c>
      <c r="E45" s="46">
        <f t="shared" si="9"/>
        <v>142.5</v>
      </c>
      <c r="F45" s="46">
        <f t="shared" si="9"/>
        <v>142.5</v>
      </c>
      <c r="G45" s="46">
        <f t="shared" si="9"/>
        <v>142.5</v>
      </c>
      <c r="H45" s="46">
        <f t="shared" si="9"/>
        <v>142.5</v>
      </c>
      <c r="I45" s="46">
        <f t="shared" si="9"/>
        <v>142.5</v>
      </c>
      <c r="J45" s="46">
        <f t="shared" si="9"/>
        <v>142.5</v>
      </c>
      <c r="K45" s="46">
        <f t="shared" si="9"/>
        <v>142.5</v>
      </c>
      <c r="L45" s="46">
        <f t="shared" si="9"/>
        <v>142.5</v>
      </c>
      <c r="M45" s="46">
        <f t="shared" si="9"/>
        <v>142.5</v>
      </c>
      <c r="N45" s="17">
        <f t="shared" si="8"/>
        <v>1710</v>
      </c>
      <c r="O45" s="153"/>
      <c r="P45" s="196" t="s">
        <v>187</v>
      </c>
    </row>
    <row r="46" ht="15.0" customHeight="1">
      <c r="A46" s="15" t="s">
        <v>51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17">
        <f t="shared" si="8"/>
        <v>0</v>
      </c>
      <c r="O46" s="153"/>
      <c r="P46" s="186"/>
    </row>
    <row r="47" ht="15.0" customHeight="1">
      <c r="A47" s="19" t="s">
        <v>52</v>
      </c>
      <c r="B47" s="87">
        <f t="shared" ref="B47:M47" si="10">850+50+3350+750</f>
        <v>5000</v>
      </c>
      <c r="C47" s="87">
        <f t="shared" si="10"/>
        <v>5000</v>
      </c>
      <c r="D47" s="87">
        <f t="shared" si="10"/>
        <v>5000</v>
      </c>
      <c r="E47" s="87">
        <f t="shared" si="10"/>
        <v>5000</v>
      </c>
      <c r="F47" s="87">
        <f t="shared" si="10"/>
        <v>5000</v>
      </c>
      <c r="G47" s="87">
        <f t="shared" si="10"/>
        <v>5000</v>
      </c>
      <c r="H47" s="87">
        <f t="shared" si="10"/>
        <v>5000</v>
      </c>
      <c r="I47" s="87">
        <f t="shared" si="10"/>
        <v>5000</v>
      </c>
      <c r="J47" s="87">
        <f t="shared" si="10"/>
        <v>5000</v>
      </c>
      <c r="K47" s="87">
        <f t="shared" si="10"/>
        <v>5000</v>
      </c>
      <c r="L47" s="87">
        <f t="shared" si="10"/>
        <v>5000</v>
      </c>
      <c r="M47" s="87">
        <f t="shared" si="10"/>
        <v>5000</v>
      </c>
      <c r="N47" s="17">
        <f t="shared" si="8"/>
        <v>60000</v>
      </c>
      <c r="O47" s="153"/>
      <c r="P47" s="196" t="s">
        <v>188</v>
      </c>
    </row>
    <row r="48" ht="15.0" customHeight="1">
      <c r="A48" s="19" t="s">
        <v>131</v>
      </c>
      <c r="B48" s="87">
        <f t="shared" ref="B48:M48" si="11">350.33+55.66+80</f>
        <v>485.99</v>
      </c>
      <c r="C48" s="87">
        <f t="shared" si="11"/>
        <v>485.99</v>
      </c>
      <c r="D48" s="87">
        <f t="shared" si="11"/>
        <v>485.99</v>
      </c>
      <c r="E48" s="87">
        <f t="shared" si="11"/>
        <v>485.99</v>
      </c>
      <c r="F48" s="87">
        <f t="shared" si="11"/>
        <v>485.99</v>
      </c>
      <c r="G48" s="87">
        <f t="shared" si="11"/>
        <v>485.99</v>
      </c>
      <c r="H48" s="87">
        <f t="shared" si="11"/>
        <v>485.99</v>
      </c>
      <c r="I48" s="87">
        <f t="shared" si="11"/>
        <v>485.99</v>
      </c>
      <c r="J48" s="87">
        <f t="shared" si="11"/>
        <v>485.99</v>
      </c>
      <c r="K48" s="87">
        <f t="shared" si="11"/>
        <v>485.99</v>
      </c>
      <c r="L48" s="87">
        <f t="shared" si="11"/>
        <v>485.99</v>
      </c>
      <c r="M48" s="87">
        <f t="shared" si="11"/>
        <v>485.99</v>
      </c>
      <c r="N48" s="17">
        <f t="shared" si="8"/>
        <v>5831.88</v>
      </c>
      <c r="O48" s="153"/>
      <c r="P48" s="196" t="s">
        <v>190</v>
      </c>
    </row>
    <row r="49" ht="15.0" customHeight="1">
      <c r="A49" s="35" t="s">
        <v>54</v>
      </c>
      <c r="B49" s="46"/>
      <c r="C49" s="46"/>
      <c r="D49" s="46"/>
      <c r="E49" s="46"/>
      <c r="F49" s="46"/>
      <c r="G49" s="87"/>
      <c r="H49" s="87"/>
      <c r="I49" s="87"/>
      <c r="J49" s="87"/>
      <c r="K49" s="87"/>
      <c r="L49" s="87"/>
      <c r="M49" s="87"/>
      <c r="N49" s="17">
        <f t="shared" si="8"/>
        <v>0</v>
      </c>
      <c r="O49" s="153"/>
      <c r="P49" s="186"/>
    </row>
    <row r="50" ht="15.0" customHeight="1">
      <c r="A50" s="19" t="s">
        <v>240</v>
      </c>
      <c r="B50" s="87">
        <v>1995.0</v>
      </c>
      <c r="C50" s="87">
        <v>1995.0</v>
      </c>
      <c r="D50" s="87">
        <v>1995.0</v>
      </c>
      <c r="E50" s="87">
        <v>1995.0</v>
      </c>
      <c r="F50" s="87">
        <v>1995.0</v>
      </c>
      <c r="G50" s="87">
        <v>1995.0</v>
      </c>
      <c r="H50" s="87">
        <v>1995.0</v>
      </c>
      <c r="I50" s="87">
        <v>1995.0</v>
      </c>
      <c r="J50" s="87">
        <v>1995.0</v>
      </c>
      <c r="K50" s="87">
        <v>1995.0</v>
      </c>
      <c r="L50" s="87">
        <v>1995.0</v>
      </c>
      <c r="M50" s="87">
        <v>1995.0</v>
      </c>
      <c r="N50" s="17">
        <f t="shared" si="8"/>
        <v>23940</v>
      </c>
      <c r="O50" s="153"/>
      <c r="P50" s="187" t="s">
        <v>241</v>
      </c>
    </row>
    <row r="51" ht="15.0" customHeight="1">
      <c r="A51" s="15" t="s">
        <v>160</v>
      </c>
      <c r="B51" s="46"/>
      <c r="C51" s="46"/>
      <c r="D51" s="46"/>
      <c r="E51" s="46"/>
      <c r="F51" s="46"/>
      <c r="G51" s="46"/>
      <c r="H51" s="87"/>
      <c r="I51" s="46"/>
      <c r="J51" s="46"/>
      <c r="K51" s="46"/>
      <c r="L51" s="46"/>
      <c r="M51" s="46"/>
      <c r="N51" s="17">
        <f t="shared" si="8"/>
        <v>0</v>
      </c>
      <c r="O51" s="153"/>
      <c r="P51" s="186"/>
    </row>
    <row r="52" ht="15.0" customHeight="1">
      <c r="A52" s="91" t="s">
        <v>23</v>
      </c>
      <c r="B52" s="28">
        <f t="shared" ref="B52:N52" si="12">SUM(B34:B51)</f>
        <v>14291.39</v>
      </c>
      <c r="C52" s="28">
        <f t="shared" si="12"/>
        <v>14291.39</v>
      </c>
      <c r="D52" s="28">
        <f t="shared" si="12"/>
        <v>14291.39</v>
      </c>
      <c r="E52" s="28">
        <f t="shared" si="12"/>
        <v>14291.39</v>
      </c>
      <c r="F52" s="28">
        <f t="shared" si="12"/>
        <v>14291.39</v>
      </c>
      <c r="G52" s="28">
        <f t="shared" si="12"/>
        <v>14291.39</v>
      </c>
      <c r="H52" s="28">
        <f t="shared" si="12"/>
        <v>14291.39</v>
      </c>
      <c r="I52" s="28">
        <f t="shared" si="12"/>
        <v>14291.39</v>
      </c>
      <c r="J52" s="28">
        <f t="shared" si="12"/>
        <v>14291.39</v>
      </c>
      <c r="K52" s="28">
        <f t="shared" si="12"/>
        <v>14291.39</v>
      </c>
      <c r="L52" s="28">
        <f t="shared" si="12"/>
        <v>14291.39</v>
      </c>
      <c r="M52" s="28">
        <f t="shared" si="12"/>
        <v>14291.39</v>
      </c>
      <c r="N52" s="28">
        <f t="shared" si="12"/>
        <v>171496.68</v>
      </c>
      <c r="O52" s="175"/>
      <c r="P52" s="186"/>
    </row>
    <row r="53" ht="15.0" customHeight="1">
      <c r="A53" s="79" t="s">
        <v>56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170"/>
      <c r="P53" s="184"/>
    </row>
    <row r="54" ht="15.0" customHeight="1">
      <c r="A54" s="32" t="s">
        <v>57</v>
      </c>
      <c r="B54" s="87">
        <v>5000.0</v>
      </c>
      <c r="C54" s="87">
        <v>5000.0</v>
      </c>
      <c r="D54" s="87">
        <v>5000.0</v>
      </c>
      <c r="E54" s="87">
        <v>5000.0</v>
      </c>
      <c r="F54" s="87">
        <v>5000.0</v>
      </c>
      <c r="G54" s="87">
        <v>5000.0</v>
      </c>
      <c r="H54" s="87">
        <v>5000.0</v>
      </c>
      <c r="I54" s="87">
        <v>5000.0</v>
      </c>
      <c r="J54" s="87">
        <v>5000.0</v>
      </c>
      <c r="K54" s="87">
        <v>5000.0</v>
      </c>
      <c r="L54" s="87">
        <v>5000.0</v>
      </c>
      <c r="M54" s="87">
        <v>5000.0</v>
      </c>
      <c r="N54" s="17">
        <f t="shared" ref="N54:N69" si="13">SUM(B54:M54)</f>
        <v>60000</v>
      </c>
      <c r="O54" s="153"/>
      <c r="P54" s="185" t="s">
        <v>242</v>
      </c>
    </row>
    <row r="55" ht="15.0" customHeight="1">
      <c r="A55" s="32" t="s">
        <v>58</v>
      </c>
      <c r="B55" s="87">
        <v>6250.0</v>
      </c>
      <c r="C55" s="87">
        <v>5900.0</v>
      </c>
      <c r="D55" s="87">
        <v>5900.0</v>
      </c>
      <c r="E55" s="87">
        <v>5900.0</v>
      </c>
      <c r="F55" s="87">
        <v>5900.0</v>
      </c>
      <c r="G55" s="87">
        <v>5900.0</v>
      </c>
      <c r="H55" s="87">
        <v>5900.0</v>
      </c>
      <c r="I55" s="87">
        <v>5900.0</v>
      </c>
      <c r="J55" s="87">
        <v>5900.0</v>
      </c>
      <c r="K55" s="87">
        <v>5900.0</v>
      </c>
      <c r="L55" s="87">
        <v>5900.0</v>
      </c>
      <c r="M55" s="87">
        <v>5900.0</v>
      </c>
      <c r="N55" s="17">
        <f t="shared" si="13"/>
        <v>71150</v>
      </c>
      <c r="O55" s="153"/>
      <c r="P55" s="185" t="s">
        <v>193</v>
      </c>
    </row>
    <row r="56" ht="15.0" customHeight="1">
      <c r="A56" s="31" t="s">
        <v>59</v>
      </c>
      <c r="B56" s="87">
        <f t="shared" ref="B56:M56" si="14">399+351+57</f>
        <v>807</v>
      </c>
      <c r="C56" s="87">
        <f t="shared" si="14"/>
        <v>807</v>
      </c>
      <c r="D56" s="87">
        <f t="shared" si="14"/>
        <v>807</v>
      </c>
      <c r="E56" s="87">
        <f t="shared" si="14"/>
        <v>807</v>
      </c>
      <c r="F56" s="87">
        <f t="shared" si="14"/>
        <v>807</v>
      </c>
      <c r="G56" s="87">
        <f t="shared" si="14"/>
        <v>807</v>
      </c>
      <c r="H56" s="87">
        <f t="shared" si="14"/>
        <v>807</v>
      </c>
      <c r="I56" s="87">
        <f t="shared" si="14"/>
        <v>807</v>
      </c>
      <c r="J56" s="87">
        <f t="shared" si="14"/>
        <v>807</v>
      </c>
      <c r="K56" s="87">
        <f t="shared" si="14"/>
        <v>807</v>
      </c>
      <c r="L56" s="87">
        <f t="shared" si="14"/>
        <v>807</v>
      </c>
      <c r="M56" s="87">
        <f t="shared" si="14"/>
        <v>807</v>
      </c>
      <c r="N56" s="17">
        <f t="shared" si="13"/>
        <v>9684</v>
      </c>
      <c r="O56" s="153"/>
      <c r="P56" s="185" t="s">
        <v>243</v>
      </c>
    </row>
    <row r="57" ht="15.0" customHeight="1">
      <c r="A57" s="31" t="s">
        <v>133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17">
        <f t="shared" si="13"/>
        <v>0</v>
      </c>
      <c r="O57" s="153"/>
      <c r="P57" s="186"/>
    </row>
    <row r="58" ht="15.0" customHeight="1">
      <c r="A58" s="31" t="s">
        <v>134</v>
      </c>
      <c r="B58" s="46"/>
      <c r="C58" s="46"/>
      <c r="D58" s="87"/>
      <c r="E58" s="46"/>
      <c r="F58" s="46"/>
      <c r="G58" s="46"/>
      <c r="H58" s="46"/>
      <c r="I58" s="46"/>
      <c r="J58" s="46"/>
      <c r="K58" s="46"/>
      <c r="L58" s="46"/>
      <c r="M58" s="46"/>
      <c r="N58" s="17">
        <f t="shared" si="13"/>
        <v>0</v>
      </c>
      <c r="O58" s="153"/>
      <c r="P58" s="186"/>
    </row>
    <row r="59" ht="15.0" customHeight="1">
      <c r="A59" s="31" t="s">
        <v>135</v>
      </c>
      <c r="B59" s="87">
        <v>1100.0</v>
      </c>
      <c r="C59" s="87">
        <v>1100.0</v>
      </c>
      <c r="D59" s="87">
        <v>1100.0</v>
      </c>
      <c r="E59" s="87">
        <v>1100.0</v>
      </c>
      <c r="F59" s="87">
        <v>1100.0</v>
      </c>
      <c r="G59" s="87">
        <v>1100.0</v>
      </c>
      <c r="H59" s="87">
        <v>1100.0</v>
      </c>
      <c r="I59" s="87">
        <v>1100.0</v>
      </c>
      <c r="J59" s="87">
        <v>1100.0</v>
      </c>
      <c r="K59" s="87">
        <v>1100.0</v>
      </c>
      <c r="L59" s="87">
        <v>1100.0</v>
      </c>
      <c r="M59" s="87">
        <v>1100.0</v>
      </c>
      <c r="N59" s="17">
        <f t="shared" si="13"/>
        <v>13200</v>
      </c>
      <c r="O59" s="153"/>
      <c r="P59" s="198" t="s">
        <v>244</v>
      </c>
    </row>
    <row r="60" ht="15.0" customHeight="1">
      <c r="A60" s="32" t="s">
        <v>136</v>
      </c>
      <c r="B60" s="46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17">
        <f t="shared" si="13"/>
        <v>0</v>
      </c>
      <c r="O60" s="153"/>
      <c r="P60" s="186"/>
    </row>
    <row r="61" ht="15.0" customHeight="1">
      <c r="A61" s="32" t="s">
        <v>137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17">
        <f t="shared" si="13"/>
        <v>0</v>
      </c>
      <c r="O61" s="153"/>
      <c r="P61" s="186"/>
    </row>
    <row r="62" ht="15.0" customHeight="1">
      <c r="A62" s="32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13"/>
        <v>0</v>
      </c>
      <c r="O62" s="153"/>
      <c r="P62" s="186"/>
    </row>
    <row r="63" ht="15.0" customHeight="1">
      <c r="A63" s="31" t="s">
        <v>64</v>
      </c>
      <c r="B63" s="87">
        <f t="shared" ref="B63:M63" si="15">20930</f>
        <v>20930</v>
      </c>
      <c r="C63" s="87">
        <f t="shared" si="15"/>
        <v>20930</v>
      </c>
      <c r="D63" s="87">
        <f t="shared" si="15"/>
        <v>20930</v>
      </c>
      <c r="E63" s="87">
        <f t="shared" si="15"/>
        <v>20930</v>
      </c>
      <c r="F63" s="87">
        <f t="shared" si="15"/>
        <v>20930</v>
      </c>
      <c r="G63" s="87">
        <f t="shared" si="15"/>
        <v>20930</v>
      </c>
      <c r="H63" s="87">
        <f t="shared" si="15"/>
        <v>20930</v>
      </c>
      <c r="I63" s="87">
        <f t="shared" si="15"/>
        <v>20930</v>
      </c>
      <c r="J63" s="87">
        <f t="shared" si="15"/>
        <v>20930</v>
      </c>
      <c r="K63" s="87">
        <f t="shared" si="15"/>
        <v>20930</v>
      </c>
      <c r="L63" s="87">
        <f t="shared" si="15"/>
        <v>20930</v>
      </c>
      <c r="M63" s="87">
        <f t="shared" si="15"/>
        <v>20930</v>
      </c>
      <c r="N63" s="17">
        <f t="shared" si="13"/>
        <v>251160</v>
      </c>
      <c r="O63" s="153"/>
      <c r="P63" s="185" t="s">
        <v>196</v>
      </c>
    </row>
    <row r="64" ht="15.0" customHeight="1">
      <c r="A64" s="32" t="s">
        <v>65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17">
        <f t="shared" si="13"/>
        <v>0</v>
      </c>
      <c r="O64" s="153"/>
      <c r="P64" s="186"/>
    </row>
    <row r="65" ht="15.0" customHeight="1">
      <c r="A65" s="31" t="s">
        <v>66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17">
        <f t="shared" si="13"/>
        <v>0</v>
      </c>
      <c r="O65" s="153"/>
      <c r="P65" s="186"/>
    </row>
    <row r="66" ht="15.0" customHeight="1">
      <c r="A66" s="31" t="s">
        <v>67</v>
      </c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17">
        <f t="shared" si="13"/>
        <v>0</v>
      </c>
      <c r="O66" s="153"/>
      <c r="P66" s="186"/>
    </row>
    <row r="67" ht="15.0" customHeight="1">
      <c r="A67" s="25" t="s">
        <v>68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17">
        <f t="shared" si="13"/>
        <v>0</v>
      </c>
      <c r="O67" s="153"/>
      <c r="P67" s="186"/>
    </row>
    <row r="68" ht="15.0" customHeight="1">
      <c r="A68" s="25" t="s">
        <v>69</v>
      </c>
      <c r="B68" s="28"/>
      <c r="C68" s="28"/>
      <c r="D68" s="28"/>
      <c r="E68" s="28"/>
      <c r="F68" s="92"/>
      <c r="G68" s="92"/>
      <c r="H68" s="92"/>
      <c r="I68" s="28"/>
      <c r="J68" s="28"/>
      <c r="K68" s="28"/>
      <c r="L68" s="28"/>
      <c r="M68" s="28"/>
      <c r="N68" s="17">
        <f t="shared" si="13"/>
        <v>0</v>
      </c>
      <c r="O68" s="153"/>
      <c r="P68" s="186"/>
    </row>
    <row r="69" ht="15.0" customHeight="1">
      <c r="A69" s="39" t="s">
        <v>245</v>
      </c>
      <c r="B69" s="28"/>
      <c r="C69" s="87"/>
      <c r="D69" s="28"/>
      <c r="E69" s="28"/>
      <c r="F69" s="28"/>
      <c r="G69" s="28"/>
      <c r="H69" s="28"/>
      <c r="I69" s="28"/>
      <c r="J69" s="87"/>
      <c r="K69" s="87"/>
      <c r="L69" s="87"/>
      <c r="M69" s="87"/>
      <c r="N69" s="17">
        <f t="shared" si="13"/>
        <v>0</v>
      </c>
      <c r="O69" s="153"/>
      <c r="P69" s="186"/>
    </row>
    <row r="70" ht="15.0" customHeight="1">
      <c r="A70" s="91" t="s">
        <v>23</v>
      </c>
      <c r="B70" s="28">
        <f t="shared" ref="B70:M70" si="16">SUM(B54:B69)</f>
        <v>34087</v>
      </c>
      <c r="C70" s="28">
        <f t="shared" si="16"/>
        <v>33737</v>
      </c>
      <c r="D70" s="28">
        <f t="shared" si="16"/>
        <v>33737</v>
      </c>
      <c r="E70" s="28">
        <f t="shared" si="16"/>
        <v>33737</v>
      </c>
      <c r="F70" s="28">
        <f t="shared" si="16"/>
        <v>33737</v>
      </c>
      <c r="G70" s="28">
        <f t="shared" si="16"/>
        <v>33737</v>
      </c>
      <c r="H70" s="28">
        <f t="shared" si="16"/>
        <v>33737</v>
      </c>
      <c r="I70" s="28">
        <f t="shared" si="16"/>
        <v>33737</v>
      </c>
      <c r="J70" s="28">
        <f t="shared" si="16"/>
        <v>33737</v>
      </c>
      <c r="K70" s="28">
        <f t="shared" si="16"/>
        <v>33737</v>
      </c>
      <c r="L70" s="28">
        <f t="shared" si="16"/>
        <v>33737</v>
      </c>
      <c r="M70" s="28">
        <f t="shared" si="16"/>
        <v>33737</v>
      </c>
      <c r="N70" s="28">
        <f>SUM(N54:N66)</f>
        <v>405194</v>
      </c>
      <c r="O70" s="175"/>
      <c r="P70" s="186"/>
    </row>
    <row r="71" ht="15.0" customHeight="1">
      <c r="A71" s="79" t="s">
        <v>71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170"/>
      <c r="P71" s="184"/>
    </row>
    <row r="72" ht="15.0" customHeight="1">
      <c r="A72" s="32" t="s">
        <v>138</v>
      </c>
      <c r="B72" s="87">
        <v>0.0</v>
      </c>
      <c r="C72" s="87">
        <v>0.0</v>
      </c>
      <c r="D72" s="87">
        <v>0.0</v>
      </c>
      <c r="E72" s="87">
        <v>0.0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0.0</v>
      </c>
      <c r="L72" s="87">
        <v>0.0</v>
      </c>
      <c r="M72" s="87">
        <v>0.0</v>
      </c>
      <c r="N72" s="17">
        <f t="shared" ref="N72:N83" si="17">SUM(B72:M72)</f>
        <v>0</v>
      </c>
      <c r="O72" s="153"/>
      <c r="P72" s="186"/>
    </row>
    <row r="73" ht="15.0" customHeight="1">
      <c r="A73" s="31" t="s">
        <v>73</v>
      </c>
      <c r="B73" s="87">
        <v>0.0</v>
      </c>
      <c r="C73" s="87">
        <v>0.0</v>
      </c>
      <c r="D73" s="87">
        <v>0.0</v>
      </c>
      <c r="E73" s="87">
        <v>0.0</v>
      </c>
      <c r="F73" s="87">
        <v>0.0</v>
      </c>
      <c r="G73" s="87">
        <v>0.0</v>
      </c>
      <c r="H73" s="87">
        <v>0.0</v>
      </c>
      <c r="I73" s="87">
        <v>0.0</v>
      </c>
      <c r="J73" s="87">
        <v>0.0</v>
      </c>
      <c r="K73" s="87">
        <v>0.0</v>
      </c>
      <c r="L73" s="87">
        <v>0.0</v>
      </c>
      <c r="M73" s="87">
        <v>0.0</v>
      </c>
      <c r="N73" s="17">
        <f t="shared" si="17"/>
        <v>0</v>
      </c>
      <c r="O73" s="153"/>
      <c r="P73" s="186"/>
    </row>
    <row r="74" ht="15.0" customHeight="1">
      <c r="A74" s="32" t="s">
        <v>139</v>
      </c>
      <c r="B74" s="87">
        <v>1100.0</v>
      </c>
      <c r="C74" s="87">
        <v>1100.0</v>
      </c>
      <c r="D74" s="87">
        <v>1100.0</v>
      </c>
      <c r="E74" s="87">
        <v>1100.0</v>
      </c>
      <c r="F74" s="87">
        <v>1100.0</v>
      </c>
      <c r="G74" s="87">
        <v>1100.0</v>
      </c>
      <c r="H74" s="87">
        <v>1100.0</v>
      </c>
      <c r="I74" s="87">
        <v>1100.0</v>
      </c>
      <c r="J74" s="87">
        <v>1100.0</v>
      </c>
      <c r="K74" s="87">
        <v>1100.0</v>
      </c>
      <c r="L74" s="87">
        <v>1100.0</v>
      </c>
      <c r="M74" s="87">
        <v>1100.0</v>
      </c>
      <c r="N74" s="17">
        <f t="shared" si="17"/>
        <v>13200</v>
      </c>
      <c r="O74" s="153"/>
      <c r="P74" s="198" t="s">
        <v>246</v>
      </c>
    </row>
    <row r="75" ht="15.0" customHeight="1">
      <c r="A75" s="31" t="s">
        <v>137</v>
      </c>
      <c r="B75" s="46"/>
      <c r="C75" s="46"/>
      <c r="D75" s="46"/>
      <c r="E75" s="46"/>
      <c r="G75" s="46"/>
      <c r="H75" s="46"/>
      <c r="I75" s="46"/>
      <c r="J75" s="46"/>
      <c r="K75" s="46"/>
      <c r="L75" s="46"/>
      <c r="M75" s="46"/>
      <c r="N75" s="17">
        <f t="shared" si="17"/>
        <v>0</v>
      </c>
      <c r="O75" s="153"/>
      <c r="P75" s="186"/>
    </row>
    <row r="76" ht="15.0" customHeight="1">
      <c r="A76" s="32" t="s">
        <v>136</v>
      </c>
      <c r="B76" s="46"/>
      <c r="C76" s="46"/>
      <c r="D76" s="46"/>
      <c r="E76" s="46"/>
      <c r="F76" s="87"/>
      <c r="G76" s="46"/>
      <c r="H76" s="46"/>
      <c r="I76" s="46"/>
      <c r="J76" s="46"/>
      <c r="K76" s="46"/>
      <c r="L76" s="46"/>
      <c r="M76" s="46"/>
      <c r="N76" s="17">
        <f t="shared" si="17"/>
        <v>0</v>
      </c>
      <c r="O76" s="153"/>
      <c r="P76" s="186"/>
    </row>
    <row r="77" ht="15.0" customHeight="1">
      <c r="A77" s="32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17">
        <f t="shared" si="17"/>
        <v>0</v>
      </c>
      <c r="O77" s="153"/>
      <c r="P77" s="186"/>
    </row>
    <row r="78" ht="15.0" customHeight="1">
      <c r="A78" s="31" t="s">
        <v>140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17">
        <f t="shared" si="17"/>
        <v>0</v>
      </c>
      <c r="O78" s="153"/>
      <c r="P78" s="186"/>
    </row>
    <row r="79" ht="15.0" customHeight="1">
      <c r="A79" s="27" t="s">
        <v>141</v>
      </c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17">
        <f t="shared" si="17"/>
        <v>0</v>
      </c>
      <c r="O79" s="153"/>
      <c r="P79" s="185" t="s">
        <v>199</v>
      </c>
    </row>
    <row r="80" ht="15.0" customHeight="1">
      <c r="A80" s="145" t="s">
        <v>79</v>
      </c>
      <c r="B80" s="87">
        <v>2450.0</v>
      </c>
      <c r="C80" s="87">
        <v>2450.0</v>
      </c>
      <c r="D80" s="87">
        <v>2450.0</v>
      </c>
      <c r="E80" s="87">
        <v>2450.0</v>
      </c>
      <c r="F80" s="87">
        <v>2450.0</v>
      </c>
      <c r="G80" s="87">
        <v>2450.0</v>
      </c>
      <c r="H80" s="87">
        <v>2450.0</v>
      </c>
      <c r="I80" s="87">
        <v>2450.0</v>
      </c>
      <c r="J80" s="87">
        <v>2450.0</v>
      </c>
      <c r="K80" s="87">
        <v>2450.0</v>
      </c>
      <c r="L80" s="87">
        <v>2450.0</v>
      </c>
      <c r="M80" s="87">
        <v>2450.0</v>
      </c>
      <c r="N80" s="17">
        <f t="shared" si="17"/>
        <v>29400</v>
      </c>
      <c r="O80" s="153"/>
      <c r="P80" s="185" t="s">
        <v>200</v>
      </c>
    </row>
    <row r="81" ht="15.0" customHeight="1">
      <c r="A81" s="43" t="s">
        <v>80</v>
      </c>
      <c r="B81" s="87">
        <v>0.0</v>
      </c>
      <c r="C81" s="87">
        <v>0.0</v>
      </c>
      <c r="D81" s="87">
        <v>0.0</v>
      </c>
      <c r="E81" s="87">
        <v>0.0</v>
      </c>
      <c r="F81" s="87">
        <v>0.0</v>
      </c>
      <c r="G81" s="87">
        <v>0.0</v>
      </c>
      <c r="H81" s="87">
        <v>0.0</v>
      </c>
      <c r="I81" s="87">
        <v>0.0</v>
      </c>
      <c r="J81" s="87">
        <v>0.0</v>
      </c>
      <c r="K81" s="87">
        <v>0.0</v>
      </c>
      <c r="L81" s="87">
        <v>0.0</v>
      </c>
      <c r="M81" s="87">
        <v>0.0</v>
      </c>
      <c r="N81" s="17">
        <f t="shared" si="17"/>
        <v>0</v>
      </c>
      <c r="O81" s="153"/>
      <c r="P81" s="186"/>
    </row>
    <row r="82" ht="15.0" customHeight="1">
      <c r="A82" s="91" t="s">
        <v>23</v>
      </c>
      <c r="B82" s="28">
        <f t="shared" ref="B82:M82" si="18">SUM(B72:B81)</f>
        <v>3550</v>
      </c>
      <c r="C82" s="28">
        <f t="shared" si="18"/>
        <v>3550</v>
      </c>
      <c r="D82" s="28">
        <f t="shared" si="18"/>
        <v>3550</v>
      </c>
      <c r="E82" s="28">
        <f t="shared" si="18"/>
        <v>3550</v>
      </c>
      <c r="F82" s="28">
        <f t="shared" si="18"/>
        <v>3550</v>
      </c>
      <c r="G82" s="28">
        <f t="shared" si="18"/>
        <v>3550</v>
      </c>
      <c r="H82" s="28">
        <f t="shared" si="18"/>
        <v>3550</v>
      </c>
      <c r="I82" s="28">
        <f t="shared" si="18"/>
        <v>3550</v>
      </c>
      <c r="J82" s="28">
        <f t="shared" si="18"/>
        <v>3550</v>
      </c>
      <c r="K82" s="28">
        <f t="shared" si="18"/>
        <v>3550</v>
      </c>
      <c r="L82" s="28">
        <f t="shared" si="18"/>
        <v>3550</v>
      </c>
      <c r="M82" s="28">
        <f t="shared" si="18"/>
        <v>3550</v>
      </c>
      <c r="N82" s="44">
        <f t="shared" si="17"/>
        <v>42600</v>
      </c>
      <c r="O82" s="174"/>
      <c r="P82" s="186"/>
    </row>
    <row r="83" ht="15.0" customHeight="1">
      <c r="A83" s="99" t="s">
        <v>81</v>
      </c>
      <c r="B83" s="28">
        <f t="shared" ref="B83:M83" si="19">B52+B70+B82</f>
        <v>51928.39</v>
      </c>
      <c r="C83" s="28">
        <f t="shared" si="19"/>
        <v>51578.39</v>
      </c>
      <c r="D83" s="28">
        <f t="shared" si="19"/>
        <v>51578.39</v>
      </c>
      <c r="E83" s="28">
        <f t="shared" si="19"/>
        <v>51578.39</v>
      </c>
      <c r="F83" s="28">
        <f t="shared" si="19"/>
        <v>51578.39</v>
      </c>
      <c r="G83" s="28">
        <f t="shared" si="19"/>
        <v>51578.39</v>
      </c>
      <c r="H83" s="28">
        <f t="shared" si="19"/>
        <v>51578.39</v>
      </c>
      <c r="I83" s="28">
        <f t="shared" si="19"/>
        <v>51578.39</v>
      </c>
      <c r="J83" s="28">
        <f t="shared" si="19"/>
        <v>51578.39</v>
      </c>
      <c r="K83" s="28">
        <f t="shared" si="19"/>
        <v>51578.39</v>
      </c>
      <c r="L83" s="28">
        <f t="shared" si="19"/>
        <v>51578.39</v>
      </c>
      <c r="M83" s="28">
        <f t="shared" si="19"/>
        <v>51578.39</v>
      </c>
      <c r="N83" s="44">
        <f t="shared" si="17"/>
        <v>619290.68</v>
      </c>
      <c r="O83" s="174"/>
      <c r="P83" s="186"/>
    </row>
    <row r="84" ht="15.0" customHeight="1">
      <c r="A84" s="99" t="s">
        <v>82</v>
      </c>
      <c r="B84" s="46">
        <f t="shared" ref="B84:N84" si="20">B83/B112</f>
        <v>370.9170714</v>
      </c>
      <c r="C84" s="46">
        <f t="shared" si="20"/>
        <v>382.0621481</v>
      </c>
      <c r="D84" s="46">
        <f t="shared" si="20"/>
        <v>332.7638065</v>
      </c>
      <c r="E84" s="46">
        <f t="shared" si="20"/>
        <v>312.596303</v>
      </c>
      <c r="F84" s="46">
        <f t="shared" si="20"/>
        <v>303.4022941</v>
      </c>
      <c r="G84" s="46">
        <f t="shared" si="20"/>
        <v>286.5466111</v>
      </c>
      <c r="H84" s="46">
        <f t="shared" si="20"/>
        <v>303.4022941</v>
      </c>
      <c r="I84" s="46">
        <f t="shared" si="20"/>
        <v>286.5466111</v>
      </c>
      <c r="J84" s="46">
        <f t="shared" si="20"/>
        <v>294.7336571</v>
      </c>
      <c r="K84" s="46">
        <f t="shared" si="20"/>
        <v>312.596303</v>
      </c>
      <c r="L84" s="46">
        <f t="shared" si="20"/>
        <v>294.7336571</v>
      </c>
      <c r="M84" s="46">
        <f t="shared" si="20"/>
        <v>271.4652105</v>
      </c>
      <c r="N84" s="289">
        <f t="shared" si="20"/>
        <v>309.64534</v>
      </c>
      <c r="O84" s="290"/>
      <c r="P84" s="291"/>
    </row>
    <row r="85" ht="15.0" customHeight="1">
      <c r="A85" s="79" t="s">
        <v>83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170"/>
      <c r="P85" s="184"/>
    </row>
    <row r="86" ht="15.0" customHeight="1">
      <c r="A86" s="15" t="s">
        <v>84</v>
      </c>
      <c r="B86" s="87">
        <v>820.0</v>
      </c>
      <c r="C86" s="87">
        <v>820.0</v>
      </c>
      <c r="D86" s="87">
        <v>820.0</v>
      </c>
      <c r="E86" s="87">
        <v>820.0</v>
      </c>
      <c r="F86" s="87">
        <v>820.0</v>
      </c>
      <c r="G86" s="87">
        <v>820.0</v>
      </c>
      <c r="H86" s="87">
        <v>820.0</v>
      </c>
      <c r="I86" s="87">
        <v>820.0</v>
      </c>
      <c r="J86" s="87">
        <v>820.0</v>
      </c>
      <c r="K86" s="87">
        <v>820.0</v>
      </c>
      <c r="L86" s="87">
        <v>820.0</v>
      </c>
      <c r="M86" s="87">
        <v>820.0</v>
      </c>
      <c r="N86" s="17">
        <f t="shared" ref="N86:N89" si="21">SUM(B86:M86)</f>
        <v>9840</v>
      </c>
      <c r="O86" s="153"/>
      <c r="P86" s="187" t="s">
        <v>201</v>
      </c>
    </row>
    <row r="87" ht="15.0" customHeight="1">
      <c r="A87" s="15" t="s">
        <v>142</v>
      </c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17">
        <f t="shared" si="21"/>
        <v>0</v>
      </c>
      <c r="O87" s="153"/>
      <c r="P87" s="186"/>
    </row>
    <row r="88" ht="15.0" customHeight="1">
      <c r="A88" s="35"/>
      <c r="B88" s="28"/>
      <c r="C88" s="28"/>
      <c r="D88" s="28"/>
      <c r="E88" s="87"/>
      <c r="F88" s="28"/>
      <c r="G88" s="28"/>
      <c r="H88" s="28"/>
      <c r="I88" s="28"/>
      <c r="J88" s="28"/>
      <c r="K88" s="28"/>
      <c r="L88" s="87"/>
      <c r="M88" s="87"/>
      <c r="N88" s="17">
        <f t="shared" si="21"/>
        <v>0</v>
      </c>
      <c r="O88" s="153"/>
      <c r="P88" s="186"/>
    </row>
    <row r="89" ht="15.0" customHeight="1">
      <c r="A89" s="9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17">
        <f t="shared" si="21"/>
        <v>0</v>
      </c>
      <c r="O89" s="153"/>
      <c r="P89" s="186"/>
    </row>
    <row r="90" ht="15.0" customHeight="1">
      <c r="A90" s="91" t="s">
        <v>23</v>
      </c>
      <c r="B90" s="28">
        <f t="shared" ref="B90:D90" si="22">B86</f>
        <v>820</v>
      </c>
      <c r="C90" s="28">
        <f t="shared" si="22"/>
        <v>820</v>
      </c>
      <c r="D90" s="28">
        <f t="shared" si="22"/>
        <v>820</v>
      </c>
      <c r="E90" s="28">
        <f>SUM(E86:E89)</f>
        <v>820</v>
      </c>
      <c r="F90" s="28">
        <f t="shared" ref="F90:K90" si="23">F86</f>
        <v>820</v>
      </c>
      <c r="G90" s="28">
        <f t="shared" si="23"/>
        <v>820</v>
      </c>
      <c r="H90" s="28">
        <f t="shared" si="23"/>
        <v>820</v>
      </c>
      <c r="I90" s="28">
        <f t="shared" si="23"/>
        <v>820</v>
      </c>
      <c r="J90" s="28">
        <f t="shared" si="23"/>
        <v>820</v>
      </c>
      <c r="K90" s="28">
        <f t="shared" si="23"/>
        <v>820</v>
      </c>
      <c r="L90" s="28">
        <f>SUM(L86:L89)</f>
        <v>820</v>
      </c>
      <c r="M90" s="28">
        <f>M86</f>
        <v>820</v>
      </c>
      <c r="N90" s="28">
        <f>SUM(N86:N89)</f>
        <v>9840</v>
      </c>
      <c r="O90" s="175"/>
      <c r="P90" s="186"/>
    </row>
    <row r="91" ht="15.0" customHeight="1">
      <c r="A91" s="89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170"/>
      <c r="P91" s="184"/>
    </row>
    <row r="92" ht="15.0" customHeight="1">
      <c r="A92" s="31" t="s">
        <v>89</v>
      </c>
      <c r="B92" s="101">
        <f>PRODUCTION!N18</f>
        <v>750</v>
      </c>
      <c r="C92" s="102">
        <f>PRODUCTION!N19</f>
        <v>750</v>
      </c>
      <c r="D92" s="102">
        <f>PRODUCTION!N20</f>
        <v>750</v>
      </c>
      <c r="E92" s="102">
        <f>PRODUCTION!N21</f>
        <v>750</v>
      </c>
      <c r="F92" s="102">
        <f>PRODUCTION!N22</f>
        <v>750</v>
      </c>
      <c r="G92" s="102">
        <f>PRODUCTION!N23</f>
        <v>750</v>
      </c>
      <c r="H92" s="102">
        <f>PRODUCTION!N24</f>
        <v>750</v>
      </c>
      <c r="I92" s="102">
        <f>PRODUCTION!N25</f>
        <v>750</v>
      </c>
      <c r="J92" s="102">
        <f>PRODUCTION!N26</f>
        <v>750</v>
      </c>
      <c r="K92" s="102">
        <f>PRODUCTION!N27</f>
        <v>750</v>
      </c>
      <c r="L92" s="102">
        <f>PRODUCTION!N28</f>
        <v>750</v>
      </c>
      <c r="M92" s="102">
        <f>PRODUCTION!N29</f>
        <v>750</v>
      </c>
      <c r="N92" s="17">
        <f t="shared" ref="N92:N106" si="24">SUM(B92:M92)</f>
        <v>9000</v>
      </c>
      <c r="O92" s="153"/>
      <c r="P92" s="185"/>
    </row>
    <row r="93" ht="15.0" customHeight="1">
      <c r="A93" s="31" t="s">
        <v>90</v>
      </c>
      <c r="B93" s="87"/>
      <c r="C93" s="87"/>
      <c r="D93" s="87"/>
      <c r="E93" s="87"/>
      <c r="F93" s="87"/>
      <c r="G93" s="46"/>
      <c r="H93" s="46"/>
      <c r="I93" s="46"/>
      <c r="J93" s="46"/>
      <c r="K93" s="87"/>
      <c r="L93" s="46"/>
      <c r="M93" s="87"/>
      <c r="N93" s="17">
        <f t="shared" si="24"/>
        <v>0</v>
      </c>
      <c r="O93" s="153"/>
      <c r="P93" s="186"/>
    </row>
    <row r="94" ht="15.0" customHeight="1">
      <c r="A94" s="31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17">
        <f t="shared" si="24"/>
        <v>2360</v>
      </c>
      <c r="O94" s="153"/>
      <c r="P94" s="185"/>
    </row>
    <row r="95" ht="15.0" customHeight="1">
      <c r="A95" s="31" t="s">
        <v>92</v>
      </c>
      <c r="B95" s="146">
        <v>500.0</v>
      </c>
      <c r="C95" s="105">
        <v>500.0</v>
      </c>
      <c r="D95" s="105">
        <v>0.0</v>
      </c>
      <c r="E95" s="105">
        <v>0.0</v>
      </c>
      <c r="F95" s="104">
        <v>135.0</v>
      </c>
      <c r="G95" s="104">
        <f>350+167</f>
        <v>517</v>
      </c>
      <c r="H95" s="104">
        <v>0.0</v>
      </c>
      <c r="I95" s="218">
        <f>220.48+3.233</f>
        <v>223.713</v>
      </c>
      <c r="J95" s="105">
        <v>500.0</v>
      </c>
      <c r="K95" s="87">
        <v>367.23</v>
      </c>
      <c r="L95" s="105">
        <v>500.0</v>
      </c>
      <c r="M95" s="105">
        <v>500.0</v>
      </c>
      <c r="N95" s="17">
        <f t="shared" si="24"/>
        <v>3742.943</v>
      </c>
      <c r="O95" s="153"/>
      <c r="P95" s="185"/>
    </row>
    <row r="96" ht="15.0" customHeight="1">
      <c r="A96" s="32" t="s">
        <v>143</v>
      </c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17">
        <f t="shared" si="24"/>
        <v>0</v>
      </c>
      <c r="O96" s="153"/>
      <c r="P96" s="186"/>
    </row>
    <row r="97" ht="15.0" customHeight="1">
      <c r="A97" s="32" t="s">
        <v>94</v>
      </c>
      <c r="B97" s="46"/>
      <c r="C97" s="46"/>
      <c r="D97" s="46"/>
      <c r="E97" s="87"/>
      <c r="F97" s="87"/>
      <c r="G97" s="87"/>
      <c r="H97" s="87"/>
      <c r="I97" s="87"/>
      <c r="J97" s="87"/>
      <c r="K97" s="87"/>
      <c r="L97" s="87"/>
      <c r="M97" s="87"/>
      <c r="N97" s="17">
        <f t="shared" si="24"/>
        <v>0</v>
      </c>
      <c r="O97" s="153"/>
      <c r="P97" s="186"/>
    </row>
    <row r="98" ht="15.0" customHeight="1">
      <c r="A98" s="32" t="s">
        <v>95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17">
        <f t="shared" si="24"/>
        <v>0</v>
      </c>
      <c r="O98" s="153"/>
      <c r="P98" s="186"/>
    </row>
    <row r="99" ht="15.0" customHeight="1">
      <c r="A99" s="31" t="s">
        <v>96</v>
      </c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17">
        <f t="shared" si="24"/>
        <v>0</v>
      </c>
      <c r="O99" s="153"/>
      <c r="P99" s="186"/>
    </row>
    <row r="100" ht="15.0" customHeight="1">
      <c r="A100" s="31" t="s">
        <v>97</v>
      </c>
      <c r="B100" s="46"/>
      <c r="C100" s="46"/>
      <c r="D100" s="46"/>
      <c r="E100" s="87"/>
      <c r="F100" s="46"/>
      <c r="G100" s="46"/>
      <c r="H100" s="46"/>
      <c r="I100" s="46"/>
      <c r="J100" s="46"/>
      <c r="K100" s="46"/>
      <c r="L100" s="46"/>
      <c r="M100" s="46"/>
      <c r="N100" s="17">
        <f t="shared" si="24"/>
        <v>0</v>
      </c>
      <c r="O100" s="153"/>
      <c r="P100" s="186"/>
    </row>
    <row r="101" ht="15.0" customHeight="1">
      <c r="A101" s="32" t="s">
        <v>98</v>
      </c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17">
        <f t="shared" si="24"/>
        <v>0</v>
      </c>
      <c r="O101" s="153"/>
      <c r="P101" s="186"/>
    </row>
    <row r="102" ht="15.0" customHeight="1">
      <c r="A102" s="31" t="s">
        <v>99</v>
      </c>
      <c r="B102" s="146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7">
        <f t="shared" si="24"/>
        <v>0</v>
      </c>
      <c r="O102" s="153"/>
      <c r="P102" s="186"/>
    </row>
    <row r="103" ht="15.0" customHeight="1">
      <c r="A103" s="32" t="s">
        <v>100</v>
      </c>
      <c r="B103" s="87">
        <v>200.0</v>
      </c>
      <c r="C103" s="87">
        <v>435.0</v>
      </c>
      <c r="D103" s="87">
        <f>200+113.64</f>
        <v>313.64</v>
      </c>
      <c r="E103" s="87">
        <v>200.0</v>
      </c>
      <c r="F103" s="87">
        <v>200.0</v>
      </c>
      <c r="G103" s="87">
        <v>605.0</v>
      </c>
      <c r="H103" s="87">
        <v>605.0</v>
      </c>
      <c r="I103" s="87">
        <v>200.0</v>
      </c>
      <c r="J103" s="87">
        <f>435+200</f>
        <v>635</v>
      </c>
      <c r="K103" s="87">
        <v>200.0</v>
      </c>
      <c r="L103" s="87">
        <v>200.0</v>
      </c>
      <c r="M103" s="87">
        <v>200.0</v>
      </c>
      <c r="N103" s="17">
        <f t="shared" si="24"/>
        <v>3993.64</v>
      </c>
      <c r="O103" s="153"/>
      <c r="P103" s="186"/>
    </row>
    <row r="104" ht="15.0" customHeight="1">
      <c r="A104" s="27" t="s">
        <v>101</v>
      </c>
      <c r="B104" s="87">
        <v>400.0</v>
      </c>
      <c r="C104" s="87">
        <v>475.0</v>
      </c>
      <c r="D104" s="87">
        <v>475.0</v>
      </c>
      <c r="E104" s="87">
        <v>475.0</v>
      </c>
      <c r="F104" s="87">
        <v>475.0</v>
      </c>
      <c r="G104" s="87">
        <v>475.0</v>
      </c>
      <c r="H104" s="87">
        <v>475.0</v>
      </c>
      <c r="I104" s="87">
        <v>475.0</v>
      </c>
      <c r="J104" s="87">
        <v>475.0</v>
      </c>
      <c r="K104" s="87">
        <v>475.0</v>
      </c>
      <c r="L104" s="87">
        <v>475.0</v>
      </c>
      <c r="M104" s="87">
        <v>475.0</v>
      </c>
      <c r="N104" s="17">
        <f t="shared" si="24"/>
        <v>5625</v>
      </c>
      <c r="O104" s="153"/>
      <c r="P104" s="185"/>
    </row>
    <row r="105" ht="15.0" customHeight="1">
      <c r="A105" s="27" t="s">
        <v>102</v>
      </c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17">
        <f t="shared" si="24"/>
        <v>0</v>
      </c>
      <c r="O105" s="153"/>
      <c r="P105" s="186"/>
    </row>
    <row r="106" ht="15.0" customHeight="1">
      <c r="A106" s="39" t="s">
        <v>166</v>
      </c>
      <c r="B106" s="87">
        <v>1875.0</v>
      </c>
      <c r="C106" s="87">
        <v>1875.0</v>
      </c>
      <c r="D106" s="87">
        <v>1875.0</v>
      </c>
      <c r="E106" s="87">
        <v>1875.0</v>
      </c>
      <c r="F106" s="87">
        <v>1875.0</v>
      </c>
      <c r="G106" s="87">
        <v>1875.0</v>
      </c>
      <c r="H106" s="87">
        <v>1875.0</v>
      </c>
      <c r="I106" s="87">
        <v>1875.0</v>
      </c>
      <c r="J106" s="87">
        <v>1875.0</v>
      </c>
      <c r="K106" s="87">
        <v>1875.0</v>
      </c>
      <c r="L106" s="87">
        <v>1875.0</v>
      </c>
      <c r="M106" s="87">
        <v>1875.0</v>
      </c>
      <c r="N106" s="17">
        <f t="shared" si="24"/>
        <v>22500</v>
      </c>
      <c r="O106" s="153"/>
      <c r="P106" s="186"/>
    </row>
    <row r="107" ht="15.0" customHeight="1">
      <c r="A107" s="91" t="s">
        <v>23</v>
      </c>
      <c r="B107" s="28">
        <f t="shared" ref="B107:N107" si="25">SUM(B92:B106)</f>
        <v>3905</v>
      </c>
      <c r="C107" s="28">
        <f t="shared" si="25"/>
        <v>4215</v>
      </c>
      <c r="D107" s="28">
        <f t="shared" si="25"/>
        <v>3593.64</v>
      </c>
      <c r="E107" s="28">
        <f t="shared" si="25"/>
        <v>3480</v>
      </c>
      <c r="F107" s="28">
        <f t="shared" si="25"/>
        <v>3615</v>
      </c>
      <c r="G107" s="28">
        <f t="shared" si="25"/>
        <v>4402</v>
      </c>
      <c r="H107" s="28">
        <f t="shared" si="25"/>
        <v>3885</v>
      </c>
      <c r="I107" s="28">
        <f t="shared" si="25"/>
        <v>3703.713</v>
      </c>
      <c r="J107" s="28">
        <f t="shared" si="25"/>
        <v>4415</v>
      </c>
      <c r="K107" s="28">
        <f t="shared" si="25"/>
        <v>4047.23</v>
      </c>
      <c r="L107" s="28">
        <f t="shared" si="25"/>
        <v>3980</v>
      </c>
      <c r="M107" s="28">
        <f t="shared" si="25"/>
        <v>3980</v>
      </c>
      <c r="N107" s="28">
        <f t="shared" si="25"/>
        <v>47221.583</v>
      </c>
      <c r="O107" s="175"/>
      <c r="P107" s="186"/>
    </row>
    <row r="108" ht="15.0" customHeight="1">
      <c r="A108" s="91" t="s">
        <v>104</v>
      </c>
      <c r="B108" s="107">
        <v>-23303.59</v>
      </c>
      <c r="C108" s="108">
        <v>-15772.33</v>
      </c>
      <c r="D108" s="108">
        <v>-29620.72</v>
      </c>
      <c r="E108" s="108">
        <v>-45575.39</v>
      </c>
      <c r="F108" s="108">
        <v>-31513.2</v>
      </c>
      <c r="G108" s="108">
        <v>-35296.95</v>
      </c>
      <c r="H108" s="108">
        <v>-34456.26</v>
      </c>
      <c r="I108" s="108">
        <v>-24952.97</v>
      </c>
      <c r="J108" s="108">
        <v>-37172.88</v>
      </c>
      <c r="K108" s="109">
        <v>-28015.21</v>
      </c>
      <c r="L108" s="109">
        <v>-25287.52</v>
      </c>
      <c r="M108" s="110">
        <v>-36000.0</v>
      </c>
      <c r="N108" s="44">
        <f>SUM(B108:M108)</f>
        <v>-366967.02</v>
      </c>
      <c r="O108" s="174"/>
      <c r="P108" s="186"/>
    </row>
    <row r="109" ht="15.0" customHeight="1">
      <c r="A109" s="112" t="s">
        <v>105</v>
      </c>
      <c r="B109" s="50">
        <f t="shared" ref="B109:N109" si="26">B107+B90+B83+B32+B21+B13</f>
        <v>73265.27889</v>
      </c>
      <c r="C109" s="50">
        <f t="shared" si="26"/>
        <v>73376.24823</v>
      </c>
      <c r="D109" s="50">
        <f t="shared" si="26"/>
        <v>82747.84633</v>
      </c>
      <c r="E109" s="50">
        <f t="shared" si="26"/>
        <v>85923.82119</v>
      </c>
      <c r="F109" s="50">
        <f t="shared" si="26"/>
        <v>91392.36973</v>
      </c>
      <c r="G109" s="50">
        <f t="shared" si="26"/>
        <v>90819.84067</v>
      </c>
      <c r="H109" s="50">
        <f t="shared" si="26"/>
        <v>83200.06742</v>
      </c>
      <c r="I109" s="50">
        <f t="shared" si="26"/>
        <v>78885.78042</v>
      </c>
      <c r="J109" s="50">
        <f t="shared" si="26"/>
        <v>86342.12902</v>
      </c>
      <c r="K109" s="50">
        <f t="shared" si="26"/>
        <v>87869.11872</v>
      </c>
      <c r="L109" s="50">
        <f t="shared" si="26"/>
        <v>92292.60037</v>
      </c>
      <c r="M109" s="50">
        <f t="shared" si="26"/>
        <v>92292.60037</v>
      </c>
      <c r="N109" s="50">
        <f t="shared" si="26"/>
        <v>1018407.701</v>
      </c>
      <c r="O109" s="176"/>
      <c r="P109" s="200"/>
    </row>
    <row r="110" ht="15.0" customHeight="1">
      <c r="A110" s="35" t="s">
        <v>106</v>
      </c>
      <c r="B110" s="148">
        <v>80.0</v>
      </c>
      <c r="C110" s="116">
        <v>80.0</v>
      </c>
      <c r="D110" s="116">
        <v>90.0</v>
      </c>
      <c r="E110" s="116">
        <v>100.0</v>
      </c>
      <c r="F110" s="116">
        <v>100.0</v>
      </c>
      <c r="G110" s="116">
        <v>110.0</v>
      </c>
      <c r="H110" s="116">
        <v>100.0</v>
      </c>
      <c r="I110" s="116">
        <v>100.0</v>
      </c>
      <c r="J110" s="116">
        <v>110.0</v>
      </c>
      <c r="K110" s="116">
        <v>100.0</v>
      </c>
      <c r="L110" s="116">
        <v>110.0</v>
      </c>
      <c r="M110" s="116">
        <v>120.0</v>
      </c>
      <c r="N110" s="149">
        <f t="shared" ref="N110:N112" si="27">SUM(B110:M110)</f>
        <v>1200</v>
      </c>
      <c r="O110" s="152"/>
      <c r="P110" s="181"/>
    </row>
    <row r="111" ht="15.0" customHeight="1">
      <c r="A111" s="35" t="s">
        <v>107</v>
      </c>
      <c r="B111" s="120">
        <v>60.0</v>
      </c>
      <c r="C111" s="120">
        <v>55.0</v>
      </c>
      <c r="D111" s="120">
        <v>65.0</v>
      </c>
      <c r="E111" s="120">
        <v>65.0</v>
      </c>
      <c r="F111" s="120">
        <v>70.0</v>
      </c>
      <c r="G111" s="120">
        <v>70.0</v>
      </c>
      <c r="H111" s="120">
        <v>70.0</v>
      </c>
      <c r="I111" s="120">
        <v>80.0</v>
      </c>
      <c r="J111" s="120">
        <v>65.0</v>
      </c>
      <c r="K111" s="120">
        <v>65.0</v>
      </c>
      <c r="L111" s="120">
        <v>65.0</v>
      </c>
      <c r="M111" s="120">
        <v>70.0</v>
      </c>
      <c r="N111" s="149">
        <f t="shared" si="27"/>
        <v>800</v>
      </c>
      <c r="O111" s="152"/>
      <c r="P111" s="181"/>
    </row>
    <row r="112" ht="15.0" customHeight="1">
      <c r="A112" s="91" t="s">
        <v>23</v>
      </c>
      <c r="B112" s="122">
        <f t="shared" ref="B112:M112" si="28">B110+B111</f>
        <v>140</v>
      </c>
      <c r="C112" s="122">
        <f t="shared" si="28"/>
        <v>135</v>
      </c>
      <c r="D112" s="122">
        <f t="shared" si="28"/>
        <v>155</v>
      </c>
      <c r="E112" s="122">
        <f t="shared" si="28"/>
        <v>165</v>
      </c>
      <c r="F112" s="123">
        <f t="shared" si="28"/>
        <v>170</v>
      </c>
      <c r="G112" s="123">
        <f t="shared" si="28"/>
        <v>180</v>
      </c>
      <c r="H112" s="123">
        <f t="shared" si="28"/>
        <v>170</v>
      </c>
      <c r="I112" s="123">
        <f t="shared" si="28"/>
        <v>180</v>
      </c>
      <c r="J112" s="123">
        <f t="shared" si="28"/>
        <v>175</v>
      </c>
      <c r="K112" s="123">
        <f t="shared" si="28"/>
        <v>165</v>
      </c>
      <c r="L112" s="123">
        <f t="shared" si="28"/>
        <v>175</v>
      </c>
      <c r="M112" s="123">
        <f t="shared" si="28"/>
        <v>190</v>
      </c>
      <c r="N112" s="125">
        <f t="shared" si="27"/>
        <v>2000</v>
      </c>
      <c r="O112" s="178"/>
      <c r="P112" s="181"/>
    </row>
    <row r="113" ht="15.0" customHeight="1">
      <c r="A113" s="126" t="s">
        <v>108</v>
      </c>
      <c r="B113" s="58">
        <f t="shared" ref="B113:N113" si="29">B109/B112</f>
        <v>523.3234206</v>
      </c>
      <c r="C113" s="58">
        <f t="shared" si="29"/>
        <v>543.5277647</v>
      </c>
      <c r="D113" s="58">
        <f t="shared" si="29"/>
        <v>533.8570731</v>
      </c>
      <c r="E113" s="58">
        <f t="shared" si="29"/>
        <v>520.7504315</v>
      </c>
      <c r="F113" s="58">
        <f t="shared" si="29"/>
        <v>537.6021749</v>
      </c>
      <c r="G113" s="58">
        <f t="shared" si="29"/>
        <v>504.5546704</v>
      </c>
      <c r="H113" s="58">
        <f t="shared" si="29"/>
        <v>489.4121613</v>
      </c>
      <c r="I113" s="58">
        <f t="shared" si="29"/>
        <v>438.2543357</v>
      </c>
      <c r="J113" s="58">
        <f t="shared" si="29"/>
        <v>493.3835944</v>
      </c>
      <c r="K113" s="58">
        <f t="shared" si="29"/>
        <v>532.5401135</v>
      </c>
      <c r="L113" s="58">
        <f t="shared" si="29"/>
        <v>527.3862878</v>
      </c>
      <c r="M113" s="58">
        <f t="shared" si="29"/>
        <v>485.7505283</v>
      </c>
      <c r="N113" s="179">
        <f t="shared" si="29"/>
        <v>509.2038507</v>
      </c>
      <c r="O113" s="180"/>
      <c r="P113" s="201"/>
    </row>
    <row r="114" ht="15.0" customHeight="1">
      <c r="A114" s="292" t="s">
        <v>109</v>
      </c>
      <c r="B114" s="293"/>
      <c r="C114" s="293"/>
      <c r="D114" s="293"/>
      <c r="E114" s="293"/>
      <c r="F114" s="293"/>
      <c r="G114" s="293"/>
      <c r="H114" s="293"/>
      <c r="I114" s="293"/>
      <c r="J114" s="293"/>
      <c r="K114" s="293"/>
      <c r="L114" s="293"/>
      <c r="M114" s="293"/>
      <c r="N114" s="83"/>
      <c r="O114" s="170"/>
      <c r="P114" s="184"/>
    </row>
    <row r="115" ht="15.0" customHeight="1">
      <c r="A115" s="59" t="s">
        <v>110</v>
      </c>
      <c r="B115" s="46">
        <f t="shared" ref="B115:M115" si="30">395</f>
        <v>395</v>
      </c>
      <c r="C115" s="46">
        <f t="shared" si="30"/>
        <v>395</v>
      </c>
      <c r="D115" s="46">
        <f t="shared" si="30"/>
        <v>395</v>
      </c>
      <c r="E115" s="46">
        <f t="shared" si="30"/>
        <v>395</v>
      </c>
      <c r="F115" s="46">
        <f t="shared" si="30"/>
        <v>395</v>
      </c>
      <c r="G115" s="46">
        <f t="shared" si="30"/>
        <v>395</v>
      </c>
      <c r="H115" s="46">
        <f t="shared" si="30"/>
        <v>395</v>
      </c>
      <c r="I115" s="46">
        <f t="shared" si="30"/>
        <v>395</v>
      </c>
      <c r="J115" s="46">
        <f t="shared" si="30"/>
        <v>395</v>
      </c>
      <c r="K115" s="46">
        <f t="shared" si="30"/>
        <v>395</v>
      </c>
      <c r="L115" s="46">
        <f t="shared" si="30"/>
        <v>395</v>
      </c>
      <c r="M115" s="46">
        <f t="shared" si="30"/>
        <v>395</v>
      </c>
      <c r="N115" s="17">
        <f t="shared" ref="N115:N120" si="31">SUM(B115:M115)</f>
        <v>4740</v>
      </c>
      <c r="O115" s="153"/>
      <c r="P115" s="186"/>
    </row>
    <row r="116" ht="15.0" customHeight="1">
      <c r="A116" s="60" t="s">
        <v>111</v>
      </c>
      <c r="B116" s="87">
        <v>299.0</v>
      </c>
      <c r="C116" s="87">
        <v>299.0</v>
      </c>
      <c r="D116" s="87">
        <v>299.0</v>
      </c>
      <c r="E116" s="87">
        <v>299.0</v>
      </c>
      <c r="F116" s="87">
        <v>299.0</v>
      </c>
      <c r="G116" s="87">
        <v>299.0</v>
      </c>
      <c r="H116" s="87">
        <v>299.0</v>
      </c>
      <c r="I116" s="87">
        <v>299.0</v>
      </c>
      <c r="J116" s="87">
        <v>299.0</v>
      </c>
      <c r="K116" s="87">
        <v>299.0</v>
      </c>
      <c r="L116" s="87">
        <v>299.0</v>
      </c>
      <c r="M116" s="87">
        <v>299.0</v>
      </c>
      <c r="N116" s="17">
        <f t="shared" si="31"/>
        <v>3588</v>
      </c>
      <c r="O116" s="153"/>
      <c r="P116" s="186"/>
    </row>
    <row r="117" ht="15.0" customHeight="1">
      <c r="A117" s="59" t="s">
        <v>112</v>
      </c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17">
        <f t="shared" si="31"/>
        <v>0</v>
      </c>
      <c r="O117" s="153"/>
      <c r="P117" s="186"/>
    </row>
    <row r="118" ht="15.0" customHeight="1">
      <c r="A118" s="59" t="s">
        <v>161</v>
      </c>
      <c r="B118" s="87">
        <v>0.0</v>
      </c>
      <c r="C118" s="87">
        <v>0.0</v>
      </c>
      <c r="D118" s="87">
        <v>0.0</v>
      </c>
      <c r="E118" s="87">
        <v>0.0</v>
      </c>
      <c r="F118" s="87">
        <v>0.0</v>
      </c>
      <c r="G118" s="87">
        <v>0.0</v>
      </c>
      <c r="H118" s="87">
        <v>0.0</v>
      </c>
      <c r="I118" s="87">
        <v>0.0</v>
      </c>
      <c r="J118" s="87">
        <v>0.0</v>
      </c>
      <c r="K118" s="87">
        <v>0.0</v>
      </c>
      <c r="L118" s="87">
        <v>0.0</v>
      </c>
      <c r="M118" s="87">
        <v>0.0</v>
      </c>
      <c r="N118" s="17">
        <f t="shared" si="31"/>
        <v>0</v>
      </c>
      <c r="O118" s="153"/>
      <c r="P118" s="186"/>
    </row>
    <row r="119" ht="15.0" customHeight="1">
      <c r="A119" s="61" t="s">
        <v>113</v>
      </c>
      <c r="B119" s="87">
        <v>395.0</v>
      </c>
      <c r="C119" s="87">
        <v>395.0</v>
      </c>
      <c r="D119" s="87">
        <v>395.0</v>
      </c>
      <c r="E119" s="87">
        <v>395.0</v>
      </c>
      <c r="F119" s="87">
        <v>395.0</v>
      </c>
      <c r="G119" s="87">
        <v>395.0</v>
      </c>
      <c r="H119" s="87">
        <v>395.0</v>
      </c>
      <c r="I119" s="87">
        <v>395.0</v>
      </c>
      <c r="J119" s="87">
        <v>395.0</v>
      </c>
      <c r="K119" s="87">
        <v>395.0</v>
      </c>
      <c r="L119" s="87">
        <v>395.0</v>
      </c>
      <c r="M119" s="87">
        <v>395.0</v>
      </c>
      <c r="N119" s="17">
        <f t="shared" si="31"/>
        <v>4740</v>
      </c>
      <c r="O119" s="153"/>
      <c r="P119" s="186"/>
    </row>
    <row r="120" ht="15.0" customHeight="1">
      <c r="A120" s="132" t="s">
        <v>114</v>
      </c>
      <c r="B120" s="87">
        <v>1840.0</v>
      </c>
      <c r="C120" s="87">
        <v>1840.0</v>
      </c>
      <c r="D120" s="87">
        <v>1840.0</v>
      </c>
      <c r="E120" s="87">
        <v>1840.0</v>
      </c>
      <c r="F120" s="87">
        <v>1840.0</v>
      </c>
      <c r="G120" s="87">
        <v>1840.0</v>
      </c>
      <c r="H120" s="87">
        <v>1840.0</v>
      </c>
      <c r="I120" s="87">
        <v>1840.0</v>
      </c>
      <c r="J120" s="87">
        <v>1840.0</v>
      </c>
      <c r="K120" s="87">
        <v>1840.0</v>
      </c>
      <c r="L120" s="87">
        <v>1840.0</v>
      </c>
      <c r="M120" s="87">
        <v>1840.0</v>
      </c>
      <c r="N120" s="17">
        <f t="shared" si="31"/>
        <v>22080</v>
      </c>
      <c r="O120" s="153"/>
      <c r="P120" s="186"/>
    </row>
    <row r="121" ht="15.0" customHeight="1">
      <c r="A121" s="99" t="s">
        <v>23</v>
      </c>
      <c r="B121" s="63">
        <f t="shared" ref="B121:N121" si="32">SUM(B115:B120)</f>
        <v>2929</v>
      </c>
      <c r="C121" s="63">
        <f t="shared" si="32"/>
        <v>2929</v>
      </c>
      <c r="D121" s="63">
        <f t="shared" si="32"/>
        <v>2929</v>
      </c>
      <c r="E121" s="63">
        <f t="shared" si="32"/>
        <v>2929</v>
      </c>
      <c r="F121" s="63">
        <f t="shared" si="32"/>
        <v>2929</v>
      </c>
      <c r="G121" s="63">
        <f t="shared" si="32"/>
        <v>2929</v>
      </c>
      <c r="H121" s="63">
        <f t="shared" si="32"/>
        <v>2929</v>
      </c>
      <c r="I121" s="63">
        <f t="shared" si="32"/>
        <v>2929</v>
      </c>
      <c r="J121" s="63">
        <f t="shared" si="32"/>
        <v>2929</v>
      </c>
      <c r="K121" s="63">
        <f t="shared" si="32"/>
        <v>2929</v>
      </c>
      <c r="L121" s="63">
        <f t="shared" si="32"/>
        <v>2929</v>
      </c>
      <c r="M121" s="63">
        <f t="shared" si="32"/>
        <v>2929</v>
      </c>
      <c r="N121" s="63">
        <f t="shared" si="32"/>
        <v>35148</v>
      </c>
      <c r="O121" s="135"/>
      <c r="P121" s="184"/>
    </row>
    <row r="122" ht="15.0" customHeight="1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84"/>
    </row>
    <row r="123" ht="15.0" customHeight="1">
      <c r="A123" s="134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86"/>
    </row>
    <row r="124" ht="15.0" customHeight="1">
      <c r="A124" s="64" t="s">
        <v>115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203"/>
    </row>
    <row r="125" ht="15.0" customHeight="1">
      <c r="A125" s="64" t="s">
        <v>116</v>
      </c>
      <c r="B125" s="67">
        <f t="shared" ref="B125:M125" si="33">+B13*0.7+B21*0.7+B32*0.7+B52*0.6+B70+B107*0.6</f>
        <v>56633.15622</v>
      </c>
      <c r="C125" s="67">
        <f t="shared" si="33"/>
        <v>56574.83476</v>
      </c>
      <c r="D125" s="67">
        <f t="shared" si="33"/>
        <v>63197.08943</v>
      </c>
      <c r="E125" s="67">
        <f t="shared" si="33"/>
        <v>65431.63583</v>
      </c>
      <c r="F125" s="67">
        <f t="shared" si="33"/>
        <v>69246.11981</v>
      </c>
      <c r="G125" s="67">
        <f t="shared" si="33"/>
        <v>68766.64947</v>
      </c>
      <c r="H125" s="67">
        <f t="shared" si="33"/>
        <v>63484.50819</v>
      </c>
      <c r="I125" s="67">
        <f t="shared" si="33"/>
        <v>60482.63599</v>
      </c>
      <c r="J125" s="67">
        <f t="shared" si="33"/>
        <v>65630.95131</v>
      </c>
      <c r="K125" s="67">
        <f t="shared" si="33"/>
        <v>66736.62111</v>
      </c>
      <c r="L125" s="67">
        <f t="shared" si="33"/>
        <v>69839.78126</v>
      </c>
      <c r="M125" s="67">
        <f t="shared" si="33"/>
        <v>69839.78126</v>
      </c>
      <c r="N125" s="67">
        <f t="shared" ref="N125:N126" si="35">SUM(B125:M125)</f>
        <v>775863.7646</v>
      </c>
      <c r="O125" s="67"/>
      <c r="P125" s="203"/>
    </row>
    <row r="126" ht="15.0" customHeight="1">
      <c r="A126" s="64" t="s">
        <v>117</v>
      </c>
      <c r="B126" s="67">
        <f t="shared" ref="B126:M126" si="34">+B13*0.3+B21*0.3+B32*0.3+B52*0.4+B82+B90+B107*0.4</f>
        <v>16632.12267</v>
      </c>
      <c r="C126" s="67">
        <f t="shared" si="34"/>
        <v>16801.41347</v>
      </c>
      <c r="D126" s="67">
        <f t="shared" si="34"/>
        <v>19550.7569</v>
      </c>
      <c r="E126" s="67">
        <f t="shared" si="34"/>
        <v>20492.18536</v>
      </c>
      <c r="F126" s="67">
        <f t="shared" si="34"/>
        <v>22146.24992</v>
      </c>
      <c r="G126" s="67">
        <f t="shared" si="34"/>
        <v>22053.1912</v>
      </c>
      <c r="H126" s="67">
        <f t="shared" si="34"/>
        <v>19715.55923</v>
      </c>
      <c r="I126" s="67">
        <f t="shared" si="34"/>
        <v>18403.14443</v>
      </c>
      <c r="J126" s="67">
        <f t="shared" si="34"/>
        <v>20711.17771</v>
      </c>
      <c r="K126" s="67">
        <f t="shared" si="34"/>
        <v>21132.49762</v>
      </c>
      <c r="L126" s="67">
        <f t="shared" si="34"/>
        <v>22452.81911</v>
      </c>
      <c r="M126" s="67">
        <f t="shared" si="34"/>
        <v>22452.81911</v>
      </c>
      <c r="N126" s="67">
        <f t="shared" si="35"/>
        <v>242543.9367</v>
      </c>
      <c r="O126" s="67"/>
      <c r="P126" s="203"/>
    </row>
    <row r="127" ht="15.0" customHeight="1">
      <c r="A127" s="64" t="s">
        <v>23</v>
      </c>
      <c r="B127" s="67">
        <f t="shared" ref="B127:N127" si="36">SUM(B125:B126)</f>
        <v>73265.27889</v>
      </c>
      <c r="C127" s="67">
        <f t="shared" si="36"/>
        <v>73376.24823</v>
      </c>
      <c r="D127" s="67">
        <f t="shared" si="36"/>
        <v>82747.84633</v>
      </c>
      <c r="E127" s="67">
        <f t="shared" si="36"/>
        <v>85923.82119</v>
      </c>
      <c r="F127" s="67">
        <f t="shared" si="36"/>
        <v>91392.36973</v>
      </c>
      <c r="G127" s="67">
        <f t="shared" si="36"/>
        <v>90819.84067</v>
      </c>
      <c r="H127" s="67">
        <f t="shared" si="36"/>
        <v>83200.06742</v>
      </c>
      <c r="I127" s="67">
        <f t="shared" si="36"/>
        <v>78885.78042</v>
      </c>
      <c r="J127" s="67">
        <f t="shared" si="36"/>
        <v>86342.12902</v>
      </c>
      <c r="K127" s="67">
        <f t="shared" si="36"/>
        <v>87869.11872</v>
      </c>
      <c r="L127" s="67">
        <f t="shared" si="36"/>
        <v>92292.60037</v>
      </c>
      <c r="M127" s="67">
        <f t="shared" si="36"/>
        <v>92292.60037</v>
      </c>
      <c r="N127" s="67">
        <f t="shared" si="36"/>
        <v>1018407.701</v>
      </c>
      <c r="O127" s="67"/>
      <c r="P127" s="203"/>
    </row>
    <row r="128" ht="15.0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203"/>
    </row>
    <row r="129" ht="15.0" customHeight="1">
      <c r="A129" s="69" t="s">
        <v>118</v>
      </c>
      <c r="B129" s="70">
        <f t="shared" ref="B129:N129" si="37">+B109</f>
        <v>73265.27889</v>
      </c>
      <c r="C129" s="70">
        <f t="shared" si="37"/>
        <v>73376.24823</v>
      </c>
      <c r="D129" s="70">
        <f t="shared" si="37"/>
        <v>82747.84633</v>
      </c>
      <c r="E129" s="70">
        <f t="shared" si="37"/>
        <v>85923.82119</v>
      </c>
      <c r="F129" s="70">
        <f t="shared" si="37"/>
        <v>91392.36973</v>
      </c>
      <c r="G129" s="70">
        <f t="shared" si="37"/>
        <v>90819.84067</v>
      </c>
      <c r="H129" s="70">
        <f t="shared" si="37"/>
        <v>83200.06742</v>
      </c>
      <c r="I129" s="70">
        <f t="shared" si="37"/>
        <v>78885.78042</v>
      </c>
      <c r="J129" s="70">
        <f t="shared" si="37"/>
        <v>86342.12902</v>
      </c>
      <c r="K129" s="70">
        <f t="shared" si="37"/>
        <v>87869.11872</v>
      </c>
      <c r="L129" s="70">
        <f t="shared" si="37"/>
        <v>92292.60037</v>
      </c>
      <c r="M129" s="70">
        <f t="shared" si="37"/>
        <v>92292.60037</v>
      </c>
      <c r="N129" s="70">
        <f t="shared" si="37"/>
        <v>1018407.701</v>
      </c>
      <c r="O129" s="70"/>
      <c r="P129" s="184"/>
    </row>
    <row r="130" ht="15.0" customHeight="1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84"/>
    </row>
    <row r="131" ht="15.0" customHeight="1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84"/>
    </row>
    <row r="132" ht="15.0" customHeight="1">
      <c r="A132" s="134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84"/>
    </row>
    <row r="133" ht="15.0" customHeight="1">
      <c r="A133" s="134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84"/>
    </row>
    <row r="134" ht="15.0" customHeight="1">
      <c r="A134" s="134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84"/>
    </row>
    <row r="135" ht="15.0" customHeight="1">
      <c r="A135" s="134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84"/>
    </row>
    <row r="136" ht="15.0" customHeight="1">
      <c r="A136" s="134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84"/>
    </row>
    <row r="137" ht="15.0" customHeight="1">
      <c r="A137" s="134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84"/>
    </row>
    <row r="138" ht="15.0" customHeight="1">
      <c r="A138" s="134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84"/>
    </row>
    <row r="139" ht="15.0" customHeight="1">
      <c r="A139" s="134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84"/>
    </row>
    <row r="140" ht="15.0" customHeight="1">
      <c r="A140" s="134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84"/>
    </row>
    <row r="141" ht="15.0" customHeight="1">
      <c r="A141" s="134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84"/>
    </row>
    <row r="142" ht="15.0" customHeight="1">
      <c r="A142" s="134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84"/>
    </row>
    <row r="143" ht="15.0" customHeight="1">
      <c r="A143" s="134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84"/>
    </row>
    <row r="144" ht="15.0" customHeight="1">
      <c r="A144" s="134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84"/>
    </row>
    <row r="145" ht="15.0" customHeight="1">
      <c r="A145" s="134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84"/>
    </row>
    <row r="146" ht="15.0" customHeight="1">
      <c r="A146" s="134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84"/>
    </row>
    <row r="147" ht="15.0" customHeight="1">
      <c r="A147" s="134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84"/>
    </row>
    <row r="148" ht="15.0" customHeight="1">
      <c r="A148" s="134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84"/>
    </row>
    <row r="149" ht="15.0" customHeight="1">
      <c r="A149" s="134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84"/>
    </row>
    <row r="150" ht="15.0" customHeight="1">
      <c r="A150" s="134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84"/>
    </row>
    <row r="151" ht="15.0" customHeight="1">
      <c r="A151" s="134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84"/>
    </row>
    <row r="152" ht="15.0" customHeight="1">
      <c r="A152" s="134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84"/>
    </row>
    <row r="153" ht="15.0" customHeight="1">
      <c r="A153" s="134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84"/>
    </row>
    <row r="154" ht="15.0" customHeight="1">
      <c r="A154" s="134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84"/>
    </row>
    <row r="155" ht="15.0" customHeight="1">
      <c r="A155" s="134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84"/>
    </row>
    <row r="156" ht="15.0" customHeight="1">
      <c r="A156" s="134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84"/>
    </row>
    <row r="157" ht="15.0" customHeight="1">
      <c r="A157" s="134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84"/>
    </row>
    <row r="158" ht="15.0" customHeight="1">
      <c r="A158" s="134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84"/>
    </row>
    <row r="159" ht="15.0" customHeight="1">
      <c r="A159" s="134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84"/>
    </row>
    <row r="160" ht="15.0" customHeight="1">
      <c r="A160" s="134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84"/>
    </row>
    <row r="161" ht="15.0" customHeight="1">
      <c r="A161" s="134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84"/>
    </row>
    <row r="162" ht="15.0" customHeight="1">
      <c r="A162" s="134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84"/>
    </row>
    <row r="163" ht="15.0" customHeight="1">
      <c r="A163" s="134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84"/>
    </row>
    <row r="164" ht="15.0" customHeight="1">
      <c r="A164" s="134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84"/>
    </row>
    <row r="165" ht="15.0" customHeight="1">
      <c r="A165" s="134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84"/>
    </row>
    <row r="166" ht="15.0" customHeight="1">
      <c r="A166" s="134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84"/>
    </row>
    <row r="167" ht="15.0" customHeight="1">
      <c r="A167" s="134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84"/>
    </row>
    <row r="168" ht="15.0" customHeight="1">
      <c r="A168" s="134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84"/>
    </row>
    <row r="169" ht="15.0" customHeight="1">
      <c r="A169" s="134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84"/>
    </row>
    <row r="170" ht="15.0" customHeight="1">
      <c r="A170" s="134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84"/>
    </row>
    <row r="171" ht="15.0" customHeight="1">
      <c r="A171" s="134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84"/>
    </row>
    <row r="172" ht="15.0" customHeight="1">
      <c r="A172" s="134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84"/>
    </row>
    <row r="173" ht="15.0" customHeight="1">
      <c r="A173" s="134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84"/>
    </row>
    <row r="174" ht="15.0" customHeight="1">
      <c r="A174" s="134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84"/>
    </row>
    <row r="175" ht="15.0" customHeight="1">
      <c r="A175" s="134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84"/>
    </row>
    <row r="176" ht="15.0" customHeight="1">
      <c r="A176" s="134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84"/>
    </row>
    <row r="177" ht="15.0" customHeight="1">
      <c r="A177" s="134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84"/>
    </row>
    <row r="178" ht="15.0" customHeight="1">
      <c r="A178" s="134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84"/>
    </row>
    <row r="179" ht="15.0" customHeight="1">
      <c r="A179" s="134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84"/>
    </row>
    <row r="180" ht="15.0" customHeight="1">
      <c r="A180" s="134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84"/>
    </row>
    <row r="181" ht="15.0" customHeight="1">
      <c r="A181" s="134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84"/>
    </row>
    <row r="182" ht="15.0" customHeight="1">
      <c r="A182" s="134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84"/>
    </row>
    <row r="183" ht="15.0" customHeight="1">
      <c r="A183" s="134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84"/>
    </row>
    <row r="184" ht="15.0" customHeight="1">
      <c r="A184" s="134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84"/>
    </row>
    <row r="185" ht="15.0" customHeight="1">
      <c r="A185" s="134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84"/>
    </row>
    <row r="186" ht="15.0" customHeight="1">
      <c r="A186" s="134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84"/>
    </row>
    <row r="187" ht="15.0" customHeight="1">
      <c r="A187" s="134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84"/>
    </row>
    <row r="188" ht="15.0" customHeight="1">
      <c r="A188" s="134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84"/>
    </row>
    <row r="189" ht="15.0" customHeight="1">
      <c r="A189" s="134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84"/>
    </row>
    <row r="190" ht="15.0" customHeight="1">
      <c r="A190" s="134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84"/>
    </row>
    <row r="191" ht="15.0" customHeight="1">
      <c r="A191" s="134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84"/>
    </row>
    <row r="192" ht="15.0" customHeight="1">
      <c r="A192" s="134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84"/>
    </row>
    <row r="193" ht="15.0" customHeight="1">
      <c r="A193" s="134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84"/>
    </row>
    <row r="194" ht="15.0" customHeight="1">
      <c r="A194" s="134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84"/>
    </row>
    <row r="195" ht="15.0" customHeight="1">
      <c r="A195" s="134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84"/>
    </row>
    <row r="196" ht="15.0" customHeight="1">
      <c r="A196" s="134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84"/>
    </row>
    <row r="197" ht="15.0" customHeight="1">
      <c r="A197" s="134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84"/>
    </row>
    <row r="198" ht="15.0" customHeight="1">
      <c r="A198" s="134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84"/>
    </row>
    <row r="199" ht="15.0" customHeight="1">
      <c r="A199" s="134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84"/>
    </row>
    <row r="200" ht="15.0" customHeight="1">
      <c r="A200" s="134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84"/>
    </row>
    <row r="201" ht="15.0" customHeight="1">
      <c r="A201" s="134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84"/>
    </row>
    <row r="202" ht="15.0" customHeight="1">
      <c r="A202" s="134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84"/>
    </row>
    <row r="203" ht="15.0" customHeight="1">
      <c r="A203" s="134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84"/>
    </row>
    <row r="204" ht="15.0" customHeight="1">
      <c r="A204" s="134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84"/>
    </row>
    <row r="205" ht="15.0" customHeight="1">
      <c r="A205" s="134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84"/>
    </row>
    <row r="206" ht="15.0" customHeight="1">
      <c r="A206" s="134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84"/>
    </row>
    <row r="207" ht="15.0" customHeight="1">
      <c r="A207" s="134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84"/>
    </row>
    <row r="208" ht="15.0" customHeight="1">
      <c r="A208" s="134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84"/>
    </row>
    <row r="209" ht="15.0" customHeight="1">
      <c r="A209" s="134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84"/>
    </row>
    <row r="210" ht="15.0" customHeight="1">
      <c r="A210" s="134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84"/>
    </row>
    <row r="211" ht="15.0" customHeight="1">
      <c r="A211" s="134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84"/>
    </row>
    <row r="212" ht="15.0" customHeight="1">
      <c r="A212" s="134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84"/>
    </row>
    <row r="213" ht="15.0" customHeight="1">
      <c r="A213" s="134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84"/>
    </row>
    <row r="214" ht="15.0" customHeight="1">
      <c r="A214" s="134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84"/>
    </row>
    <row r="215" ht="15.0" customHeight="1">
      <c r="A215" s="134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84"/>
    </row>
    <row r="216" ht="15.0" customHeight="1">
      <c r="A216" s="134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84"/>
    </row>
    <row r="217" ht="15.0" customHeight="1">
      <c r="A217" s="134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84"/>
    </row>
    <row r="218" ht="15.0" customHeight="1">
      <c r="A218" s="134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84"/>
    </row>
    <row r="219" ht="15.0" customHeight="1">
      <c r="A219" s="134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84"/>
    </row>
    <row r="220" ht="15.0" customHeight="1">
      <c r="A220" s="134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84"/>
    </row>
    <row r="221" ht="15.0" customHeight="1">
      <c r="A221" s="134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84"/>
    </row>
    <row r="222" ht="15.0" customHeight="1">
      <c r="A222" s="134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84"/>
    </row>
    <row r="223" ht="15.0" customHeight="1">
      <c r="A223" s="134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84"/>
    </row>
    <row r="224" ht="15.0" customHeight="1">
      <c r="A224" s="134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84"/>
    </row>
    <row r="225" ht="15.0" customHeight="1">
      <c r="A225" s="134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84"/>
    </row>
    <row r="226" ht="15.0" customHeight="1">
      <c r="A226" s="134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84"/>
    </row>
    <row r="227" ht="15.0" customHeight="1">
      <c r="A227" s="134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84"/>
    </row>
    <row r="228" ht="15.0" customHeight="1">
      <c r="A228" s="134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84"/>
    </row>
    <row r="229" ht="15.0" customHeight="1">
      <c r="A229" s="134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84"/>
    </row>
    <row r="230" ht="15.0" customHeight="1">
      <c r="A230" s="134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84"/>
    </row>
    <row r="231" ht="15.0" customHeight="1">
      <c r="A231" s="134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84"/>
    </row>
    <row r="232" ht="15.0" customHeight="1">
      <c r="A232" s="134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84"/>
    </row>
    <row r="233" ht="15.0" customHeight="1">
      <c r="A233" s="134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84"/>
    </row>
    <row r="234" ht="15.0" customHeight="1">
      <c r="A234" s="134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84"/>
    </row>
    <row r="235" ht="15.0" customHeight="1">
      <c r="A235" s="134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84"/>
    </row>
    <row r="236" ht="15.0" customHeight="1">
      <c r="A236" s="134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84"/>
    </row>
    <row r="237" ht="15.0" customHeight="1">
      <c r="A237" s="134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84"/>
    </row>
    <row r="238" ht="15.0" customHeight="1">
      <c r="A238" s="134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84"/>
    </row>
    <row r="239" ht="15.0" customHeight="1">
      <c r="A239" s="134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84"/>
    </row>
    <row r="240" ht="15.0" customHeight="1">
      <c r="A240" s="134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84"/>
    </row>
    <row r="241" ht="15.0" customHeight="1">
      <c r="A241" s="134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84"/>
    </row>
    <row r="242" ht="15.0" customHeight="1">
      <c r="A242" s="134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84"/>
    </row>
    <row r="243" ht="15.0" customHeight="1">
      <c r="A243" s="134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84"/>
    </row>
    <row r="244" ht="15.0" customHeight="1">
      <c r="A244" s="134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84"/>
    </row>
    <row r="245" ht="15.0" customHeight="1">
      <c r="A245" s="134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84"/>
    </row>
    <row r="246" ht="15.0" customHeight="1">
      <c r="A246" s="134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84"/>
    </row>
    <row r="247" ht="15.0" customHeight="1">
      <c r="A247" s="134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84"/>
    </row>
    <row r="248" ht="15.0" customHeight="1">
      <c r="A248" s="134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84"/>
    </row>
    <row r="249" ht="15.0" customHeight="1">
      <c r="A249" s="134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84"/>
    </row>
    <row r="250" ht="15.0" customHeight="1">
      <c r="A250" s="134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84"/>
    </row>
    <row r="251" ht="15.0" customHeight="1">
      <c r="A251" s="134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84"/>
    </row>
    <row r="252" ht="15.0" customHeight="1">
      <c r="A252" s="134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84"/>
    </row>
    <row r="253" ht="15.0" customHeight="1">
      <c r="A253" s="134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84"/>
    </row>
    <row r="254" ht="15.0" customHeight="1">
      <c r="A254" s="134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84"/>
    </row>
    <row r="255" ht="15.0" customHeight="1">
      <c r="A255" s="134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84"/>
    </row>
    <row r="256" ht="15.0" customHeight="1">
      <c r="A256" s="134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84"/>
    </row>
    <row r="257" ht="15.0" customHeight="1">
      <c r="A257" s="134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84"/>
    </row>
    <row r="258" ht="15.0" customHeight="1">
      <c r="A258" s="134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84"/>
    </row>
    <row r="259" ht="15.0" customHeight="1">
      <c r="A259" s="134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84"/>
    </row>
    <row r="260" ht="15.0" customHeight="1">
      <c r="A260" s="134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84"/>
    </row>
    <row r="261" ht="15.0" customHeight="1">
      <c r="A261" s="134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84"/>
    </row>
    <row r="262" ht="15.0" customHeight="1">
      <c r="A262" s="134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84"/>
    </row>
    <row r="263" ht="15.0" customHeight="1">
      <c r="A263" s="134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84"/>
    </row>
    <row r="264" ht="15.0" customHeight="1">
      <c r="A264" s="134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84"/>
    </row>
    <row r="265" ht="15.0" customHeight="1">
      <c r="A265" s="134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84"/>
    </row>
    <row r="266" ht="15.0" customHeight="1">
      <c r="A266" s="134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84"/>
    </row>
    <row r="267" ht="15.0" customHeight="1">
      <c r="A267" s="134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84"/>
    </row>
    <row r="268" ht="15.0" customHeight="1">
      <c r="A268" s="134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84"/>
    </row>
    <row r="269" ht="15.0" customHeight="1">
      <c r="A269" s="134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84"/>
    </row>
    <row r="270" ht="15.0" customHeight="1">
      <c r="A270" s="134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84"/>
    </row>
    <row r="271" ht="15.0" customHeight="1">
      <c r="A271" s="134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84"/>
    </row>
    <row r="272" ht="15.0" customHeight="1">
      <c r="A272" s="134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84"/>
    </row>
    <row r="273" ht="15.0" customHeight="1">
      <c r="A273" s="134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84"/>
    </row>
    <row r="274" ht="15.0" customHeight="1">
      <c r="A274" s="134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84"/>
    </row>
    <row r="275" ht="15.0" customHeight="1">
      <c r="A275" s="134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84"/>
    </row>
    <row r="276" ht="15.0" customHeight="1">
      <c r="A276" s="134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84"/>
    </row>
    <row r="277" ht="15.0" customHeight="1">
      <c r="A277" s="134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84"/>
    </row>
    <row r="278" ht="15.0" customHeight="1">
      <c r="A278" s="134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84"/>
    </row>
    <row r="279" ht="15.0" customHeight="1">
      <c r="A279" s="134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84"/>
    </row>
    <row r="280" ht="15.0" customHeight="1">
      <c r="A280" s="134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84"/>
    </row>
    <row r="281" ht="15.0" customHeight="1">
      <c r="A281" s="134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84"/>
    </row>
    <row r="282" ht="15.0" customHeight="1">
      <c r="A282" s="134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84"/>
    </row>
    <row r="283" ht="15.0" customHeight="1">
      <c r="A283" s="134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84"/>
    </row>
    <row r="284" ht="15.0" customHeight="1">
      <c r="A284" s="134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84"/>
    </row>
    <row r="285" ht="15.0" customHeight="1">
      <c r="A285" s="134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84"/>
    </row>
    <row r="286" ht="15.0" customHeight="1">
      <c r="A286" s="134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84"/>
    </row>
    <row r="287" ht="15.0" customHeight="1">
      <c r="A287" s="134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84"/>
    </row>
    <row r="288" ht="15.0" customHeight="1">
      <c r="A288" s="134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84"/>
    </row>
    <row r="289" ht="15.0" customHeight="1">
      <c r="A289" s="134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84"/>
    </row>
    <row r="290" ht="15.0" customHeight="1">
      <c r="A290" s="134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84"/>
    </row>
    <row r="291" ht="15.0" customHeight="1">
      <c r="A291" s="134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84"/>
    </row>
    <row r="292" ht="15.0" customHeight="1">
      <c r="A292" s="134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84"/>
    </row>
    <row r="293" ht="15.0" customHeight="1">
      <c r="A293" s="134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84"/>
    </row>
    <row r="294" ht="15.0" customHeight="1">
      <c r="A294" s="134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84"/>
    </row>
    <row r="295" ht="15.0" customHeight="1">
      <c r="A295" s="134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84"/>
    </row>
    <row r="296" ht="15.0" customHeight="1">
      <c r="A296" s="134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84"/>
    </row>
    <row r="297" ht="15.0" customHeight="1">
      <c r="A297" s="134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84"/>
    </row>
    <row r="298" ht="15.0" customHeight="1">
      <c r="A298" s="134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84"/>
    </row>
    <row r="299" ht="15.0" customHeight="1">
      <c r="A299" s="134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84"/>
    </row>
    <row r="300" ht="15.0" customHeight="1">
      <c r="A300" s="134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84"/>
    </row>
    <row r="301" ht="15.0" customHeight="1">
      <c r="A301" s="134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84"/>
    </row>
    <row r="302" ht="15.0" customHeight="1">
      <c r="A302" s="134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84"/>
    </row>
    <row r="303" ht="15.0" customHeight="1">
      <c r="A303" s="134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84"/>
    </row>
    <row r="304" ht="15.0" customHeight="1">
      <c r="A304" s="134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84"/>
    </row>
    <row r="305" ht="15.0" customHeight="1">
      <c r="A305" s="134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84"/>
    </row>
    <row r="306" ht="15.0" customHeight="1">
      <c r="A306" s="134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84"/>
    </row>
    <row r="307" ht="15.0" customHeight="1">
      <c r="A307" s="134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84"/>
    </row>
    <row r="308" ht="15.0" customHeight="1">
      <c r="A308" s="134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84"/>
    </row>
    <row r="309" ht="15.0" customHeight="1">
      <c r="A309" s="134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84"/>
    </row>
    <row r="310" ht="15.0" customHeight="1">
      <c r="A310" s="134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84"/>
    </row>
    <row r="311" ht="15.0" customHeight="1">
      <c r="A311" s="134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84"/>
    </row>
    <row r="312" ht="15.0" customHeight="1">
      <c r="A312" s="134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84"/>
    </row>
    <row r="313" ht="15.0" customHeight="1">
      <c r="A313" s="134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84"/>
    </row>
    <row r="314" ht="15.0" customHeight="1">
      <c r="A314" s="134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84"/>
    </row>
    <row r="315" ht="15.0" customHeight="1">
      <c r="A315" s="134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84"/>
    </row>
    <row r="316" ht="15.0" customHeight="1">
      <c r="A316" s="134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84"/>
    </row>
    <row r="317" ht="15.0" customHeight="1">
      <c r="A317" s="134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84"/>
    </row>
    <row r="318" ht="15.0" customHeight="1">
      <c r="A318" s="134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84"/>
    </row>
    <row r="319" ht="15.0" customHeight="1">
      <c r="A319" s="134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84"/>
    </row>
    <row r="320" ht="15.0" customHeight="1">
      <c r="A320" s="134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84"/>
    </row>
    <row r="321" ht="15.0" customHeight="1">
      <c r="A321" s="134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84"/>
    </row>
    <row r="322" ht="15.0" customHeight="1">
      <c r="A322" s="134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84"/>
    </row>
    <row r="323" ht="15.0" customHeight="1">
      <c r="A323" s="134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84"/>
    </row>
    <row r="324" ht="15.0" customHeight="1">
      <c r="A324" s="134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84"/>
    </row>
    <row r="325" ht="15.0" customHeight="1">
      <c r="A325" s="134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84"/>
    </row>
    <row r="326" ht="15.0" customHeight="1">
      <c r="A326" s="134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84"/>
    </row>
    <row r="327" ht="15.0" customHeight="1">
      <c r="A327" s="134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84"/>
    </row>
    <row r="328" ht="15.0" customHeight="1">
      <c r="A328" s="134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84"/>
    </row>
    <row r="329" ht="15.0" customHeight="1">
      <c r="A329" s="134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84"/>
    </row>
    <row r="330" ht="15.0" customHeight="1">
      <c r="A330" s="134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84"/>
    </row>
    <row r="331" ht="15.0" customHeight="1">
      <c r="A331" s="134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84"/>
    </row>
    <row r="332" ht="15.0" customHeight="1">
      <c r="A332" s="134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84"/>
    </row>
    <row r="333" ht="15.0" customHeight="1">
      <c r="A333" s="134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84"/>
    </row>
    <row r="334" ht="15.0" customHeight="1">
      <c r="A334" s="134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84"/>
    </row>
    <row r="335" ht="15.0" customHeight="1">
      <c r="A335" s="134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84"/>
    </row>
    <row r="336" ht="15.0" customHeight="1">
      <c r="A336" s="134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84"/>
    </row>
    <row r="337" ht="15.0" customHeight="1">
      <c r="A337" s="134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84"/>
    </row>
    <row r="338" ht="15.0" customHeight="1">
      <c r="A338" s="134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84"/>
    </row>
    <row r="339" ht="15.0" customHeight="1">
      <c r="A339" s="134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84"/>
    </row>
    <row r="340" ht="15.0" customHeight="1">
      <c r="A340" s="134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84"/>
    </row>
    <row r="341" ht="15.0" customHeight="1">
      <c r="A341" s="134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84"/>
    </row>
    <row r="342" ht="15.0" customHeight="1">
      <c r="A342" s="134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84"/>
    </row>
    <row r="343" ht="15.0" customHeight="1">
      <c r="A343" s="134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84"/>
    </row>
    <row r="344" ht="15.0" customHeight="1">
      <c r="A344" s="134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84"/>
    </row>
    <row r="345" ht="15.0" customHeight="1">
      <c r="A345" s="134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84"/>
    </row>
    <row r="346" ht="15.0" customHeight="1">
      <c r="A346" s="134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84"/>
    </row>
    <row r="347" ht="15.0" customHeight="1">
      <c r="A347" s="134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84"/>
    </row>
    <row r="348" ht="15.0" customHeight="1">
      <c r="A348" s="134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84"/>
    </row>
    <row r="349" ht="15.0" customHeight="1">
      <c r="A349" s="134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84"/>
    </row>
    <row r="350" ht="15.0" customHeight="1">
      <c r="A350" s="134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84"/>
    </row>
    <row r="351" ht="15.0" customHeight="1">
      <c r="A351" s="134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84"/>
    </row>
    <row r="352" ht="15.0" customHeight="1">
      <c r="A352" s="134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84"/>
    </row>
    <row r="353" ht="15.0" customHeight="1">
      <c r="A353" s="134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84"/>
    </row>
    <row r="354" ht="15.0" customHeight="1">
      <c r="A354" s="134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84"/>
    </row>
    <row r="355" ht="15.0" customHeight="1">
      <c r="A355" s="134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84"/>
    </row>
    <row r="356" ht="15.0" customHeight="1">
      <c r="A356" s="134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84"/>
    </row>
    <row r="357" ht="15.0" customHeight="1">
      <c r="A357" s="134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84"/>
    </row>
    <row r="358" ht="15.0" customHeight="1">
      <c r="A358" s="134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84"/>
    </row>
    <row r="359" ht="15.0" customHeight="1">
      <c r="A359" s="134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84"/>
    </row>
    <row r="360" ht="15.0" customHeight="1">
      <c r="A360" s="134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84"/>
    </row>
    <row r="361" ht="15.0" customHeight="1">
      <c r="A361" s="134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84"/>
    </row>
    <row r="362" ht="15.0" customHeight="1">
      <c r="A362" s="134"/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84"/>
    </row>
    <row r="363" ht="15.0" customHeight="1">
      <c r="A363" s="134"/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84"/>
    </row>
    <row r="364" ht="15.0" customHeight="1">
      <c r="A364" s="134"/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84"/>
    </row>
    <row r="365" ht="15.0" customHeight="1">
      <c r="A365" s="134"/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84"/>
    </row>
    <row r="366" ht="15.0" customHeight="1">
      <c r="A366" s="134"/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84"/>
    </row>
    <row r="367" ht="15.0" customHeight="1">
      <c r="A367" s="134"/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84"/>
    </row>
    <row r="368" ht="15.0" customHeight="1">
      <c r="A368" s="134"/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84"/>
    </row>
    <row r="369" ht="15.0" customHeight="1">
      <c r="A369" s="134"/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84"/>
    </row>
    <row r="370" ht="15.0" customHeight="1">
      <c r="A370" s="134"/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84"/>
    </row>
    <row r="371" ht="15.0" customHeight="1">
      <c r="A371" s="134"/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84"/>
    </row>
    <row r="372" ht="15.0" customHeight="1">
      <c r="A372" s="134"/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84"/>
    </row>
    <row r="373" ht="15.0" customHeight="1">
      <c r="A373" s="134"/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84"/>
    </row>
    <row r="374" ht="15.0" customHeight="1">
      <c r="A374" s="134"/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84"/>
    </row>
    <row r="375" ht="15.0" customHeight="1">
      <c r="A375" s="134"/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84"/>
    </row>
    <row r="376" ht="15.0" customHeight="1">
      <c r="A376" s="134"/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84"/>
    </row>
    <row r="377" ht="15.0" customHeight="1">
      <c r="A377" s="134"/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84"/>
    </row>
    <row r="378" ht="15.0" customHeight="1">
      <c r="A378" s="134"/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84"/>
    </row>
    <row r="379" ht="15.0" customHeight="1">
      <c r="A379" s="134"/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84"/>
    </row>
    <row r="380" ht="15.0" customHeight="1">
      <c r="A380" s="134"/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84"/>
    </row>
    <row r="381" ht="15.0" customHeight="1">
      <c r="A381" s="134"/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84"/>
    </row>
    <row r="382" ht="15.0" customHeight="1">
      <c r="A382" s="134"/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84"/>
    </row>
    <row r="383" ht="15.0" customHeight="1">
      <c r="A383" s="134"/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84"/>
    </row>
    <row r="384" ht="15.0" customHeight="1">
      <c r="A384" s="134"/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84"/>
    </row>
    <row r="385" ht="15.0" customHeight="1">
      <c r="A385" s="134"/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84"/>
    </row>
    <row r="386" ht="15.0" customHeight="1">
      <c r="A386" s="134"/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84"/>
    </row>
    <row r="387" ht="15.0" customHeight="1">
      <c r="A387" s="134"/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84"/>
    </row>
    <row r="388" ht="15.0" customHeight="1">
      <c r="A388" s="134"/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84"/>
    </row>
    <row r="389" ht="15.0" customHeight="1">
      <c r="A389" s="134"/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84"/>
    </row>
    <row r="390" ht="15.0" customHeight="1">
      <c r="A390" s="134"/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84"/>
    </row>
    <row r="391" ht="15.0" customHeight="1">
      <c r="A391" s="134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84"/>
    </row>
    <row r="392" ht="15.0" customHeight="1">
      <c r="A392" s="134"/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84"/>
    </row>
    <row r="393" ht="15.0" customHeight="1">
      <c r="A393" s="134"/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84"/>
    </row>
    <row r="394" ht="15.0" customHeight="1">
      <c r="A394" s="134"/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84"/>
    </row>
    <row r="395" ht="15.0" customHeight="1">
      <c r="A395" s="134"/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84"/>
    </row>
    <row r="396" ht="15.0" customHeight="1">
      <c r="A396" s="134"/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84"/>
    </row>
    <row r="397" ht="15.0" customHeight="1">
      <c r="A397" s="134"/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84"/>
    </row>
    <row r="398" ht="15.0" customHeight="1">
      <c r="A398" s="134"/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84"/>
    </row>
    <row r="399" ht="15.0" customHeight="1">
      <c r="A399" s="134"/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84"/>
    </row>
    <row r="400" ht="15.0" customHeight="1">
      <c r="A400" s="134"/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84"/>
    </row>
    <row r="401" ht="15.0" customHeight="1">
      <c r="A401" s="134"/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84"/>
    </row>
    <row r="402" ht="15.0" customHeight="1">
      <c r="A402" s="134"/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84"/>
    </row>
    <row r="403" ht="15.0" customHeight="1">
      <c r="A403" s="134"/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84"/>
    </row>
    <row r="404" ht="15.0" customHeight="1">
      <c r="A404" s="134"/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84"/>
    </row>
    <row r="405" ht="15.0" customHeight="1">
      <c r="A405" s="134"/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84"/>
    </row>
    <row r="406" ht="15.0" customHeight="1">
      <c r="A406" s="134"/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84"/>
    </row>
    <row r="407" ht="15.0" customHeight="1">
      <c r="A407" s="134"/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84"/>
    </row>
    <row r="408" ht="15.0" customHeight="1">
      <c r="A408" s="134"/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84"/>
    </row>
    <row r="409" ht="15.0" customHeight="1">
      <c r="A409" s="134"/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84"/>
    </row>
    <row r="410" ht="15.0" customHeight="1">
      <c r="A410" s="134"/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84"/>
    </row>
    <row r="411" ht="15.0" customHeight="1">
      <c r="A411" s="134"/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84"/>
    </row>
    <row r="412" ht="15.0" customHeight="1">
      <c r="A412" s="134"/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84"/>
    </row>
    <row r="413" ht="15.0" customHeight="1">
      <c r="A413" s="134"/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84"/>
    </row>
    <row r="414" ht="15.0" customHeight="1">
      <c r="A414" s="134"/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84"/>
    </row>
    <row r="415" ht="15.0" customHeight="1">
      <c r="A415" s="134"/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84"/>
    </row>
    <row r="416" ht="15.0" customHeight="1">
      <c r="A416" s="134"/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84"/>
    </row>
    <row r="417" ht="15.0" customHeight="1">
      <c r="A417" s="134"/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84"/>
    </row>
    <row r="418" ht="15.0" customHeight="1">
      <c r="A418" s="134"/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84"/>
    </row>
    <row r="419" ht="15.0" customHeight="1">
      <c r="A419" s="134"/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84"/>
    </row>
    <row r="420" ht="15.0" customHeight="1">
      <c r="A420" s="134"/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84"/>
    </row>
    <row r="421" ht="15.0" customHeight="1">
      <c r="A421" s="134"/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84"/>
    </row>
    <row r="422" ht="15.0" customHeight="1">
      <c r="A422" s="134"/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84"/>
    </row>
    <row r="423" ht="15.0" customHeight="1">
      <c r="A423" s="134"/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84"/>
    </row>
    <row r="424" ht="15.0" customHeight="1">
      <c r="A424" s="134"/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84"/>
    </row>
    <row r="425" ht="15.0" customHeight="1">
      <c r="A425" s="134"/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84"/>
    </row>
    <row r="426" ht="15.0" customHeight="1">
      <c r="A426" s="134"/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84"/>
    </row>
    <row r="427" ht="15.0" customHeight="1">
      <c r="A427" s="134"/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84"/>
    </row>
    <row r="428" ht="15.0" customHeight="1">
      <c r="A428" s="134"/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84"/>
    </row>
    <row r="429" ht="15.0" customHeight="1">
      <c r="A429" s="134"/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84"/>
    </row>
    <row r="430" ht="15.0" customHeight="1">
      <c r="A430" s="134"/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84"/>
    </row>
    <row r="431" ht="15.0" customHeight="1">
      <c r="A431" s="134"/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84"/>
    </row>
    <row r="432" ht="15.0" customHeight="1">
      <c r="A432" s="134"/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84"/>
    </row>
    <row r="433" ht="15.0" customHeight="1">
      <c r="A433" s="134"/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84"/>
    </row>
    <row r="434" ht="15.0" customHeight="1">
      <c r="A434" s="134"/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84"/>
    </row>
    <row r="435" ht="15.0" customHeight="1">
      <c r="A435" s="134"/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84"/>
    </row>
    <row r="436" ht="15.0" customHeight="1">
      <c r="A436" s="134"/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84"/>
    </row>
    <row r="437" ht="15.0" customHeight="1">
      <c r="A437" s="134"/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84"/>
    </row>
    <row r="438" ht="15.0" customHeight="1">
      <c r="A438" s="134"/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84"/>
    </row>
    <row r="439" ht="15.0" customHeight="1">
      <c r="A439" s="134"/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84"/>
    </row>
    <row r="440" ht="15.0" customHeight="1">
      <c r="A440" s="134"/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84"/>
    </row>
    <row r="441" ht="15.0" customHeight="1">
      <c r="A441" s="134"/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84"/>
    </row>
    <row r="442" ht="15.0" customHeight="1">
      <c r="A442" s="134"/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84"/>
    </row>
    <row r="443" ht="15.0" customHeight="1">
      <c r="A443" s="134"/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84"/>
    </row>
    <row r="444" ht="15.0" customHeight="1">
      <c r="A444" s="134"/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84"/>
    </row>
    <row r="445" ht="15.0" customHeight="1">
      <c r="A445" s="134"/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84"/>
    </row>
    <row r="446" ht="15.0" customHeight="1">
      <c r="A446" s="134"/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84"/>
    </row>
    <row r="447" ht="15.0" customHeight="1">
      <c r="A447" s="134"/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84"/>
    </row>
    <row r="448" ht="15.0" customHeight="1">
      <c r="A448" s="134"/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84"/>
    </row>
    <row r="449" ht="15.0" customHeight="1">
      <c r="A449" s="134"/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84"/>
    </row>
    <row r="450" ht="15.0" customHeight="1">
      <c r="A450" s="134"/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84"/>
    </row>
    <row r="451" ht="15.0" customHeight="1">
      <c r="A451" s="134"/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84"/>
    </row>
    <row r="452" ht="15.0" customHeight="1">
      <c r="A452" s="134"/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84"/>
    </row>
    <row r="453" ht="15.0" customHeight="1">
      <c r="A453" s="134"/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84"/>
    </row>
    <row r="454" ht="15.0" customHeight="1">
      <c r="A454" s="134"/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84"/>
    </row>
    <row r="455" ht="15.0" customHeight="1">
      <c r="A455" s="134"/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84"/>
    </row>
    <row r="456" ht="15.0" customHeight="1">
      <c r="A456" s="134"/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84"/>
    </row>
    <row r="457" ht="15.0" customHeight="1">
      <c r="A457" s="134"/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84"/>
    </row>
    <row r="458" ht="15.0" customHeight="1">
      <c r="A458" s="134"/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84"/>
    </row>
    <row r="459" ht="15.0" customHeight="1">
      <c r="A459" s="134"/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84"/>
    </row>
    <row r="460" ht="15.0" customHeight="1">
      <c r="A460" s="134"/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84"/>
    </row>
    <row r="461" ht="15.0" customHeight="1">
      <c r="A461" s="134"/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84"/>
    </row>
    <row r="462" ht="15.0" customHeight="1">
      <c r="A462" s="134"/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84"/>
    </row>
    <row r="463" ht="15.0" customHeight="1">
      <c r="A463" s="134"/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84"/>
    </row>
    <row r="464" ht="15.0" customHeight="1">
      <c r="A464" s="134"/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84"/>
    </row>
    <row r="465" ht="15.0" customHeight="1">
      <c r="A465" s="134"/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84"/>
    </row>
    <row r="466" ht="15.0" customHeight="1">
      <c r="A466" s="134"/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84"/>
    </row>
    <row r="467" ht="15.0" customHeight="1">
      <c r="A467" s="134"/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84"/>
    </row>
    <row r="468" ht="15.0" customHeight="1">
      <c r="A468" s="134"/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84"/>
    </row>
    <row r="469" ht="15.0" customHeight="1">
      <c r="A469" s="134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84"/>
    </row>
    <row r="470" ht="15.0" customHeight="1">
      <c r="A470" s="134"/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84"/>
    </row>
    <row r="471" ht="15.0" customHeight="1">
      <c r="A471" s="134"/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84"/>
    </row>
    <row r="472" ht="15.0" customHeight="1">
      <c r="A472" s="134"/>
      <c r="B472" s="135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84"/>
    </row>
    <row r="473" ht="15.0" customHeight="1">
      <c r="A473" s="134"/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84"/>
    </row>
    <row r="474" ht="15.0" customHeight="1">
      <c r="A474" s="134"/>
      <c r="B474" s="135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84"/>
    </row>
    <row r="475" ht="15.0" customHeight="1">
      <c r="A475" s="134"/>
      <c r="B475" s="135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84"/>
    </row>
    <row r="476" ht="15.0" customHeight="1">
      <c r="A476" s="134"/>
      <c r="B476" s="135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84"/>
    </row>
    <row r="477" ht="15.0" customHeight="1">
      <c r="A477" s="134"/>
      <c r="B477" s="135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84"/>
    </row>
    <row r="478" ht="15.0" customHeight="1">
      <c r="A478" s="134"/>
      <c r="B478" s="135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84"/>
    </row>
    <row r="479" ht="15.0" customHeight="1">
      <c r="A479" s="134"/>
      <c r="B479" s="135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84"/>
    </row>
    <row r="480" ht="15.0" customHeight="1">
      <c r="A480" s="134"/>
      <c r="B480" s="135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84"/>
    </row>
    <row r="481" ht="15.0" customHeight="1">
      <c r="A481" s="134"/>
      <c r="B481" s="135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84"/>
    </row>
    <row r="482" ht="15.0" customHeight="1">
      <c r="A482" s="134"/>
      <c r="B482" s="135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84"/>
    </row>
    <row r="483" ht="15.0" customHeight="1">
      <c r="A483" s="134"/>
      <c r="B483" s="135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84"/>
    </row>
    <row r="484" ht="15.0" customHeight="1">
      <c r="A484" s="134"/>
      <c r="B484" s="135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84"/>
    </row>
    <row r="485" ht="15.0" customHeight="1">
      <c r="A485" s="134"/>
      <c r="B485" s="135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84"/>
    </row>
    <row r="486" ht="15.0" customHeight="1">
      <c r="A486" s="134"/>
      <c r="B486" s="135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84"/>
    </row>
    <row r="487" ht="15.0" customHeight="1">
      <c r="A487" s="134"/>
      <c r="B487" s="135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84"/>
    </row>
    <row r="488" ht="15.0" customHeight="1">
      <c r="A488" s="134"/>
      <c r="B488" s="135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84"/>
    </row>
    <row r="489" ht="15.0" customHeight="1">
      <c r="A489" s="134"/>
      <c r="B489" s="135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84"/>
    </row>
    <row r="490" ht="15.0" customHeight="1">
      <c r="A490" s="134"/>
      <c r="B490" s="135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84"/>
    </row>
    <row r="491" ht="15.0" customHeight="1">
      <c r="A491" s="134"/>
      <c r="B491" s="135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84"/>
    </row>
    <row r="492" ht="15.0" customHeight="1">
      <c r="A492" s="134"/>
      <c r="B492" s="135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84"/>
    </row>
    <row r="493" ht="15.0" customHeight="1">
      <c r="A493" s="134"/>
      <c r="B493" s="135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84"/>
    </row>
    <row r="494" ht="15.0" customHeight="1">
      <c r="A494" s="134"/>
      <c r="B494" s="135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84"/>
    </row>
    <row r="495" ht="15.0" customHeight="1">
      <c r="A495" s="134"/>
      <c r="B495" s="135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84"/>
    </row>
    <row r="496" ht="15.0" customHeight="1">
      <c r="A496" s="134"/>
      <c r="B496" s="135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84"/>
    </row>
    <row r="497" ht="15.0" customHeight="1">
      <c r="A497" s="134"/>
      <c r="B497" s="135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84"/>
    </row>
    <row r="498" ht="15.0" customHeight="1">
      <c r="A498" s="134"/>
      <c r="B498" s="135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84"/>
    </row>
    <row r="499" ht="15.0" customHeight="1">
      <c r="A499" s="134"/>
      <c r="B499" s="135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84"/>
    </row>
    <row r="500" ht="15.0" customHeight="1">
      <c r="A500" s="134"/>
      <c r="B500" s="135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84"/>
    </row>
    <row r="501" ht="15.0" customHeight="1">
      <c r="A501" s="134"/>
      <c r="B501" s="135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84"/>
    </row>
    <row r="502" ht="15.0" customHeight="1">
      <c r="A502" s="134"/>
      <c r="B502" s="135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84"/>
    </row>
    <row r="503" ht="15.0" customHeight="1">
      <c r="A503" s="134"/>
      <c r="B503" s="135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84"/>
    </row>
    <row r="504" ht="15.0" customHeight="1">
      <c r="A504" s="134"/>
      <c r="B504" s="135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84"/>
    </row>
    <row r="505" ht="15.0" customHeight="1">
      <c r="A505" s="134"/>
      <c r="B505" s="135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84"/>
    </row>
    <row r="506" ht="15.0" customHeight="1">
      <c r="A506" s="134"/>
      <c r="B506" s="135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84"/>
    </row>
    <row r="507" ht="15.0" customHeight="1">
      <c r="A507" s="134"/>
      <c r="B507" s="135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84"/>
    </row>
    <row r="508" ht="15.0" customHeight="1">
      <c r="A508" s="134"/>
      <c r="B508" s="135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84"/>
    </row>
    <row r="509" ht="15.0" customHeight="1">
      <c r="A509" s="134"/>
      <c r="B509" s="135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84"/>
    </row>
    <row r="510" ht="15.0" customHeight="1">
      <c r="A510" s="134"/>
      <c r="B510" s="135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84"/>
    </row>
    <row r="511" ht="15.0" customHeight="1">
      <c r="A511" s="134"/>
      <c r="B511" s="135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84"/>
    </row>
    <row r="512" ht="15.0" customHeight="1">
      <c r="A512" s="134"/>
      <c r="B512" s="135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84"/>
    </row>
    <row r="513" ht="15.0" customHeight="1">
      <c r="A513" s="134"/>
      <c r="B513" s="135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84"/>
    </row>
    <row r="514" ht="15.0" customHeight="1">
      <c r="A514" s="134"/>
      <c r="B514" s="135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84"/>
    </row>
    <row r="515" ht="15.0" customHeight="1">
      <c r="A515" s="134"/>
      <c r="B515" s="135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84"/>
    </row>
    <row r="516" ht="15.0" customHeight="1">
      <c r="A516" s="134"/>
      <c r="B516" s="135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84"/>
    </row>
    <row r="517" ht="15.0" customHeight="1">
      <c r="A517" s="134"/>
      <c r="B517" s="135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84"/>
    </row>
    <row r="518" ht="15.0" customHeight="1">
      <c r="A518" s="134"/>
      <c r="B518" s="135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84"/>
    </row>
    <row r="519" ht="15.0" customHeight="1">
      <c r="A519" s="134"/>
      <c r="B519" s="135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84"/>
    </row>
    <row r="520" ht="15.0" customHeight="1">
      <c r="A520" s="134"/>
      <c r="B520" s="135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84"/>
    </row>
    <row r="521" ht="15.0" customHeight="1">
      <c r="A521" s="134"/>
      <c r="B521" s="135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84"/>
    </row>
    <row r="522" ht="15.0" customHeight="1">
      <c r="A522" s="134"/>
      <c r="B522" s="135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84"/>
    </row>
    <row r="523" ht="15.0" customHeight="1">
      <c r="A523" s="134"/>
      <c r="B523" s="135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84"/>
    </row>
    <row r="524" ht="15.0" customHeight="1">
      <c r="A524" s="134"/>
      <c r="B524" s="135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84"/>
    </row>
    <row r="525" ht="15.0" customHeight="1">
      <c r="A525" s="134"/>
      <c r="B525" s="135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84"/>
    </row>
    <row r="526" ht="15.0" customHeight="1">
      <c r="A526" s="134"/>
      <c r="B526" s="135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84"/>
    </row>
    <row r="527" ht="15.0" customHeight="1">
      <c r="A527" s="134"/>
      <c r="B527" s="135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84"/>
    </row>
    <row r="528" ht="15.0" customHeight="1">
      <c r="A528" s="134"/>
      <c r="B528" s="135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84"/>
    </row>
    <row r="529" ht="15.0" customHeight="1">
      <c r="A529" s="134"/>
      <c r="B529" s="135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84"/>
    </row>
    <row r="530" ht="15.0" customHeight="1">
      <c r="A530" s="134"/>
      <c r="B530" s="135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84"/>
    </row>
    <row r="531" ht="15.0" customHeight="1">
      <c r="A531" s="134"/>
      <c r="B531" s="135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84"/>
    </row>
    <row r="532" ht="15.0" customHeight="1">
      <c r="A532" s="134"/>
      <c r="B532" s="135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84"/>
    </row>
    <row r="533" ht="15.0" customHeight="1">
      <c r="A533" s="134"/>
      <c r="B533" s="135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84"/>
    </row>
    <row r="534" ht="15.0" customHeight="1">
      <c r="A534" s="134"/>
      <c r="B534" s="135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84"/>
    </row>
    <row r="535" ht="15.0" customHeight="1">
      <c r="A535" s="134"/>
      <c r="B535" s="135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84"/>
    </row>
    <row r="536" ht="15.0" customHeight="1">
      <c r="A536" s="134"/>
      <c r="B536" s="135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84"/>
    </row>
    <row r="537" ht="15.0" customHeight="1">
      <c r="A537" s="134"/>
      <c r="B537" s="135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84"/>
    </row>
    <row r="538" ht="15.0" customHeight="1">
      <c r="A538" s="134"/>
      <c r="B538" s="135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84"/>
    </row>
    <row r="539" ht="15.0" customHeight="1">
      <c r="A539" s="134"/>
      <c r="B539" s="135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84"/>
    </row>
    <row r="540" ht="15.0" customHeight="1">
      <c r="A540" s="134"/>
      <c r="B540" s="135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84"/>
    </row>
    <row r="541" ht="15.0" customHeight="1">
      <c r="A541" s="134"/>
      <c r="B541" s="135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84"/>
    </row>
    <row r="542" ht="15.0" customHeight="1">
      <c r="A542" s="134"/>
      <c r="B542" s="135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84"/>
    </row>
    <row r="543" ht="15.0" customHeight="1">
      <c r="A543" s="134"/>
      <c r="B543" s="135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84"/>
    </row>
    <row r="544" ht="15.0" customHeight="1">
      <c r="A544" s="134"/>
      <c r="B544" s="135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84"/>
    </row>
    <row r="545" ht="15.0" customHeight="1">
      <c r="A545" s="134"/>
      <c r="B545" s="135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84"/>
    </row>
    <row r="546" ht="15.0" customHeight="1">
      <c r="A546" s="134"/>
      <c r="B546" s="135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84"/>
    </row>
    <row r="547" ht="15.0" customHeight="1">
      <c r="A547" s="134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84"/>
    </row>
    <row r="548" ht="15.0" customHeight="1">
      <c r="A548" s="134"/>
      <c r="B548" s="135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84"/>
    </row>
    <row r="549" ht="15.0" customHeight="1">
      <c r="A549" s="134"/>
      <c r="B549" s="135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84"/>
    </row>
    <row r="550" ht="15.0" customHeight="1">
      <c r="A550" s="134"/>
      <c r="B550" s="135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84"/>
    </row>
    <row r="551" ht="15.0" customHeight="1">
      <c r="A551" s="134"/>
      <c r="B551" s="135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84"/>
    </row>
    <row r="552" ht="15.0" customHeight="1">
      <c r="A552" s="134"/>
      <c r="B552" s="135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84"/>
    </row>
    <row r="553" ht="15.0" customHeight="1">
      <c r="A553" s="134"/>
      <c r="B553" s="135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84"/>
    </row>
    <row r="554" ht="15.0" customHeight="1">
      <c r="A554" s="134"/>
      <c r="B554" s="135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84"/>
    </row>
    <row r="555" ht="15.0" customHeight="1">
      <c r="A555" s="134"/>
      <c r="B555" s="135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84"/>
    </row>
    <row r="556" ht="15.0" customHeight="1">
      <c r="A556" s="134"/>
      <c r="B556" s="135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84"/>
    </row>
    <row r="557" ht="15.0" customHeight="1">
      <c r="A557" s="134"/>
      <c r="B557" s="135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84"/>
    </row>
    <row r="558" ht="15.0" customHeight="1">
      <c r="A558" s="134"/>
      <c r="B558" s="135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84"/>
    </row>
    <row r="559" ht="15.0" customHeight="1">
      <c r="A559" s="134"/>
      <c r="B559" s="135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84"/>
    </row>
    <row r="560" ht="15.0" customHeight="1">
      <c r="A560" s="134"/>
      <c r="B560" s="135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84"/>
    </row>
    <row r="561" ht="15.0" customHeight="1">
      <c r="A561" s="134"/>
      <c r="B561" s="135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84"/>
    </row>
    <row r="562" ht="15.0" customHeight="1">
      <c r="A562" s="134"/>
      <c r="B562" s="135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84"/>
    </row>
    <row r="563" ht="15.0" customHeight="1">
      <c r="A563" s="134"/>
      <c r="B563" s="135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84"/>
    </row>
    <row r="564" ht="15.0" customHeight="1">
      <c r="A564" s="134"/>
      <c r="B564" s="135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84"/>
    </row>
    <row r="565" ht="15.0" customHeight="1">
      <c r="A565" s="134"/>
      <c r="B565" s="135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84"/>
    </row>
    <row r="566" ht="15.0" customHeight="1">
      <c r="A566" s="134"/>
      <c r="B566" s="135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84"/>
    </row>
    <row r="567" ht="15.0" customHeight="1">
      <c r="A567" s="134"/>
      <c r="B567" s="135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84"/>
    </row>
    <row r="568" ht="15.0" customHeight="1">
      <c r="A568" s="134"/>
      <c r="B568" s="135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84"/>
    </row>
    <row r="569" ht="15.0" customHeight="1">
      <c r="A569" s="134"/>
      <c r="B569" s="135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84"/>
    </row>
    <row r="570" ht="15.0" customHeight="1">
      <c r="A570" s="134"/>
      <c r="B570" s="135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84"/>
    </row>
    <row r="571" ht="15.0" customHeight="1">
      <c r="A571" s="134"/>
      <c r="B571" s="135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84"/>
    </row>
    <row r="572" ht="15.0" customHeight="1">
      <c r="A572" s="134"/>
      <c r="B572" s="135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84"/>
    </row>
    <row r="573" ht="15.0" customHeight="1">
      <c r="A573" s="134"/>
      <c r="B573" s="135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84"/>
    </row>
    <row r="574" ht="15.0" customHeight="1">
      <c r="A574" s="134"/>
      <c r="B574" s="135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84"/>
    </row>
    <row r="575" ht="15.0" customHeight="1">
      <c r="A575" s="134"/>
      <c r="B575" s="135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84"/>
    </row>
    <row r="576" ht="15.0" customHeight="1">
      <c r="A576" s="134"/>
      <c r="B576" s="135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84"/>
    </row>
    <row r="577" ht="15.0" customHeight="1">
      <c r="A577" s="134"/>
      <c r="B577" s="135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84"/>
    </row>
    <row r="578" ht="15.0" customHeight="1">
      <c r="A578" s="134"/>
      <c r="B578" s="135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84"/>
    </row>
    <row r="579" ht="15.0" customHeight="1">
      <c r="A579" s="134"/>
      <c r="B579" s="135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84"/>
    </row>
    <row r="580" ht="15.0" customHeight="1">
      <c r="A580" s="134"/>
      <c r="B580" s="135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84"/>
    </row>
    <row r="581" ht="15.0" customHeight="1">
      <c r="A581" s="134"/>
      <c r="B581" s="135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84"/>
    </row>
    <row r="582" ht="15.0" customHeight="1">
      <c r="A582" s="134"/>
      <c r="B582" s="135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84"/>
    </row>
    <row r="583" ht="15.0" customHeight="1">
      <c r="A583" s="134"/>
      <c r="B583" s="135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84"/>
    </row>
    <row r="584" ht="15.0" customHeight="1">
      <c r="A584" s="134"/>
      <c r="B584" s="135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84"/>
    </row>
    <row r="585" ht="15.0" customHeight="1">
      <c r="A585" s="134"/>
      <c r="B585" s="135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84"/>
    </row>
    <row r="586" ht="15.0" customHeight="1">
      <c r="A586" s="134"/>
      <c r="B586" s="135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84"/>
    </row>
    <row r="587" ht="15.0" customHeight="1">
      <c r="A587" s="134"/>
      <c r="B587" s="135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84"/>
    </row>
    <row r="588" ht="15.0" customHeight="1">
      <c r="A588" s="134"/>
      <c r="B588" s="135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84"/>
    </row>
    <row r="589" ht="15.0" customHeight="1">
      <c r="A589" s="134"/>
      <c r="B589" s="135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84"/>
    </row>
    <row r="590" ht="15.0" customHeight="1">
      <c r="A590" s="134"/>
      <c r="B590" s="135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84"/>
    </row>
    <row r="591" ht="15.0" customHeight="1">
      <c r="A591" s="134"/>
      <c r="B591" s="135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84"/>
    </row>
    <row r="592" ht="15.0" customHeight="1">
      <c r="A592" s="134"/>
      <c r="B592" s="135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84"/>
    </row>
    <row r="593" ht="15.0" customHeight="1">
      <c r="A593" s="134"/>
      <c r="B593" s="135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84"/>
    </row>
    <row r="594" ht="15.0" customHeight="1">
      <c r="A594" s="134"/>
      <c r="B594" s="135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84"/>
    </row>
    <row r="595" ht="15.0" customHeight="1">
      <c r="A595" s="134"/>
      <c r="B595" s="135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84"/>
    </row>
    <row r="596" ht="15.0" customHeight="1">
      <c r="A596" s="134"/>
      <c r="B596" s="135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84"/>
    </row>
    <row r="597" ht="15.0" customHeight="1">
      <c r="A597" s="134"/>
      <c r="B597" s="135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84"/>
    </row>
    <row r="598" ht="15.0" customHeight="1">
      <c r="A598" s="134"/>
      <c r="B598" s="135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84"/>
    </row>
    <row r="599" ht="15.0" customHeight="1">
      <c r="A599" s="134"/>
      <c r="B599" s="135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84"/>
    </row>
    <row r="600" ht="15.0" customHeight="1">
      <c r="A600" s="134"/>
      <c r="B600" s="135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84"/>
    </row>
    <row r="601" ht="15.0" customHeight="1">
      <c r="A601" s="134"/>
      <c r="B601" s="135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84"/>
    </row>
    <row r="602" ht="15.0" customHeight="1">
      <c r="A602" s="134"/>
      <c r="B602" s="135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84"/>
    </row>
    <row r="603" ht="15.0" customHeight="1">
      <c r="A603" s="134"/>
      <c r="B603" s="135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84"/>
    </row>
    <row r="604" ht="15.0" customHeight="1">
      <c r="A604" s="134"/>
      <c r="B604" s="135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84"/>
    </row>
    <row r="605" ht="15.0" customHeight="1">
      <c r="A605" s="134"/>
      <c r="B605" s="135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84"/>
    </row>
    <row r="606" ht="15.0" customHeight="1">
      <c r="A606" s="134"/>
      <c r="B606" s="135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84"/>
    </row>
    <row r="607" ht="15.0" customHeight="1">
      <c r="A607" s="134"/>
      <c r="B607" s="135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84"/>
    </row>
    <row r="608" ht="15.0" customHeight="1">
      <c r="A608" s="134"/>
      <c r="B608" s="135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84"/>
    </row>
    <row r="609" ht="15.0" customHeight="1">
      <c r="A609" s="134"/>
      <c r="B609" s="135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84"/>
    </row>
    <row r="610" ht="15.0" customHeight="1">
      <c r="A610" s="134"/>
      <c r="B610" s="135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84"/>
    </row>
    <row r="611" ht="15.0" customHeight="1">
      <c r="A611" s="134"/>
      <c r="B611" s="135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84"/>
    </row>
    <row r="612" ht="15.0" customHeight="1">
      <c r="A612" s="134"/>
      <c r="B612" s="135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84"/>
    </row>
    <row r="613" ht="15.0" customHeight="1">
      <c r="A613" s="134"/>
      <c r="B613" s="135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84"/>
    </row>
    <row r="614" ht="15.0" customHeight="1">
      <c r="A614" s="134"/>
      <c r="B614" s="135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84"/>
    </row>
    <row r="615" ht="15.0" customHeight="1">
      <c r="A615" s="134"/>
      <c r="B615" s="135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84"/>
    </row>
    <row r="616" ht="15.0" customHeight="1">
      <c r="A616" s="134"/>
      <c r="B616" s="135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84"/>
    </row>
    <row r="617" ht="15.0" customHeight="1">
      <c r="A617" s="134"/>
      <c r="B617" s="135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84"/>
    </row>
    <row r="618" ht="15.0" customHeight="1">
      <c r="A618" s="134"/>
      <c r="B618" s="135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84"/>
    </row>
    <row r="619" ht="15.0" customHeight="1">
      <c r="A619" s="134"/>
      <c r="B619" s="135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84"/>
    </row>
    <row r="620" ht="15.0" customHeight="1">
      <c r="A620" s="134"/>
      <c r="B620" s="135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84"/>
    </row>
    <row r="621" ht="15.0" customHeight="1">
      <c r="A621" s="134"/>
      <c r="B621" s="135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84"/>
    </row>
    <row r="622" ht="15.0" customHeight="1">
      <c r="A622" s="134"/>
      <c r="B622" s="135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84"/>
    </row>
    <row r="623" ht="15.0" customHeight="1">
      <c r="A623" s="134"/>
      <c r="B623" s="135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84"/>
    </row>
    <row r="624" ht="15.0" customHeight="1">
      <c r="A624" s="134"/>
      <c r="B624" s="135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84"/>
    </row>
    <row r="625" ht="15.0" customHeight="1">
      <c r="A625" s="134"/>
      <c r="B625" s="135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84"/>
    </row>
    <row r="626" ht="15.0" customHeight="1">
      <c r="A626" s="134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84"/>
    </row>
    <row r="627" ht="15.0" customHeight="1">
      <c r="A627" s="134"/>
      <c r="B627" s="135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84"/>
    </row>
    <row r="628" ht="15.0" customHeight="1">
      <c r="A628" s="134"/>
      <c r="B628" s="135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84"/>
    </row>
    <row r="629" ht="15.0" customHeight="1">
      <c r="A629" s="134"/>
      <c r="B629" s="135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84"/>
    </row>
    <row r="630" ht="15.0" customHeight="1">
      <c r="A630" s="134"/>
      <c r="B630" s="135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84"/>
    </row>
    <row r="631" ht="15.0" customHeight="1">
      <c r="A631" s="134"/>
      <c r="B631" s="135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84"/>
    </row>
    <row r="632" ht="15.0" customHeight="1">
      <c r="A632" s="134"/>
      <c r="B632" s="135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84"/>
    </row>
    <row r="633" ht="15.0" customHeight="1">
      <c r="A633" s="134"/>
      <c r="B633" s="135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84"/>
    </row>
    <row r="634" ht="15.0" customHeight="1">
      <c r="A634" s="134"/>
      <c r="B634" s="135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84"/>
    </row>
    <row r="635" ht="15.0" customHeight="1">
      <c r="A635" s="134"/>
      <c r="B635" s="135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84"/>
    </row>
    <row r="636" ht="15.0" customHeight="1">
      <c r="A636" s="134"/>
      <c r="B636" s="135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84"/>
    </row>
    <row r="637" ht="15.0" customHeight="1">
      <c r="A637" s="134"/>
      <c r="B637" s="135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84"/>
    </row>
    <row r="638" ht="15.0" customHeight="1">
      <c r="A638" s="134"/>
      <c r="B638" s="135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84"/>
    </row>
    <row r="639" ht="15.0" customHeight="1">
      <c r="A639" s="134"/>
      <c r="B639" s="135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84"/>
    </row>
    <row r="640" ht="15.0" customHeight="1">
      <c r="A640" s="134"/>
      <c r="B640" s="135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84"/>
    </row>
    <row r="641" ht="15.0" customHeight="1">
      <c r="A641" s="134"/>
      <c r="B641" s="135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84"/>
    </row>
    <row r="642" ht="15.0" customHeight="1">
      <c r="A642" s="134"/>
      <c r="B642" s="135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84"/>
    </row>
    <row r="643" ht="15.0" customHeight="1">
      <c r="A643" s="134"/>
      <c r="B643" s="135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84"/>
    </row>
    <row r="644" ht="15.0" customHeight="1">
      <c r="A644" s="134"/>
      <c r="B644" s="135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84"/>
    </row>
    <row r="645" ht="15.0" customHeight="1">
      <c r="A645" s="134"/>
      <c r="B645" s="135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84"/>
    </row>
    <row r="646" ht="15.0" customHeight="1">
      <c r="A646" s="134"/>
      <c r="B646" s="135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84"/>
    </row>
    <row r="647" ht="15.0" customHeight="1">
      <c r="A647" s="134"/>
      <c r="B647" s="135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84"/>
    </row>
    <row r="648" ht="15.0" customHeight="1">
      <c r="A648" s="134"/>
      <c r="B648" s="135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84"/>
    </row>
    <row r="649" ht="15.0" customHeight="1">
      <c r="A649" s="134"/>
      <c r="B649" s="135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84"/>
    </row>
    <row r="650" ht="15.0" customHeight="1">
      <c r="A650" s="134"/>
      <c r="B650" s="135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84"/>
    </row>
    <row r="651" ht="15.0" customHeight="1">
      <c r="A651" s="134"/>
      <c r="B651" s="135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84"/>
    </row>
    <row r="652" ht="15.0" customHeight="1">
      <c r="A652" s="134"/>
      <c r="B652" s="135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84"/>
    </row>
    <row r="653" ht="15.0" customHeight="1">
      <c r="A653" s="134"/>
      <c r="B653" s="135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84"/>
    </row>
    <row r="654" ht="15.0" customHeight="1">
      <c r="A654" s="134"/>
      <c r="B654" s="135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84"/>
    </row>
    <row r="655" ht="15.0" customHeight="1">
      <c r="A655" s="134"/>
      <c r="B655" s="135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84"/>
    </row>
    <row r="656" ht="15.0" customHeight="1">
      <c r="A656" s="134"/>
      <c r="B656" s="135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84"/>
    </row>
    <row r="657" ht="15.0" customHeight="1">
      <c r="A657" s="134"/>
      <c r="B657" s="135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84"/>
    </row>
    <row r="658" ht="15.0" customHeight="1">
      <c r="A658" s="134"/>
      <c r="B658" s="135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84"/>
    </row>
    <row r="659" ht="15.0" customHeight="1">
      <c r="A659" s="134"/>
      <c r="B659" s="135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84"/>
    </row>
    <row r="660" ht="15.0" customHeight="1">
      <c r="A660" s="134"/>
      <c r="B660" s="135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84"/>
    </row>
    <row r="661" ht="15.0" customHeight="1">
      <c r="A661" s="134"/>
      <c r="B661" s="135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84"/>
    </row>
    <row r="662" ht="15.0" customHeight="1">
      <c r="A662" s="134"/>
      <c r="B662" s="135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84"/>
    </row>
    <row r="663" ht="15.0" customHeight="1">
      <c r="A663" s="134"/>
      <c r="B663" s="135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84"/>
    </row>
    <row r="664" ht="15.0" customHeight="1">
      <c r="A664" s="134"/>
      <c r="B664" s="135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84"/>
    </row>
    <row r="665" ht="15.0" customHeight="1">
      <c r="A665" s="134"/>
      <c r="B665" s="135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84"/>
    </row>
    <row r="666" ht="15.0" customHeight="1">
      <c r="A666" s="134"/>
      <c r="B666" s="135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84"/>
    </row>
    <row r="667" ht="15.0" customHeight="1">
      <c r="A667" s="134"/>
      <c r="B667" s="135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84"/>
    </row>
    <row r="668" ht="15.0" customHeight="1">
      <c r="A668" s="134"/>
      <c r="B668" s="135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84"/>
    </row>
    <row r="669" ht="15.0" customHeight="1">
      <c r="A669" s="134"/>
      <c r="B669" s="135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84"/>
    </row>
    <row r="670" ht="15.0" customHeight="1">
      <c r="A670" s="134"/>
      <c r="B670" s="135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84"/>
    </row>
    <row r="671" ht="15.0" customHeight="1">
      <c r="A671" s="134"/>
      <c r="B671" s="135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84"/>
    </row>
    <row r="672" ht="15.0" customHeight="1">
      <c r="A672" s="134"/>
      <c r="B672" s="135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84"/>
    </row>
    <row r="673" ht="15.0" customHeight="1">
      <c r="A673" s="134"/>
      <c r="B673" s="135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84"/>
    </row>
    <row r="674" ht="15.0" customHeight="1">
      <c r="A674" s="134"/>
      <c r="B674" s="135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84"/>
    </row>
    <row r="675" ht="15.0" customHeight="1">
      <c r="A675" s="134"/>
      <c r="B675" s="135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84"/>
    </row>
    <row r="676" ht="15.0" customHeight="1">
      <c r="A676" s="134"/>
      <c r="B676" s="135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84"/>
    </row>
    <row r="677" ht="15.0" customHeight="1">
      <c r="A677" s="134"/>
      <c r="B677" s="135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84"/>
    </row>
    <row r="678" ht="15.0" customHeight="1">
      <c r="A678" s="134"/>
      <c r="B678" s="135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84"/>
    </row>
    <row r="679" ht="15.0" customHeight="1">
      <c r="A679" s="134"/>
      <c r="B679" s="135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84"/>
    </row>
    <row r="680" ht="15.0" customHeight="1">
      <c r="A680" s="134"/>
      <c r="B680" s="135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84"/>
    </row>
    <row r="681" ht="15.0" customHeight="1">
      <c r="A681" s="134"/>
      <c r="B681" s="135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84"/>
    </row>
    <row r="682" ht="15.0" customHeight="1">
      <c r="A682" s="134"/>
      <c r="B682" s="135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84"/>
    </row>
    <row r="683" ht="15.0" customHeight="1">
      <c r="A683" s="134"/>
      <c r="B683" s="135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84"/>
    </row>
    <row r="684" ht="15.0" customHeight="1">
      <c r="A684" s="134"/>
      <c r="B684" s="135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84"/>
    </row>
    <row r="685" ht="15.0" customHeight="1">
      <c r="A685" s="134"/>
      <c r="B685" s="135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84"/>
    </row>
    <row r="686" ht="15.0" customHeight="1">
      <c r="A686" s="134"/>
      <c r="B686" s="135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84"/>
    </row>
    <row r="687" ht="15.0" customHeight="1">
      <c r="A687" s="134"/>
      <c r="B687" s="135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84"/>
    </row>
    <row r="688" ht="15.0" customHeight="1">
      <c r="A688" s="134"/>
      <c r="B688" s="135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84"/>
    </row>
    <row r="689" ht="15.0" customHeight="1">
      <c r="A689" s="134"/>
      <c r="B689" s="135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84"/>
    </row>
    <row r="690" ht="15.0" customHeight="1">
      <c r="A690" s="134"/>
      <c r="B690" s="135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84"/>
    </row>
    <row r="691" ht="15.0" customHeight="1">
      <c r="A691" s="134"/>
      <c r="B691" s="135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84"/>
    </row>
    <row r="692" ht="15.0" customHeight="1">
      <c r="A692" s="134"/>
      <c r="B692" s="135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84"/>
    </row>
    <row r="693" ht="15.0" customHeight="1">
      <c r="A693" s="134"/>
      <c r="B693" s="135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84"/>
    </row>
    <row r="694" ht="15.0" customHeight="1">
      <c r="A694" s="134"/>
      <c r="B694" s="135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84"/>
    </row>
    <row r="695" ht="15.0" customHeight="1">
      <c r="A695" s="134"/>
      <c r="B695" s="135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84"/>
    </row>
    <row r="696" ht="15.0" customHeight="1">
      <c r="A696" s="134"/>
      <c r="B696" s="135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84"/>
    </row>
    <row r="697" ht="15.0" customHeight="1">
      <c r="A697" s="134"/>
      <c r="B697" s="135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84"/>
    </row>
    <row r="698" ht="15.0" customHeight="1">
      <c r="A698" s="134"/>
      <c r="B698" s="135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84"/>
    </row>
    <row r="699" ht="15.0" customHeight="1">
      <c r="A699" s="134"/>
      <c r="B699" s="135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84"/>
    </row>
    <row r="700" ht="15.0" customHeight="1">
      <c r="A700" s="134"/>
      <c r="B700" s="135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84"/>
    </row>
    <row r="701" ht="15.0" customHeight="1">
      <c r="A701" s="134"/>
      <c r="B701" s="135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84"/>
    </row>
    <row r="702" ht="15.0" customHeight="1">
      <c r="A702" s="134"/>
      <c r="B702" s="135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84"/>
    </row>
    <row r="703" ht="15.0" customHeight="1">
      <c r="A703" s="134"/>
      <c r="B703" s="135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84"/>
    </row>
    <row r="704" ht="15.0" customHeight="1">
      <c r="A704" s="134"/>
      <c r="B704" s="135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84"/>
    </row>
    <row r="705" ht="15.0" customHeight="1">
      <c r="A705" s="134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84"/>
    </row>
    <row r="706" ht="15.0" customHeight="1">
      <c r="A706" s="134"/>
      <c r="B706" s="135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84"/>
    </row>
    <row r="707" ht="15.0" customHeight="1">
      <c r="A707" s="134"/>
      <c r="B707" s="135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84"/>
    </row>
    <row r="708" ht="15.0" customHeight="1">
      <c r="A708" s="134"/>
      <c r="B708" s="135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84"/>
    </row>
    <row r="709" ht="15.0" customHeight="1">
      <c r="A709" s="134"/>
      <c r="B709" s="135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84"/>
    </row>
    <row r="710" ht="15.0" customHeight="1">
      <c r="A710" s="134"/>
      <c r="B710" s="135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84"/>
    </row>
    <row r="711" ht="15.0" customHeight="1">
      <c r="A711" s="134"/>
      <c r="B711" s="135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84"/>
    </row>
    <row r="712" ht="15.0" customHeight="1">
      <c r="A712" s="134"/>
      <c r="B712" s="135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84"/>
    </row>
    <row r="713" ht="15.0" customHeight="1">
      <c r="A713" s="134"/>
      <c r="B713" s="135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84"/>
    </row>
    <row r="714" ht="15.0" customHeight="1">
      <c r="A714" s="134"/>
      <c r="B714" s="135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84"/>
    </row>
    <row r="715" ht="15.0" customHeight="1">
      <c r="A715" s="134"/>
      <c r="B715" s="135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84"/>
    </row>
    <row r="716" ht="15.0" customHeight="1">
      <c r="A716" s="134"/>
      <c r="B716" s="135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84"/>
    </row>
    <row r="717" ht="15.0" customHeight="1">
      <c r="A717" s="134"/>
      <c r="B717" s="135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84"/>
    </row>
    <row r="718" ht="15.0" customHeight="1">
      <c r="A718" s="134"/>
      <c r="B718" s="135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84"/>
    </row>
    <row r="719" ht="15.0" customHeight="1">
      <c r="A719" s="134"/>
      <c r="B719" s="135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84"/>
    </row>
    <row r="720" ht="15.0" customHeight="1">
      <c r="A720" s="134"/>
      <c r="B720" s="135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84"/>
    </row>
    <row r="721" ht="15.0" customHeight="1">
      <c r="A721" s="134"/>
      <c r="B721" s="135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84"/>
    </row>
    <row r="722" ht="15.0" customHeight="1">
      <c r="A722" s="134"/>
      <c r="B722" s="135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84"/>
    </row>
    <row r="723" ht="15.0" customHeight="1">
      <c r="A723" s="134"/>
      <c r="B723" s="135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84"/>
    </row>
    <row r="724" ht="15.0" customHeight="1">
      <c r="A724" s="134"/>
      <c r="B724" s="135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84"/>
    </row>
    <row r="725" ht="15.0" customHeight="1">
      <c r="A725" s="134"/>
      <c r="B725" s="135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84"/>
    </row>
    <row r="726" ht="15.0" customHeight="1">
      <c r="A726" s="134"/>
      <c r="B726" s="135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84"/>
    </row>
    <row r="727" ht="15.0" customHeight="1">
      <c r="A727" s="134"/>
      <c r="B727" s="135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84"/>
    </row>
    <row r="728" ht="15.0" customHeight="1">
      <c r="A728" s="134"/>
      <c r="B728" s="135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84"/>
    </row>
    <row r="729" ht="15.0" customHeight="1">
      <c r="A729" s="134"/>
      <c r="B729" s="135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84"/>
    </row>
    <row r="730" ht="15.0" customHeight="1">
      <c r="A730" s="134"/>
      <c r="B730" s="135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84"/>
    </row>
    <row r="731" ht="15.0" customHeight="1">
      <c r="A731" s="134"/>
      <c r="B731" s="135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84"/>
    </row>
    <row r="732" ht="15.0" customHeight="1">
      <c r="A732" s="134"/>
      <c r="B732" s="135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84"/>
    </row>
    <row r="733" ht="15.0" customHeight="1">
      <c r="A733" s="134"/>
      <c r="B733" s="135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84"/>
    </row>
    <row r="734" ht="15.0" customHeight="1">
      <c r="A734" s="134"/>
      <c r="B734" s="135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84"/>
    </row>
    <row r="735" ht="15.0" customHeight="1">
      <c r="A735" s="134"/>
      <c r="B735" s="135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84"/>
    </row>
    <row r="736" ht="15.0" customHeight="1">
      <c r="A736" s="134"/>
      <c r="B736" s="135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84"/>
    </row>
    <row r="737" ht="15.0" customHeight="1">
      <c r="A737" s="134"/>
      <c r="B737" s="135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84"/>
    </row>
    <row r="738" ht="15.0" customHeight="1">
      <c r="A738" s="134"/>
      <c r="B738" s="135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84"/>
    </row>
    <row r="739" ht="15.0" customHeight="1">
      <c r="A739" s="134"/>
      <c r="B739" s="135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84"/>
    </row>
    <row r="740" ht="15.0" customHeight="1">
      <c r="A740" s="134"/>
      <c r="B740" s="135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84"/>
    </row>
    <row r="741" ht="15.0" customHeight="1">
      <c r="A741" s="134"/>
      <c r="B741" s="135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84"/>
    </row>
    <row r="742" ht="15.0" customHeight="1">
      <c r="A742" s="134"/>
      <c r="B742" s="135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84"/>
    </row>
    <row r="743" ht="15.0" customHeight="1">
      <c r="A743" s="134"/>
      <c r="B743" s="135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84"/>
    </row>
    <row r="744" ht="15.0" customHeight="1">
      <c r="A744" s="134"/>
      <c r="B744" s="135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84"/>
    </row>
    <row r="745" ht="15.0" customHeight="1">
      <c r="A745" s="134"/>
      <c r="B745" s="135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84"/>
    </row>
    <row r="746" ht="15.0" customHeight="1">
      <c r="A746" s="134"/>
      <c r="B746" s="135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84"/>
    </row>
    <row r="747" ht="15.0" customHeight="1">
      <c r="A747" s="134"/>
      <c r="B747" s="135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84"/>
    </row>
    <row r="748" ht="15.0" customHeight="1">
      <c r="A748" s="134"/>
      <c r="B748" s="135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84"/>
    </row>
    <row r="749" ht="15.0" customHeight="1">
      <c r="A749" s="134"/>
      <c r="B749" s="135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84"/>
    </row>
    <row r="750" ht="15.0" customHeight="1">
      <c r="A750" s="134"/>
      <c r="B750" s="135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84"/>
    </row>
    <row r="751" ht="15.0" customHeight="1">
      <c r="A751" s="134"/>
      <c r="B751" s="135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84"/>
    </row>
    <row r="752" ht="15.0" customHeight="1">
      <c r="A752" s="134"/>
      <c r="B752" s="135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84"/>
    </row>
    <row r="753" ht="15.0" customHeight="1">
      <c r="A753" s="134"/>
      <c r="B753" s="135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84"/>
    </row>
    <row r="754" ht="15.0" customHeight="1">
      <c r="A754" s="134"/>
      <c r="B754" s="135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84"/>
    </row>
    <row r="755" ht="15.0" customHeight="1">
      <c r="A755" s="134"/>
      <c r="B755" s="135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84"/>
    </row>
    <row r="756" ht="15.0" customHeight="1">
      <c r="A756" s="134"/>
      <c r="B756" s="135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84"/>
    </row>
    <row r="757" ht="15.0" customHeight="1">
      <c r="A757" s="134"/>
      <c r="B757" s="135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84"/>
    </row>
    <row r="758" ht="15.0" customHeight="1">
      <c r="A758" s="134"/>
      <c r="B758" s="135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84"/>
    </row>
    <row r="759" ht="15.0" customHeight="1">
      <c r="A759" s="134"/>
      <c r="B759" s="135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84"/>
    </row>
    <row r="760" ht="15.0" customHeight="1">
      <c r="A760" s="134"/>
      <c r="B760" s="135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84"/>
    </row>
    <row r="761" ht="15.0" customHeight="1">
      <c r="A761" s="134"/>
      <c r="B761" s="135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84"/>
    </row>
    <row r="762" ht="15.0" customHeight="1">
      <c r="A762" s="134"/>
      <c r="B762" s="135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84"/>
    </row>
    <row r="763" ht="15.0" customHeight="1">
      <c r="A763" s="134"/>
      <c r="B763" s="135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84"/>
    </row>
    <row r="764" ht="15.0" customHeight="1">
      <c r="A764" s="134"/>
      <c r="B764" s="135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84"/>
    </row>
    <row r="765" ht="15.0" customHeight="1">
      <c r="A765" s="134"/>
      <c r="B765" s="135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84"/>
    </row>
    <row r="766" ht="15.0" customHeight="1">
      <c r="A766" s="134"/>
      <c r="B766" s="135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84"/>
    </row>
    <row r="767" ht="15.0" customHeight="1">
      <c r="A767" s="134"/>
      <c r="B767" s="135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84"/>
    </row>
    <row r="768" ht="15.0" customHeight="1">
      <c r="A768" s="134"/>
      <c r="B768" s="135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84"/>
    </row>
    <row r="769" ht="15.0" customHeight="1">
      <c r="A769" s="134"/>
      <c r="B769" s="135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84"/>
    </row>
    <row r="770" ht="15.0" customHeight="1">
      <c r="A770" s="134"/>
      <c r="B770" s="135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84"/>
    </row>
    <row r="771" ht="15.0" customHeight="1">
      <c r="A771" s="134"/>
      <c r="B771" s="135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84"/>
    </row>
    <row r="772" ht="15.0" customHeight="1">
      <c r="A772" s="134"/>
      <c r="B772" s="135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84"/>
    </row>
    <row r="773" ht="15.0" customHeight="1">
      <c r="A773" s="134"/>
      <c r="B773" s="135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84"/>
    </row>
    <row r="774" ht="15.0" customHeight="1">
      <c r="A774" s="134"/>
      <c r="B774" s="135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84"/>
    </row>
    <row r="775" ht="15.0" customHeight="1">
      <c r="A775" s="134"/>
      <c r="B775" s="135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84"/>
    </row>
    <row r="776" ht="15.0" customHeight="1">
      <c r="A776" s="134"/>
      <c r="B776" s="135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84"/>
    </row>
    <row r="777" ht="15.0" customHeight="1">
      <c r="A777" s="134"/>
      <c r="B777" s="135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84"/>
    </row>
    <row r="778" ht="15.0" customHeight="1">
      <c r="A778" s="134"/>
      <c r="B778" s="135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84"/>
    </row>
    <row r="779" ht="15.0" customHeight="1">
      <c r="A779" s="134"/>
      <c r="B779" s="135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84"/>
    </row>
    <row r="780" ht="15.0" customHeight="1">
      <c r="A780" s="134"/>
      <c r="B780" s="135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84"/>
    </row>
    <row r="781" ht="15.0" customHeight="1">
      <c r="A781" s="134"/>
      <c r="B781" s="135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84"/>
    </row>
    <row r="782" ht="15.0" customHeight="1">
      <c r="A782" s="134"/>
      <c r="B782" s="135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84"/>
    </row>
    <row r="783" ht="15.0" customHeight="1">
      <c r="A783" s="134"/>
      <c r="B783" s="135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84"/>
    </row>
    <row r="784" ht="15.0" customHeight="1">
      <c r="A784" s="134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84"/>
    </row>
    <row r="785" ht="15.0" customHeight="1">
      <c r="A785" s="134"/>
      <c r="B785" s="135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84"/>
    </row>
    <row r="786" ht="15.0" customHeight="1">
      <c r="A786" s="134"/>
      <c r="B786" s="135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84"/>
    </row>
    <row r="787" ht="15.0" customHeight="1">
      <c r="A787" s="134"/>
      <c r="B787" s="135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84"/>
    </row>
    <row r="788" ht="15.0" customHeight="1">
      <c r="A788" s="134"/>
      <c r="B788" s="135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84"/>
    </row>
    <row r="789" ht="15.0" customHeight="1">
      <c r="A789" s="134"/>
      <c r="B789" s="135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84"/>
    </row>
    <row r="790" ht="15.0" customHeight="1">
      <c r="A790" s="134"/>
      <c r="B790" s="135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84"/>
    </row>
    <row r="791" ht="15.0" customHeight="1">
      <c r="A791" s="134"/>
      <c r="B791" s="135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84"/>
    </row>
    <row r="792" ht="15.0" customHeight="1">
      <c r="A792" s="134"/>
      <c r="B792" s="135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84"/>
    </row>
    <row r="793" ht="15.0" customHeight="1">
      <c r="A793" s="134"/>
      <c r="B793" s="135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84"/>
    </row>
    <row r="794" ht="15.0" customHeight="1">
      <c r="A794" s="134"/>
      <c r="B794" s="135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84"/>
    </row>
    <row r="795" ht="15.0" customHeight="1">
      <c r="A795" s="134"/>
      <c r="B795" s="135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84"/>
    </row>
    <row r="796" ht="15.0" customHeight="1">
      <c r="A796" s="134"/>
      <c r="B796" s="135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84"/>
    </row>
    <row r="797" ht="15.0" customHeight="1">
      <c r="A797" s="134"/>
      <c r="B797" s="135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84"/>
    </row>
    <row r="798" ht="15.0" customHeight="1">
      <c r="A798" s="134"/>
      <c r="B798" s="135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84"/>
    </row>
    <row r="799" ht="15.0" customHeight="1">
      <c r="A799" s="134"/>
      <c r="B799" s="135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84"/>
    </row>
    <row r="800" ht="15.0" customHeight="1">
      <c r="A800" s="134"/>
      <c r="B800" s="135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84"/>
    </row>
    <row r="801" ht="15.0" customHeight="1">
      <c r="A801" s="134"/>
      <c r="B801" s="135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84"/>
    </row>
    <row r="802" ht="15.0" customHeight="1">
      <c r="A802" s="134"/>
      <c r="B802" s="135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84"/>
    </row>
    <row r="803" ht="15.0" customHeight="1">
      <c r="A803" s="134"/>
      <c r="B803" s="135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84"/>
    </row>
    <row r="804" ht="15.0" customHeight="1">
      <c r="A804" s="134"/>
      <c r="B804" s="135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84"/>
    </row>
    <row r="805" ht="15.0" customHeight="1">
      <c r="A805" s="134"/>
      <c r="B805" s="135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84"/>
    </row>
    <row r="806" ht="15.0" customHeight="1">
      <c r="A806" s="134"/>
      <c r="B806" s="135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84"/>
    </row>
    <row r="807" ht="15.0" customHeight="1">
      <c r="A807" s="134"/>
      <c r="B807" s="135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84"/>
    </row>
    <row r="808" ht="15.0" customHeight="1">
      <c r="A808" s="134"/>
      <c r="B808" s="135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84"/>
    </row>
    <row r="809" ht="15.0" customHeight="1">
      <c r="A809" s="134"/>
      <c r="B809" s="135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84"/>
    </row>
    <row r="810" ht="15.0" customHeight="1">
      <c r="A810" s="134"/>
      <c r="B810" s="135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84"/>
    </row>
    <row r="811" ht="15.0" customHeight="1">
      <c r="A811" s="134"/>
      <c r="B811" s="135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84"/>
    </row>
    <row r="812" ht="15.0" customHeight="1">
      <c r="A812" s="134"/>
      <c r="B812" s="135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84"/>
    </row>
    <row r="813" ht="15.0" customHeight="1">
      <c r="A813" s="134"/>
      <c r="B813" s="135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84"/>
    </row>
    <row r="814" ht="15.0" customHeight="1">
      <c r="A814" s="134"/>
      <c r="B814" s="135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84"/>
    </row>
    <row r="815" ht="15.0" customHeight="1">
      <c r="A815" s="134"/>
      <c r="B815" s="135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84"/>
    </row>
    <row r="816" ht="15.0" customHeight="1">
      <c r="A816" s="134"/>
      <c r="B816" s="135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84"/>
    </row>
    <row r="817" ht="15.0" customHeight="1">
      <c r="A817" s="134"/>
      <c r="B817" s="135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84"/>
    </row>
    <row r="818" ht="15.0" customHeight="1">
      <c r="A818" s="134"/>
      <c r="B818" s="135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84"/>
    </row>
    <row r="819" ht="15.0" customHeight="1">
      <c r="A819" s="134"/>
      <c r="B819" s="135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84"/>
    </row>
    <row r="820" ht="15.0" customHeight="1">
      <c r="A820" s="134"/>
      <c r="B820" s="135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84"/>
    </row>
    <row r="821" ht="15.0" customHeight="1">
      <c r="A821" s="134"/>
      <c r="B821" s="135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84"/>
    </row>
    <row r="822" ht="15.0" customHeight="1">
      <c r="A822" s="134"/>
      <c r="B822" s="135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84"/>
    </row>
    <row r="823" ht="15.0" customHeight="1">
      <c r="A823" s="134"/>
      <c r="B823" s="135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84"/>
    </row>
    <row r="824" ht="15.0" customHeight="1">
      <c r="A824" s="134"/>
      <c r="B824" s="135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84"/>
    </row>
    <row r="825" ht="15.0" customHeight="1">
      <c r="A825" s="134"/>
      <c r="B825" s="135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84"/>
    </row>
    <row r="826" ht="15.0" customHeight="1">
      <c r="A826" s="134"/>
      <c r="B826" s="135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84"/>
    </row>
    <row r="827" ht="15.0" customHeight="1">
      <c r="A827" s="134"/>
      <c r="B827" s="135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84"/>
    </row>
    <row r="828" ht="15.0" customHeight="1">
      <c r="A828" s="134"/>
      <c r="B828" s="135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84"/>
    </row>
    <row r="829" ht="15.0" customHeight="1">
      <c r="A829" s="134"/>
      <c r="B829" s="135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84"/>
    </row>
    <row r="830" ht="15.0" customHeight="1">
      <c r="A830" s="134"/>
      <c r="B830" s="135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84"/>
    </row>
    <row r="831" ht="15.0" customHeight="1">
      <c r="A831" s="134"/>
      <c r="B831" s="135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84"/>
    </row>
    <row r="832" ht="15.0" customHeight="1">
      <c r="A832" s="134"/>
      <c r="B832" s="135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84"/>
    </row>
    <row r="833" ht="15.0" customHeight="1">
      <c r="A833" s="134"/>
      <c r="B833" s="135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84"/>
    </row>
    <row r="834" ht="15.0" customHeight="1">
      <c r="A834" s="134"/>
      <c r="B834" s="135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84"/>
    </row>
    <row r="835" ht="15.0" customHeight="1">
      <c r="A835" s="134"/>
      <c r="B835" s="135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84"/>
    </row>
    <row r="836" ht="15.0" customHeight="1">
      <c r="A836" s="134"/>
      <c r="B836" s="135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84"/>
    </row>
    <row r="837" ht="15.0" customHeight="1">
      <c r="A837" s="134"/>
      <c r="B837" s="135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84"/>
    </row>
    <row r="838" ht="15.0" customHeight="1">
      <c r="A838" s="134"/>
      <c r="B838" s="135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84"/>
    </row>
    <row r="839" ht="15.0" customHeight="1">
      <c r="A839" s="134"/>
      <c r="B839" s="135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84"/>
    </row>
    <row r="840" ht="15.0" customHeight="1">
      <c r="A840" s="134"/>
      <c r="B840" s="135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84"/>
    </row>
    <row r="841" ht="15.0" customHeight="1">
      <c r="A841" s="134"/>
      <c r="B841" s="135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84"/>
    </row>
    <row r="842" ht="15.0" customHeight="1">
      <c r="A842" s="134"/>
      <c r="B842" s="135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84"/>
    </row>
    <row r="843" ht="15.0" customHeight="1">
      <c r="A843" s="134"/>
      <c r="B843" s="135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84"/>
    </row>
    <row r="844" ht="15.0" customHeight="1">
      <c r="A844" s="134"/>
      <c r="B844" s="135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84"/>
    </row>
    <row r="845" ht="15.0" customHeight="1">
      <c r="A845" s="134"/>
      <c r="B845" s="135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84"/>
    </row>
    <row r="846" ht="15.0" customHeight="1">
      <c r="A846" s="134"/>
      <c r="B846" s="135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84"/>
    </row>
    <row r="847" ht="15.0" customHeight="1">
      <c r="A847" s="134"/>
      <c r="B847" s="135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84"/>
    </row>
    <row r="848" ht="15.0" customHeight="1">
      <c r="A848" s="134"/>
      <c r="B848" s="135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84"/>
    </row>
    <row r="849" ht="15.0" customHeight="1">
      <c r="A849" s="134"/>
      <c r="B849" s="135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84"/>
    </row>
    <row r="850" ht="15.0" customHeight="1">
      <c r="A850" s="134"/>
      <c r="B850" s="135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84"/>
    </row>
    <row r="851" ht="15.0" customHeight="1">
      <c r="A851" s="134"/>
      <c r="B851" s="135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84"/>
    </row>
    <row r="852" ht="15.0" customHeight="1">
      <c r="A852" s="134"/>
      <c r="B852" s="135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84"/>
    </row>
    <row r="853" ht="15.0" customHeight="1">
      <c r="A853" s="134"/>
      <c r="B853" s="135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84"/>
    </row>
    <row r="854" ht="15.0" customHeight="1">
      <c r="A854" s="134"/>
      <c r="B854" s="135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84"/>
    </row>
    <row r="855" ht="15.0" customHeight="1">
      <c r="A855" s="134"/>
      <c r="B855" s="135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84"/>
    </row>
    <row r="856" ht="15.0" customHeight="1">
      <c r="A856" s="134"/>
      <c r="B856" s="135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84"/>
    </row>
    <row r="857" ht="15.0" customHeight="1">
      <c r="A857" s="134"/>
      <c r="B857" s="135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84"/>
    </row>
    <row r="858" ht="15.0" customHeight="1">
      <c r="A858" s="134"/>
      <c r="B858" s="135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84"/>
    </row>
    <row r="859" ht="15.0" customHeight="1">
      <c r="A859" s="134"/>
      <c r="B859" s="135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84"/>
    </row>
    <row r="860" ht="15.0" customHeight="1">
      <c r="A860" s="134"/>
      <c r="B860" s="135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84"/>
    </row>
    <row r="861" ht="15.0" customHeight="1">
      <c r="A861" s="134"/>
      <c r="B861" s="135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84"/>
    </row>
    <row r="862" ht="15.0" customHeight="1">
      <c r="A862" s="134"/>
      <c r="B862" s="135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84"/>
    </row>
    <row r="863" ht="15.0" customHeight="1">
      <c r="A863" s="134"/>
      <c r="B863" s="135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84"/>
    </row>
    <row r="864" ht="15.0" customHeight="1">
      <c r="A864" s="134"/>
      <c r="B864" s="135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84"/>
    </row>
    <row r="865" ht="15.0" customHeight="1">
      <c r="A865" s="134"/>
      <c r="B865" s="135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84"/>
    </row>
    <row r="866" ht="15.0" customHeight="1">
      <c r="A866" s="134"/>
      <c r="B866" s="135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84"/>
    </row>
    <row r="867" ht="15.0" customHeight="1">
      <c r="A867" s="134"/>
      <c r="B867" s="135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84"/>
    </row>
    <row r="868" ht="15.0" customHeight="1">
      <c r="A868" s="134"/>
      <c r="B868" s="135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84"/>
    </row>
    <row r="869" ht="15.0" customHeight="1">
      <c r="A869" s="134"/>
      <c r="B869" s="135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84"/>
    </row>
    <row r="870" ht="15.0" customHeight="1">
      <c r="A870" s="134"/>
      <c r="B870" s="135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84"/>
    </row>
    <row r="871" ht="15.0" customHeight="1">
      <c r="A871" s="134"/>
      <c r="B871" s="135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84"/>
    </row>
    <row r="872" ht="15.0" customHeight="1">
      <c r="A872" s="134"/>
      <c r="B872" s="135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84"/>
    </row>
    <row r="873" ht="15.0" customHeight="1">
      <c r="A873" s="134"/>
      <c r="B873" s="135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84"/>
    </row>
    <row r="874" ht="15.0" customHeight="1">
      <c r="A874" s="134"/>
      <c r="B874" s="135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84"/>
    </row>
    <row r="875" ht="15.0" customHeight="1">
      <c r="A875" s="134"/>
      <c r="B875" s="135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84"/>
    </row>
    <row r="876" ht="15.0" customHeight="1">
      <c r="A876" s="134"/>
      <c r="B876" s="135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84"/>
    </row>
    <row r="877" ht="15.0" customHeight="1">
      <c r="A877" s="134"/>
      <c r="B877" s="135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84"/>
    </row>
    <row r="878" ht="15.0" customHeight="1">
      <c r="A878" s="134"/>
      <c r="B878" s="135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84"/>
    </row>
    <row r="879" ht="15.0" customHeight="1">
      <c r="A879" s="134"/>
      <c r="B879" s="135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84"/>
    </row>
    <row r="880" ht="15.0" customHeight="1">
      <c r="A880" s="134"/>
      <c r="B880" s="135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84"/>
    </row>
    <row r="881" ht="15.0" customHeight="1">
      <c r="A881" s="134"/>
      <c r="B881" s="135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84"/>
    </row>
    <row r="882" ht="15.0" customHeight="1">
      <c r="A882" s="134"/>
      <c r="B882" s="135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84"/>
    </row>
    <row r="883" ht="15.0" customHeight="1">
      <c r="A883" s="134"/>
      <c r="B883" s="135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84"/>
    </row>
    <row r="884" ht="15.0" customHeight="1">
      <c r="A884" s="134"/>
      <c r="B884" s="135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84"/>
    </row>
    <row r="885" ht="15.0" customHeight="1">
      <c r="A885" s="134"/>
      <c r="B885" s="135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84"/>
    </row>
    <row r="886" ht="15.0" customHeight="1">
      <c r="A886" s="134"/>
      <c r="B886" s="135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84"/>
    </row>
    <row r="887" ht="15.0" customHeight="1">
      <c r="A887" s="134"/>
      <c r="B887" s="135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84"/>
    </row>
    <row r="888" ht="15.0" customHeight="1">
      <c r="A888" s="134"/>
      <c r="B888" s="135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84"/>
    </row>
    <row r="889" ht="15.0" customHeight="1">
      <c r="A889" s="134"/>
      <c r="B889" s="135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84"/>
    </row>
    <row r="890" ht="15.0" customHeight="1">
      <c r="A890" s="134"/>
      <c r="B890" s="135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84"/>
    </row>
    <row r="891" ht="15.0" customHeight="1">
      <c r="A891" s="134"/>
      <c r="B891" s="135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84"/>
    </row>
    <row r="892" ht="15.0" customHeight="1">
      <c r="A892" s="134"/>
      <c r="B892" s="135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84"/>
    </row>
    <row r="893" ht="15.0" customHeight="1">
      <c r="A893" s="134"/>
      <c r="B893" s="135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84"/>
    </row>
    <row r="894" ht="15.0" customHeight="1">
      <c r="A894" s="134"/>
      <c r="B894" s="135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84"/>
    </row>
    <row r="895" ht="15.0" customHeight="1">
      <c r="A895" s="134"/>
      <c r="B895" s="135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84"/>
    </row>
    <row r="896" ht="15.0" customHeight="1">
      <c r="A896" s="134"/>
      <c r="B896" s="135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84"/>
    </row>
    <row r="897" ht="15.0" customHeight="1">
      <c r="A897" s="134"/>
      <c r="B897" s="135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84"/>
    </row>
    <row r="898" ht="15.0" customHeight="1">
      <c r="A898" s="134"/>
      <c r="B898" s="135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84"/>
    </row>
    <row r="899" ht="15.0" customHeight="1">
      <c r="A899" s="134"/>
      <c r="B899" s="135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84"/>
    </row>
    <row r="900" ht="15.0" customHeight="1">
      <c r="A900" s="134"/>
      <c r="B900" s="135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84"/>
    </row>
    <row r="901" ht="15.0" customHeight="1">
      <c r="A901" s="134"/>
      <c r="B901" s="135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84"/>
    </row>
    <row r="902" ht="15.0" customHeight="1">
      <c r="A902" s="134"/>
      <c r="B902" s="135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84"/>
    </row>
    <row r="903" ht="15.0" customHeight="1">
      <c r="A903" s="134"/>
      <c r="B903" s="135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84"/>
    </row>
    <row r="904" ht="15.0" customHeight="1">
      <c r="A904" s="134"/>
      <c r="B904" s="135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84"/>
    </row>
    <row r="905" ht="15.0" customHeight="1">
      <c r="A905" s="134"/>
      <c r="B905" s="135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84"/>
    </row>
    <row r="906" ht="15.0" customHeight="1">
      <c r="A906" s="134"/>
      <c r="B906" s="135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84"/>
    </row>
    <row r="907" ht="15.0" customHeight="1">
      <c r="A907" s="134"/>
      <c r="B907" s="135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84"/>
    </row>
    <row r="908" ht="15.0" customHeight="1">
      <c r="A908" s="134"/>
      <c r="B908" s="135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84"/>
    </row>
    <row r="909" ht="15.0" customHeight="1">
      <c r="A909" s="134"/>
      <c r="B909" s="135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84"/>
    </row>
    <row r="910" ht="15.0" customHeight="1">
      <c r="A910" s="134"/>
      <c r="B910" s="135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84"/>
    </row>
    <row r="911" ht="15.0" customHeight="1">
      <c r="A911" s="134"/>
      <c r="B911" s="135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84"/>
    </row>
    <row r="912" ht="15.0" customHeight="1">
      <c r="A912" s="134"/>
      <c r="B912" s="135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84"/>
    </row>
    <row r="913" ht="15.0" customHeight="1">
      <c r="A913" s="134"/>
      <c r="B913" s="135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84"/>
    </row>
    <row r="914" ht="15.0" customHeight="1">
      <c r="A914" s="134"/>
      <c r="B914" s="135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84"/>
    </row>
    <row r="915" ht="15.0" customHeight="1">
      <c r="A915" s="134"/>
      <c r="B915" s="135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84"/>
    </row>
    <row r="916" ht="15.0" customHeight="1">
      <c r="A916" s="134"/>
      <c r="B916" s="135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84"/>
    </row>
    <row r="917" ht="15.0" customHeight="1">
      <c r="A917" s="134"/>
      <c r="B917" s="135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84"/>
    </row>
    <row r="918" ht="15.0" customHeight="1">
      <c r="A918" s="134"/>
      <c r="B918" s="135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84"/>
    </row>
    <row r="919" ht="15.0" customHeight="1">
      <c r="A919" s="134"/>
      <c r="B919" s="135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84"/>
    </row>
    <row r="920" ht="15.0" customHeight="1">
      <c r="A920" s="134"/>
      <c r="B920" s="135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84"/>
    </row>
    <row r="921" ht="15.0" customHeight="1">
      <c r="A921" s="134"/>
      <c r="B921" s="135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84"/>
    </row>
    <row r="922" ht="15.0" customHeight="1">
      <c r="A922" s="134"/>
      <c r="B922" s="135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84"/>
    </row>
    <row r="923" ht="15.0" customHeight="1">
      <c r="A923" s="134"/>
      <c r="B923" s="135"/>
      <c r="C923" s="135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84"/>
    </row>
    <row r="924" ht="15.0" customHeight="1">
      <c r="A924" s="134"/>
      <c r="B924" s="135"/>
      <c r="C924" s="135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84"/>
    </row>
    <row r="925" ht="15.0" customHeight="1">
      <c r="A925" s="134"/>
      <c r="B925" s="135"/>
      <c r="C925" s="135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84"/>
    </row>
    <row r="926" ht="15.0" customHeight="1">
      <c r="A926" s="134"/>
      <c r="B926" s="135"/>
      <c r="C926" s="135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84"/>
    </row>
    <row r="927" ht="15.0" customHeight="1">
      <c r="A927" s="134"/>
      <c r="B927" s="135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84"/>
    </row>
    <row r="928" ht="15.0" customHeight="1">
      <c r="A928" s="134"/>
      <c r="B928" s="135"/>
      <c r="C928" s="135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84"/>
    </row>
    <row r="929" ht="15.0" customHeight="1">
      <c r="A929" s="134"/>
      <c r="B929" s="135"/>
      <c r="C929" s="135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84"/>
    </row>
    <row r="930" ht="15.0" customHeight="1">
      <c r="A930" s="134"/>
      <c r="B930" s="135"/>
      <c r="C930" s="135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84"/>
    </row>
    <row r="931" ht="15.0" customHeight="1">
      <c r="A931" s="134"/>
      <c r="B931" s="135"/>
      <c r="C931" s="135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84"/>
    </row>
    <row r="932" ht="15.0" customHeight="1">
      <c r="A932" s="134"/>
      <c r="B932" s="135"/>
      <c r="C932" s="135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84"/>
    </row>
    <row r="933" ht="15.0" customHeight="1">
      <c r="A933" s="134"/>
      <c r="B933" s="135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84"/>
    </row>
    <row r="934" ht="15.0" customHeight="1">
      <c r="A934" s="134"/>
      <c r="B934" s="135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84"/>
    </row>
    <row r="935" ht="15.0" customHeight="1">
      <c r="A935" s="134"/>
      <c r="B935" s="135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84"/>
    </row>
    <row r="936" ht="15.0" customHeight="1">
      <c r="A936" s="134"/>
      <c r="B936" s="135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84"/>
    </row>
    <row r="937" ht="15.0" customHeight="1">
      <c r="A937" s="134"/>
      <c r="B937" s="135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84"/>
    </row>
    <row r="938" ht="15.0" customHeight="1">
      <c r="A938" s="134"/>
      <c r="B938" s="135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84"/>
    </row>
    <row r="939" ht="15.0" customHeight="1">
      <c r="A939" s="134"/>
      <c r="B939" s="135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84"/>
    </row>
    <row r="940" ht="15.0" customHeight="1">
      <c r="A940" s="134"/>
      <c r="B940" s="135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84"/>
    </row>
    <row r="941" ht="15.0" customHeight="1">
      <c r="A941" s="134"/>
      <c r="B941" s="135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84"/>
    </row>
    <row r="942" ht="15.0" customHeight="1">
      <c r="A942" s="134"/>
      <c r="B942" s="135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84"/>
    </row>
    <row r="943" ht="15.0" customHeight="1">
      <c r="A943" s="134"/>
      <c r="B943" s="135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84"/>
    </row>
    <row r="944" ht="15.0" customHeight="1">
      <c r="A944" s="134"/>
      <c r="B944" s="135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84"/>
    </row>
    <row r="945" ht="15.0" customHeight="1">
      <c r="A945" s="134"/>
      <c r="B945" s="135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84"/>
    </row>
    <row r="946" ht="15.0" customHeight="1">
      <c r="A946" s="134"/>
      <c r="B946" s="135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84"/>
    </row>
    <row r="947" ht="15.0" customHeight="1">
      <c r="A947" s="134"/>
      <c r="B947" s="135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84"/>
    </row>
    <row r="948" ht="15.0" customHeight="1">
      <c r="A948" s="134"/>
      <c r="B948" s="135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84"/>
    </row>
    <row r="949" ht="15.0" customHeight="1">
      <c r="A949" s="134"/>
      <c r="B949" s="135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84"/>
    </row>
    <row r="950" ht="15.0" customHeight="1">
      <c r="A950" s="134"/>
      <c r="B950" s="135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84"/>
    </row>
    <row r="951" ht="15.0" customHeight="1">
      <c r="A951" s="134"/>
      <c r="B951" s="135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84"/>
    </row>
    <row r="952" ht="15.0" customHeight="1">
      <c r="A952" s="134"/>
      <c r="B952" s="135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84"/>
    </row>
    <row r="953" ht="15.0" customHeight="1">
      <c r="A953" s="134"/>
      <c r="B953" s="135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84"/>
    </row>
    <row r="954" ht="15.0" customHeight="1">
      <c r="A954" s="134"/>
      <c r="B954" s="135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84"/>
    </row>
    <row r="955" ht="15.0" customHeight="1">
      <c r="A955" s="134"/>
      <c r="B955" s="135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84"/>
    </row>
    <row r="956" ht="15.0" customHeight="1">
      <c r="A956" s="134"/>
      <c r="B956" s="135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84"/>
    </row>
    <row r="957" ht="15.0" customHeight="1">
      <c r="A957" s="134"/>
      <c r="B957" s="135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84"/>
    </row>
    <row r="958" ht="15.0" customHeight="1">
      <c r="A958" s="134"/>
      <c r="B958" s="135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84"/>
    </row>
    <row r="959" ht="15.0" customHeight="1">
      <c r="A959" s="134"/>
      <c r="B959" s="135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84"/>
    </row>
    <row r="960" ht="15.0" customHeight="1">
      <c r="A960" s="134"/>
      <c r="B960" s="135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84"/>
    </row>
    <row r="961" ht="15.0" customHeight="1">
      <c r="A961" s="134"/>
      <c r="B961" s="135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84"/>
    </row>
    <row r="962" ht="15.0" customHeight="1">
      <c r="A962" s="134"/>
      <c r="B962" s="135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84"/>
    </row>
    <row r="963" ht="15.0" customHeight="1">
      <c r="A963" s="134"/>
      <c r="B963" s="135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84"/>
    </row>
    <row r="964" ht="15.0" customHeight="1">
      <c r="A964" s="134"/>
      <c r="B964" s="135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84"/>
    </row>
    <row r="965" ht="15.0" customHeight="1">
      <c r="A965" s="134"/>
      <c r="B965" s="135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84"/>
    </row>
    <row r="966" ht="15.0" customHeight="1">
      <c r="A966" s="134"/>
      <c r="B966" s="135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84"/>
    </row>
    <row r="967" ht="15.0" customHeight="1">
      <c r="A967" s="134"/>
      <c r="B967" s="135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84"/>
    </row>
    <row r="968" ht="15.0" customHeight="1">
      <c r="A968" s="134"/>
      <c r="B968" s="135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84"/>
    </row>
    <row r="969" ht="15.0" customHeight="1">
      <c r="A969" s="134"/>
      <c r="B969" s="135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84"/>
    </row>
    <row r="970" ht="15.0" customHeight="1">
      <c r="A970" s="134"/>
      <c r="B970" s="135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84"/>
    </row>
    <row r="971" ht="15.0" customHeight="1">
      <c r="A971" s="134"/>
      <c r="B971" s="135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84"/>
    </row>
    <row r="972" ht="15.0" customHeight="1">
      <c r="A972" s="134"/>
      <c r="B972" s="135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84"/>
    </row>
    <row r="973" ht="15.0" customHeight="1">
      <c r="A973" s="134"/>
      <c r="B973" s="135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84"/>
    </row>
    <row r="974" ht="15.0" customHeight="1">
      <c r="A974" s="134"/>
      <c r="B974" s="135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84"/>
    </row>
    <row r="975" ht="15.0" customHeight="1">
      <c r="A975" s="134"/>
      <c r="B975" s="135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84"/>
    </row>
    <row r="976" ht="15.0" customHeight="1">
      <c r="A976" s="134"/>
      <c r="B976" s="135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84"/>
    </row>
    <row r="977" ht="15.0" customHeight="1">
      <c r="A977" s="134"/>
      <c r="B977" s="135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84"/>
    </row>
    <row r="978" ht="15.0" customHeight="1">
      <c r="A978" s="134"/>
      <c r="B978" s="135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84"/>
    </row>
    <row r="979" ht="15.0" customHeight="1">
      <c r="A979" s="134"/>
      <c r="B979" s="135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84"/>
    </row>
    <row r="980" ht="15.0" customHeight="1">
      <c r="A980" s="134"/>
      <c r="B980" s="135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84"/>
    </row>
    <row r="981" ht="15.0" customHeight="1">
      <c r="A981" s="134"/>
      <c r="B981" s="135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84"/>
    </row>
    <row r="982" ht="15.0" customHeight="1">
      <c r="A982" s="134"/>
      <c r="B982" s="135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84"/>
    </row>
    <row r="983" ht="15.0" customHeight="1">
      <c r="A983" s="134"/>
      <c r="B983" s="135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84"/>
    </row>
    <row r="984" ht="15.0" customHeight="1">
      <c r="A984" s="134"/>
      <c r="B984" s="135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84"/>
    </row>
    <row r="985" ht="15.0" customHeight="1">
      <c r="A985" s="134"/>
      <c r="B985" s="135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84"/>
    </row>
    <row r="986" ht="15.0" customHeight="1">
      <c r="A986" s="134"/>
      <c r="B986" s="135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84"/>
    </row>
    <row r="987" ht="15.0" customHeight="1">
      <c r="A987" s="134"/>
      <c r="B987" s="135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84"/>
    </row>
    <row r="988" ht="15.0" customHeight="1">
      <c r="A988" s="134"/>
      <c r="B988" s="135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84"/>
    </row>
    <row r="989" ht="15.0" customHeight="1">
      <c r="A989" s="134"/>
      <c r="B989" s="135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84"/>
    </row>
    <row r="990" ht="15.0" customHeight="1">
      <c r="A990" s="134"/>
      <c r="B990" s="135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84"/>
    </row>
    <row r="991" ht="15.0" customHeight="1">
      <c r="A991" s="134"/>
      <c r="B991" s="135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84"/>
    </row>
    <row r="992" ht="15.0" customHeight="1">
      <c r="A992" s="134"/>
      <c r="B992" s="135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84"/>
    </row>
    <row r="993" ht="15.0" customHeight="1">
      <c r="A993" s="134"/>
      <c r="B993" s="135"/>
      <c r="C993" s="135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84"/>
    </row>
    <row r="994" ht="15.0" customHeight="1">
      <c r="A994" s="134"/>
      <c r="B994" s="135"/>
      <c r="C994" s="135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84"/>
    </row>
    <row r="995" ht="15.0" customHeight="1">
      <c r="A995" s="134"/>
      <c r="B995" s="135"/>
      <c r="C995" s="135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84"/>
    </row>
    <row r="996" ht="15.0" customHeight="1">
      <c r="A996" s="134"/>
      <c r="B996" s="135"/>
      <c r="C996" s="135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84"/>
    </row>
    <row r="997" ht="15.0" customHeight="1">
      <c r="A997" s="134"/>
      <c r="B997" s="135"/>
      <c r="C997" s="135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84"/>
    </row>
    <row r="998" ht="15.0" customHeight="1">
      <c r="A998" s="134"/>
      <c r="B998" s="135"/>
      <c r="C998" s="135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84"/>
    </row>
    <row r="999" ht="15.0" customHeight="1">
      <c r="A999" s="134"/>
      <c r="B999" s="135"/>
      <c r="C999" s="135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84"/>
    </row>
    <row r="1000" ht="15.0" customHeight="1">
      <c r="A1000" s="134"/>
      <c r="B1000" s="135"/>
      <c r="C1000" s="135"/>
      <c r="D1000" s="135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84"/>
    </row>
    <row r="1001" ht="15.0" customHeight="1">
      <c r="A1001" s="134"/>
      <c r="B1001" s="135"/>
      <c r="C1001" s="135"/>
      <c r="D1001" s="135"/>
      <c r="E1001" s="135"/>
      <c r="F1001" s="135"/>
      <c r="G1001" s="135"/>
      <c r="H1001" s="135"/>
      <c r="I1001" s="135"/>
      <c r="J1001" s="135"/>
      <c r="K1001" s="135"/>
      <c r="L1001" s="135"/>
      <c r="M1001" s="135"/>
      <c r="N1001" s="135"/>
      <c r="O1001" s="135"/>
      <c r="P1001" s="184"/>
    </row>
    <row r="1002" ht="15.0" customHeight="1">
      <c r="A1002" s="134"/>
      <c r="B1002" s="135"/>
      <c r="C1002" s="135"/>
      <c r="D1002" s="135"/>
      <c r="E1002" s="135"/>
      <c r="F1002" s="135"/>
      <c r="G1002" s="135"/>
      <c r="H1002" s="135"/>
      <c r="I1002" s="135"/>
      <c r="J1002" s="135"/>
      <c r="K1002" s="135"/>
      <c r="L1002" s="135"/>
      <c r="M1002" s="135"/>
      <c r="N1002" s="135"/>
      <c r="O1002" s="135"/>
      <c r="P1002" s="184"/>
    </row>
    <row r="1003" ht="15.0" customHeight="1">
      <c r="A1003" s="134"/>
      <c r="B1003" s="135"/>
      <c r="C1003" s="135"/>
      <c r="D1003" s="135"/>
      <c r="E1003" s="135"/>
      <c r="F1003" s="135"/>
      <c r="G1003" s="135"/>
      <c r="H1003" s="135"/>
      <c r="I1003" s="135"/>
      <c r="J1003" s="135"/>
      <c r="K1003" s="135"/>
      <c r="L1003" s="135"/>
      <c r="M1003" s="135"/>
      <c r="N1003" s="135"/>
      <c r="O1003" s="135"/>
      <c r="P1003" s="184"/>
    </row>
    <row r="1004" ht="15.0" customHeight="1">
      <c r="A1004" s="134"/>
      <c r="B1004" s="135"/>
      <c r="C1004" s="135"/>
      <c r="D1004" s="135"/>
      <c r="E1004" s="135"/>
      <c r="F1004" s="135"/>
      <c r="G1004" s="135"/>
      <c r="H1004" s="135"/>
      <c r="I1004" s="135"/>
      <c r="J1004" s="135"/>
      <c r="K1004" s="135"/>
      <c r="L1004" s="135"/>
      <c r="M1004" s="135"/>
      <c r="N1004" s="135"/>
      <c r="O1004" s="135"/>
      <c r="P1004" s="184"/>
    </row>
    <row r="1005" ht="15.0" customHeight="1">
      <c r="A1005" s="134"/>
      <c r="B1005" s="135"/>
      <c r="C1005" s="135"/>
      <c r="D1005" s="135"/>
      <c r="E1005" s="135"/>
      <c r="F1005" s="135"/>
      <c r="G1005" s="135"/>
      <c r="H1005" s="135"/>
      <c r="I1005" s="135"/>
      <c r="J1005" s="135"/>
      <c r="K1005" s="135"/>
      <c r="L1005" s="135"/>
      <c r="M1005" s="135"/>
      <c r="N1005" s="135"/>
      <c r="O1005" s="135"/>
      <c r="P1005" s="184"/>
    </row>
    <row r="1006" ht="15.0" customHeight="1">
      <c r="A1006" s="134"/>
      <c r="B1006" s="135"/>
      <c r="C1006" s="135"/>
      <c r="D1006" s="135"/>
      <c r="E1006" s="135"/>
      <c r="F1006" s="135"/>
      <c r="G1006" s="135"/>
      <c r="H1006" s="135"/>
      <c r="I1006" s="135"/>
      <c r="J1006" s="135"/>
      <c r="K1006" s="135"/>
      <c r="L1006" s="135"/>
      <c r="M1006" s="135"/>
      <c r="N1006" s="135"/>
      <c r="O1006" s="135"/>
      <c r="P1006" s="184"/>
    </row>
    <row r="1007" ht="15.0" customHeight="1">
      <c r="A1007" s="134"/>
      <c r="B1007" s="135"/>
      <c r="C1007" s="135"/>
      <c r="D1007" s="135"/>
      <c r="E1007" s="135"/>
      <c r="F1007" s="135"/>
      <c r="G1007" s="135"/>
      <c r="H1007" s="135"/>
      <c r="I1007" s="135"/>
      <c r="J1007" s="135"/>
      <c r="K1007" s="135"/>
      <c r="L1007" s="135"/>
      <c r="M1007" s="135"/>
      <c r="N1007" s="135"/>
      <c r="O1007" s="135"/>
      <c r="P1007" s="184"/>
    </row>
    <row r="1008" ht="15.0" customHeight="1">
      <c r="A1008" s="134"/>
      <c r="B1008" s="135"/>
      <c r="C1008" s="135"/>
      <c r="D1008" s="135"/>
      <c r="E1008" s="135"/>
      <c r="F1008" s="135"/>
      <c r="G1008" s="135"/>
      <c r="H1008" s="135"/>
      <c r="I1008" s="135"/>
      <c r="J1008" s="135"/>
      <c r="K1008" s="135"/>
      <c r="L1008" s="135"/>
      <c r="M1008" s="135"/>
      <c r="N1008" s="135"/>
      <c r="O1008" s="135"/>
      <c r="P1008" s="184"/>
    </row>
    <row r="1009" ht="15.0" customHeight="1">
      <c r="A1009" s="134"/>
      <c r="B1009" s="135"/>
      <c r="C1009" s="135"/>
      <c r="D1009" s="135"/>
      <c r="E1009" s="135"/>
      <c r="F1009" s="135"/>
      <c r="G1009" s="135"/>
      <c r="H1009" s="135"/>
      <c r="I1009" s="135"/>
      <c r="J1009" s="135"/>
      <c r="K1009" s="135"/>
      <c r="L1009" s="135"/>
      <c r="M1009" s="135"/>
      <c r="N1009" s="135"/>
      <c r="O1009" s="135"/>
      <c r="P1009" s="184"/>
    </row>
    <row r="1010" ht="15.0" customHeight="1">
      <c r="A1010" s="134"/>
      <c r="B1010" s="135"/>
      <c r="C1010" s="135"/>
      <c r="D1010" s="135"/>
      <c r="E1010" s="135"/>
      <c r="F1010" s="135"/>
      <c r="G1010" s="135"/>
      <c r="H1010" s="135"/>
      <c r="I1010" s="135"/>
      <c r="J1010" s="135"/>
      <c r="K1010" s="135"/>
      <c r="L1010" s="135"/>
      <c r="M1010" s="135"/>
      <c r="N1010" s="135"/>
      <c r="O1010" s="135"/>
      <c r="P1010" s="184"/>
    </row>
    <row r="1011" ht="15.0" customHeight="1">
      <c r="A1011" s="134"/>
      <c r="B1011" s="135"/>
      <c r="C1011" s="135"/>
      <c r="D1011" s="135"/>
      <c r="E1011" s="135"/>
      <c r="F1011" s="135"/>
      <c r="G1011" s="135"/>
      <c r="H1011" s="135"/>
      <c r="I1011" s="135"/>
      <c r="J1011" s="135"/>
      <c r="K1011" s="135"/>
      <c r="L1011" s="135"/>
      <c r="M1011" s="135"/>
      <c r="N1011" s="135"/>
      <c r="O1011" s="135"/>
      <c r="P1011" s="184"/>
    </row>
    <row r="1012" ht="15.0" customHeight="1">
      <c r="A1012" s="134"/>
      <c r="B1012" s="135"/>
      <c r="C1012" s="135"/>
      <c r="D1012" s="135"/>
      <c r="E1012" s="135"/>
      <c r="F1012" s="135"/>
      <c r="G1012" s="135"/>
      <c r="H1012" s="135"/>
      <c r="I1012" s="135"/>
      <c r="J1012" s="135"/>
      <c r="K1012" s="135"/>
      <c r="L1012" s="135"/>
      <c r="M1012" s="135"/>
      <c r="N1012" s="135"/>
      <c r="O1012" s="135"/>
      <c r="P1012" s="184"/>
    </row>
    <row r="1013" ht="15.0" customHeight="1">
      <c r="A1013" s="134"/>
      <c r="B1013" s="135"/>
      <c r="C1013" s="135"/>
      <c r="D1013" s="135"/>
      <c r="E1013" s="135"/>
      <c r="F1013" s="135"/>
      <c r="G1013" s="135"/>
      <c r="H1013" s="135"/>
      <c r="I1013" s="135"/>
      <c r="J1013" s="135"/>
      <c r="K1013" s="135"/>
      <c r="L1013" s="135"/>
      <c r="M1013" s="135"/>
      <c r="N1013" s="135"/>
      <c r="O1013" s="135"/>
      <c r="P1013" s="184"/>
    </row>
    <row r="1014" ht="15.0" customHeight="1">
      <c r="A1014" s="134"/>
      <c r="B1014" s="135"/>
      <c r="C1014" s="135"/>
      <c r="D1014" s="135"/>
      <c r="E1014" s="135"/>
      <c r="F1014" s="135"/>
      <c r="G1014" s="135"/>
      <c r="H1014" s="135"/>
      <c r="I1014" s="135"/>
      <c r="J1014" s="135"/>
      <c r="K1014" s="135"/>
      <c r="L1014" s="135"/>
      <c r="M1014" s="135"/>
      <c r="N1014" s="135"/>
      <c r="O1014" s="135"/>
      <c r="P1014" s="184"/>
    </row>
    <row r="1015" ht="15.0" customHeight="1">
      <c r="A1015" s="134"/>
      <c r="B1015" s="135"/>
      <c r="C1015" s="135"/>
      <c r="D1015" s="135"/>
      <c r="E1015" s="135"/>
      <c r="F1015" s="135"/>
      <c r="G1015" s="135"/>
      <c r="H1015" s="135"/>
      <c r="I1015" s="135"/>
      <c r="J1015" s="135"/>
      <c r="K1015" s="135"/>
      <c r="L1015" s="135"/>
      <c r="M1015" s="135"/>
      <c r="N1015" s="135"/>
      <c r="O1015" s="135"/>
      <c r="P1015" s="184"/>
    </row>
    <row r="1016" ht="15.0" customHeight="1">
      <c r="A1016" s="134"/>
      <c r="B1016" s="135"/>
      <c r="C1016" s="135"/>
      <c r="D1016" s="135"/>
      <c r="E1016" s="135"/>
      <c r="F1016" s="135"/>
      <c r="G1016" s="135"/>
      <c r="H1016" s="135"/>
      <c r="I1016" s="135"/>
      <c r="J1016" s="135"/>
      <c r="K1016" s="135"/>
      <c r="L1016" s="135"/>
      <c r="M1016" s="135"/>
      <c r="N1016" s="135"/>
      <c r="O1016" s="135"/>
      <c r="P1016" s="184"/>
    </row>
    <row r="1017" ht="15.0" customHeight="1">
      <c r="A1017" s="134"/>
      <c r="B1017" s="135"/>
      <c r="C1017" s="135"/>
      <c r="D1017" s="135"/>
      <c r="E1017" s="135"/>
      <c r="F1017" s="135"/>
      <c r="G1017" s="135"/>
      <c r="H1017" s="135"/>
      <c r="I1017" s="135"/>
      <c r="J1017" s="135"/>
      <c r="K1017" s="135"/>
      <c r="L1017" s="135"/>
      <c r="M1017" s="135"/>
      <c r="N1017" s="135"/>
      <c r="O1017" s="135"/>
      <c r="P1017" s="184"/>
    </row>
    <row r="1018" ht="15.0" customHeight="1">
      <c r="A1018" s="134"/>
      <c r="B1018" s="135"/>
      <c r="C1018" s="135"/>
      <c r="D1018" s="135"/>
      <c r="E1018" s="135"/>
      <c r="F1018" s="135"/>
      <c r="G1018" s="135"/>
      <c r="H1018" s="135"/>
      <c r="I1018" s="135"/>
      <c r="J1018" s="135"/>
      <c r="K1018" s="135"/>
      <c r="L1018" s="135"/>
      <c r="M1018" s="135"/>
      <c r="N1018" s="135"/>
      <c r="O1018" s="135"/>
      <c r="P1018" s="184"/>
    </row>
    <row r="1019" ht="15.0" customHeight="1">
      <c r="A1019" s="134"/>
      <c r="B1019" s="135"/>
      <c r="C1019" s="135"/>
      <c r="D1019" s="135"/>
      <c r="E1019" s="135"/>
      <c r="F1019" s="135"/>
      <c r="G1019" s="135"/>
      <c r="H1019" s="135"/>
      <c r="I1019" s="135"/>
      <c r="J1019" s="135"/>
      <c r="K1019" s="135"/>
      <c r="L1019" s="135"/>
      <c r="M1019" s="135"/>
      <c r="N1019" s="135"/>
      <c r="O1019" s="135"/>
      <c r="P1019" s="184"/>
    </row>
    <row r="1020" ht="15.0" customHeight="1">
      <c r="A1020" s="134"/>
      <c r="B1020" s="135"/>
      <c r="C1020" s="135"/>
      <c r="D1020" s="135"/>
      <c r="E1020" s="135"/>
      <c r="F1020" s="135"/>
      <c r="G1020" s="135"/>
      <c r="H1020" s="135"/>
      <c r="I1020" s="135"/>
      <c r="J1020" s="135"/>
      <c r="K1020" s="135"/>
      <c r="L1020" s="135"/>
      <c r="M1020" s="135"/>
      <c r="N1020" s="135"/>
      <c r="O1020" s="135"/>
      <c r="P1020" s="184"/>
    </row>
    <row r="1021" ht="15.0" customHeight="1">
      <c r="A1021" s="134"/>
      <c r="B1021" s="135"/>
      <c r="C1021" s="135"/>
      <c r="D1021" s="135"/>
      <c r="E1021" s="135"/>
      <c r="F1021" s="135"/>
      <c r="G1021" s="135"/>
      <c r="H1021" s="135"/>
      <c r="I1021" s="135"/>
      <c r="J1021" s="135"/>
      <c r="K1021" s="135"/>
      <c r="L1021" s="135"/>
      <c r="M1021" s="135"/>
      <c r="N1021" s="135"/>
      <c r="O1021" s="135"/>
      <c r="P1021" s="184"/>
    </row>
    <row r="1022" ht="15.0" customHeight="1">
      <c r="A1022" s="134"/>
      <c r="B1022" s="135"/>
      <c r="C1022" s="135"/>
      <c r="D1022" s="135"/>
      <c r="E1022" s="135"/>
      <c r="F1022" s="135"/>
      <c r="G1022" s="135"/>
      <c r="H1022" s="135"/>
      <c r="I1022" s="135"/>
      <c r="J1022" s="135"/>
      <c r="K1022" s="135"/>
      <c r="L1022" s="135"/>
      <c r="M1022" s="135"/>
      <c r="N1022" s="135"/>
      <c r="O1022" s="135"/>
      <c r="P1022" s="184"/>
    </row>
    <row r="1023" ht="15.0" customHeight="1">
      <c r="A1023" s="134"/>
      <c r="B1023" s="135"/>
      <c r="C1023" s="135"/>
      <c r="D1023" s="135"/>
      <c r="E1023" s="135"/>
      <c r="F1023" s="135"/>
      <c r="G1023" s="135"/>
      <c r="H1023" s="135"/>
      <c r="I1023" s="135"/>
      <c r="J1023" s="135"/>
      <c r="K1023" s="135"/>
      <c r="L1023" s="135"/>
      <c r="M1023" s="135"/>
      <c r="N1023" s="135"/>
      <c r="O1023" s="135"/>
      <c r="P1023" s="184"/>
    </row>
    <row r="1024" ht="15.0" customHeight="1">
      <c r="A1024" s="134"/>
      <c r="B1024" s="135"/>
      <c r="C1024" s="135"/>
      <c r="D1024" s="135"/>
      <c r="E1024" s="135"/>
      <c r="F1024" s="135"/>
      <c r="G1024" s="135"/>
      <c r="H1024" s="135"/>
      <c r="I1024" s="135"/>
      <c r="J1024" s="135"/>
      <c r="K1024" s="135"/>
      <c r="L1024" s="135"/>
      <c r="M1024" s="135"/>
      <c r="N1024" s="135"/>
      <c r="O1024" s="135"/>
      <c r="P1024" s="184"/>
    </row>
    <row r="1025" ht="15.0" customHeight="1">
      <c r="A1025" s="134"/>
      <c r="B1025" s="135"/>
      <c r="C1025" s="135"/>
      <c r="D1025" s="135"/>
      <c r="E1025" s="135"/>
      <c r="F1025" s="135"/>
      <c r="G1025" s="135"/>
      <c r="H1025" s="135"/>
      <c r="I1025" s="135"/>
      <c r="J1025" s="135"/>
      <c r="K1025" s="135"/>
      <c r="L1025" s="135"/>
      <c r="M1025" s="135"/>
      <c r="N1025" s="135"/>
      <c r="O1025" s="135"/>
      <c r="P1025" s="184"/>
    </row>
    <row r="1026" ht="15.0" customHeight="1">
      <c r="A1026" s="134"/>
      <c r="B1026" s="135"/>
      <c r="C1026" s="135"/>
      <c r="D1026" s="135"/>
      <c r="E1026" s="135"/>
      <c r="F1026" s="135"/>
      <c r="G1026" s="135"/>
      <c r="H1026" s="135"/>
      <c r="I1026" s="135"/>
      <c r="J1026" s="135"/>
      <c r="K1026" s="135"/>
      <c r="L1026" s="135"/>
      <c r="M1026" s="135"/>
      <c r="N1026" s="135"/>
      <c r="O1026" s="135"/>
      <c r="P1026" s="184"/>
    </row>
    <row r="1027" ht="15.0" customHeight="1">
      <c r="A1027" s="134"/>
      <c r="B1027" s="135"/>
      <c r="C1027" s="135"/>
      <c r="D1027" s="135"/>
      <c r="E1027" s="135"/>
      <c r="F1027" s="135"/>
      <c r="G1027" s="135"/>
      <c r="H1027" s="135"/>
      <c r="I1027" s="135"/>
      <c r="J1027" s="135"/>
      <c r="K1027" s="135"/>
      <c r="L1027" s="135"/>
      <c r="M1027" s="135"/>
      <c r="N1027" s="135"/>
      <c r="O1027" s="135"/>
      <c r="P1027" s="184"/>
    </row>
    <row r="1028" ht="15.0" customHeight="1">
      <c r="A1028" s="134"/>
      <c r="B1028" s="135"/>
      <c r="C1028" s="135"/>
      <c r="D1028" s="135"/>
      <c r="E1028" s="135"/>
      <c r="F1028" s="135"/>
      <c r="G1028" s="135"/>
      <c r="H1028" s="135"/>
      <c r="I1028" s="135"/>
      <c r="J1028" s="135"/>
      <c r="K1028" s="135"/>
      <c r="L1028" s="135"/>
      <c r="M1028" s="135"/>
      <c r="N1028" s="135"/>
      <c r="O1028" s="135"/>
      <c r="P1028" s="184"/>
    </row>
    <row r="1029" ht="15.0" customHeight="1">
      <c r="A1029" s="134"/>
      <c r="B1029" s="135"/>
      <c r="C1029" s="135"/>
      <c r="D1029" s="135"/>
      <c r="E1029" s="135"/>
      <c r="F1029" s="135"/>
      <c r="G1029" s="135"/>
      <c r="H1029" s="135"/>
      <c r="I1029" s="135"/>
      <c r="J1029" s="135"/>
      <c r="K1029" s="135"/>
      <c r="L1029" s="135"/>
      <c r="M1029" s="135"/>
      <c r="N1029" s="135"/>
      <c r="O1029" s="135"/>
      <c r="P1029" s="184"/>
    </row>
    <row r="1030" ht="15.0" customHeight="1">
      <c r="A1030" s="134"/>
      <c r="B1030" s="135"/>
      <c r="C1030" s="135"/>
      <c r="D1030" s="135"/>
      <c r="E1030" s="135"/>
      <c r="F1030" s="135"/>
      <c r="G1030" s="135"/>
      <c r="H1030" s="135"/>
      <c r="I1030" s="135"/>
      <c r="J1030" s="135"/>
      <c r="K1030" s="135"/>
      <c r="L1030" s="135"/>
      <c r="M1030" s="135"/>
      <c r="N1030" s="135"/>
      <c r="O1030" s="135"/>
      <c r="P1030" s="184"/>
    </row>
    <row r="1031" ht="15.0" customHeight="1">
      <c r="A1031" s="134"/>
      <c r="B1031" s="135"/>
      <c r="C1031" s="135"/>
      <c r="D1031" s="135"/>
      <c r="E1031" s="135"/>
      <c r="F1031" s="135"/>
      <c r="G1031" s="135"/>
      <c r="H1031" s="135"/>
      <c r="I1031" s="135"/>
      <c r="J1031" s="135"/>
      <c r="K1031" s="135"/>
      <c r="L1031" s="135"/>
      <c r="M1031" s="135"/>
      <c r="N1031" s="135"/>
      <c r="O1031" s="135"/>
      <c r="P1031" s="184"/>
    </row>
    <row r="1032" ht="15.0" customHeight="1">
      <c r="A1032" s="134"/>
      <c r="B1032" s="135"/>
      <c r="C1032" s="135"/>
      <c r="D1032" s="135"/>
      <c r="E1032" s="135"/>
      <c r="F1032" s="135"/>
      <c r="G1032" s="135"/>
      <c r="H1032" s="135"/>
      <c r="I1032" s="135"/>
      <c r="J1032" s="135"/>
      <c r="K1032" s="135"/>
      <c r="L1032" s="135"/>
      <c r="M1032" s="135"/>
      <c r="N1032" s="135"/>
      <c r="O1032" s="135"/>
      <c r="P1032" s="184"/>
    </row>
    <row r="1033" ht="15.0" customHeight="1">
      <c r="A1033" s="134"/>
      <c r="B1033" s="135"/>
      <c r="C1033" s="135"/>
      <c r="D1033" s="135"/>
      <c r="E1033" s="135"/>
      <c r="F1033" s="135"/>
      <c r="G1033" s="135"/>
      <c r="H1033" s="135"/>
      <c r="I1033" s="135"/>
      <c r="J1033" s="135"/>
      <c r="K1033" s="135"/>
      <c r="L1033" s="135"/>
      <c r="M1033" s="135"/>
      <c r="N1033" s="135"/>
      <c r="O1033" s="135"/>
      <c r="P1033" s="184"/>
    </row>
    <row r="1034" ht="15.0" customHeight="1">
      <c r="A1034" s="134"/>
      <c r="B1034" s="135"/>
      <c r="C1034" s="135"/>
      <c r="D1034" s="135"/>
      <c r="E1034" s="135"/>
      <c r="F1034" s="135"/>
      <c r="G1034" s="135"/>
      <c r="H1034" s="135"/>
      <c r="I1034" s="135"/>
      <c r="J1034" s="135"/>
      <c r="K1034" s="135"/>
      <c r="L1034" s="135"/>
      <c r="M1034" s="135"/>
      <c r="N1034" s="135"/>
      <c r="O1034" s="135"/>
      <c r="P1034" s="184"/>
    </row>
    <row r="1035" ht="15.0" customHeight="1">
      <c r="A1035" s="134"/>
      <c r="B1035" s="135"/>
      <c r="C1035" s="135"/>
      <c r="D1035" s="135"/>
      <c r="E1035" s="135"/>
      <c r="F1035" s="135"/>
      <c r="G1035" s="135"/>
      <c r="H1035" s="135"/>
      <c r="I1035" s="135"/>
      <c r="J1035" s="135"/>
      <c r="K1035" s="135"/>
      <c r="L1035" s="135"/>
      <c r="M1035" s="135"/>
      <c r="N1035" s="135"/>
      <c r="O1035" s="135"/>
      <c r="P1035" s="184"/>
    </row>
    <row r="1036" ht="15.0" customHeight="1">
      <c r="A1036" s="134"/>
      <c r="B1036" s="135"/>
      <c r="C1036" s="135"/>
      <c r="D1036" s="135"/>
      <c r="E1036" s="135"/>
      <c r="F1036" s="135"/>
      <c r="G1036" s="135"/>
      <c r="H1036" s="135"/>
      <c r="I1036" s="135"/>
      <c r="J1036" s="135"/>
      <c r="K1036" s="135"/>
      <c r="L1036" s="135"/>
      <c r="M1036" s="135"/>
      <c r="N1036" s="135"/>
      <c r="O1036" s="135"/>
      <c r="P1036" s="184"/>
    </row>
    <row r="1037" ht="15.0" customHeight="1">
      <c r="A1037" s="134"/>
      <c r="B1037" s="135"/>
      <c r="C1037" s="135"/>
      <c r="D1037" s="135"/>
      <c r="E1037" s="135"/>
      <c r="F1037" s="135"/>
      <c r="G1037" s="135"/>
      <c r="H1037" s="135"/>
      <c r="I1037" s="135"/>
      <c r="J1037" s="135"/>
      <c r="K1037" s="135"/>
      <c r="L1037" s="135"/>
      <c r="M1037" s="135"/>
      <c r="N1037" s="135"/>
      <c r="O1037" s="135"/>
      <c r="P1037" s="184"/>
    </row>
    <row r="1038" ht="15.0" customHeight="1">
      <c r="A1038" s="134"/>
      <c r="B1038" s="135"/>
      <c r="C1038" s="135"/>
      <c r="D1038" s="135"/>
      <c r="E1038" s="135"/>
      <c r="F1038" s="135"/>
      <c r="G1038" s="135"/>
      <c r="H1038" s="135"/>
      <c r="I1038" s="135"/>
      <c r="J1038" s="135"/>
      <c r="K1038" s="135"/>
      <c r="L1038" s="135"/>
      <c r="M1038" s="135"/>
      <c r="N1038" s="135"/>
      <c r="O1038" s="135"/>
      <c r="P1038" s="184"/>
    </row>
    <row r="1039" ht="15.0" customHeight="1">
      <c r="A1039" s="134"/>
      <c r="B1039" s="135"/>
      <c r="C1039" s="135"/>
      <c r="D1039" s="135"/>
      <c r="E1039" s="135"/>
      <c r="F1039" s="135"/>
      <c r="G1039" s="135"/>
      <c r="H1039" s="135"/>
      <c r="I1039" s="135"/>
      <c r="J1039" s="135"/>
      <c r="K1039" s="135"/>
      <c r="L1039" s="135"/>
      <c r="M1039" s="135"/>
      <c r="N1039" s="135"/>
      <c r="O1039" s="135"/>
      <c r="P1039" s="184"/>
    </row>
    <row r="1040" ht="15.0" customHeight="1">
      <c r="A1040" s="134"/>
      <c r="B1040" s="135"/>
      <c r="C1040" s="135"/>
      <c r="D1040" s="135"/>
      <c r="E1040" s="135"/>
      <c r="F1040" s="135"/>
      <c r="G1040" s="135"/>
      <c r="H1040" s="135"/>
      <c r="I1040" s="135"/>
      <c r="J1040" s="135"/>
      <c r="K1040" s="135"/>
      <c r="L1040" s="135"/>
      <c r="M1040" s="135"/>
      <c r="N1040" s="135"/>
      <c r="O1040" s="135"/>
      <c r="P1040" s="184"/>
    </row>
    <row r="1041" ht="15.0" customHeight="1">
      <c r="A1041" s="134"/>
      <c r="B1041" s="135"/>
      <c r="C1041" s="135"/>
      <c r="D1041" s="135"/>
      <c r="E1041" s="135"/>
      <c r="F1041" s="135"/>
      <c r="G1041" s="135"/>
      <c r="H1041" s="135"/>
      <c r="I1041" s="135"/>
      <c r="J1041" s="135"/>
      <c r="K1041" s="135"/>
      <c r="L1041" s="135"/>
      <c r="M1041" s="135"/>
      <c r="N1041" s="135"/>
      <c r="O1041" s="135"/>
      <c r="P1041" s="184"/>
    </row>
    <row r="1042" ht="15.0" customHeight="1">
      <c r="A1042" s="134"/>
      <c r="B1042" s="135"/>
      <c r="C1042" s="135"/>
      <c r="D1042" s="135"/>
      <c r="E1042" s="135"/>
      <c r="F1042" s="135"/>
      <c r="G1042" s="135"/>
      <c r="H1042" s="135"/>
      <c r="I1042" s="135"/>
      <c r="J1042" s="135"/>
      <c r="K1042" s="135"/>
      <c r="L1042" s="135"/>
      <c r="M1042" s="135"/>
      <c r="N1042" s="135"/>
      <c r="O1042" s="135"/>
      <c r="P1042" s="184"/>
    </row>
    <row r="1043" ht="15.0" customHeight="1">
      <c r="A1043" s="134"/>
      <c r="B1043" s="135"/>
      <c r="C1043" s="135"/>
      <c r="D1043" s="135"/>
      <c r="E1043" s="135"/>
      <c r="F1043" s="135"/>
      <c r="G1043" s="135"/>
      <c r="H1043" s="135"/>
      <c r="I1043" s="135"/>
      <c r="J1043" s="135"/>
      <c r="K1043" s="135"/>
      <c r="L1043" s="135"/>
      <c r="M1043" s="135"/>
      <c r="N1043" s="135"/>
      <c r="O1043" s="135"/>
      <c r="P1043" s="184"/>
    </row>
    <row r="1044" ht="15.0" customHeight="1">
      <c r="A1044" s="134"/>
      <c r="B1044" s="135"/>
      <c r="C1044" s="135"/>
      <c r="D1044" s="135"/>
      <c r="E1044" s="135"/>
      <c r="F1044" s="135"/>
      <c r="G1044" s="135"/>
      <c r="H1044" s="135"/>
      <c r="I1044" s="135"/>
      <c r="J1044" s="135"/>
      <c r="K1044" s="135"/>
      <c r="L1044" s="135"/>
      <c r="M1044" s="135"/>
      <c r="N1044" s="135"/>
      <c r="O1044" s="135"/>
      <c r="P1044" s="184"/>
    </row>
    <row r="1045" ht="15.0" customHeight="1">
      <c r="A1045" s="134"/>
      <c r="B1045" s="135"/>
      <c r="C1045" s="135"/>
      <c r="D1045" s="135"/>
      <c r="E1045" s="135"/>
      <c r="F1045" s="135"/>
      <c r="G1045" s="135"/>
      <c r="H1045" s="135"/>
      <c r="I1045" s="135"/>
      <c r="J1045" s="135"/>
      <c r="K1045" s="135"/>
      <c r="L1045" s="135"/>
      <c r="M1045" s="135"/>
      <c r="N1045" s="135"/>
      <c r="O1045" s="135"/>
      <c r="P1045" s="184"/>
    </row>
    <row r="1046" ht="15.0" customHeight="1">
      <c r="A1046" s="134"/>
      <c r="B1046" s="135"/>
      <c r="C1046" s="135"/>
      <c r="D1046" s="135"/>
      <c r="E1046" s="135"/>
      <c r="F1046" s="135"/>
      <c r="G1046" s="135"/>
      <c r="H1046" s="135"/>
      <c r="I1046" s="135"/>
      <c r="J1046" s="135"/>
      <c r="K1046" s="135"/>
      <c r="L1046" s="135"/>
      <c r="M1046" s="135"/>
      <c r="N1046" s="135"/>
      <c r="O1046" s="135"/>
      <c r="P1046" s="184"/>
    </row>
    <row r="1047" ht="15.0" customHeight="1">
      <c r="A1047" s="134"/>
      <c r="B1047" s="135"/>
      <c r="C1047" s="135"/>
      <c r="D1047" s="135"/>
      <c r="E1047" s="135"/>
      <c r="F1047" s="135"/>
      <c r="G1047" s="135"/>
      <c r="H1047" s="135"/>
      <c r="I1047" s="135"/>
      <c r="J1047" s="135"/>
      <c r="K1047" s="135"/>
      <c r="L1047" s="135"/>
      <c r="M1047" s="135"/>
      <c r="N1047" s="135"/>
      <c r="O1047" s="135"/>
      <c r="P1047" s="184"/>
    </row>
    <row r="1048" ht="15.0" customHeight="1">
      <c r="A1048" s="134"/>
      <c r="B1048" s="135"/>
      <c r="C1048" s="135"/>
      <c r="D1048" s="135"/>
      <c r="E1048" s="135"/>
      <c r="F1048" s="135"/>
      <c r="G1048" s="135"/>
      <c r="H1048" s="135"/>
      <c r="I1048" s="135"/>
      <c r="J1048" s="135"/>
      <c r="K1048" s="135"/>
      <c r="L1048" s="135"/>
      <c r="M1048" s="135"/>
      <c r="N1048" s="135"/>
      <c r="O1048" s="135"/>
      <c r="P1048" s="184"/>
    </row>
    <row r="1049" ht="15.0" customHeight="1">
      <c r="A1049" s="134"/>
      <c r="B1049" s="135"/>
      <c r="C1049" s="135"/>
      <c r="D1049" s="135"/>
      <c r="E1049" s="135"/>
      <c r="F1049" s="135"/>
      <c r="G1049" s="135"/>
      <c r="H1049" s="135"/>
      <c r="I1049" s="135"/>
      <c r="J1049" s="135"/>
      <c r="K1049" s="135"/>
      <c r="L1049" s="135"/>
      <c r="M1049" s="135"/>
      <c r="N1049" s="135"/>
      <c r="O1049" s="135"/>
      <c r="P1049" s="184"/>
    </row>
    <row r="1050" ht="15.0" customHeight="1">
      <c r="A1050" s="134"/>
      <c r="B1050" s="135"/>
      <c r="C1050" s="135"/>
      <c r="D1050" s="135"/>
      <c r="E1050" s="135"/>
      <c r="F1050" s="135"/>
      <c r="G1050" s="135"/>
      <c r="H1050" s="135"/>
      <c r="I1050" s="135"/>
      <c r="J1050" s="135"/>
      <c r="K1050" s="135"/>
      <c r="L1050" s="135"/>
      <c r="M1050" s="135"/>
      <c r="N1050" s="135"/>
      <c r="O1050" s="135"/>
      <c r="P1050" s="184"/>
    </row>
    <row r="1051" ht="15.0" customHeight="1">
      <c r="A1051" s="134"/>
      <c r="B1051" s="135"/>
      <c r="C1051" s="135"/>
      <c r="D1051" s="135"/>
      <c r="E1051" s="135"/>
      <c r="F1051" s="135"/>
      <c r="G1051" s="135"/>
      <c r="H1051" s="135"/>
      <c r="I1051" s="135"/>
      <c r="J1051" s="135"/>
      <c r="K1051" s="135"/>
      <c r="L1051" s="135"/>
      <c r="M1051" s="135"/>
      <c r="N1051" s="135"/>
      <c r="O1051" s="135"/>
      <c r="P1051" s="184"/>
    </row>
    <row r="1052" ht="15.0" customHeight="1">
      <c r="A1052" s="134"/>
      <c r="B1052" s="135"/>
      <c r="C1052" s="135"/>
      <c r="D1052" s="135"/>
      <c r="E1052" s="135"/>
      <c r="F1052" s="135"/>
      <c r="G1052" s="135"/>
      <c r="H1052" s="135"/>
      <c r="I1052" s="135"/>
      <c r="J1052" s="135"/>
      <c r="K1052" s="135"/>
      <c r="L1052" s="135"/>
      <c r="M1052" s="135"/>
      <c r="N1052" s="135"/>
      <c r="O1052" s="135"/>
      <c r="P1052" s="184"/>
    </row>
    <row r="1053" ht="15.0" customHeight="1">
      <c r="A1053" s="134"/>
      <c r="B1053" s="135"/>
      <c r="C1053" s="135"/>
      <c r="D1053" s="135"/>
      <c r="E1053" s="135"/>
      <c r="F1053" s="135"/>
      <c r="G1053" s="135"/>
      <c r="H1053" s="135"/>
      <c r="I1053" s="135"/>
      <c r="J1053" s="135"/>
      <c r="K1053" s="135"/>
      <c r="L1053" s="135"/>
      <c r="M1053" s="135"/>
      <c r="N1053" s="135"/>
      <c r="O1053" s="135"/>
      <c r="P1053" s="184"/>
    </row>
    <row r="1054" ht="15.0" customHeight="1">
      <c r="A1054" s="134"/>
      <c r="B1054" s="135"/>
      <c r="C1054" s="135"/>
      <c r="D1054" s="135"/>
      <c r="E1054" s="135"/>
      <c r="F1054" s="135"/>
      <c r="G1054" s="135"/>
      <c r="H1054" s="135"/>
      <c r="I1054" s="135"/>
      <c r="J1054" s="135"/>
      <c r="K1054" s="135"/>
      <c r="L1054" s="135"/>
      <c r="M1054" s="135"/>
      <c r="N1054" s="135"/>
      <c r="O1054" s="135"/>
      <c r="P1054" s="184"/>
    </row>
    <row r="1055" ht="15.0" customHeight="1">
      <c r="A1055" s="134"/>
      <c r="B1055" s="135"/>
      <c r="C1055" s="135"/>
      <c r="D1055" s="135"/>
      <c r="E1055" s="135"/>
      <c r="F1055" s="135"/>
      <c r="G1055" s="135"/>
      <c r="H1055" s="135"/>
      <c r="I1055" s="135"/>
      <c r="J1055" s="135"/>
      <c r="K1055" s="135"/>
      <c r="L1055" s="135"/>
      <c r="M1055" s="135"/>
      <c r="N1055" s="135"/>
      <c r="O1055" s="135"/>
      <c r="P1055" s="184"/>
    </row>
    <row r="1056" ht="15.0" customHeight="1">
      <c r="A1056" s="134"/>
      <c r="B1056" s="135"/>
      <c r="C1056" s="135"/>
      <c r="D1056" s="135"/>
      <c r="E1056" s="135"/>
      <c r="F1056" s="135"/>
      <c r="G1056" s="135"/>
      <c r="H1056" s="135"/>
      <c r="I1056" s="135"/>
      <c r="J1056" s="135"/>
      <c r="K1056" s="135"/>
      <c r="L1056" s="135"/>
      <c r="M1056" s="135"/>
      <c r="N1056" s="135"/>
      <c r="O1056" s="135"/>
      <c r="P1056" s="184"/>
    </row>
    <row r="1057" ht="15.0" customHeight="1">
      <c r="A1057" s="134"/>
      <c r="B1057" s="135"/>
      <c r="C1057" s="135"/>
      <c r="D1057" s="135"/>
      <c r="E1057" s="135"/>
      <c r="F1057" s="135"/>
      <c r="G1057" s="135"/>
      <c r="H1057" s="135"/>
      <c r="I1057" s="135"/>
      <c r="J1057" s="135"/>
      <c r="K1057" s="135"/>
      <c r="L1057" s="135"/>
      <c r="M1057" s="135"/>
      <c r="N1057" s="135"/>
      <c r="O1057" s="135"/>
      <c r="P1057" s="184"/>
    </row>
    <row r="1058" ht="15.0" customHeight="1">
      <c r="A1058" s="134"/>
      <c r="B1058" s="135"/>
      <c r="C1058" s="135"/>
      <c r="D1058" s="135"/>
      <c r="E1058" s="135"/>
      <c r="F1058" s="135"/>
      <c r="G1058" s="135"/>
      <c r="H1058" s="135"/>
      <c r="I1058" s="135"/>
      <c r="J1058" s="135"/>
      <c r="K1058" s="135"/>
      <c r="L1058" s="135"/>
      <c r="M1058" s="135"/>
      <c r="N1058" s="135"/>
      <c r="O1058" s="135"/>
      <c r="P1058" s="184"/>
    </row>
    <row r="1059" ht="15.0" customHeight="1">
      <c r="A1059" s="134"/>
      <c r="B1059" s="135"/>
      <c r="C1059" s="135"/>
      <c r="D1059" s="135"/>
      <c r="E1059" s="135"/>
      <c r="F1059" s="135"/>
      <c r="G1059" s="135"/>
      <c r="H1059" s="135"/>
      <c r="I1059" s="135"/>
      <c r="J1059" s="135"/>
      <c r="K1059" s="135"/>
      <c r="L1059" s="135"/>
      <c r="M1059" s="135"/>
      <c r="N1059" s="135"/>
      <c r="O1059" s="135"/>
      <c r="P1059" s="184"/>
    </row>
    <row r="1060" ht="15.0" customHeight="1">
      <c r="A1060" s="134"/>
      <c r="B1060" s="135"/>
      <c r="C1060" s="135"/>
      <c r="D1060" s="135"/>
      <c r="E1060" s="135"/>
      <c r="F1060" s="135"/>
      <c r="G1060" s="135"/>
      <c r="H1060" s="135"/>
      <c r="I1060" s="135"/>
      <c r="J1060" s="135"/>
      <c r="K1060" s="135"/>
      <c r="L1060" s="135"/>
      <c r="M1060" s="135"/>
      <c r="N1060" s="135"/>
      <c r="O1060" s="135"/>
      <c r="P1060" s="184"/>
    </row>
    <row r="1061" ht="15.0" customHeight="1">
      <c r="A1061" s="134"/>
      <c r="B1061" s="135"/>
      <c r="C1061" s="135"/>
      <c r="D1061" s="135"/>
      <c r="E1061" s="135"/>
      <c r="F1061" s="135"/>
      <c r="G1061" s="135"/>
      <c r="H1061" s="135"/>
      <c r="I1061" s="135"/>
      <c r="J1061" s="135"/>
      <c r="K1061" s="135"/>
      <c r="L1061" s="135"/>
      <c r="M1061" s="135"/>
      <c r="N1061" s="135"/>
      <c r="O1061" s="135"/>
      <c r="P1061" s="184"/>
    </row>
    <row r="1062" ht="15.0" customHeight="1">
      <c r="A1062" s="134"/>
      <c r="B1062" s="135"/>
      <c r="C1062" s="135"/>
      <c r="D1062" s="135"/>
      <c r="E1062" s="135"/>
      <c r="F1062" s="135"/>
      <c r="G1062" s="135"/>
      <c r="H1062" s="135"/>
      <c r="I1062" s="135"/>
      <c r="J1062" s="135"/>
      <c r="K1062" s="135"/>
      <c r="L1062" s="135"/>
      <c r="M1062" s="135"/>
      <c r="N1062" s="135"/>
      <c r="O1062" s="135"/>
      <c r="P1062" s="184"/>
    </row>
    <row r="1063" ht="15.0" customHeight="1">
      <c r="A1063" s="134"/>
      <c r="B1063" s="135"/>
      <c r="C1063" s="135"/>
      <c r="D1063" s="135"/>
      <c r="E1063" s="135"/>
      <c r="F1063" s="135"/>
      <c r="G1063" s="135"/>
      <c r="H1063" s="135"/>
      <c r="I1063" s="135"/>
      <c r="J1063" s="135"/>
      <c r="K1063" s="135"/>
      <c r="L1063" s="135"/>
      <c r="M1063" s="135"/>
      <c r="N1063" s="135"/>
      <c r="O1063" s="135"/>
      <c r="P1063" s="184"/>
    </row>
    <row r="1064" ht="15.0" customHeight="1">
      <c r="A1064" s="134"/>
      <c r="B1064" s="135"/>
      <c r="C1064" s="135"/>
      <c r="D1064" s="135"/>
      <c r="E1064" s="135"/>
      <c r="F1064" s="135"/>
      <c r="G1064" s="135"/>
      <c r="H1064" s="135"/>
      <c r="I1064" s="135"/>
      <c r="J1064" s="135"/>
      <c r="K1064" s="135"/>
      <c r="L1064" s="135"/>
      <c r="M1064" s="135"/>
      <c r="N1064" s="135"/>
      <c r="O1064" s="135"/>
      <c r="P1064" s="184"/>
    </row>
    <row r="1065" ht="15.0" customHeight="1">
      <c r="A1065" s="134"/>
      <c r="B1065" s="135"/>
      <c r="C1065" s="135"/>
      <c r="D1065" s="135"/>
      <c r="E1065" s="135"/>
      <c r="F1065" s="135"/>
      <c r="G1065" s="135"/>
      <c r="H1065" s="135"/>
      <c r="I1065" s="135"/>
      <c r="J1065" s="135"/>
      <c r="K1065" s="135"/>
      <c r="L1065" s="135"/>
      <c r="M1065" s="135"/>
      <c r="N1065" s="135"/>
      <c r="O1065" s="135"/>
      <c r="P1065" s="184"/>
    </row>
    <row r="1066" ht="15.0" customHeight="1">
      <c r="A1066" s="134"/>
      <c r="B1066" s="135"/>
      <c r="C1066" s="135"/>
      <c r="D1066" s="135"/>
      <c r="E1066" s="135"/>
      <c r="F1066" s="135"/>
      <c r="G1066" s="135"/>
      <c r="H1066" s="135"/>
      <c r="I1066" s="135"/>
      <c r="J1066" s="135"/>
      <c r="K1066" s="135"/>
      <c r="L1066" s="135"/>
      <c r="M1066" s="135"/>
      <c r="N1066" s="135"/>
      <c r="O1066" s="135"/>
      <c r="P1066" s="184"/>
    </row>
    <row r="1067" ht="15.0" customHeight="1">
      <c r="A1067" s="134"/>
      <c r="B1067" s="135"/>
      <c r="C1067" s="135"/>
      <c r="D1067" s="135"/>
      <c r="E1067" s="135"/>
      <c r="F1067" s="135"/>
      <c r="G1067" s="135"/>
      <c r="H1067" s="135"/>
      <c r="I1067" s="135"/>
      <c r="J1067" s="135"/>
      <c r="K1067" s="135"/>
      <c r="L1067" s="135"/>
      <c r="M1067" s="135"/>
      <c r="N1067" s="135"/>
      <c r="O1067" s="135"/>
      <c r="P1067" s="184"/>
    </row>
    <row r="1068" ht="15.0" customHeight="1">
      <c r="A1068" s="134"/>
      <c r="B1068" s="135"/>
      <c r="C1068" s="135"/>
      <c r="D1068" s="135"/>
      <c r="E1068" s="135"/>
      <c r="F1068" s="135"/>
      <c r="G1068" s="135"/>
      <c r="H1068" s="135"/>
      <c r="I1068" s="135"/>
      <c r="J1068" s="135"/>
      <c r="K1068" s="135"/>
      <c r="L1068" s="135"/>
      <c r="M1068" s="135"/>
      <c r="N1068" s="135"/>
      <c r="O1068" s="135"/>
      <c r="P1068" s="184"/>
    </row>
    <row r="1069" ht="15.0" customHeight="1">
      <c r="A1069" s="134"/>
      <c r="B1069" s="135"/>
      <c r="C1069" s="135"/>
      <c r="D1069" s="135"/>
      <c r="E1069" s="135"/>
      <c r="F1069" s="135"/>
      <c r="G1069" s="135"/>
      <c r="H1069" s="135"/>
      <c r="I1069" s="135"/>
      <c r="J1069" s="135"/>
      <c r="K1069" s="135"/>
      <c r="L1069" s="135"/>
      <c r="M1069" s="135"/>
      <c r="N1069" s="135"/>
      <c r="O1069" s="135"/>
      <c r="P1069" s="184"/>
    </row>
    <row r="1070" ht="15.0" customHeight="1">
      <c r="A1070" s="134"/>
      <c r="B1070" s="135"/>
      <c r="C1070" s="135"/>
      <c r="D1070" s="135"/>
      <c r="E1070" s="135"/>
      <c r="F1070" s="135"/>
      <c r="G1070" s="135"/>
      <c r="H1070" s="135"/>
      <c r="I1070" s="135"/>
      <c r="J1070" s="135"/>
      <c r="K1070" s="135"/>
      <c r="L1070" s="135"/>
      <c r="M1070" s="135"/>
      <c r="N1070" s="135"/>
      <c r="O1070" s="135"/>
      <c r="P1070" s="184"/>
    </row>
    <row r="1071" ht="15.0" customHeight="1">
      <c r="A1071" s="134"/>
      <c r="B1071" s="135"/>
      <c r="C1071" s="135"/>
      <c r="D1071" s="135"/>
      <c r="E1071" s="135"/>
      <c r="F1071" s="135"/>
      <c r="G1071" s="135"/>
      <c r="H1071" s="135"/>
      <c r="I1071" s="135"/>
      <c r="J1071" s="135"/>
      <c r="K1071" s="135"/>
      <c r="L1071" s="135"/>
      <c r="M1071" s="135"/>
      <c r="N1071" s="135"/>
      <c r="O1071" s="135"/>
      <c r="P1071" s="184"/>
    </row>
    <row r="1072" ht="15.0" customHeight="1">
      <c r="A1072" s="134"/>
      <c r="B1072" s="135"/>
      <c r="C1072" s="135"/>
      <c r="D1072" s="135"/>
      <c r="E1072" s="135"/>
      <c r="F1072" s="135"/>
      <c r="G1072" s="135"/>
      <c r="H1072" s="135"/>
      <c r="I1072" s="135"/>
      <c r="J1072" s="135"/>
      <c r="K1072" s="135"/>
      <c r="L1072" s="135"/>
      <c r="M1072" s="135"/>
      <c r="N1072" s="135"/>
      <c r="O1072" s="135"/>
      <c r="P1072" s="184"/>
    </row>
    <row r="1073" ht="15.0" customHeight="1">
      <c r="A1073" s="134"/>
      <c r="B1073" s="135"/>
      <c r="C1073" s="135"/>
      <c r="D1073" s="135"/>
      <c r="E1073" s="135"/>
      <c r="F1073" s="135"/>
      <c r="G1073" s="135"/>
      <c r="H1073" s="135"/>
      <c r="I1073" s="135"/>
      <c r="J1073" s="135"/>
      <c r="K1073" s="135"/>
      <c r="L1073" s="135"/>
      <c r="M1073" s="135"/>
      <c r="N1073" s="135"/>
      <c r="O1073" s="135"/>
      <c r="P1073" s="184"/>
    </row>
    <row r="1074" ht="15.0" customHeight="1">
      <c r="A1074" s="134"/>
      <c r="B1074" s="135"/>
      <c r="C1074" s="135"/>
      <c r="D1074" s="135"/>
      <c r="E1074" s="135"/>
      <c r="F1074" s="135"/>
      <c r="G1074" s="135"/>
      <c r="H1074" s="135"/>
      <c r="I1074" s="135"/>
      <c r="J1074" s="135"/>
      <c r="K1074" s="135"/>
      <c r="L1074" s="135"/>
      <c r="M1074" s="135"/>
      <c r="N1074" s="135"/>
      <c r="O1074" s="135"/>
      <c r="P1074" s="184"/>
    </row>
    <row r="1075" ht="15.0" customHeight="1">
      <c r="A1075" s="134"/>
      <c r="B1075" s="135"/>
      <c r="C1075" s="135"/>
      <c r="D1075" s="135"/>
      <c r="E1075" s="135"/>
      <c r="F1075" s="135"/>
      <c r="G1075" s="135"/>
      <c r="H1075" s="135"/>
      <c r="I1075" s="135"/>
      <c r="J1075" s="135"/>
      <c r="K1075" s="135"/>
      <c r="L1075" s="135"/>
      <c r="M1075" s="135"/>
      <c r="N1075" s="135"/>
      <c r="O1075" s="135"/>
      <c r="P1075" s="184"/>
    </row>
    <row r="1076" ht="15.0" customHeight="1">
      <c r="A1076" s="134"/>
      <c r="B1076" s="135"/>
      <c r="C1076" s="135"/>
      <c r="D1076" s="135"/>
      <c r="E1076" s="135"/>
      <c r="F1076" s="135"/>
      <c r="G1076" s="135"/>
      <c r="H1076" s="135"/>
      <c r="I1076" s="135"/>
      <c r="J1076" s="135"/>
      <c r="K1076" s="135"/>
      <c r="L1076" s="135"/>
      <c r="M1076" s="135"/>
      <c r="N1076" s="135"/>
      <c r="O1076" s="135"/>
      <c r="P1076" s="184"/>
    </row>
    <row r="1077" ht="15.0" customHeight="1">
      <c r="A1077" s="134"/>
      <c r="B1077" s="135"/>
      <c r="C1077" s="135"/>
      <c r="D1077" s="135"/>
      <c r="E1077" s="135"/>
      <c r="F1077" s="135"/>
      <c r="G1077" s="135"/>
      <c r="H1077" s="135"/>
      <c r="I1077" s="135"/>
      <c r="J1077" s="135"/>
      <c r="K1077" s="135"/>
      <c r="L1077" s="135"/>
      <c r="M1077" s="135"/>
      <c r="N1077" s="135"/>
      <c r="O1077" s="135"/>
      <c r="P1077" s="184"/>
    </row>
    <row r="1078" ht="15.0" customHeight="1">
      <c r="A1078" s="134"/>
      <c r="B1078" s="135"/>
      <c r="C1078" s="135"/>
      <c r="D1078" s="135"/>
      <c r="E1078" s="135"/>
      <c r="F1078" s="135"/>
      <c r="G1078" s="135"/>
      <c r="H1078" s="135"/>
      <c r="I1078" s="135"/>
      <c r="J1078" s="135"/>
      <c r="K1078" s="135"/>
      <c r="L1078" s="135"/>
      <c r="M1078" s="135"/>
      <c r="N1078" s="135"/>
      <c r="O1078" s="135"/>
      <c r="P1078" s="184"/>
    </row>
    <row r="1079" ht="15.0" customHeight="1">
      <c r="A1079" s="134"/>
      <c r="B1079" s="135"/>
      <c r="C1079" s="135"/>
      <c r="D1079" s="135"/>
      <c r="E1079" s="135"/>
      <c r="F1079" s="135"/>
      <c r="G1079" s="135"/>
      <c r="H1079" s="135"/>
      <c r="I1079" s="135"/>
      <c r="J1079" s="135"/>
      <c r="K1079" s="135"/>
      <c r="L1079" s="135"/>
      <c r="M1079" s="135"/>
      <c r="N1079" s="135"/>
      <c r="O1079" s="135"/>
      <c r="P1079" s="184"/>
    </row>
    <row r="1080" ht="15.0" customHeight="1">
      <c r="A1080" s="134"/>
      <c r="B1080" s="135"/>
      <c r="C1080" s="135"/>
      <c r="D1080" s="135"/>
      <c r="E1080" s="135"/>
      <c r="F1080" s="135"/>
      <c r="G1080" s="135"/>
      <c r="H1080" s="135"/>
      <c r="I1080" s="135"/>
      <c r="J1080" s="135"/>
      <c r="K1080" s="135"/>
      <c r="L1080" s="135"/>
      <c r="M1080" s="135"/>
      <c r="N1080" s="135"/>
      <c r="O1080" s="135"/>
      <c r="P1080" s="184"/>
    </row>
    <row r="1081" ht="15.0" customHeight="1">
      <c r="A1081" s="134"/>
      <c r="B1081" s="135"/>
      <c r="C1081" s="135"/>
      <c r="D1081" s="135"/>
      <c r="E1081" s="135"/>
      <c r="F1081" s="135"/>
      <c r="G1081" s="135"/>
      <c r="H1081" s="135"/>
      <c r="I1081" s="135"/>
      <c r="J1081" s="135"/>
      <c r="K1081" s="135"/>
      <c r="L1081" s="135"/>
      <c r="M1081" s="135"/>
      <c r="N1081" s="135"/>
      <c r="O1081" s="135"/>
      <c r="P1081" s="184"/>
    </row>
    <row r="1082" ht="15.0" customHeight="1">
      <c r="A1082" s="134"/>
      <c r="B1082" s="135"/>
      <c r="C1082" s="135"/>
      <c r="D1082" s="135"/>
      <c r="E1082" s="135"/>
      <c r="F1082" s="135"/>
      <c r="G1082" s="135"/>
      <c r="H1082" s="135"/>
      <c r="I1082" s="135"/>
      <c r="J1082" s="135"/>
      <c r="K1082" s="135"/>
      <c r="L1082" s="135"/>
      <c r="M1082" s="135"/>
      <c r="N1082" s="135"/>
      <c r="O1082" s="135"/>
      <c r="P1082" s="184"/>
    </row>
    <row r="1083" ht="15.0" customHeight="1">
      <c r="A1083" s="134"/>
      <c r="B1083" s="135"/>
      <c r="C1083" s="135"/>
      <c r="D1083" s="135"/>
      <c r="E1083" s="135"/>
      <c r="F1083" s="135"/>
      <c r="G1083" s="135"/>
      <c r="H1083" s="135"/>
      <c r="I1083" s="135"/>
      <c r="J1083" s="135"/>
      <c r="K1083" s="135"/>
      <c r="L1083" s="135"/>
      <c r="M1083" s="135"/>
      <c r="N1083" s="135"/>
      <c r="O1083" s="135"/>
      <c r="P1083" s="184"/>
    </row>
    <row r="1084" ht="15.0" customHeight="1">
      <c r="A1084" s="134"/>
      <c r="B1084" s="135"/>
      <c r="C1084" s="135"/>
      <c r="D1084" s="135"/>
      <c r="E1084" s="135"/>
      <c r="F1084" s="135"/>
      <c r="G1084" s="135"/>
      <c r="H1084" s="135"/>
      <c r="I1084" s="135"/>
      <c r="J1084" s="135"/>
      <c r="K1084" s="135"/>
      <c r="L1084" s="135"/>
      <c r="M1084" s="135"/>
      <c r="N1084" s="135"/>
      <c r="O1084" s="135"/>
      <c r="P1084" s="184"/>
    </row>
    <row r="1085" ht="15.0" customHeight="1">
      <c r="A1085" s="134"/>
      <c r="B1085" s="135"/>
      <c r="C1085" s="135"/>
      <c r="D1085" s="135"/>
      <c r="E1085" s="135"/>
      <c r="F1085" s="135"/>
      <c r="G1085" s="135"/>
      <c r="H1085" s="135"/>
      <c r="I1085" s="135"/>
      <c r="J1085" s="135"/>
      <c r="K1085" s="135"/>
      <c r="L1085" s="135"/>
      <c r="M1085" s="135"/>
      <c r="N1085" s="135"/>
      <c r="O1085" s="135"/>
      <c r="P1085" s="184"/>
    </row>
    <row r="1086" ht="15.0" customHeight="1">
      <c r="A1086" s="134"/>
      <c r="B1086" s="135"/>
      <c r="C1086" s="135"/>
      <c r="D1086" s="135"/>
      <c r="E1086" s="135"/>
      <c r="F1086" s="135"/>
      <c r="G1086" s="135"/>
      <c r="H1086" s="135"/>
      <c r="I1086" s="135"/>
      <c r="J1086" s="135"/>
      <c r="K1086" s="135"/>
      <c r="L1086" s="135"/>
      <c r="M1086" s="135"/>
      <c r="N1086" s="135"/>
      <c r="O1086" s="135"/>
      <c r="P1086" s="184"/>
    </row>
    <row r="1087" ht="15.0" customHeight="1">
      <c r="A1087" s="134"/>
      <c r="B1087" s="135"/>
      <c r="C1087" s="135"/>
      <c r="D1087" s="135"/>
      <c r="E1087" s="135"/>
      <c r="F1087" s="135"/>
      <c r="G1087" s="135"/>
      <c r="H1087" s="135"/>
      <c r="I1087" s="135"/>
      <c r="J1087" s="135"/>
      <c r="K1087" s="135"/>
      <c r="L1087" s="135"/>
      <c r="M1087" s="135"/>
      <c r="N1087" s="135"/>
      <c r="O1087" s="135"/>
      <c r="P1087" s="184"/>
    </row>
    <row r="1088" ht="15.0" customHeight="1">
      <c r="A1088" s="134"/>
      <c r="B1088" s="135"/>
      <c r="C1088" s="135"/>
      <c r="D1088" s="135"/>
      <c r="E1088" s="135"/>
      <c r="F1088" s="135"/>
      <c r="G1088" s="135"/>
      <c r="H1088" s="135"/>
      <c r="I1088" s="135"/>
      <c r="J1088" s="135"/>
      <c r="K1088" s="135"/>
      <c r="L1088" s="135"/>
      <c r="M1088" s="135"/>
      <c r="N1088" s="135"/>
      <c r="O1088" s="135"/>
      <c r="P1088" s="184"/>
    </row>
    <row r="1089" ht="15.0" customHeight="1">
      <c r="A1089" s="134"/>
      <c r="B1089" s="135"/>
      <c r="C1089" s="135"/>
      <c r="D1089" s="135"/>
      <c r="E1089" s="135"/>
      <c r="F1089" s="135"/>
      <c r="G1089" s="135"/>
      <c r="H1089" s="135"/>
      <c r="I1089" s="135"/>
      <c r="J1089" s="135"/>
      <c r="K1089" s="135"/>
      <c r="L1089" s="135"/>
      <c r="M1089" s="135"/>
      <c r="N1089" s="135"/>
      <c r="O1089" s="135"/>
      <c r="P1089" s="184"/>
    </row>
    <row r="1090" ht="15.0" customHeight="1">
      <c r="A1090" s="134"/>
      <c r="B1090" s="135"/>
      <c r="C1090" s="135"/>
      <c r="D1090" s="135"/>
      <c r="E1090" s="135"/>
      <c r="F1090" s="135"/>
      <c r="G1090" s="135"/>
      <c r="H1090" s="135"/>
      <c r="I1090" s="135"/>
      <c r="J1090" s="135"/>
      <c r="K1090" s="135"/>
      <c r="L1090" s="135"/>
      <c r="M1090" s="135"/>
      <c r="N1090" s="135"/>
      <c r="O1090" s="135"/>
      <c r="P1090" s="184"/>
    </row>
    <row r="1091" ht="15.0" customHeight="1">
      <c r="A1091" s="134"/>
      <c r="B1091" s="135"/>
      <c r="C1091" s="135"/>
      <c r="D1091" s="135"/>
      <c r="E1091" s="135"/>
      <c r="F1091" s="135"/>
      <c r="G1091" s="135"/>
      <c r="H1091" s="135"/>
      <c r="I1091" s="135"/>
      <c r="J1091" s="135"/>
      <c r="K1091" s="135"/>
      <c r="L1091" s="135"/>
      <c r="M1091" s="135"/>
      <c r="N1091" s="135"/>
      <c r="O1091" s="135"/>
      <c r="P1091" s="184"/>
    </row>
    <row r="1092" ht="15.0" customHeight="1">
      <c r="A1092" s="134"/>
      <c r="B1092" s="135"/>
      <c r="C1092" s="135"/>
      <c r="D1092" s="135"/>
      <c r="E1092" s="135"/>
      <c r="F1092" s="135"/>
      <c r="G1092" s="135"/>
      <c r="H1092" s="135"/>
      <c r="I1092" s="135"/>
      <c r="J1092" s="135"/>
      <c r="K1092" s="135"/>
      <c r="L1092" s="135"/>
      <c r="M1092" s="135"/>
      <c r="N1092" s="135"/>
      <c r="O1092" s="135"/>
      <c r="P1092" s="184"/>
    </row>
    <row r="1093" ht="15.0" customHeight="1">
      <c r="A1093" s="134"/>
      <c r="B1093" s="135"/>
      <c r="C1093" s="135"/>
      <c r="D1093" s="135"/>
      <c r="E1093" s="135"/>
      <c r="F1093" s="135"/>
      <c r="G1093" s="135"/>
      <c r="H1093" s="135"/>
      <c r="I1093" s="135"/>
      <c r="J1093" s="135"/>
      <c r="K1093" s="135"/>
      <c r="L1093" s="135"/>
      <c r="M1093" s="135"/>
      <c r="N1093" s="135"/>
      <c r="O1093" s="135"/>
      <c r="P1093" s="184"/>
    </row>
    <row r="1094" ht="15.0" customHeight="1">
      <c r="A1094" s="134"/>
      <c r="B1094" s="135"/>
      <c r="C1094" s="135"/>
      <c r="D1094" s="135"/>
      <c r="E1094" s="135"/>
      <c r="F1094" s="135"/>
      <c r="G1094" s="135"/>
      <c r="H1094" s="135"/>
      <c r="I1094" s="135"/>
      <c r="J1094" s="135"/>
      <c r="K1094" s="135"/>
      <c r="L1094" s="135"/>
      <c r="M1094" s="135"/>
      <c r="N1094" s="135"/>
      <c r="O1094" s="135"/>
      <c r="P1094" s="184"/>
    </row>
    <row r="1095" ht="15.0" customHeight="1">
      <c r="A1095" s="134"/>
      <c r="B1095" s="135"/>
      <c r="C1095" s="135"/>
      <c r="D1095" s="135"/>
      <c r="E1095" s="135"/>
      <c r="F1095" s="135"/>
      <c r="G1095" s="135"/>
      <c r="H1095" s="135"/>
      <c r="I1095" s="135"/>
      <c r="J1095" s="135"/>
      <c r="K1095" s="135"/>
      <c r="L1095" s="135"/>
      <c r="M1095" s="135"/>
      <c r="N1095" s="135"/>
      <c r="O1095" s="135"/>
      <c r="P1095" s="184"/>
    </row>
    <row r="1096" ht="15.0" customHeight="1">
      <c r="A1096" s="134"/>
      <c r="B1096" s="135"/>
      <c r="C1096" s="135"/>
      <c r="D1096" s="135"/>
      <c r="E1096" s="135"/>
      <c r="F1096" s="135"/>
      <c r="G1096" s="135"/>
      <c r="H1096" s="135"/>
      <c r="I1096" s="135"/>
      <c r="J1096" s="135"/>
      <c r="K1096" s="135"/>
      <c r="L1096" s="135"/>
      <c r="M1096" s="135"/>
      <c r="N1096" s="135"/>
      <c r="O1096" s="135"/>
      <c r="P1096" s="184"/>
    </row>
    <row r="1097" ht="15.0" customHeight="1">
      <c r="A1097" s="134"/>
      <c r="B1097" s="135"/>
      <c r="C1097" s="135"/>
      <c r="D1097" s="135"/>
      <c r="E1097" s="135"/>
      <c r="F1097" s="135"/>
      <c r="G1097" s="135"/>
      <c r="H1097" s="135"/>
      <c r="I1097" s="135"/>
      <c r="J1097" s="135"/>
      <c r="K1097" s="135"/>
      <c r="L1097" s="135"/>
      <c r="M1097" s="135"/>
      <c r="N1097" s="135"/>
      <c r="O1097" s="135"/>
      <c r="P1097" s="184"/>
    </row>
    <row r="1098" ht="15.0" customHeight="1">
      <c r="A1098" s="134"/>
      <c r="B1098" s="135"/>
      <c r="C1098" s="135"/>
      <c r="D1098" s="135"/>
      <c r="E1098" s="135"/>
      <c r="F1098" s="135"/>
      <c r="G1098" s="135"/>
      <c r="H1098" s="135"/>
      <c r="I1098" s="135"/>
      <c r="J1098" s="135"/>
      <c r="K1098" s="135"/>
      <c r="L1098" s="135"/>
      <c r="M1098" s="135"/>
      <c r="N1098" s="135"/>
      <c r="O1098" s="135"/>
      <c r="P1098" s="184"/>
    </row>
    <row r="1099" ht="15.0" customHeight="1">
      <c r="A1099" s="134"/>
      <c r="B1099" s="135"/>
      <c r="C1099" s="135"/>
      <c r="D1099" s="135"/>
      <c r="E1099" s="135"/>
      <c r="F1099" s="135"/>
      <c r="G1099" s="135"/>
      <c r="H1099" s="135"/>
      <c r="I1099" s="135"/>
      <c r="J1099" s="135"/>
      <c r="K1099" s="135"/>
      <c r="L1099" s="135"/>
      <c r="M1099" s="135"/>
      <c r="N1099" s="135"/>
      <c r="O1099" s="135"/>
      <c r="P1099" s="184"/>
    </row>
    <row r="1100" ht="15.0" customHeight="1">
      <c r="A1100" s="134"/>
      <c r="B1100" s="135"/>
      <c r="C1100" s="135"/>
      <c r="D1100" s="135"/>
      <c r="E1100" s="135"/>
      <c r="F1100" s="135"/>
      <c r="G1100" s="135"/>
      <c r="H1100" s="135"/>
      <c r="I1100" s="135"/>
      <c r="J1100" s="135"/>
      <c r="K1100" s="135"/>
      <c r="L1100" s="135"/>
      <c r="M1100" s="135"/>
      <c r="N1100" s="135"/>
      <c r="O1100" s="135"/>
      <c r="P1100" s="184"/>
    </row>
    <row r="1101" ht="15.0" customHeight="1">
      <c r="A1101" s="134"/>
      <c r="B1101" s="135"/>
      <c r="C1101" s="135"/>
      <c r="D1101" s="135"/>
      <c r="E1101" s="135"/>
      <c r="F1101" s="135"/>
      <c r="G1101" s="135"/>
      <c r="H1101" s="135"/>
      <c r="I1101" s="135"/>
      <c r="J1101" s="135"/>
      <c r="K1101" s="135"/>
      <c r="L1101" s="135"/>
      <c r="M1101" s="135"/>
      <c r="N1101" s="135"/>
      <c r="O1101" s="135"/>
      <c r="P1101" s="184"/>
    </row>
    <row r="1102" ht="15.0" customHeight="1">
      <c r="A1102" s="134"/>
      <c r="B1102" s="135"/>
      <c r="C1102" s="135"/>
      <c r="D1102" s="135"/>
      <c r="E1102" s="135"/>
      <c r="F1102" s="135"/>
      <c r="G1102" s="135"/>
      <c r="H1102" s="135"/>
      <c r="I1102" s="135"/>
      <c r="J1102" s="135"/>
      <c r="K1102" s="135"/>
      <c r="L1102" s="135"/>
      <c r="M1102" s="135"/>
      <c r="N1102" s="135"/>
      <c r="O1102" s="135"/>
      <c r="P1102" s="184"/>
    </row>
    <row r="1103" ht="15.0" customHeight="1">
      <c r="A1103" s="134"/>
      <c r="B1103" s="135"/>
      <c r="C1103" s="135"/>
      <c r="D1103" s="135"/>
      <c r="E1103" s="135"/>
      <c r="F1103" s="135"/>
      <c r="G1103" s="135"/>
      <c r="H1103" s="135"/>
      <c r="I1103" s="135"/>
      <c r="J1103" s="135"/>
      <c r="K1103" s="135"/>
      <c r="L1103" s="135"/>
      <c r="M1103" s="135"/>
      <c r="N1103" s="135"/>
      <c r="O1103" s="135"/>
      <c r="P1103" s="184"/>
    </row>
    <row r="1104" ht="15.0" customHeight="1">
      <c r="A1104" s="134"/>
      <c r="B1104" s="135"/>
      <c r="C1104" s="135"/>
      <c r="D1104" s="135"/>
      <c r="E1104" s="135"/>
      <c r="F1104" s="135"/>
      <c r="G1104" s="135"/>
      <c r="H1104" s="135"/>
      <c r="I1104" s="135"/>
      <c r="J1104" s="135"/>
      <c r="K1104" s="135"/>
      <c r="L1104" s="135"/>
      <c r="M1104" s="135"/>
      <c r="N1104" s="135"/>
      <c r="O1104" s="135"/>
      <c r="P1104" s="184"/>
    </row>
    <row r="1105" ht="15.0" customHeight="1">
      <c r="A1105" s="134"/>
      <c r="B1105" s="135"/>
      <c r="C1105" s="135"/>
      <c r="D1105" s="135"/>
      <c r="E1105" s="135"/>
      <c r="F1105" s="135"/>
      <c r="G1105" s="135"/>
      <c r="H1105" s="135"/>
      <c r="I1105" s="135"/>
      <c r="J1105" s="135"/>
      <c r="K1105" s="135"/>
      <c r="L1105" s="135"/>
      <c r="M1105" s="135"/>
      <c r="N1105" s="135"/>
      <c r="O1105" s="135"/>
      <c r="P1105" s="184"/>
    </row>
    <row r="1106" ht="15.0" customHeight="1">
      <c r="A1106" s="134"/>
      <c r="B1106" s="135"/>
      <c r="C1106" s="135"/>
      <c r="D1106" s="135"/>
      <c r="E1106" s="135"/>
      <c r="F1106" s="135"/>
      <c r="G1106" s="135"/>
      <c r="H1106" s="135"/>
      <c r="I1106" s="135"/>
      <c r="J1106" s="135"/>
      <c r="K1106" s="135"/>
      <c r="L1106" s="135"/>
      <c r="M1106" s="135"/>
      <c r="N1106" s="135"/>
      <c r="O1106" s="135"/>
      <c r="P1106" s="184"/>
    </row>
    <row r="1107" ht="15.0" customHeight="1">
      <c r="A1107" s="134"/>
      <c r="B1107" s="135"/>
      <c r="C1107" s="135"/>
      <c r="D1107" s="135"/>
      <c r="E1107" s="135"/>
      <c r="F1107" s="135"/>
      <c r="G1107" s="135"/>
      <c r="H1107" s="135"/>
      <c r="I1107" s="135"/>
      <c r="J1107" s="135"/>
      <c r="K1107" s="135"/>
      <c r="L1107" s="135"/>
      <c r="M1107" s="135"/>
      <c r="N1107" s="135"/>
      <c r="O1107" s="135"/>
      <c r="P1107" s="184"/>
    </row>
    <row r="1108" ht="15.0" customHeight="1">
      <c r="A1108" s="134"/>
      <c r="B1108" s="135"/>
      <c r="C1108" s="135"/>
      <c r="D1108" s="135"/>
      <c r="E1108" s="135"/>
      <c r="F1108" s="135"/>
      <c r="G1108" s="135"/>
      <c r="H1108" s="135"/>
      <c r="I1108" s="135"/>
      <c r="J1108" s="135"/>
      <c r="K1108" s="135"/>
      <c r="L1108" s="135"/>
      <c r="M1108" s="135"/>
      <c r="N1108" s="135"/>
      <c r="O1108" s="135"/>
      <c r="P1108" s="184"/>
    </row>
    <row r="1109" ht="15.0" customHeight="1">
      <c r="A1109" s="134"/>
      <c r="B1109" s="135"/>
      <c r="C1109" s="135"/>
      <c r="D1109" s="135"/>
      <c r="E1109" s="135"/>
      <c r="F1109" s="135"/>
      <c r="G1109" s="135"/>
      <c r="H1109" s="135"/>
      <c r="I1109" s="135"/>
      <c r="J1109" s="135"/>
      <c r="K1109" s="135"/>
      <c r="L1109" s="135"/>
      <c r="M1109" s="135"/>
      <c r="N1109" s="135"/>
      <c r="O1109" s="135"/>
      <c r="P1109" s="184"/>
    </row>
    <row r="1110" ht="15.0" customHeight="1">
      <c r="A1110" s="134"/>
      <c r="B1110" s="135"/>
      <c r="C1110" s="135"/>
      <c r="D1110" s="135"/>
      <c r="E1110" s="135"/>
      <c r="F1110" s="135"/>
      <c r="G1110" s="135"/>
      <c r="H1110" s="135"/>
      <c r="I1110" s="135"/>
      <c r="J1110" s="135"/>
      <c r="K1110" s="135"/>
      <c r="L1110" s="135"/>
      <c r="M1110" s="135"/>
      <c r="N1110" s="135"/>
      <c r="O1110" s="135"/>
      <c r="P1110" s="184"/>
    </row>
    <row r="1111" ht="15.0" customHeight="1">
      <c r="A1111" s="134"/>
      <c r="B1111" s="135"/>
      <c r="C1111" s="135"/>
      <c r="D1111" s="135"/>
      <c r="E1111" s="135"/>
      <c r="F1111" s="135"/>
      <c r="G1111" s="135"/>
      <c r="H1111" s="135"/>
      <c r="I1111" s="135"/>
      <c r="J1111" s="135"/>
      <c r="K1111" s="135"/>
      <c r="L1111" s="135"/>
      <c r="M1111" s="135"/>
      <c r="N1111" s="135"/>
      <c r="O1111" s="135"/>
      <c r="P1111" s="184"/>
    </row>
    <row r="1112" ht="15.0" customHeight="1">
      <c r="A1112" s="134"/>
      <c r="B1112" s="135"/>
      <c r="C1112" s="135"/>
      <c r="D1112" s="135"/>
      <c r="E1112" s="135"/>
      <c r="F1112" s="135"/>
      <c r="G1112" s="135"/>
      <c r="H1112" s="135"/>
      <c r="I1112" s="135"/>
      <c r="J1112" s="135"/>
      <c r="K1112" s="135"/>
      <c r="L1112" s="135"/>
      <c r="M1112" s="135"/>
      <c r="N1112" s="135"/>
      <c r="O1112" s="135"/>
      <c r="P1112" s="184"/>
    </row>
    <row r="1113" ht="15.0" customHeight="1">
      <c r="A1113" s="134"/>
      <c r="B1113" s="135"/>
      <c r="C1113" s="135"/>
      <c r="D1113" s="135"/>
      <c r="E1113" s="135"/>
      <c r="F1113" s="135"/>
      <c r="G1113" s="135"/>
      <c r="H1113" s="135"/>
      <c r="I1113" s="135"/>
      <c r="J1113" s="135"/>
      <c r="K1113" s="135"/>
      <c r="L1113" s="135"/>
      <c r="M1113" s="135"/>
      <c r="N1113" s="135"/>
      <c r="O1113" s="135"/>
      <c r="P1113" s="184"/>
    </row>
    <row r="1114" ht="15.0" customHeight="1">
      <c r="A1114" s="134"/>
      <c r="B1114" s="135"/>
      <c r="C1114" s="135"/>
      <c r="D1114" s="135"/>
      <c r="E1114" s="135"/>
      <c r="F1114" s="135"/>
      <c r="G1114" s="135"/>
      <c r="H1114" s="135"/>
      <c r="I1114" s="135"/>
      <c r="J1114" s="135"/>
      <c r="K1114" s="135"/>
      <c r="L1114" s="135"/>
      <c r="M1114" s="135"/>
      <c r="N1114" s="135"/>
      <c r="O1114" s="135"/>
      <c r="P1114" s="184"/>
    </row>
    <row r="1115" ht="15.0" customHeight="1">
      <c r="A1115" s="134"/>
      <c r="B1115" s="135"/>
      <c r="C1115" s="135"/>
      <c r="D1115" s="135"/>
      <c r="E1115" s="135"/>
      <c r="F1115" s="135"/>
      <c r="G1115" s="135"/>
      <c r="H1115" s="135"/>
      <c r="I1115" s="135"/>
      <c r="J1115" s="135"/>
      <c r="K1115" s="135"/>
      <c r="L1115" s="135"/>
      <c r="M1115" s="135"/>
      <c r="N1115" s="135"/>
      <c r="O1115" s="135"/>
      <c r="P1115" s="184"/>
    </row>
    <row r="1116" ht="15.0" customHeight="1">
      <c r="A1116" s="134"/>
      <c r="B1116" s="135"/>
      <c r="C1116" s="135"/>
      <c r="D1116" s="135"/>
      <c r="E1116" s="135"/>
      <c r="F1116" s="135"/>
      <c r="G1116" s="135"/>
      <c r="H1116" s="135"/>
      <c r="I1116" s="135"/>
      <c r="J1116" s="135"/>
      <c r="K1116" s="135"/>
      <c r="L1116" s="135"/>
      <c r="M1116" s="135"/>
      <c r="N1116" s="135"/>
      <c r="O1116" s="135"/>
      <c r="P1116" s="184"/>
    </row>
    <row r="1117" ht="15.0" customHeight="1">
      <c r="A1117" s="134"/>
      <c r="B1117" s="135"/>
      <c r="C1117" s="135"/>
      <c r="D1117" s="135"/>
      <c r="E1117" s="135"/>
      <c r="F1117" s="135"/>
      <c r="G1117" s="135"/>
      <c r="H1117" s="135"/>
      <c r="I1117" s="135"/>
      <c r="J1117" s="135"/>
      <c r="K1117" s="135"/>
      <c r="L1117" s="135"/>
      <c r="M1117" s="135"/>
      <c r="N1117" s="135"/>
      <c r="O1117" s="135"/>
      <c r="P1117" s="184"/>
    </row>
    <row r="1118" ht="15.0" customHeight="1">
      <c r="A1118" s="134"/>
      <c r="B1118" s="135"/>
      <c r="C1118" s="135"/>
      <c r="D1118" s="135"/>
      <c r="E1118" s="135"/>
      <c r="F1118" s="135"/>
      <c r="G1118" s="135"/>
      <c r="H1118" s="135"/>
      <c r="I1118" s="135"/>
      <c r="J1118" s="135"/>
      <c r="K1118" s="135"/>
      <c r="L1118" s="135"/>
      <c r="M1118" s="135"/>
      <c r="N1118" s="135"/>
      <c r="O1118" s="135"/>
      <c r="P1118" s="184"/>
    </row>
    <row r="1119" ht="15.0" customHeight="1">
      <c r="A1119" s="134"/>
      <c r="B1119" s="135"/>
      <c r="C1119" s="135"/>
      <c r="D1119" s="135"/>
      <c r="E1119" s="135"/>
      <c r="F1119" s="135"/>
      <c r="G1119" s="135"/>
      <c r="H1119" s="135"/>
      <c r="I1119" s="135"/>
      <c r="J1119" s="135"/>
      <c r="K1119" s="135"/>
      <c r="L1119" s="135"/>
      <c r="M1119" s="135"/>
      <c r="N1119" s="135"/>
      <c r="O1119" s="135"/>
      <c r="P1119" s="184"/>
    </row>
    <row r="1120" ht="15.0" customHeight="1">
      <c r="A1120" s="134"/>
      <c r="B1120" s="135"/>
      <c r="C1120" s="135"/>
      <c r="D1120" s="135"/>
      <c r="E1120" s="135"/>
      <c r="F1120" s="135"/>
      <c r="G1120" s="135"/>
      <c r="H1120" s="135"/>
      <c r="I1120" s="135"/>
      <c r="J1120" s="135"/>
      <c r="K1120" s="135"/>
      <c r="L1120" s="135"/>
      <c r="M1120" s="135"/>
      <c r="N1120" s="135"/>
      <c r="O1120" s="135"/>
      <c r="P1120" s="184"/>
    </row>
    <row r="1121" ht="15.0" customHeight="1">
      <c r="A1121" s="134"/>
      <c r="B1121" s="135"/>
      <c r="C1121" s="135"/>
      <c r="D1121" s="135"/>
      <c r="E1121" s="135"/>
      <c r="F1121" s="135"/>
      <c r="G1121" s="135"/>
      <c r="H1121" s="135"/>
      <c r="I1121" s="135"/>
      <c r="J1121" s="135"/>
      <c r="K1121" s="135"/>
      <c r="L1121" s="135"/>
      <c r="M1121" s="135"/>
      <c r="N1121" s="135"/>
      <c r="O1121" s="135"/>
      <c r="P1121" s="184"/>
    </row>
  </sheetData>
  <mergeCells count="1">
    <mergeCell ref="A1:N1"/>
  </mergeCells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7.38"/>
    <col customWidth="1" min="2" max="13" width="9.75"/>
    <col customWidth="1" min="14" max="14" width="10.75"/>
  </cols>
  <sheetData>
    <row r="1" ht="13.5" customHeight="1">
      <c r="A1" s="76" t="s">
        <v>247</v>
      </c>
    </row>
    <row r="2" ht="13.5" customHeight="1">
      <c r="A2" s="16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ht="13.5" customHeight="1">
      <c r="A3" s="16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</row>
    <row r="4" ht="13.5" customHeight="1">
      <c r="A4" s="79" t="s">
        <v>14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</row>
    <row r="5" ht="13.5" customHeight="1">
      <c r="A5" s="15" t="s">
        <v>15</v>
      </c>
      <c r="B5" s="46">
        <f>FORMULAS!S49</f>
        <v>5003.174603</v>
      </c>
      <c r="C5" s="46">
        <f>FORMULAS!W49</f>
        <v>5003.174603</v>
      </c>
      <c r="D5" s="46">
        <f>FORMULAS!AA49</f>
        <v>5003.174603</v>
      </c>
      <c r="E5" s="46">
        <f>FORMULAS!AE49</f>
        <v>6721.705518</v>
      </c>
      <c r="F5" s="46">
        <f>FORMULAS!AI49</f>
        <v>9517.979751</v>
      </c>
      <c r="G5" s="46">
        <f>FORMULAS!AM49</f>
        <v>8675.536248</v>
      </c>
      <c r="H5" s="46">
        <f>FORMULAS!AQ49</f>
        <v>5886.971025</v>
      </c>
      <c r="I5" s="46">
        <f>FORMULAS!AU49</f>
        <v>5886.971025</v>
      </c>
      <c r="J5" s="46">
        <f>FORMULAS!AY49</f>
        <v>7436.173927</v>
      </c>
      <c r="K5" s="46">
        <f>FORMULAS!BC49</f>
        <v>7436.173927</v>
      </c>
      <c r="L5" s="46">
        <f>FORMULAS!BG49</f>
        <v>8675.536248</v>
      </c>
      <c r="M5" s="46">
        <f>FORMULAS!BK49</f>
        <v>8675.536248</v>
      </c>
      <c r="N5" s="17">
        <f t="shared" ref="N5:N12" si="1">SUM(B5:M5)</f>
        <v>83922.10772</v>
      </c>
    </row>
    <row r="6" ht="13.5" customHeight="1">
      <c r="A6" s="15" t="s">
        <v>123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17">
        <f t="shared" si="1"/>
        <v>0</v>
      </c>
    </row>
    <row r="7" ht="13.5" customHeight="1">
      <c r="A7" s="15" t="s">
        <v>17</v>
      </c>
      <c r="B7" s="46"/>
      <c r="C7" s="46"/>
      <c r="D7" s="46"/>
      <c r="E7" s="46"/>
      <c r="F7" s="87"/>
      <c r="G7" s="87"/>
      <c r="H7" s="87"/>
      <c r="I7" s="87"/>
      <c r="J7" s="87"/>
      <c r="K7" s="46"/>
      <c r="L7" s="46"/>
      <c r="M7" s="46"/>
      <c r="N7" s="17">
        <f t="shared" si="1"/>
        <v>0</v>
      </c>
    </row>
    <row r="8" ht="13.5" customHeight="1">
      <c r="A8" s="15" t="s">
        <v>18</v>
      </c>
      <c r="B8" s="46"/>
      <c r="C8" s="46"/>
      <c r="D8" s="46"/>
      <c r="E8" s="87"/>
      <c r="F8" s="46"/>
      <c r="G8" s="87"/>
      <c r="H8" s="87"/>
      <c r="I8" s="87"/>
      <c r="J8" s="87"/>
      <c r="K8" s="87"/>
      <c r="L8" s="87"/>
      <c r="M8" s="87"/>
      <c r="N8" s="17">
        <f t="shared" si="1"/>
        <v>0</v>
      </c>
    </row>
    <row r="9" ht="13.5" customHeight="1">
      <c r="A9" s="20" t="s">
        <v>168</v>
      </c>
      <c r="B9" s="46">
        <f>FORMULAS!S97</f>
        <v>446.7120181</v>
      </c>
      <c r="C9" s="46">
        <f>FORMULAS!W97</f>
        <v>446.7120181</v>
      </c>
      <c r="D9" s="46">
        <f>FORMULAS!AA97</f>
        <v>446.7120181</v>
      </c>
      <c r="E9" s="46">
        <f>FORMULAS!AE97</f>
        <v>2490.991272</v>
      </c>
      <c r="F9" s="46">
        <f>FORMULAS!AI97</f>
        <v>4340.198766</v>
      </c>
      <c r="G9" s="46">
        <f>FORMULAS!AM97</f>
        <v>3956.044529</v>
      </c>
      <c r="H9" s="46">
        <f>FORMULAS!AQ97</f>
        <v>2270.511772</v>
      </c>
      <c r="I9" s="46">
        <f>FORMULAS!AU97</f>
        <v>2270.511772</v>
      </c>
      <c r="J9" s="46">
        <f>FORMULAS!AY97</f>
        <v>3113.278151</v>
      </c>
      <c r="K9" s="46">
        <f>FORMULAS!BC97</f>
        <v>3113.278151</v>
      </c>
      <c r="L9" s="46">
        <f>FORMULAS!BG97</f>
        <v>3956.044529</v>
      </c>
      <c r="M9" s="46">
        <f>FORMULAS!BK97</f>
        <v>3956.044529</v>
      </c>
      <c r="N9" s="17">
        <f t="shared" si="1"/>
        <v>30807.03953</v>
      </c>
    </row>
    <row r="10" ht="13.5" customHeight="1">
      <c r="A10" s="19" t="s">
        <v>235</v>
      </c>
      <c r="B10" s="46">
        <f>FORMULAS!S73</f>
        <v>1919.372638</v>
      </c>
      <c r="C10" s="46">
        <f>FORMULAS!W73</f>
        <v>1406.428118</v>
      </c>
      <c r="D10" s="46">
        <f>FORMULAS!AA73</f>
        <v>2035.577324</v>
      </c>
      <c r="E10" s="46">
        <f>FORMULAS!AE73</f>
        <v>1831.519274</v>
      </c>
      <c r="F10" s="46">
        <f>FORMULAS!AI73</f>
        <v>0</v>
      </c>
      <c r="G10" s="46">
        <f>FORMULAS!AM73</f>
        <v>0</v>
      </c>
      <c r="H10" s="46">
        <f>FORMULAS!AQ73</f>
        <v>0</v>
      </c>
      <c r="I10" s="46">
        <f>FORMULAS!AU73</f>
        <v>0</v>
      </c>
      <c r="J10" s="46">
        <f>FORMULAS!AY73</f>
        <v>0</v>
      </c>
      <c r="K10" s="46">
        <f>FORMULAS!BC73</f>
        <v>1735.10725</v>
      </c>
      <c r="L10" s="46">
        <f>FORMULAS!BG73</f>
        <v>1735.10725</v>
      </c>
      <c r="M10" s="46">
        <f>FORMULAS!BK73</f>
        <v>1735.10725</v>
      </c>
      <c r="N10" s="17">
        <f t="shared" si="1"/>
        <v>12398.2191</v>
      </c>
    </row>
    <row r="11" ht="13.5" customHeight="1">
      <c r="A11" s="15" t="s">
        <v>21</v>
      </c>
      <c r="B11" s="87">
        <v>388.0</v>
      </c>
      <c r="C11" s="87">
        <v>426.88</v>
      </c>
      <c r="D11" s="87">
        <v>388.0</v>
      </c>
      <c r="E11" s="87">
        <v>388.0</v>
      </c>
      <c r="F11" s="87">
        <v>388.0</v>
      </c>
      <c r="G11" s="87">
        <v>388.0</v>
      </c>
      <c r="H11" s="87">
        <v>388.0</v>
      </c>
      <c r="I11" s="87">
        <v>388.0</v>
      </c>
      <c r="J11" s="87">
        <v>388.0</v>
      </c>
      <c r="K11" s="87">
        <v>388.0</v>
      </c>
      <c r="L11" s="87">
        <v>388.0</v>
      </c>
      <c r="M11" s="87">
        <v>388.0</v>
      </c>
      <c r="N11" s="17">
        <f t="shared" si="1"/>
        <v>4694.88</v>
      </c>
    </row>
    <row r="12" ht="13.5" customHeight="1">
      <c r="A12" s="15" t="s">
        <v>22</v>
      </c>
      <c r="B12" s="46">
        <f>PRODUCTION!P3</f>
        <v>700</v>
      </c>
      <c r="C12" s="46">
        <f>PRODUCTION!P4</f>
        <v>1370.6</v>
      </c>
      <c r="D12" s="46">
        <f>PRODUCTION!P5</f>
        <v>1370.6</v>
      </c>
      <c r="E12" s="46">
        <f>PRODUCTION!P6</f>
        <v>1370.6</v>
      </c>
      <c r="F12" s="46">
        <f>PRODUCTION!P7</f>
        <v>1370.6</v>
      </c>
      <c r="G12" s="46">
        <f>PRODUCTION!P8</f>
        <v>1370.6</v>
      </c>
      <c r="H12" s="46">
        <f>PRODUCTION!P9</f>
        <v>1370.6</v>
      </c>
      <c r="I12" s="46">
        <f>PRODUCTION!P10</f>
        <v>1370.6</v>
      </c>
      <c r="J12" s="46">
        <f>PRODUCTION!P11</f>
        <v>1370.6</v>
      </c>
      <c r="K12" s="46">
        <f>PRODUCTION!P12</f>
        <v>1370.6</v>
      </c>
      <c r="L12" s="46">
        <f>PRODUCTION!P13</f>
        <v>1370.6</v>
      </c>
      <c r="M12" s="46">
        <f>PRODUCTION!P14</f>
        <v>1370.6</v>
      </c>
      <c r="N12" s="17">
        <f t="shared" si="1"/>
        <v>15776.6</v>
      </c>
    </row>
    <row r="13" ht="13.5" customHeight="1">
      <c r="A13" s="21" t="s">
        <v>23</v>
      </c>
      <c r="B13" s="22">
        <f t="shared" ref="B13:N13" si="2">SUM(B5:B12)</f>
        <v>8457.259259</v>
      </c>
      <c r="C13" s="22">
        <f t="shared" si="2"/>
        <v>8653.794739</v>
      </c>
      <c r="D13" s="22">
        <f t="shared" si="2"/>
        <v>9244.063946</v>
      </c>
      <c r="E13" s="22">
        <f t="shared" si="2"/>
        <v>12802.81606</v>
      </c>
      <c r="F13" s="22">
        <f t="shared" si="2"/>
        <v>15616.77852</v>
      </c>
      <c r="G13" s="22">
        <f t="shared" si="2"/>
        <v>14390.18078</v>
      </c>
      <c r="H13" s="22">
        <f t="shared" si="2"/>
        <v>9916.082797</v>
      </c>
      <c r="I13" s="22">
        <f t="shared" si="2"/>
        <v>9916.082797</v>
      </c>
      <c r="J13" s="22">
        <f t="shared" si="2"/>
        <v>12308.05208</v>
      </c>
      <c r="K13" s="22">
        <f t="shared" si="2"/>
        <v>14043.15933</v>
      </c>
      <c r="L13" s="22">
        <f t="shared" si="2"/>
        <v>16125.28803</v>
      </c>
      <c r="M13" s="22">
        <f t="shared" si="2"/>
        <v>16125.28803</v>
      </c>
      <c r="N13" s="22">
        <f t="shared" si="2"/>
        <v>147598.8464</v>
      </c>
    </row>
    <row r="14" ht="13.5" customHeight="1">
      <c r="A14" s="89" t="s">
        <v>24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83"/>
    </row>
    <row r="15" ht="13.5" customHeight="1">
      <c r="A15" s="35" t="s">
        <v>153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17">
        <f t="shared" ref="N15:N20" si="3">SUM(B15:M15)</f>
        <v>0</v>
      </c>
    </row>
    <row r="16" ht="13.5" customHeight="1">
      <c r="A16" s="35" t="s">
        <v>26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17">
        <f t="shared" si="3"/>
        <v>0</v>
      </c>
    </row>
    <row r="17" ht="13.5" customHeight="1">
      <c r="A17" s="3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17">
        <f t="shared" si="3"/>
        <v>0</v>
      </c>
    </row>
    <row r="18" ht="13.5" customHeight="1">
      <c r="A18" s="3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17">
        <f t="shared" si="3"/>
        <v>0</v>
      </c>
    </row>
    <row r="19" ht="13.5" customHeight="1">
      <c r="A19" s="27" t="s">
        <v>29</v>
      </c>
      <c r="B19" s="103"/>
      <c r="C19" s="103"/>
      <c r="D19" s="46"/>
      <c r="E19" s="87"/>
      <c r="F19" s="46"/>
      <c r="G19" s="46"/>
      <c r="H19" s="46"/>
      <c r="I19" s="46"/>
      <c r="J19" s="46"/>
      <c r="K19" s="46"/>
      <c r="L19" s="46"/>
      <c r="M19" s="46"/>
      <c r="N19" s="17">
        <f t="shared" si="3"/>
        <v>0</v>
      </c>
    </row>
    <row r="20" ht="13.5" customHeight="1">
      <c r="A20" s="3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17">
        <f t="shared" si="3"/>
        <v>0</v>
      </c>
    </row>
    <row r="21" ht="13.5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</row>
    <row r="22" ht="13.5" customHeight="1">
      <c r="A22" s="89" t="s">
        <v>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3"/>
    </row>
    <row r="23" ht="13.5" customHeight="1">
      <c r="A23" s="26" t="s">
        <v>31</v>
      </c>
      <c r="B23" s="87">
        <v>0.0</v>
      </c>
      <c r="C23" s="87">
        <v>0.0</v>
      </c>
      <c r="D23" s="87">
        <v>5358.0</v>
      </c>
      <c r="E23" s="87">
        <v>0.0</v>
      </c>
      <c r="F23" s="87">
        <v>0.0</v>
      </c>
      <c r="G23" s="87">
        <v>0.0</v>
      </c>
      <c r="H23" s="87">
        <v>0.0</v>
      </c>
      <c r="I23" s="87">
        <v>0.0</v>
      </c>
      <c r="J23" s="87">
        <v>0.0</v>
      </c>
      <c r="K23" s="87">
        <v>0.0</v>
      </c>
      <c r="L23" s="87">
        <v>0.0</v>
      </c>
      <c r="M23" s="87">
        <v>0.0</v>
      </c>
      <c r="N23" s="17">
        <f t="shared" ref="N23:N31" si="5">SUM(B23:M23)</f>
        <v>5358</v>
      </c>
    </row>
    <row r="24" ht="13.5" customHeight="1">
      <c r="A24" s="32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17">
        <f t="shared" si="5"/>
        <v>0</v>
      </c>
    </row>
    <row r="25" ht="13.5" customHeight="1">
      <c r="A25" s="15" t="s">
        <v>127</v>
      </c>
      <c r="B25" s="46"/>
      <c r="C25" s="46"/>
      <c r="D25" s="46"/>
      <c r="E25" s="46"/>
      <c r="F25" s="46"/>
      <c r="G25" s="46"/>
      <c r="H25" s="46"/>
      <c r="I25" s="87"/>
      <c r="J25" s="46"/>
      <c r="K25" s="46"/>
      <c r="L25" s="46"/>
      <c r="M25" s="46"/>
      <c r="N25" s="17">
        <f t="shared" si="5"/>
        <v>0</v>
      </c>
    </row>
    <row r="26" ht="13.5" customHeight="1">
      <c r="A26" s="32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17">
        <f t="shared" si="5"/>
        <v>0</v>
      </c>
    </row>
    <row r="27" ht="13.5" customHeight="1">
      <c r="A27" s="31" t="s">
        <v>34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17">
        <f t="shared" si="5"/>
        <v>0</v>
      </c>
    </row>
    <row r="28" ht="13.5" customHeight="1">
      <c r="A28" s="33" t="s">
        <v>35</v>
      </c>
      <c r="B28" s="46"/>
      <c r="C28" s="46"/>
      <c r="D28" s="46"/>
      <c r="E28" s="46"/>
      <c r="F28" s="46"/>
      <c r="G28" s="46"/>
      <c r="H28" s="46"/>
      <c r="I28" s="46"/>
      <c r="J28" s="87"/>
      <c r="K28" s="87"/>
      <c r="L28" s="46"/>
      <c r="M28" s="46"/>
      <c r="N28" s="17">
        <f t="shared" si="5"/>
        <v>0</v>
      </c>
    </row>
    <row r="29" ht="13.5" customHeight="1">
      <c r="A29" s="27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17">
        <f t="shared" si="5"/>
        <v>0</v>
      </c>
    </row>
    <row r="30" ht="13.5" customHeight="1">
      <c r="A30" s="31" t="s">
        <v>37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17">
        <f t="shared" si="5"/>
        <v>0</v>
      </c>
    </row>
    <row r="31" ht="13.5" customHeight="1">
      <c r="A31" s="32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17">
        <f t="shared" si="5"/>
        <v>0</v>
      </c>
    </row>
    <row r="32" ht="13.5" customHeight="1">
      <c r="A32" s="91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5358</v>
      </c>
      <c r="E32" s="28">
        <f t="shared" si="6"/>
        <v>0</v>
      </c>
      <c r="F32" s="28">
        <f t="shared" si="6"/>
        <v>0</v>
      </c>
      <c r="G32" s="28">
        <f t="shared" si="6"/>
        <v>0</v>
      </c>
      <c r="H32" s="28">
        <f t="shared" si="6"/>
        <v>0</v>
      </c>
      <c r="I32" s="28">
        <f t="shared" si="6"/>
        <v>0</v>
      </c>
      <c r="J32" s="28">
        <f t="shared" si="6"/>
        <v>0</v>
      </c>
      <c r="K32" s="28">
        <f t="shared" si="6"/>
        <v>0</v>
      </c>
      <c r="L32" s="28">
        <f t="shared" si="6"/>
        <v>0</v>
      </c>
      <c r="M32" s="28">
        <f t="shared" si="6"/>
        <v>0</v>
      </c>
      <c r="N32" s="28">
        <f t="shared" si="6"/>
        <v>5358</v>
      </c>
    </row>
    <row r="33" ht="13.5" customHeight="1">
      <c r="A33" s="79" t="s">
        <v>38</v>
      </c>
      <c r="B33" s="83"/>
      <c r="C33" s="83"/>
      <c r="D33" s="83"/>
      <c r="E33" s="83"/>
      <c r="F33" s="294"/>
      <c r="G33" s="83"/>
      <c r="H33" s="83"/>
      <c r="I33" s="83"/>
      <c r="J33" s="83"/>
      <c r="K33" s="83"/>
      <c r="L33" s="83"/>
      <c r="M33" s="83"/>
      <c r="N33" s="83"/>
    </row>
    <row r="34" ht="13.5" customHeight="1">
      <c r="A34" s="15" t="s">
        <v>39</v>
      </c>
      <c r="B34" s="87">
        <f t="shared" ref="B34:M34" si="7">1999+61.9+850</f>
        <v>2910.9</v>
      </c>
      <c r="C34" s="87">
        <f t="shared" si="7"/>
        <v>2910.9</v>
      </c>
      <c r="D34" s="87">
        <f t="shared" si="7"/>
        <v>2910.9</v>
      </c>
      <c r="E34" s="87">
        <f t="shared" si="7"/>
        <v>2910.9</v>
      </c>
      <c r="F34" s="87">
        <f t="shared" si="7"/>
        <v>2910.9</v>
      </c>
      <c r="G34" s="87">
        <f t="shared" si="7"/>
        <v>2910.9</v>
      </c>
      <c r="H34" s="87">
        <f t="shared" si="7"/>
        <v>2910.9</v>
      </c>
      <c r="I34" s="87">
        <f t="shared" si="7"/>
        <v>2910.9</v>
      </c>
      <c r="J34" s="87">
        <f t="shared" si="7"/>
        <v>2910.9</v>
      </c>
      <c r="K34" s="87">
        <f t="shared" si="7"/>
        <v>2910.9</v>
      </c>
      <c r="L34" s="87">
        <f t="shared" si="7"/>
        <v>2910.9</v>
      </c>
      <c r="M34" s="87">
        <f t="shared" si="7"/>
        <v>2910.9</v>
      </c>
      <c r="N34" s="17">
        <f t="shared" ref="N34:N51" si="8">SUM(B34:M34)</f>
        <v>34930.8</v>
      </c>
    </row>
    <row r="35" ht="13.5" customHeight="1">
      <c r="A35" s="19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17">
        <f t="shared" si="8"/>
        <v>0</v>
      </c>
    </row>
    <row r="36" ht="13.5" customHeight="1">
      <c r="A36" s="35" t="s">
        <v>41</v>
      </c>
      <c r="B36" s="87">
        <v>395.0</v>
      </c>
      <c r="C36" s="87">
        <v>395.0</v>
      </c>
      <c r="D36" s="87">
        <v>395.0</v>
      </c>
      <c r="E36" s="87">
        <v>395.0</v>
      </c>
      <c r="F36" s="87">
        <v>395.0</v>
      </c>
      <c r="G36" s="87">
        <v>395.0</v>
      </c>
      <c r="H36" s="87">
        <v>395.0</v>
      </c>
      <c r="I36" s="87">
        <v>395.0</v>
      </c>
      <c r="J36" s="87">
        <v>395.0</v>
      </c>
      <c r="K36" s="87">
        <v>395.0</v>
      </c>
      <c r="L36" s="87">
        <v>395.0</v>
      </c>
      <c r="M36" s="87">
        <v>395.0</v>
      </c>
      <c r="N36" s="17">
        <f t="shared" si="8"/>
        <v>4740</v>
      </c>
    </row>
    <row r="37" ht="13.5" customHeight="1">
      <c r="A37" s="35" t="s">
        <v>42</v>
      </c>
      <c r="B37" s="87">
        <v>759.0</v>
      </c>
      <c r="C37" s="87">
        <v>759.0</v>
      </c>
      <c r="D37" s="87">
        <v>759.0</v>
      </c>
      <c r="E37" s="87">
        <v>759.0</v>
      </c>
      <c r="F37" s="87">
        <v>759.0</v>
      </c>
      <c r="G37" s="87">
        <v>759.0</v>
      </c>
      <c r="H37" s="87">
        <v>759.0</v>
      </c>
      <c r="I37" s="87">
        <v>759.0</v>
      </c>
      <c r="J37" s="87">
        <v>759.0</v>
      </c>
      <c r="K37" s="87">
        <v>759.0</v>
      </c>
      <c r="L37" s="87">
        <v>759.0</v>
      </c>
      <c r="M37" s="87">
        <v>759.0</v>
      </c>
      <c r="N37" s="17">
        <f t="shared" si="8"/>
        <v>9108</v>
      </c>
    </row>
    <row r="38" ht="13.5" customHeight="1">
      <c r="A38" s="35" t="s">
        <v>43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17">
        <f t="shared" si="8"/>
        <v>0</v>
      </c>
    </row>
    <row r="39" ht="13.5" customHeight="1">
      <c r="A39" s="35" t="s">
        <v>44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17">
        <f t="shared" si="8"/>
        <v>0</v>
      </c>
    </row>
    <row r="40" ht="13.5" customHeight="1">
      <c r="A40" s="35" t="s">
        <v>45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17">
        <f t="shared" si="8"/>
        <v>0</v>
      </c>
    </row>
    <row r="41" ht="13.5" customHeight="1">
      <c r="A41" s="35" t="s">
        <v>46</v>
      </c>
      <c r="B41" s="46">
        <f t="shared" ref="B41:M41" si="9">1276+494</f>
        <v>1770</v>
      </c>
      <c r="C41" s="46">
        <f t="shared" si="9"/>
        <v>1770</v>
      </c>
      <c r="D41" s="46">
        <f t="shared" si="9"/>
        <v>1770</v>
      </c>
      <c r="E41" s="46">
        <f t="shared" si="9"/>
        <v>1770</v>
      </c>
      <c r="F41" s="46">
        <f t="shared" si="9"/>
        <v>1770</v>
      </c>
      <c r="G41" s="46">
        <f t="shared" si="9"/>
        <v>1770</v>
      </c>
      <c r="H41" s="46">
        <f t="shared" si="9"/>
        <v>1770</v>
      </c>
      <c r="I41" s="46">
        <f t="shared" si="9"/>
        <v>1770</v>
      </c>
      <c r="J41" s="46">
        <f t="shared" si="9"/>
        <v>1770</v>
      </c>
      <c r="K41" s="46">
        <f t="shared" si="9"/>
        <v>1770</v>
      </c>
      <c r="L41" s="46">
        <f t="shared" si="9"/>
        <v>1770</v>
      </c>
      <c r="M41" s="46">
        <f t="shared" si="9"/>
        <v>1770</v>
      </c>
      <c r="N41" s="17">
        <f t="shared" si="8"/>
        <v>21240</v>
      </c>
    </row>
    <row r="42" ht="13.5" customHeight="1">
      <c r="A42" s="19" t="s">
        <v>146</v>
      </c>
      <c r="B42" s="87">
        <f t="shared" ref="B42:M42" si="10">365</f>
        <v>365</v>
      </c>
      <c r="C42" s="87">
        <f t="shared" si="10"/>
        <v>365</v>
      </c>
      <c r="D42" s="87">
        <f t="shared" si="10"/>
        <v>365</v>
      </c>
      <c r="E42" s="87">
        <f t="shared" si="10"/>
        <v>365</v>
      </c>
      <c r="F42" s="87">
        <f t="shared" si="10"/>
        <v>365</v>
      </c>
      <c r="G42" s="87">
        <f t="shared" si="10"/>
        <v>365</v>
      </c>
      <c r="H42" s="87">
        <f t="shared" si="10"/>
        <v>365</v>
      </c>
      <c r="I42" s="87">
        <f t="shared" si="10"/>
        <v>365</v>
      </c>
      <c r="J42" s="87">
        <f t="shared" si="10"/>
        <v>365</v>
      </c>
      <c r="K42" s="87">
        <f t="shared" si="10"/>
        <v>365</v>
      </c>
      <c r="L42" s="87">
        <f t="shared" si="10"/>
        <v>365</v>
      </c>
      <c r="M42" s="87">
        <f t="shared" si="10"/>
        <v>365</v>
      </c>
      <c r="N42" s="17">
        <f t="shared" si="8"/>
        <v>4380</v>
      </c>
    </row>
    <row r="43" ht="13.5" customHeight="1">
      <c r="A43" s="19" t="s">
        <v>248</v>
      </c>
      <c r="B43" s="87">
        <v>1449.0</v>
      </c>
      <c r="C43" s="87">
        <v>1449.0</v>
      </c>
      <c r="D43" s="87">
        <v>1449.0</v>
      </c>
      <c r="E43" s="87">
        <v>1449.0</v>
      </c>
      <c r="F43" s="87">
        <v>1449.0</v>
      </c>
      <c r="G43" s="87">
        <v>1449.0</v>
      </c>
      <c r="H43" s="87">
        <v>1449.0</v>
      </c>
      <c r="I43" s="87">
        <v>1449.0</v>
      </c>
      <c r="J43" s="87">
        <v>1449.0</v>
      </c>
      <c r="K43" s="87">
        <v>1449.0</v>
      </c>
      <c r="L43" s="87">
        <v>1449.0</v>
      </c>
      <c r="M43" s="87">
        <v>1449.0</v>
      </c>
      <c r="N43" s="17">
        <f t="shared" si="8"/>
        <v>17388</v>
      </c>
    </row>
    <row r="44" ht="13.5" customHeight="1">
      <c r="A44" s="19" t="s">
        <v>249</v>
      </c>
      <c r="B44" s="87">
        <v>269.0</v>
      </c>
      <c r="C44" s="87">
        <v>269.0</v>
      </c>
      <c r="D44" s="87">
        <v>269.0</v>
      </c>
      <c r="E44" s="87">
        <v>269.0</v>
      </c>
      <c r="F44" s="87">
        <v>269.0</v>
      </c>
      <c r="G44" s="87">
        <v>269.0</v>
      </c>
      <c r="H44" s="87">
        <v>269.0</v>
      </c>
      <c r="I44" s="87">
        <v>269.0</v>
      </c>
      <c r="J44" s="87">
        <v>269.0</v>
      </c>
      <c r="K44" s="87">
        <v>269.0</v>
      </c>
      <c r="L44" s="87">
        <v>269.0</v>
      </c>
      <c r="M44" s="87">
        <v>269.0</v>
      </c>
      <c r="N44" s="17">
        <f t="shared" si="8"/>
        <v>3228</v>
      </c>
    </row>
    <row r="45" ht="13.5" customHeight="1">
      <c r="A45" s="156" t="s">
        <v>50</v>
      </c>
      <c r="B45" s="46">
        <f t="shared" ref="B45:M45" si="11">45+97.5 </f>
        <v>142.5</v>
      </c>
      <c r="C45" s="46">
        <f t="shared" si="11"/>
        <v>142.5</v>
      </c>
      <c r="D45" s="46">
        <f t="shared" si="11"/>
        <v>142.5</v>
      </c>
      <c r="E45" s="46">
        <f t="shared" si="11"/>
        <v>142.5</v>
      </c>
      <c r="F45" s="46">
        <f t="shared" si="11"/>
        <v>142.5</v>
      </c>
      <c r="G45" s="46">
        <f t="shared" si="11"/>
        <v>142.5</v>
      </c>
      <c r="H45" s="46">
        <f t="shared" si="11"/>
        <v>142.5</v>
      </c>
      <c r="I45" s="46">
        <f t="shared" si="11"/>
        <v>142.5</v>
      </c>
      <c r="J45" s="46">
        <f t="shared" si="11"/>
        <v>142.5</v>
      </c>
      <c r="K45" s="46">
        <f t="shared" si="11"/>
        <v>142.5</v>
      </c>
      <c r="L45" s="46">
        <f t="shared" si="11"/>
        <v>142.5</v>
      </c>
      <c r="M45" s="46">
        <f t="shared" si="11"/>
        <v>142.5</v>
      </c>
      <c r="N45" s="17">
        <f t="shared" si="8"/>
        <v>1710</v>
      </c>
    </row>
    <row r="46" ht="13.5" customHeight="1">
      <c r="A46" s="15" t="s">
        <v>51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17">
        <f t="shared" si="8"/>
        <v>0</v>
      </c>
    </row>
    <row r="47" ht="13.5" customHeight="1">
      <c r="A47" s="19" t="s">
        <v>52</v>
      </c>
      <c r="B47" s="87">
        <f t="shared" ref="B47:M47" si="12">850+30+750+1250</f>
        <v>2880</v>
      </c>
      <c r="C47" s="87">
        <f t="shared" si="12"/>
        <v>2880</v>
      </c>
      <c r="D47" s="87">
        <f t="shared" si="12"/>
        <v>2880</v>
      </c>
      <c r="E47" s="87">
        <f t="shared" si="12"/>
        <v>2880</v>
      </c>
      <c r="F47" s="87">
        <f t="shared" si="12"/>
        <v>2880</v>
      </c>
      <c r="G47" s="87">
        <f t="shared" si="12"/>
        <v>2880</v>
      </c>
      <c r="H47" s="87">
        <f t="shared" si="12"/>
        <v>2880</v>
      </c>
      <c r="I47" s="87">
        <f t="shared" si="12"/>
        <v>2880</v>
      </c>
      <c r="J47" s="87">
        <f t="shared" si="12"/>
        <v>2880</v>
      </c>
      <c r="K47" s="87">
        <f t="shared" si="12"/>
        <v>2880</v>
      </c>
      <c r="L47" s="87">
        <f t="shared" si="12"/>
        <v>2880</v>
      </c>
      <c r="M47" s="87">
        <f t="shared" si="12"/>
        <v>2880</v>
      </c>
      <c r="N47" s="17">
        <f t="shared" si="8"/>
        <v>34560</v>
      </c>
    </row>
    <row r="48" ht="13.5" customHeight="1">
      <c r="A48" s="19" t="s">
        <v>131</v>
      </c>
      <c r="B48" s="87">
        <f t="shared" ref="B48:M48" si="13">350.33+55.66+80</f>
        <v>485.99</v>
      </c>
      <c r="C48" s="87">
        <f t="shared" si="13"/>
        <v>485.99</v>
      </c>
      <c r="D48" s="87">
        <f t="shared" si="13"/>
        <v>485.99</v>
      </c>
      <c r="E48" s="87">
        <f t="shared" si="13"/>
        <v>485.99</v>
      </c>
      <c r="F48" s="87">
        <f t="shared" si="13"/>
        <v>485.99</v>
      </c>
      <c r="G48" s="87">
        <f t="shared" si="13"/>
        <v>485.99</v>
      </c>
      <c r="H48" s="87">
        <f t="shared" si="13"/>
        <v>485.99</v>
      </c>
      <c r="I48" s="87">
        <f t="shared" si="13"/>
        <v>485.99</v>
      </c>
      <c r="J48" s="87">
        <f t="shared" si="13"/>
        <v>485.99</v>
      </c>
      <c r="K48" s="87">
        <f t="shared" si="13"/>
        <v>485.99</v>
      </c>
      <c r="L48" s="87">
        <f t="shared" si="13"/>
        <v>485.99</v>
      </c>
      <c r="M48" s="87">
        <f t="shared" si="13"/>
        <v>485.99</v>
      </c>
      <c r="N48" s="17">
        <f t="shared" si="8"/>
        <v>5831.88</v>
      </c>
    </row>
    <row r="49" ht="13.5" customHeight="1">
      <c r="A49" s="35" t="s">
        <v>54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17">
        <f t="shared" si="8"/>
        <v>0</v>
      </c>
    </row>
    <row r="50" ht="13.5" customHeight="1">
      <c r="A50" s="19" t="s">
        <v>250</v>
      </c>
      <c r="B50" s="87">
        <v>1995.0</v>
      </c>
      <c r="C50" s="87">
        <v>1995.0</v>
      </c>
      <c r="D50" s="87">
        <v>1995.0</v>
      </c>
      <c r="E50" s="87">
        <v>1995.0</v>
      </c>
      <c r="F50" s="87">
        <v>1995.0</v>
      </c>
      <c r="G50" s="87">
        <v>1995.0</v>
      </c>
      <c r="H50" s="87">
        <v>1995.0</v>
      </c>
      <c r="I50" s="87">
        <v>1995.0</v>
      </c>
      <c r="J50" s="87">
        <v>1995.0</v>
      </c>
      <c r="K50" s="87">
        <v>1995.0</v>
      </c>
      <c r="L50" s="87">
        <v>1995.0</v>
      </c>
      <c r="M50" s="87">
        <v>1995.0</v>
      </c>
      <c r="N50" s="17">
        <f t="shared" si="8"/>
        <v>23940</v>
      </c>
    </row>
    <row r="51" ht="13.5" customHeight="1">
      <c r="A51" s="15" t="s">
        <v>160</v>
      </c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17">
        <f t="shared" si="8"/>
        <v>0</v>
      </c>
    </row>
    <row r="52" ht="13.5" customHeight="1">
      <c r="A52" s="91" t="s">
        <v>23</v>
      </c>
      <c r="B52" s="28">
        <f t="shared" ref="B52:N52" si="14">SUM(B34:B51)</f>
        <v>13421.39</v>
      </c>
      <c r="C52" s="28">
        <f t="shared" si="14"/>
        <v>13421.39</v>
      </c>
      <c r="D52" s="28">
        <f t="shared" si="14"/>
        <v>13421.39</v>
      </c>
      <c r="E52" s="28">
        <f t="shared" si="14"/>
        <v>13421.39</v>
      </c>
      <c r="F52" s="28">
        <f t="shared" si="14"/>
        <v>13421.39</v>
      </c>
      <c r="G52" s="28">
        <f t="shared" si="14"/>
        <v>13421.39</v>
      </c>
      <c r="H52" s="28">
        <f t="shared" si="14"/>
        <v>13421.39</v>
      </c>
      <c r="I52" s="28">
        <f t="shared" si="14"/>
        <v>13421.39</v>
      </c>
      <c r="J52" s="28">
        <f t="shared" si="14"/>
        <v>13421.39</v>
      </c>
      <c r="K52" s="28">
        <f t="shared" si="14"/>
        <v>13421.39</v>
      </c>
      <c r="L52" s="28">
        <f t="shared" si="14"/>
        <v>13421.39</v>
      </c>
      <c r="M52" s="28">
        <f t="shared" si="14"/>
        <v>13421.39</v>
      </c>
      <c r="N52" s="28">
        <f t="shared" si="14"/>
        <v>161056.68</v>
      </c>
    </row>
    <row r="53" ht="13.5" customHeight="1">
      <c r="A53" s="79" t="s">
        <v>56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</row>
    <row r="54" ht="13.5" customHeight="1">
      <c r="A54" s="32" t="s">
        <v>57</v>
      </c>
      <c r="B54" s="87">
        <v>429.0</v>
      </c>
      <c r="C54" s="87">
        <v>429.0</v>
      </c>
      <c r="D54" s="87">
        <v>429.0</v>
      </c>
      <c r="E54" s="87">
        <v>429.0</v>
      </c>
      <c r="F54" s="87">
        <v>429.0</v>
      </c>
      <c r="G54" s="87">
        <v>429.0</v>
      </c>
      <c r="H54" s="87">
        <v>429.0</v>
      </c>
      <c r="I54" s="87">
        <v>429.0</v>
      </c>
      <c r="J54" s="87">
        <v>429.0</v>
      </c>
      <c r="K54" s="87">
        <f>429+2969+2333+1732</f>
        <v>7463</v>
      </c>
      <c r="L54" s="87">
        <f t="shared" ref="L54:M54" si="15">429+5938+2333+1732</f>
        <v>10432</v>
      </c>
      <c r="M54" s="87">
        <f t="shared" si="15"/>
        <v>10432</v>
      </c>
      <c r="N54" s="17">
        <f t="shared" ref="N54:N69" si="16">SUM(B54:M54)</f>
        <v>32188</v>
      </c>
    </row>
    <row r="55" ht="13.5" customHeight="1">
      <c r="A55" s="32" t="s">
        <v>58</v>
      </c>
      <c r="B55" s="87">
        <v>3300.0</v>
      </c>
      <c r="C55" s="87">
        <v>3600.0</v>
      </c>
      <c r="D55" s="87">
        <v>3600.0</v>
      </c>
      <c r="E55" s="87">
        <v>3600.0</v>
      </c>
      <c r="F55" s="87">
        <v>3600.0</v>
      </c>
      <c r="G55" s="87">
        <v>3600.0</v>
      </c>
      <c r="H55" s="87">
        <v>3600.0</v>
      </c>
      <c r="I55" s="87">
        <v>3600.0</v>
      </c>
      <c r="J55" s="87">
        <v>3600.0</v>
      </c>
      <c r="K55" s="87">
        <v>3600.0</v>
      </c>
      <c r="L55" s="87">
        <v>3600.0</v>
      </c>
      <c r="M55" s="87">
        <v>3600.0</v>
      </c>
      <c r="N55" s="17">
        <f t="shared" si="16"/>
        <v>42900</v>
      </c>
    </row>
    <row r="56" ht="13.5" customHeight="1">
      <c r="A56" s="31" t="s">
        <v>59</v>
      </c>
      <c r="B56" s="87">
        <f t="shared" ref="B56:M56" si="17">399+351+57</f>
        <v>807</v>
      </c>
      <c r="C56" s="87">
        <f t="shared" si="17"/>
        <v>807</v>
      </c>
      <c r="D56" s="87">
        <f t="shared" si="17"/>
        <v>807</v>
      </c>
      <c r="E56" s="87">
        <f t="shared" si="17"/>
        <v>807</v>
      </c>
      <c r="F56" s="87">
        <f t="shared" si="17"/>
        <v>807</v>
      </c>
      <c r="G56" s="87">
        <f t="shared" si="17"/>
        <v>807</v>
      </c>
      <c r="H56" s="87">
        <f t="shared" si="17"/>
        <v>807</v>
      </c>
      <c r="I56" s="87">
        <f t="shared" si="17"/>
        <v>807</v>
      </c>
      <c r="J56" s="87">
        <f t="shared" si="17"/>
        <v>807</v>
      </c>
      <c r="K56" s="87">
        <f t="shared" si="17"/>
        <v>807</v>
      </c>
      <c r="L56" s="87">
        <f t="shared" si="17"/>
        <v>807</v>
      </c>
      <c r="M56" s="87">
        <f t="shared" si="17"/>
        <v>807</v>
      </c>
      <c r="N56" s="17">
        <f t="shared" si="16"/>
        <v>9684</v>
      </c>
    </row>
    <row r="57" ht="13.5" customHeight="1">
      <c r="A57" s="31" t="s">
        <v>133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17">
        <f t="shared" si="16"/>
        <v>0</v>
      </c>
    </row>
    <row r="58" ht="13.5" customHeight="1">
      <c r="A58" s="31" t="s">
        <v>134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17">
        <f t="shared" si="16"/>
        <v>0</v>
      </c>
    </row>
    <row r="59" ht="13.5" customHeight="1">
      <c r="A59" s="31" t="s">
        <v>135</v>
      </c>
      <c r="B59" s="87">
        <v>850.0</v>
      </c>
      <c r="C59" s="87">
        <v>850.0</v>
      </c>
      <c r="D59" s="87">
        <v>850.0</v>
      </c>
      <c r="E59" s="87">
        <v>850.0</v>
      </c>
      <c r="F59" s="87">
        <v>850.0</v>
      </c>
      <c r="G59" s="87">
        <v>850.0</v>
      </c>
      <c r="H59" s="87">
        <v>850.0</v>
      </c>
      <c r="I59" s="87">
        <v>850.0</v>
      </c>
      <c r="J59" s="87">
        <v>850.0</v>
      </c>
      <c r="K59" s="87">
        <v>850.0</v>
      </c>
      <c r="L59" s="87">
        <v>850.0</v>
      </c>
      <c r="M59" s="87">
        <v>850.0</v>
      </c>
      <c r="N59" s="17">
        <f t="shared" si="16"/>
        <v>10200</v>
      </c>
    </row>
    <row r="60" ht="13.5" customHeight="1">
      <c r="A60" s="32" t="s">
        <v>136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17">
        <f t="shared" si="16"/>
        <v>0</v>
      </c>
    </row>
    <row r="61" ht="13.5" customHeight="1">
      <c r="A61" s="32" t="s">
        <v>137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17">
        <f t="shared" si="16"/>
        <v>0</v>
      </c>
    </row>
    <row r="62" ht="13.5" customHeight="1">
      <c r="A62" s="32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16"/>
        <v>0</v>
      </c>
    </row>
    <row r="63" ht="13.5" customHeight="1">
      <c r="A63" s="31" t="s">
        <v>64</v>
      </c>
      <c r="B63" s="87">
        <f t="shared" ref="B63:M63" si="18">14899.5</f>
        <v>14899.5</v>
      </c>
      <c r="C63" s="87">
        <f t="shared" si="18"/>
        <v>14899.5</v>
      </c>
      <c r="D63" s="87">
        <f t="shared" si="18"/>
        <v>14899.5</v>
      </c>
      <c r="E63" s="87">
        <f t="shared" si="18"/>
        <v>14899.5</v>
      </c>
      <c r="F63" s="87">
        <f t="shared" si="18"/>
        <v>14899.5</v>
      </c>
      <c r="G63" s="87">
        <f t="shared" si="18"/>
        <v>14899.5</v>
      </c>
      <c r="H63" s="87">
        <f t="shared" si="18"/>
        <v>14899.5</v>
      </c>
      <c r="I63" s="87">
        <f t="shared" si="18"/>
        <v>14899.5</v>
      </c>
      <c r="J63" s="87">
        <f t="shared" si="18"/>
        <v>14899.5</v>
      </c>
      <c r="K63" s="87">
        <f t="shared" si="18"/>
        <v>14899.5</v>
      </c>
      <c r="L63" s="87">
        <f t="shared" si="18"/>
        <v>14899.5</v>
      </c>
      <c r="M63" s="87">
        <f t="shared" si="18"/>
        <v>14899.5</v>
      </c>
      <c r="N63" s="17">
        <f t="shared" si="16"/>
        <v>178794</v>
      </c>
    </row>
    <row r="64" ht="13.5" customHeight="1">
      <c r="A64" s="32" t="s">
        <v>65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17">
        <f t="shared" si="16"/>
        <v>0</v>
      </c>
    </row>
    <row r="65" ht="13.5" customHeight="1">
      <c r="A65" s="31" t="s">
        <v>66</v>
      </c>
      <c r="B65" s="46"/>
      <c r="C65" s="46"/>
      <c r="D65" s="46"/>
      <c r="E65" s="46"/>
      <c r="F65" s="46"/>
      <c r="G65" s="87"/>
      <c r="H65" s="46"/>
      <c r="I65" s="46"/>
      <c r="J65" s="46"/>
      <c r="K65" s="46"/>
      <c r="L65" s="46"/>
      <c r="M65" s="46"/>
      <c r="N65" s="17">
        <f t="shared" si="16"/>
        <v>0</v>
      </c>
    </row>
    <row r="66" ht="13.5" customHeight="1">
      <c r="A66" s="31" t="s">
        <v>67</v>
      </c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17">
        <f t="shared" si="16"/>
        <v>0</v>
      </c>
    </row>
    <row r="67" ht="13.5" customHeight="1">
      <c r="A67" s="25" t="s">
        <v>165</v>
      </c>
      <c r="B67" s="28"/>
      <c r="C67" s="28"/>
      <c r="D67" s="28"/>
      <c r="E67" s="28"/>
      <c r="F67" s="167"/>
      <c r="G67" s="167"/>
      <c r="H67" s="167"/>
      <c r="I67" s="87"/>
      <c r="J67" s="87"/>
      <c r="K67" s="87"/>
      <c r="L67" s="28"/>
      <c r="M67" s="28"/>
      <c r="N67" s="17">
        <f t="shared" si="16"/>
        <v>0</v>
      </c>
    </row>
    <row r="68" ht="13.5" customHeight="1">
      <c r="A68" s="25" t="s">
        <v>69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17">
        <f t="shared" si="16"/>
        <v>0</v>
      </c>
    </row>
    <row r="69" ht="13.5" customHeight="1">
      <c r="A69" s="39" t="s">
        <v>70</v>
      </c>
      <c r="B69" s="28"/>
      <c r="C69" s="28"/>
      <c r="D69" s="28"/>
      <c r="E69" s="28"/>
      <c r="F69" s="28"/>
      <c r="G69" s="28"/>
      <c r="H69" s="87"/>
      <c r="I69" s="87"/>
      <c r="J69" s="87"/>
      <c r="K69" s="87"/>
      <c r="L69" s="87"/>
      <c r="M69" s="87"/>
      <c r="N69" s="17">
        <f t="shared" si="16"/>
        <v>0</v>
      </c>
    </row>
    <row r="70" ht="13.5" customHeight="1">
      <c r="A70" s="91" t="s">
        <v>23</v>
      </c>
      <c r="B70" s="28">
        <f t="shared" ref="B70:M70" si="19">SUM(B54:B69)</f>
        <v>20285.5</v>
      </c>
      <c r="C70" s="28">
        <f t="shared" si="19"/>
        <v>20585.5</v>
      </c>
      <c r="D70" s="28">
        <f t="shared" si="19"/>
        <v>20585.5</v>
      </c>
      <c r="E70" s="28">
        <f t="shared" si="19"/>
        <v>20585.5</v>
      </c>
      <c r="F70" s="28">
        <f t="shared" si="19"/>
        <v>20585.5</v>
      </c>
      <c r="G70" s="28">
        <f t="shared" si="19"/>
        <v>20585.5</v>
      </c>
      <c r="H70" s="28">
        <f t="shared" si="19"/>
        <v>20585.5</v>
      </c>
      <c r="I70" s="28">
        <f t="shared" si="19"/>
        <v>20585.5</v>
      </c>
      <c r="J70" s="28">
        <f t="shared" si="19"/>
        <v>20585.5</v>
      </c>
      <c r="K70" s="28">
        <f t="shared" si="19"/>
        <v>27619.5</v>
      </c>
      <c r="L70" s="28">
        <f t="shared" si="19"/>
        <v>30588.5</v>
      </c>
      <c r="M70" s="28">
        <f t="shared" si="19"/>
        <v>30588.5</v>
      </c>
      <c r="N70" s="28">
        <f>SUM(N54:N66)</f>
        <v>273766</v>
      </c>
    </row>
    <row r="71" ht="13.5" customHeight="1">
      <c r="A71" s="79" t="s">
        <v>71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</row>
    <row r="72" ht="13.5" customHeight="1">
      <c r="A72" s="32" t="s">
        <v>138</v>
      </c>
      <c r="B72" s="87">
        <v>0.0</v>
      </c>
      <c r="C72" s="87">
        <v>0.0</v>
      </c>
      <c r="D72" s="87">
        <v>0.0</v>
      </c>
      <c r="E72" s="87">
        <v>0.0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0.0</v>
      </c>
      <c r="L72" s="87">
        <v>0.0</v>
      </c>
      <c r="M72" s="87">
        <v>0.0</v>
      </c>
      <c r="N72" s="17">
        <f t="shared" ref="N72:N83" si="20">SUM(B72:M72)</f>
        <v>0</v>
      </c>
    </row>
    <row r="73" ht="13.5" customHeight="1">
      <c r="A73" s="31" t="s">
        <v>73</v>
      </c>
      <c r="B73" s="87">
        <v>0.0</v>
      </c>
      <c r="C73" s="87">
        <v>0.0</v>
      </c>
      <c r="D73" s="87">
        <v>0.0</v>
      </c>
      <c r="E73" s="87">
        <v>0.0</v>
      </c>
      <c r="F73" s="87">
        <v>0.0</v>
      </c>
      <c r="G73" s="87">
        <v>0.0</v>
      </c>
      <c r="H73" s="87">
        <v>0.0</v>
      </c>
      <c r="I73" s="87">
        <v>0.0</v>
      </c>
      <c r="J73" s="87">
        <v>0.0</v>
      </c>
      <c r="K73" s="87">
        <v>0.0</v>
      </c>
      <c r="L73" s="87">
        <v>0.0</v>
      </c>
      <c r="M73" s="87">
        <v>0.0</v>
      </c>
      <c r="N73" s="17">
        <f t="shared" si="20"/>
        <v>0</v>
      </c>
    </row>
    <row r="74" ht="13.5" customHeight="1">
      <c r="A74" s="32" t="s">
        <v>139</v>
      </c>
      <c r="B74" s="87">
        <v>850.0</v>
      </c>
      <c r="C74" s="87">
        <v>850.0</v>
      </c>
      <c r="D74" s="87">
        <v>850.0</v>
      </c>
      <c r="E74" s="87">
        <v>850.0</v>
      </c>
      <c r="F74" s="87">
        <v>850.0</v>
      </c>
      <c r="G74" s="87">
        <v>850.0</v>
      </c>
      <c r="H74" s="87">
        <v>850.0</v>
      </c>
      <c r="I74" s="87">
        <v>850.0</v>
      </c>
      <c r="J74" s="87">
        <v>850.0</v>
      </c>
      <c r="K74" s="87">
        <v>850.0</v>
      </c>
      <c r="L74" s="87">
        <v>850.0</v>
      </c>
      <c r="M74" s="87">
        <v>850.0</v>
      </c>
      <c r="N74" s="17">
        <f t="shared" si="20"/>
        <v>10200</v>
      </c>
    </row>
    <row r="75" ht="13.5" customHeight="1">
      <c r="A75" s="31" t="s">
        <v>137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17">
        <f t="shared" si="20"/>
        <v>0</v>
      </c>
    </row>
    <row r="76" ht="13.5" customHeight="1">
      <c r="A76" s="32" t="s">
        <v>136</v>
      </c>
      <c r="B76" s="46"/>
      <c r="C76" s="46"/>
      <c r="D76" s="46"/>
      <c r="E76" s="46"/>
      <c r="F76" s="87"/>
      <c r="G76" s="46"/>
      <c r="H76" s="46"/>
      <c r="I76" s="46"/>
      <c r="J76" s="46"/>
      <c r="K76" s="46"/>
      <c r="L76" s="46"/>
      <c r="M76" s="46"/>
      <c r="N76" s="17">
        <f t="shared" si="20"/>
        <v>0</v>
      </c>
    </row>
    <row r="77" ht="13.5" customHeight="1">
      <c r="A77" s="32" t="s">
        <v>63</v>
      </c>
      <c r="B77" s="46"/>
      <c r="C77" s="46"/>
      <c r="D77" s="46"/>
      <c r="E77" s="46"/>
      <c r="F77" s="46"/>
      <c r="G77" s="46"/>
      <c r="H77" s="87"/>
      <c r="I77" s="87"/>
      <c r="J77" s="87"/>
      <c r="K77" s="87"/>
      <c r="L77" s="87"/>
      <c r="M77" s="87"/>
      <c r="N77" s="17">
        <f t="shared" si="20"/>
        <v>0</v>
      </c>
    </row>
    <row r="78" ht="13.5" customHeight="1">
      <c r="A78" s="31" t="s">
        <v>140</v>
      </c>
      <c r="B78" s="87">
        <v>0.0</v>
      </c>
      <c r="C78" s="87">
        <v>0.0</v>
      </c>
      <c r="D78" s="87">
        <v>0.0</v>
      </c>
      <c r="E78" s="87">
        <v>0.0</v>
      </c>
      <c r="F78" s="87">
        <v>0.0</v>
      </c>
      <c r="G78" s="87">
        <v>0.0</v>
      </c>
      <c r="H78" s="87">
        <v>0.0</v>
      </c>
      <c r="I78" s="87">
        <v>0.0</v>
      </c>
      <c r="J78" s="87">
        <v>0.0</v>
      </c>
      <c r="K78" s="87">
        <v>0.0</v>
      </c>
      <c r="L78" s="87">
        <v>0.0</v>
      </c>
      <c r="M78" s="87">
        <v>0.0</v>
      </c>
      <c r="N78" s="17">
        <f t="shared" si="20"/>
        <v>0</v>
      </c>
    </row>
    <row r="79" ht="13.5" customHeight="1">
      <c r="A79" s="27" t="s">
        <v>141</v>
      </c>
      <c r="B79" s="87">
        <f t="shared" ref="B79:M79" si="21">4105</f>
        <v>4105</v>
      </c>
      <c r="C79" s="87">
        <f t="shared" si="21"/>
        <v>4105</v>
      </c>
      <c r="D79" s="87">
        <f t="shared" si="21"/>
        <v>4105</v>
      </c>
      <c r="E79" s="87">
        <f t="shared" si="21"/>
        <v>4105</v>
      </c>
      <c r="F79" s="87">
        <f t="shared" si="21"/>
        <v>4105</v>
      </c>
      <c r="G79" s="87">
        <f t="shared" si="21"/>
        <v>4105</v>
      </c>
      <c r="H79" s="87">
        <f t="shared" si="21"/>
        <v>4105</v>
      </c>
      <c r="I79" s="87">
        <f t="shared" si="21"/>
        <v>4105</v>
      </c>
      <c r="J79" s="87">
        <f t="shared" si="21"/>
        <v>4105</v>
      </c>
      <c r="K79" s="87">
        <f t="shared" si="21"/>
        <v>4105</v>
      </c>
      <c r="L79" s="87">
        <f t="shared" si="21"/>
        <v>4105</v>
      </c>
      <c r="M79" s="87">
        <f t="shared" si="21"/>
        <v>4105</v>
      </c>
      <c r="N79" s="17">
        <f t="shared" si="20"/>
        <v>49260</v>
      </c>
    </row>
    <row r="80" ht="13.5" customHeight="1">
      <c r="A80" s="42" t="s">
        <v>79</v>
      </c>
      <c r="B80" s="87">
        <v>2450.0</v>
      </c>
      <c r="C80" s="87">
        <v>2450.0</v>
      </c>
      <c r="D80" s="87">
        <v>2450.0</v>
      </c>
      <c r="E80" s="87">
        <v>2450.0</v>
      </c>
      <c r="F80" s="87">
        <v>2450.0</v>
      </c>
      <c r="G80" s="87">
        <v>2450.0</v>
      </c>
      <c r="H80" s="87">
        <v>2450.0</v>
      </c>
      <c r="I80" s="87">
        <v>2450.0</v>
      </c>
      <c r="J80" s="87">
        <v>2450.0</v>
      </c>
      <c r="K80" s="87">
        <v>2450.0</v>
      </c>
      <c r="L80" s="87">
        <v>2450.0</v>
      </c>
      <c r="M80" s="87">
        <v>2450.0</v>
      </c>
      <c r="N80" s="17">
        <f t="shared" si="20"/>
        <v>29400</v>
      </c>
    </row>
    <row r="81" ht="13.5" customHeight="1">
      <c r="A81" s="43" t="s">
        <v>80</v>
      </c>
      <c r="B81" s="87">
        <v>450.0</v>
      </c>
      <c r="C81" s="87">
        <v>450.0</v>
      </c>
      <c r="D81" s="87">
        <v>450.0</v>
      </c>
      <c r="E81" s="87">
        <v>450.0</v>
      </c>
      <c r="F81" s="87">
        <v>450.0</v>
      </c>
      <c r="G81" s="87">
        <v>450.0</v>
      </c>
      <c r="H81" s="87">
        <v>450.0</v>
      </c>
      <c r="I81" s="87">
        <v>450.0</v>
      </c>
      <c r="J81" s="87">
        <v>450.0</v>
      </c>
      <c r="K81" s="87">
        <v>450.0</v>
      </c>
      <c r="L81" s="87">
        <v>450.0</v>
      </c>
      <c r="M81" s="87">
        <v>450.0</v>
      </c>
      <c r="N81" s="17">
        <f t="shared" si="20"/>
        <v>5400</v>
      </c>
    </row>
    <row r="82" ht="13.5" customHeight="1">
      <c r="A82" s="91" t="s">
        <v>23</v>
      </c>
      <c r="B82" s="28">
        <f t="shared" ref="B82:M82" si="22">SUM(B72:B81)</f>
        <v>7855</v>
      </c>
      <c r="C82" s="28">
        <f t="shared" si="22"/>
        <v>7855</v>
      </c>
      <c r="D82" s="28">
        <f t="shared" si="22"/>
        <v>7855</v>
      </c>
      <c r="E82" s="28">
        <f t="shared" si="22"/>
        <v>7855</v>
      </c>
      <c r="F82" s="28">
        <f t="shared" si="22"/>
        <v>7855</v>
      </c>
      <c r="G82" s="28">
        <f t="shared" si="22"/>
        <v>7855</v>
      </c>
      <c r="H82" s="28">
        <f t="shared" si="22"/>
        <v>7855</v>
      </c>
      <c r="I82" s="28">
        <f t="shared" si="22"/>
        <v>7855</v>
      </c>
      <c r="J82" s="28">
        <f t="shared" si="22"/>
        <v>7855</v>
      </c>
      <c r="K82" s="28">
        <f t="shared" si="22"/>
        <v>7855</v>
      </c>
      <c r="L82" s="28">
        <f t="shared" si="22"/>
        <v>7855</v>
      </c>
      <c r="M82" s="28">
        <f t="shared" si="22"/>
        <v>7855</v>
      </c>
      <c r="N82" s="44">
        <f t="shared" si="20"/>
        <v>94260</v>
      </c>
    </row>
    <row r="83" ht="13.5" customHeight="1">
      <c r="A83" s="99" t="s">
        <v>81</v>
      </c>
      <c r="B83" s="28">
        <f t="shared" ref="B83:M83" si="23">B52+B70+B82</f>
        <v>41561.89</v>
      </c>
      <c r="C83" s="28">
        <f t="shared" si="23"/>
        <v>41861.89</v>
      </c>
      <c r="D83" s="28">
        <f t="shared" si="23"/>
        <v>41861.89</v>
      </c>
      <c r="E83" s="28">
        <f t="shared" si="23"/>
        <v>41861.89</v>
      </c>
      <c r="F83" s="28">
        <f t="shared" si="23"/>
        <v>41861.89</v>
      </c>
      <c r="G83" s="28">
        <f t="shared" si="23"/>
        <v>41861.89</v>
      </c>
      <c r="H83" s="28">
        <f t="shared" si="23"/>
        <v>41861.89</v>
      </c>
      <c r="I83" s="28">
        <f t="shared" si="23"/>
        <v>41861.89</v>
      </c>
      <c r="J83" s="28">
        <f t="shared" si="23"/>
        <v>41861.89</v>
      </c>
      <c r="K83" s="28">
        <f t="shared" si="23"/>
        <v>48895.89</v>
      </c>
      <c r="L83" s="28">
        <f t="shared" si="23"/>
        <v>51864.89</v>
      </c>
      <c r="M83" s="28">
        <f t="shared" si="23"/>
        <v>51864.89</v>
      </c>
      <c r="N83" s="44">
        <f t="shared" si="20"/>
        <v>529082.68</v>
      </c>
    </row>
    <row r="84" ht="13.5" customHeight="1">
      <c r="A84" s="99" t="s">
        <v>82</v>
      </c>
      <c r="B84" s="46">
        <f t="shared" ref="B84:N84" si="24">B83/B112</f>
        <v>332.49512</v>
      </c>
      <c r="C84" s="46">
        <f t="shared" si="24"/>
        <v>322.0145385</v>
      </c>
      <c r="D84" s="46">
        <f t="shared" si="24"/>
        <v>299.0135</v>
      </c>
      <c r="E84" s="46">
        <f t="shared" si="24"/>
        <v>299.0135</v>
      </c>
      <c r="F84" s="46">
        <f t="shared" si="24"/>
        <v>270.0767097</v>
      </c>
      <c r="G84" s="46">
        <f t="shared" si="24"/>
        <v>270.0767097</v>
      </c>
      <c r="H84" s="46">
        <f t="shared" si="24"/>
        <v>261.6368125</v>
      </c>
      <c r="I84" s="46">
        <f t="shared" si="24"/>
        <v>261.6368125</v>
      </c>
      <c r="J84" s="46">
        <f t="shared" si="24"/>
        <v>279.0792667</v>
      </c>
      <c r="K84" s="46">
        <f t="shared" si="24"/>
        <v>325.9726</v>
      </c>
      <c r="L84" s="46">
        <f t="shared" si="24"/>
        <v>345.7659333</v>
      </c>
      <c r="M84" s="46">
        <f t="shared" si="24"/>
        <v>324.1555625</v>
      </c>
      <c r="N84" s="15">
        <f t="shared" si="24"/>
        <v>298.0747493</v>
      </c>
    </row>
    <row r="85" ht="13.5" customHeight="1">
      <c r="A85" s="79" t="s">
        <v>83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</row>
    <row r="86" ht="13.5" customHeight="1">
      <c r="A86" s="15" t="s">
        <v>84</v>
      </c>
      <c r="B86" s="87">
        <v>820.0</v>
      </c>
      <c r="C86" s="87">
        <v>820.0</v>
      </c>
      <c r="D86" s="87">
        <v>820.0</v>
      </c>
      <c r="E86" s="87">
        <v>820.0</v>
      </c>
      <c r="F86" s="87">
        <v>820.0</v>
      </c>
      <c r="G86" s="87">
        <v>820.0</v>
      </c>
      <c r="H86" s="87">
        <v>820.0</v>
      </c>
      <c r="I86" s="87">
        <v>820.0</v>
      </c>
      <c r="J86" s="87">
        <v>820.0</v>
      </c>
      <c r="K86" s="87">
        <v>820.0</v>
      </c>
      <c r="L86" s="87">
        <v>820.0</v>
      </c>
      <c r="M86" s="87">
        <v>820.0</v>
      </c>
      <c r="N86" s="17">
        <f t="shared" ref="N86:N89" si="25">SUM(B86:M86)</f>
        <v>9840</v>
      </c>
    </row>
    <row r="87" ht="13.5" customHeight="1">
      <c r="A87" s="15" t="s">
        <v>142</v>
      </c>
      <c r="B87" s="46"/>
      <c r="C87" s="46"/>
      <c r="D87" s="46"/>
      <c r="E87" s="87"/>
      <c r="F87" s="46"/>
      <c r="G87" s="46"/>
      <c r="H87" s="46"/>
      <c r="I87" s="46"/>
      <c r="J87" s="46"/>
      <c r="K87" s="46"/>
      <c r="L87" s="46"/>
      <c r="M87" s="46"/>
      <c r="N87" s="17">
        <f t="shared" si="25"/>
        <v>0</v>
      </c>
    </row>
    <row r="88" ht="13.5" customHeight="1">
      <c r="A88" s="39" t="s">
        <v>86</v>
      </c>
      <c r="B88" s="46"/>
      <c r="C88" s="46"/>
      <c r="D88" s="46"/>
      <c r="E88" s="87"/>
      <c r="F88" s="46"/>
      <c r="G88" s="46"/>
      <c r="H88" s="46"/>
      <c r="I88" s="46"/>
      <c r="J88" s="46"/>
      <c r="K88" s="46"/>
      <c r="L88" s="46"/>
      <c r="M88" s="46"/>
      <c r="N88" s="17">
        <f t="shared" si="25"/>
        <v>0</v>
      </c>
    </row>
    <row r="89" ht="13.5" customHeight="1">
      <c r="A89" s="39" t="s">
        <v>87</v>
      </c>
      <c r="B89" s="46"/>
      <c r="C89" s="46"/>
      <c r="D89" s="46"/>
      <c r="E89" s="46"/>
      <c r="F89" s="46"/>
      <c r="G89" s="46"/>
      <c r="H89" s="46"/>
      <c r="I89" s="87"/>
      <c r="J89" s="46"/>
      <c r="K89" s="46"/>
      <c r="L89" s="46"/>
      <c r="M89" s="46"/>
      <c r="N89" s="17">
        <f t="shared" si="25"/>
        <v>0</v>
      </c>
    </row>
    <row r="90" ht="13.5" customHeight="1">
      <c r="A90" s="91" t="s">
        <v>23</v>
      </c>
      <c r="B90" s="28">
        <f t="shared" ref="B90:N90" si="26">SUM(B86:B89)</f>
        <v>820</v>
      </c>
      <c r="C90" s="28">
        <f t="shared" si="26"/>
        <v>820</v>
      </c>
      <c r="D90" s="28">
        <f t="shared" si="26"/>
        <v>820</v>
      </c>
      <c r="E90" s="28">
        <f t="shared" si="26"/>
        <v>820</v>
      </c>
      <c r="F90" s="28">
        <f t="shared" si="26"/>
        <v>820</v>
      </c>
      <c r="G90" s="28">
        <f t="shared" si="26"/>
        <v>820</v>
      </c>
      <c r="H90" s="28">
        <f t="shared" si="26"/>
        <v>820</v>
      </c>
      <c r="I90" s="28">
        <f t="shared" si="26"/>
        <v>820</v>
      </c>
      <c r="J90" s="28">
        <f t="shared" si="26"/>
        <v>820</v>
      </c>
      <c r="K90" s="28">
        <f t="shared" si="26"/>
        <v>820</v>
      </c>
      <c r="L90" s="28">
        <f t="shared" si="26"/>
        <v>820</v>
      </c>
      <c r="M90" s="28">
        <f t="shared" si="26"/>
        <v>820</v>
      </c>
      <c r="N90" s="28">
        <f t="shared" si="26"/>
        <v>9840</v>
      </c>
    </row>
    <row r="91" ht="13.5" customHeight="1">
      <c r="A91" s="89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</row>
    <row r="92" ht="13.5" customHeight="1">
      <c r="A92" s="31" t="s">
        <v>89</v>
      </c>
      <c r="B92" s="101">
        <f>PRODUCTION!P18</f>
        <v>750</v>
      </c>
      <c r="C92" s="102">
        <f>PRODUCTION!P19</f>
        <v>750</v>
      </c>
      <c r="D92" s="102">
        <f>PRODUCTION!P20</f>
        <v>750</v>
      </c>
      <c r="E92" s="102">
        <f>PRODUCTION!P21</f>
        <v>750</v>
      </c>
      <c r="F92" s="102">
        <f>PRODUCTION!P22</f>
        <v>750</v>
      </c>
      <c r="G92" s="102">
        <f>PRODUCTION!P23</f>
        <v>750</v>
      </c>
      <c r="H92" s="102">
        <f>PRODUCTION!P24</f>
        <v>750</v>
      </c>
      <c r="I92" s="102">
        <f>PRODUCTION!P25</f>
        <v>750</v>
      </c>
      <c r="J92" s="102">
        <f>PRODUCTION!P26</f>
        <v>750</v>
      </c>
      <c r="K92" s="102">
        <f>PRODUCTION!P27</f>
        <v>750</v>
      </c>
      <c r="L92" s="102">
        <f>PRODUCTION!P28</f>
        <v>750</v>
      </c>
      <c r="M92" s="102">
        <f>PRODUCTION!P29</f>
        <v>750</v>
      </c>
      <c r="N92" s="17">
        <f t="shared" ref="N92:N104" si="27">SUM(B92:M92)</f>
        <v>9000</v>
      </c>
    </row>
    <row r="93" ht="13.5" customHeight="1">
      <c r="A93" s="31" t="s">
        <v>90</v>
      </c>
      <c r="B93" s="87"/>
      <c r="C93" s="87">
        <v>995.0</v>
      </c>
      <c r="D93" s="87"/>
      <c r="E93" s="87"/>
      <c r="F93" s="87"/>
      <c r="G93" s="46"/>
      <c r="H93" s="87"/>
      <c r="I93" s="46"/>
      <c r="J93" s="87"/>
      <c r="K93" s="87"/>
      <c r="L93" s="46"/>
      <c r="M93" s="87"/>
      <c r="N93" s="17">
        <f t="shared" si="27"/>
        <v>995</v>
      </c>
    </row>
    <row r="94" ht="13.5" customHeight="1">
      <c r="A94" s="31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17">
        <f t="shared" si="27"/>
        <v>2360</v>
      </c>
    </row>
    <row r="95" ht="13.5" customHeight="1">
      <c r="A95" s="31" t="s">
        <v>92</v>
      </c>
      <c r="B95" s="146">
        <v>500.0</v>
      </c>
      <c r="C95" s="105">
        <v>500.0</v>
      </c>
      <c r="D95" s="105">
        <v>0.0</v>
      </c>
      <c r="E95" s="105">
        <v>0.0</v>
      </c>
      <c r="F95" s="104">
        <v>155.0</v>
      </c>
      <c r="G95" s="104">
        <f>350+167</f>
        <v>517</v>
      </c>
      <c r="H95" s="104">
        <v>0.0</v>
      </c>
      <c r="I95" s="105">
        <f>265+3.233</f>
        <v>268.233</v>
      </c>
      <c r="J95" s="105">
        <v>500.0</v>
      </c>
      <c r="K95" s="87">
        <v>456.78</v>
      </c>
      <c r="L95" s="105">
        <v>500.0</v>
      </c>
      <c r="M95" s="105">
        <v>500.0</v>
      </c>
      <c r="N95" s="17">
        <f t="shared" si="27"/>
        <v>3897.013</v>
      </c>
    </row>
    <row r="96" ht="13.5" customHeight="1">
      <c r="A96" s="32" t="s">
        <v>143</v>
      </c>
      <c r="B96" s="46"/>
      <c r="C96" s="46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17">
        <f t="shared" si="27"/>
        <v>0</v>
      </c>
    </row>
    <row r="97" ht="13.5" customHeight="1">
      <c r="A97" s="32" t="s">
        <v>94</v>
      </c>
      <c r="B97" s="46"/>
      <c r="C97" s="46"/>
      <c r="D97" s="46"/>
      <c r="E97" s="87"/>
      <c r="F97" s="87"/>
      <c r="G97" s="87"/>
      <c r="H97" s="87"/>
      <c r="I97" s="87"/>
      <c r="J97" s="87"/>
      <c r="K97" s="87"/>
      <c r="L97" s="87"/>
      <c r="M97" s="87"/>
      <c r="N97" s="17">
        <f t="shared" si="27"/>
        <v>0</v>
      </c>
    </row>
    <row r="98" ht="13.5" customHeight="1">
      <c r="A98" s="32" t="s">
        <v>95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17">
        <f t="shared" si="27"/>
        <v>0</v>
      </c>
    </row>
    <row r="99" ht="13.5" customHeight="1">
      <c r="A99" s="31" t="s">
        <v>96</v>
      </c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17">
        <f t="shared" si="27"/>
        <v>0</v>
      </c>
    </row>
    <row r="100" ht="13.5" customHeight="1">
      <c r="A100" s="31" t="s">
        <v>97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17">
        <f t="shared" si="27"/>
        <v>0</v>
      </c>
    </row>
    <row r="101" ht="13.5" customHeight="1">
      <c r="A101" s="32" t="s">
        <v>98</v>
      </c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17">
        <f t="shared" si="27"/>
        <v>0</v>
      </c>
    </row>
    <row r="102" ht="13.5" customHeight="1">
      <c r="A102" s="31" t="s">
        <v>251</v>
      </c>
      <c r="B102" s="104">
        <v>470.0</v>
      </c>
      <c r="C102" s="104">
        <v>470.0</v>
      </c>
      <c r="D102" s="104">
        <v>470.0</v>
      </c>
      <c r="E102" s="104">
        <v>470.0</v>
      </c>
      <c r="F102" s="104">
        <v>470.0</v>
      </c>
      <c r="G102" s="104">
        <v>470.0</v>
      </c>
      <c r="H102" s="104">
        <v>470.0</v>
      </c>
      <c r="I102" s="104">
        <v>470.0</v>
      </c>
      <c r="J102" s="104">
        <v>470.0</v>
      </c>
      <c r="K102" s="104">
        <v>470.0</v>
      </c>
      <c r="L102" s="104">
        <v>470.0</v>
      </c>
      <c r="M102" s="104">
        <v>470.0</v>
      </c>
      <c r="N102" s="17">
        <f t="shared" si="27"/>
        <v>5640</v>
      </c>
    </row>
    <row r="103" ht="13.5" customHeight="1">
      <c r="A103" s="32" t="s">
        <v>100</v>
      </c>
      <c r="B103" s="87">
        <v>200.0</v>
      </c>
      <c r="C103" s="87">
        <v>435.0</v>
      </c>
      <c r="D103" s="87">
        <f>200+113.64</f>
        <v>313.64</v>
      </c>
      <c r="E103" s="87">
        <v>200.0</v>
      </c>
      <c r="F103" s="87">
        <v>200.0</v>
      </c>
      <c r="G103" s="87">
        <v>605.0</v>
      </c>
      <c r="H103" s="87">
        <v>605.0</v>
      </c>
      <c r="I103" s="87">
        <v>200.0</v>
      </c>
      <c r="J103" s="87">
        <f>435+200</f>
        <v>635</v>
      </c>
      <c r="K103" s="87">
        <v>200.0</v>
      </c>
      <c r="L103" s="87">
        <v>200.0</v>
      </c>
      <c r="M103" s="87">
        <v>200.0</v>
      </c>
      <c r="N103" s="17">
        <f t="shared" si="27"/>
        <v>3993.64</v>
      </c>
    </row>
    <row r="104" ht="13.5" customHeight="1">
      <c r="A104" s="27" t="s">
        <v>101</v>
      </c>
      <c r="B104" s="87">
        <v>400.0</v>
      </c>
      <c r="C104" s="87">
        <v>475.0</v>
      </c>
      <c r="D104" s="87">
        <v>475.0</v>
      </c>
      <c r="E104" s="87">
        <v>475.0</v>
      </c>
      <c r="F104" s="87">
        <v>475.0</v>
      </c>
      <c r="G104" s="87">
        <v>475.0</v>
      </c>
      <c r="H104" s="87">
        <v>475.0</v>
      </c>
      <c r="I104" s="87">
        <v>475.0</v>
      </c>
      <c r="J104" s="87">
        <v>475.0</v>
      </c>
      <c r="K104" s="87">
        <v>475.0</v>
      </c>
      <c r="L104" s="87">
        <v>475.0</v>
      </c>
      <c r="M104" s="87">
        <v>475.0</v>
      </c>
      <c r="N104" s="17">
        <f t="shared" si="27"/>
        <v>5625</v>
      </c>
    </row>
    <row r="105" ht="13.5" customHeight="1">
      <c r="A105" s="27" t="s">
        <v>102</v>
      </c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17"/>
    </row>
    <row r="106" ht="13.5" customHeight="1">
      <c r="A106" s="39" t="s">
        <v>166</v>
      </c>
      <c r="B106" s="87">
        <v>1875.0</v>
      </c>
      <c r="C106" s="87">
        <v>1875.0</v>
      </c>
      <c r="D106" s="87">
        <v>1875.0</v>
      </c>
      <c r="E106" s="87">
        <v>1875.0</v>
      </c>
      <c r="F106" s="87">
        <v>1875.0</v>
      </c>
      <c r="G106" s="87">
        <v>1875.0</v>
      </c>
      <c r="H106" s="87">
        <v>1875.0</v>
      </c>
      <c r="I106" s="87">
        <v>1875.0</v>
      </c>
      <c r="J106" s="87">
        <v>1875.0</v>
      </c>
      <c r="K106" s="87">
        <v>1875.0</v>
      </c>
      <c r="L106" s="87">
        <v>1875.0</v>
      </c>
      <c r="M106" s="87">
        <v>1875.0</v>
      </c>
      <c r="N106" s="17">
        <f>SUM(B106:M106)</f>
        <v>22500</v>
      </c>
    </row>
    <row r="107" ht="13.5" customHeight="1">
      <c r="A107" s="91" t="s">
        <v>23</v>
      </c>
      <c r="B107" s="28">
        <f t="shared" ref="B107:N107" si="28">SUM(B92:B106)</f>
        <v>4375</v>
      </c>
      <c r="C107" s="28">
        <f t="shared" si="28"/>
        <v>5680</v>
      </c>
      <c r="D107" s="28">
        <f t="shared" si="28"/>
        <v>4063.64</v>
      </c>
      <c r="E107" s="28">
        <f t="shared" si="28"/>
        <v>3950</v>
      </c>
      <c r="F107" s="28">
        <f t="shared" si="28"/>
        <v>4105</v>
      </c>
      <c r="G107" s="28">
        <f t="shared" si="28"/>
        <v>4872</v>
      </c>
      <c r="H107" s="28">
        <f t="shared" si="28"/>
        <v>4355</v>
      </c>
      <c r="I107" s="28">
        <f t="shared" si="28"/>
        <v>4218.233</v>
      </c>
      <c r="J107" s="28">
        <f t="shared" si="28"/>
        <v>4885</v>
      </c>
      <c r="K107" s="28">
        <f t="shared" si="28"/>
        <v>4606.78</v>
      </c>
      <c r="L107" s="28">
        <f t="shared" si="28"/>
        <v>4450</v>
      </c>
      <c r="M107" s="28">
        <f t="shared" si="28"/>
        <v>4450</v>
      </c>
      <c r="N107" s="28">
        <f t="shared" si="28"/>
        <v>54010.653</v>
      </c>
    </row>
    <row r="108" ht="13.5" customHeight="1">
      <c r="A108" s="91" t="s">
        <v>104</v>
      </c>
      <c r="B108" s="107">
        <v>-21600.0</v>
      </c>
      <c r="C108" s="108">
        <v>-12600.0</v>
      </c>
      <c r="D108" s="108">
        <v>-13800.0</v>
      </c>
      <c r="E108" s="108">
        <v>-10400.0</v>
      </c>
      <c r="F108" s="108">
        <v>-21200.0</v>
      </c>
      <c r="G108" s="108">
        <v>-11800.13</v>
      </c>
      <c r="H108" s="108">
        <v>-8600.0</v>
      </c>
      <c r="I108" s="108">
        <v>-6600.0</v>
      </c>
      <c r="J108" s="295">
        <v>-9600.0</v>
      </c>
      <c r="K108" s="110">
        <v>-12800.0</v>
      </c>
      <c r="L108" s="110">
        <v>-14400.0</v>
      </c>
      <c r="M108" s="110">
        <v>-11400.0</v>
      </c>
      <c r="N108" s="44">
        <f>SUM(B108:M108)</f>
        <v>-154800.13</v>
      </c>
    </row>
    <row r="109" ht="13.5" customHeight="1">
      <c r="A109" s="112" t="s">
        <v>105</v>
      </c>
      <c r="B109" s="50">
        <f t="shared" ref="B109:N109" si="29">B107+B90+B83+B32+B21+B13</f>
        <v>55214.14926</v>
      </c>
      <c r="C109" s="50">
        <f t="shared" si="29"/>
        <v>57015.68474</v>
      </c>
      <c r="D109" s="50">
        <f t="shared" si="29"/>
        <v>61347.59395</v>
      </c>
      <c r="E109" s="50">
        <f t="shared" si="29"/>
        <v>59434.70606</v>
      </c>
      <c r="F109" s="50">
        <f t="shared" si="29"/>
        <v>62403.66852</v>
      </c>
      <c r="G109" s="50">
        <f t="shared" si="29"/>
        <v>61944.07078</v>
      </c>
      <c r="H109" s="50">
        <f t="shared" si="29"/>
        <v>56952.9728</v>
      </c>
      <c r="I109" s="50">
        <f t="shared" si="29"/>
        <v>56816.2058</v>
      </c>
      <c r="J109" s="50">
        <f t="shared" si="29"/>
        <v>59874.94208</v>
      </c>
      <c r="K109" s="50">
        <f t="shared" si="29"/>
        <v>68365.82933</v>
      </c>
      <c r="L109" s="50">
        <f t="shared" si="29"/>
        <v>73260.17803</v>
      </c>
      <c r="M109" s="50">
        <f t="shared" si="29"/>
        <v>73260.17803</v>
      </c>
      <c r="N109" s="50">
        <f t="shared" si="29"/>
        <v>745890.1794</v>
      </c>
    </row>
    <row r="110" ht="13.5" customHeight="1">
      <c r="A110" s="35" t="s">
        <v>106</v>
      </c>
      <c r="B110" s="177">
        <v>70.0</v>
      </c>
      <c r="C110" s="118">
        <v>75.0</v>
      </c>
      <c r="D110" s="118">
        <v>80.0</v>
      </c>
      <c r="E110" s="116">
        <v>80.0</v>
      </c>
      <c r="F110" s="116">
        <v>90.0</v>
      </c>
      <c r="G110" s="116">
        <v>90.0</v>
      </c>
      <c r="H110" s="116">
        <v>95.0</v>
      </c>
      <c r="I110" s="116">
        <v>95.0</v>
      </c>
      <c r="J110" s="116">
        <v>85.0</v>
      </c>
      <c r="K110" s="116">
        <v>85.0</v>
      </c>
      <c r="L110" s="117">
        <v>85.0</v>
      </c>
      <c r="M110" s="118">
        <v>95.0</v>
      </c>
      <c r="N110" s="149">
        <f t="shared" ref="N110:N112" si="30">SUM(B110:M110)</f>
        <v>1025</v>
      </c>
    </row>
    <row r="111" ht="13.5" customHeight="1">
      <c r="A111" s="35" t="s">
        <v>107</v>
      </c>
      <c r="B111" s="121">
        <v>55.0</v>
      </c>
      <c r="C111" s="121">
        <v>55.0</v>
      </c>
      <c r="D111" s="121">
        <v>60.0</v>
      </c>
      <c r="E111" s="120">
        <v>60.0</v>
      </c>
      <c r="F111" s="120">
        <v>65.0</v>
      </c>
      <c r="G111" s="120">
        <v>65.0</v>
      </c>
      <c r="H111" s="120">
        <v>65.0</v>
      </c>
      <c r="I111" s="120">
        <v>65.0</v>
      </c>
      <c r="J111" s="120">
        <v>65.0</v>
      </c>
      <c r="K111" s="120">
        <v>65.0</v>
      </c>
      <c r="L111" s="120">
        <v>65.0</v>
      </c>
      <c r="M111" s="121">
        <v>65.0</v>
      </c>
      <c r="N111" s="149">
        <f t="shared" si="30"/>
        <v>750</v>
      </c>
    </row>
    <row r="112" ht="13.5" customHeight="1">
      <c r="A112" s="91" t="s">
        <v>23</v>
      </c>
      <c r="B112" s="122">
        <f t="shared" ref="B112:M112" si="31">B110+B111</f>
        <v>125</v>
      </c>
      <c r="C112" s="122">
        <f t="shared" si="31"/>
        <v>130</v>
      </c>
      <c r="D112" s="122">
        <f t="shared" si="31"/>
        <v>140</v>
      </c>
      <c r="E112" s="122">
        <f t="shared" si="31"/>
        <v>140</v>
      </c>
      <c r="F112" s="123">
        <f t="shared" si="31"/>
        <v>155</v>
      </c>
      <c r="G112" s="123">
        <f t="shared" si="31"/>
        <v>155</v>
      </c>
      <c r="H112" s="123">
        <f t="shared" si="31"/>
        <v>160</v>
      </c>
      <c r="I112" s="123">
        <f t="shared" si="31"/>
        <v>160</v>
      </c>
      <c r="J112" s="123">
        <f t="shared" si="31"/>
        <v>150</v>
      </c>
      <c r="K112" s="123">
        <f t="shared" si="31"/>
        <v>150</v>
      </c>
      <c r="L112" s="123">
        <f t="shared" si="31"/>
        <v>150</v>
      </c>
      <c r="M112" s="124">
        <f t="shared" si="31"/>
        <v>160</v>
      </c>
      <c r="N112" s="125">
        <f t="shared" si="30"/>
        <v>1775</v>
      </c>
    </row>
    <row r="113" ht="13.5" customHeight="1">
      <c r="A113" s="126" t="s">
        <v>108</v>
      </c>
      <c r="B113" s="58">
        <f t="shared" ref="B113:N113" si="32">B109/B112</f>
        <v>441.7131941</v>
      </c>
      <c r="C113" s="58">
        <f t="shared" si="32"/>
        <v>438.5821903</v>
      </c>
      <c r="D113" s="58">
        <f t="shared" si="32"/>
        <v>438.1970996</v>
      </c>
      <c r="E113" s="58">
        <f t="shared" si="32"/>
        <v>424.5336147</v>
      </c>
      <c r="F113" s="58">
        <f t="shared" si="32"/>
        <v>402.604313</v>
      </c>
      <c r="G113" s="58">
        <f t="shared" si="32"/>
        <v>399.6391663</v>
      </c>
      <c r="H113" s="58">
        <f t="shared" si="32"/>
        <v>355.95608</v>
      </c>
      <c r="I113" s="58">
        <f t="shared" si="32"/>
        <v>355.1012862</v>
      </c>
      <c r="J113" s="58">
        <f t="shared" si="32"/>
        <v>399.1662805</v>
      </c>
      <c r="K113" s="58">
        <f t="shared" si="32"/>
        <v>455.7721955</v>
      </c>
      <c r="L113" s="58">
        <f t="shared" si="32"/>
        <v>488.4011868</v>
      </c>
      <c r="M113" s="58">
        <f t="shared" si="32"/>
        <v>457.8761127</v>
      </c>
      <c r="N113" s="57">
        <f t="shared" si="32"/>
        <v>420.2198194</v>
      </c>
    </row>
    <row r="114" ht="13.5" customHeight="1">
      <c r="A114" s="79" t="s">
        <v>109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</row>
    <row r="115" ht="13.5" customHeight="1">
      <c r="A115" s="59" t="s">
        <v>110</v>
      </c>
      <c r="B115" s="46">
        <v>1295.0</v>
      </c>
      <c r="C115" s="46">
        <v>1295.0</v>
      </c>
      <c r="D115" s="46">
        <v>1295.0</v>
      </c>
      <c r="E115" s="46">
        <v>1295.0</v>
      </c>
      <c r="F115" s="46">
        <v>1295.0</v>
      </c>
      <c r="G115" s="46">
        <v>1295.0</v>
      </c>
      <c r="H115" s="46">
        <v>1295.0</v>
      </c>
      <c r="I115" s="46">
        <v>1295.0</v>
      </c>
      <c r="J115" s="46">
        <v>1295.0</v>
      </c>
      <c r="K115" s="46">
        <v>1295.0</v>
      </c>
      <c r="L115" s="46">
        <v>1295.0</v>
      </c>
      <c r="M115" s="46">
        <f>1295</f>
        <v>1295</v>
      </c>
      <c r="N115" s="17">
        <f t="shared" ref="N115:N120" si="33">SUM(B115:M115)</f>
        <v>15540</v>
      </c>
    </row>
    <row r="116" ht="13.5" customHeight="1">
      <c r="A116" s="60" t="s">
        <v>111</v>
      </c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17">
        <f t="shared" si="33"/>
        <v>0</v>
      </c>
    </row>
    <row r="117" ht="13.5" customHeight="1">
      <c r="A117" s="59" t="s">
        <v>112</v>
      </c>
      <c r="B117" s="87">
        <f>850+1981.44
</f>
        <v>2831.44</v>
      </c>
      <c r="C117" s="87">
        <v>850.0</v>
      </c>
      <c r="D117" s="87">
        <v>850.0</v>
      </c>
      <c r="E117" s="87">
        <f>850+2288.16</f>
        <v>3138.16</v>
      </c>
      <c r="F117" s="87">
        <v>850.0</v>
      </c>
      <c r="G117" s="87">
        <v>850.0</v>
      </c>
      <c r="H117" s="87">
        <f>850+1981.44
</f>
        <v>2831.44</v>
      </c>
      <c r="I117" s="87">
        <v>850.0</v>
      </c>
      <c r="J117" s="87">
        <v>850.0</v>
      </c>
      <c r="K117" s="87">
        <f>850+2129.76</f>
        <v>2979.76</v>
      </c>
      <c r="L117" s="87">
        <v>850.0</v>
      </c>
      <c r="M117" s="87">
        <v>850.0</v>
      </c>
      <c r="N117" s="17">
        <f t="shared" si="33"/>
        <v>18580.8</v>
      </c>
    </row>
    <row r="118" ht="13.5" customHeight="1">
      <c r="A118" s="59" t="s">
        <v>161</v>
      </c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17">
        <f t="shared" si="33"/>
        <v>0</v>
      </c>
    </row>
    <row r="119" ht="13.5" customHeight="1">
      <c r="A119" s="61" t="s">
        <v>113</v>
      </c>
      <c r="B119" s="87">
        <v>395.0</v>
      </c>
      <c r="C119" s="87">
        <v>395.0</v>
      </c>
      <c r="D119" s="87">
        <v>395.0</v>
      </c>
      <c r="E119" s="87">
        <v>395.0</v>
      </c>
      <c r="F119" s="87">
        <v>395.0</v>
      </c>
      <c r="G119" s="87">
        <v>395.0</v>
      </c>
      <c r="H119" s="87">
        <v>395.0</v>
      </c>
      <c r="I119" s="87">
        <v>395.0</v>
      </c>
      <c r="J119" s="87">
        <v>395.0</v>
      </c>
      <c r="K119" s="87">
        <v>395.0</v>
      </c>
      <c r="L119" s="87">
        <v>395.0</v>
      </c>
      <c r="M119" s="87">
        <v>395.0</v>
      </c>
      <c r="N119" s="17">
        <f t="shared" si="33"/>
        <v>4740</v>
      </c>
    </row>
    <row r="120" ht="13.5" customHeight="1">
      <c r="A120" s="132" t="s">
        <v>114</v>
      </c>
      <c r="B120" s="87">
        <v>1650.0</v>
      </c>
      <c r="C120" s="87">
        <v>1650.0</v>
      </c>
      <c r="D120" s="87">
        <v>1650.0</v>
      </c>
      <c r="E120" s="87">
        <v>1650.0</v>
      </c>
      <c r="F120" s="87">
        <v>1650.0</v>
      </c>
      <c r="G120" s="87">
        <v>1650.0</v>
      </c>
      <c r="H120" s="87">
        <v>1650.0</v>
      </c>
      <c r="I120" s="87">
        <v>1650.0</v>
      </c>
      <c r="J120" s="87">
        <v>1650.0</v>
      </c>
      <c r="K120" s="87">
        <v>1650.0</v>
      </c>
      <c r="L120" s="87">
        <v>1650.0</v>
      </c>
      <c r="M120" s="87">
        <v>1650.0</v>
      </c>
      <c r="N120" s="17">
        <f t="shared" si="33"/>
        <v>19800</v>
      </c>
    </row>
    <row r="121" ht="13.5" customHeight="1">
      <c r="A121" s="99" t="s">
        <v>23</v>
      </c>
      <c r="B121" s="63">
        <f t="shared" ref="B121:N121" si="34">SUM(B115:B120)</f>
        <v>6171.44</v>
      </c>
      <c r="C121" s="63">
        <f t="shared" si="34"/>
        <v>4190</v>
      </c>
      <c r="D121" s="63">
        <f t="shared" si="34"/>
        <v>4190</v>
      </c>
      <c r="E121" s="63">
        <f t="shared" si="34"/>
        <v>6478.16</v>
      </c>
      <c r="F121" s="63">
        <f t="shared" si="34"/>
        <v>4190</v>
      </c>
      <c r="G121" s="63">
        <f t="shared" si="34"/>
        <v>4190</v>
      </c>
      <c r="H121" s="63">
        <f t="shared" si="34"/>
        <v>6171.44</v>
      </c>
      <c r="I121" s="63">
        <f t="shared" si="34"/>
        <v>4190</v>
      </c>
      <c r="J121" s="63">
        <f t="shared" si="34"/>
        <v>4190</v>
      </c>
      <c r="K121" s="63">
        <f t="shared" si="34"/>
        <v>6319.76</v>
      </c>
      <c r="L121" s="63">
        <f t="shared" si="34"/>
        <v>4190</v>
      </c>
      <c r="M121" s="63">
        <f t="shared" si="34"/>
        <v>4190</v>
      </c>
      <c r="N121" s="63">
        <f t="shared" si="34"/>
        <v>58660.8</v>
      </c>
    </row>
    <row r="122" ht="13.5" customHeight="1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</row>
    <row r="123" ht="13.5" customHeight="1">
      <c r="A123" s="134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</row>
    <row r="124" ht="13.5" customHeight="1">
      <c r="A124" s="64" t="s">
        <v>115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</row>
    <row r="125" ht="13.5" customHeight="1">
      <c r="A125" s="64" t="s">
        <v>116</v>
      </c>
      <c r="B125" s="67">
        <f t="shared" ref="B125:M125" si="35">+B13*0.7+B21*0.7+B32*0.7+B52*0.6+B70+B107*0.6</f>
        <v>36883.41548</v>
      </c>
      <c r="C125" s="67">
        <f t="shared" si="35"/>
        <v>38103.99032</v>
      </c>
      <c r="D125" s="67">
        <f t="shared" si="35"/>
        <v>41297.96276</v>
      </c>
      <c r="E125" s="67">
        <f t="shared" si="35"/>
        <v>39970.30524</v>
      </c>
      <c r="F125" s="67">
        <f t="shared" si="35"/>
        <v>42033.07896</v>
      </c>
      <c r="G125" s="67">
        <f t="shared" si="35"/>
        <v>41634.66054</v>
      </c>
      <c r="H125" s="67">
        <f t="shared" si="35"/>
        <v>38192.59196</v>
      </c>
      <c r="I125" s="67">
        <f t="shared" si="35"/>
        <v>38110.53176</v>
      </c>
      <c r="J125" s="67">
        <f t="shared" si="35"/>
        <v>40184.97045</v>
      </c>
      <c r="K125" s="67">
        <f t="shared" si="35"/>
        <v>48266.61353</v>
      </c>
      <c r="L125" s="67">
        <f t="shared" si="35"/>
        <v>52599.03562</v>
      </c>
      <c r="M125" s="67">
        <f t="shared" si="35"/>
        <v>52599.03562</v>
      </c>
      <c r="N125" s="67">
        <f t="shared" ref="N125:N126" si="37">SUM(B125:M125)</f>
        <v>509876.1922</v>
      </c>
    </row>
    <row r="126" ht="13.5" customHeight="1">
      <c r="A126" s="64" t="s">
        <v>117</v>
      </c>
      <c r="B126" s="67">
        <f t="shared" ref="B126:M126" si="36">+B13*0.3+B21*0.3+B32*0.3+B52*0.4+B82+B90+B107*0.4</f>
        <v>18330.73378</v>
      </c>
      <c r="C126" s="67">
        <f t="shared" si="36"/>
        <v>18911.69442</v>
      </c>
      <c r="D126" s="67">
        <f t="shared" si="36"/>
        <v>20049.63118</v>
      </c>
      <c r="E126" s="67">
        <f t="shared" si="36"/>
        <v>19464.40082</v>
      </c>
      <c r="F126" s="67">
        <f t="shared" si="36"/>
        <v>20370.58956</v>
      </c>
      <c r="G126" s="67">
        <f t="shared" si="36"/>
        <v>20309.41023</v>
      </c>
      <c r="H126" s="67">
        <f t="shared" si="36"/>
        <v>18760.38084</v>
      </c>
      <c r="I126" s="67">
        <f t="shared" si="36"/>
        <v>18705.67404</v>
      </c>
      <c r="J126" s="67">
        <f t="shared" si="36"/>
        <v>19689.97162</v>
      </c>
      <c r="K126" s="67">
        <f t="shared" si="36"/>
        <v>20099.2158</v>
      </c>
      <c r="L126" s="67">
        <f t="shared" si="36"/>
        <v>20661.14241</v>
      </c>
      <c r="M126" s="67">
        <f t="shared" si="36"/>
        <v>20661.14241</v>
      </c>
      <c r="N126" s="67">
        <f t="shared" si="37"/>
        <v>236013.9871</v>
      </c>
    </row>
    <row r="127" ht="13.5" customHeight="1">
      <c r="A127" s="64" t="s">
        <v>23</v>
      </c>
      <c r="B127" s="67">
        <f t="shared" ref="B127:N127" si="38">SUM(B125:B126)</f>
        <v>55214.14926</v>
      </c>
      <c r="C127" s="67">
        <f t="shared" si="38"/>
        <v>57015.68474</v>
      </c>
      <c r="D127" s="67">
        <f t="shared" si="38"/>
        <v>61347.59395</v>
      </c>
      <c r="E127" s="67">
        <f t="shared" si="38"/>
        <v>59434.70606</v>
      </c>
      <c r="F127" s="67">
        <f t="shared" si="38"/>
        <v>62403.66852</v>
      </c>
      <c r="G127" s="67">
        <f t="shared" si="38"/>
        <v>61944.07078</v>
      </c>
      <c r="H127" s="67">
        <f t="shared" si="38"/>
        <v>56952.9728</v>
      </c>
      <c r="I127" s="67">
        <f t="shared" si="38"/>
        <v>56816.2058</v>
      </c>
      <c r="J127" s="67">
        <f t="shared" si="38"/>
        <v>59874.94208</v>
      </c>
      <c r="K127" s="67">
        <f t="shared" si="38"/>
        <v>68365.82933</v>
      </c>
      <c r="L127" s="67">
        <f t="shared" si="38"/>
        <v>73260.17803</v>
      </c>
      <c r="M127" s="67">
        <f t="shared" si="38"/>
        <v>73260.17803</v>
      </c>
      <c r="N127" s="67">
        <f t="shared" si="38"/>
        <v>745890.1794</v>
      </c>
    </row>
    <row r="128" ht="13.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</row>
    <row r="129" ht="13.5" customHeight="1">
      <c r="A129" s="69" t="s">
        <v>118</v>
      </c>
      <c r="B129" s="70">
        <f t="shared" ref="B129:N129" si="39">+B109</f>
        <v>55214.14926</v>
      </c>
      <c r="C129" s="70">
        <f t="shared" si="39"/>
        <v>57015.68474</v>
      </c>
      <c r="D129" s="70">
        <f t="shared" si="39"/>
        <v>61347.59395</v>
      </c>
      <c r="E129" s="70">
        <f t="shared" si="39"/>
        <v>59434.70606</v>
      </c>
      <c r="F129" s="70">
        <f t="shared" si="39"/>
        <v>62403.66852</v>
      </c>
      <c r="G129" s="70">
        <f t="shared" si="39"/>
        <v>61944.07078</v>
      </c>
      <c r="H129" s="70">
        <f t="shared" si="39"/>
        <v>56952.9728</v>
      </c>
      <c r="I129" s="70">
        <f t="shared" si="39"/>
        <v>56816.2058</v>
      </c>
      <c r="J129" s="70">
        <f t="shared" si="39"/>
        <v>59874.94208</v>
      </c>
      <c r="K129" s="70">
        <f t="shared" si="39"/>
        <v>68365.82933</v>
      </c>
      <c r="L129" s="70">
        <f t="shared" si="39"/>
        <v>73260.17803</v>
      </c>
      <c r="M129" s="70">
        <f t="shared" si="39"/>
        <v>73260.17803</v>
      </c>
      <c r="N129" s="70">
        <f t="shared" si="39"/>
        <v>745890.1794</v>
      </c>
    </row>
    <row r="130" ht="13.5" customHeight="1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</row>
    <row r="131" ht="13.5" customHeight="1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</row>
  </sheetData>
  <mergeCells count="1">
    <mergeCell ref="A1:N1"/>
  </mergeCells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1.38"/>
    <col customWidth="1" min="2" max="9" width="9.13"/>
    <col customWidth="1" min="10" max="10" width="9.63"/>
    <col customWidth="1" min="11" max="13" width="9.13"/>
    <col customWidth="1" min="14" max="14" width="10.75"/>
  </cols>
  <sheetData>
    <row r="1" ht="13.5" customHeight="1">
      <c r="A1" s="76" t="s">
        <v>252</v>
      </c>
    </row>
    <row r="2" ht="13.5" customHeight="1">
      <c r="A2" s="7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ht="13.5" customHeight="1">
      <c r="A3" s="1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</row>
    <row r="4" ht="13.5" customHeight="1">
      <c r="A4" s="296" t="s">
        <v>14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3"/>
    </row>
    <row r="5" ht="13.5" customHeight="1">
      <c r="A5" s="15" t="s">
        <v>15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17">
        <f t="shared" ref="N5:N12" si="1">SUM(B5:M5)</f>
        <v>0</v>
      </c>
    </row>
    <row r="6" ht="13.5" customHeight="1">
      <c r="A6" s="15" t="s">
        <v>123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17">
        <f t="shared" si="1"/>
        <v>0</v>
      </c>
    </row>
    <row r="7" ht="13.5" customHeight="1">
      <c r="A7" s="15" t="s">
        <v>17</v>
      </c>
      <c r="B7" s="46"/>
      <c r="C7" s="46"/>
      <c r="D7" s="87"/>
      <c r="E7" s="46"/>
      <c r="F7" s="46"/>
      <c r="G7" s="46"/>
      <c r="H7" s="46"/>
      <c r="I7" s="46"/>
      <c r="J7" s="46"/>
      <c r="K7" s="46"/>
      <c r="L7" s="46"/>
      <c r="M7" s="46"/>
      <c r="N7" s="17">
        <f t="shared" si="1"/>
        <v>0</v>
      </c>
    </row>
    <row r="8" ht="13.5" customHeight="1">
      <c r="A8" s="15" t="s">
        <v>18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17">
        <f t="shared" si="1"/>
        <v>0</v>
      </c>
    </row>
    <row r="9" ht="13.5" customHeight="1">
      <c r="A9" s="20" t="s">
        <v>204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17">
        <f t="shared" si="1"/>
        <v>0</v>
      </c>
    </row>
    <row r="10" ht="13.5" customHeight="1">
      <c r="A10" s="20" t="s">
        <v>235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17">
        <f t="shared" si="1"/>
        <v>0</v>
      </c>
    </row>
    <row r="11" ht="13.5" customHeight="1">
      <c r="A11" s="15" t="s">
        <v>21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17">
        <f t="shared" si="1"/>
        <v>0</v>
      </c>
    </row>
    <row r="12" ht="13.5" customHeight="1">
      <c r="A12" s="15" t="s">
        <v>22</v>
      </c>
      <c r="B12" s="46" t="str">
        <f>PRODUCTION!R3</f>
        <v/>
      </c>
      <c r="C12" s="46" t="str">
        <f>PRODUCTION!R4</f>
        <v/>
      </c>
      <c r="D12" s="84" t="str">
        <f>PRODUCTION!R5</f>
        <v/>
      </c>
      <c r="E12" s="84" t="str">
        <f>PRODUCTION!R6</f>
        <v/>
      </c>
      <c r="F12" s="84" t="str">
        <f>PRODUCTION!R7</f>
        <v/>
      </c>
      <c r="G12" s="84" t="str">
        <f>PRODUCTION!R8</f>
        <v/>
      </c>
      <c r="H12" s="84" t="str">
        <f>PRODUCTION!R9</f>
        <v/>
      </c>
      <c r="I12" s="84" t="str">
        <f>PRODUCTION!R10</f>
        <v/>
      </c>
      <c r="J12" s="84" t="str">
        <f>PRODUCTION!R11</f>
        <v/>
      </c>
      <c r="K12" s="84" t="str">
        <f>PRODUCTION!R12</f>
        <v/>
      </c>
      <c r="L12" s="46" t="str">
        <f>PRODUCTION!R13</f>
        <v/>
      </c>
      <c r="M12" s="46" t="str">
        <f>PRODUCTION!R14</f>
        <v/>
      </c>
      <c r="N12" s="17">
        <f t="shared" si="1"/>
        <v>0</v>
      </c>
    </row>
    <row r="13" ht="13.5" customHeight="1">
      <c r="A13" s="21" t="s">
        <v>23</v>
      </c>
      <c r="B13" s="22">
        <f t="shared" ref="B13:N13" si="2">SUM(B5:B12)</f>
        <v>0</v>
      </c>
      <c r="C13" s="22">
        <f t="shared" si="2"/>
        <v>0</v>
      </c>
      <c r="D13" s="22">
        <f t="shared" si="2"/>
        <v>0</v>
      </c>
      <c r="E13" s="22">
        <f t="shared" si="2"/>
        <v>0</v>
      </c>
      <c r="F13" s="22">
        <f t="shared" si="2"/>
        <v>0</v>
      </c>
      <c r="G13" s="22">
        <f t="shared" si="2"/>
        <v>0</v>
      </c>
      <c r="H13" s="22">
        <f t="shared" si="2"/>
        <v>0</v>
      </c>
      <c r="I13" s="22">
        <f t="shared" si="2"/>
        <v>0</v>
      </c>
      <c r="J13" s="22">
        <f t="shared" si="2"/>
        <v>0</v>
      </c>
      <c r="K13" s="22">
        <f t="shared" si="2"/>
        <v>0</v>
      </c>
      <c r="L13" s="22">
        <f t="shared" si="2"/>
        <v>0</v>
      </c>
      <c r="M13" s="22">
        <f t="shared" si="2"/>
        <v>0</v>
      </c>
      <c r="N13" s="22">
        <f t="shared" si="2"/>
        <v>0</v>
      </c>
    </row>
    <row r="14" ht="13.5" customHeight="1">
      <c r="A14" s="297" t="s">
        <v>24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83"/>
    </row>
    <row r="15" ht="13.5" customHeight="1">
      <c r="A15" s="35" t="s">
        <v>214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17">
        <f t="shared" ref="N15:N18" si="3">SUM(B15:M15)</f>
        <v>0</v>
      </c>
    </row>
    <row r="16" ht="13.5" customHeight="1">
      <c r="A16" s="35" t="s">
        <v>26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17">
        <f t="shared" si="3"/>
        <v>0</v>
      </c>
    </row>
    <row r="17" ht="13.5" customHeight="1">
      <c r="A17" s="3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17">
        <f t="shared" si="3"/>
        <v>0</v>
      </c>
    </row>
    <row r="18" ht="13.5" customHeight="1">
      <c r="A18" s="3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17">
        <f t="shared" si="3"/>
        <v>0</v>
      </c>
    </row>
    <row r="19" ht="13.5" customHeight="1">
      <c r="A19" s="27" t="s">
        <v>29</v>
      </c>
      <c r="B19" s="103"/>
      <c r="C19" s="103"/>
      <c r="D19" s="46"/>
      <c r="E19" s="87"/>
      <c r="F19" s="46"/>
      <c r="G19" s="46"/>
      <c r="H19" s="46"/>
      <c r="I19" s="46"/>
      <c r="J19" s="46"/>
      <c r="K19" s="46"/>
      <c r="L19" s="46"/>
      <c r="M19" s="46"/>
      <c r="N19" s="17">
        <f>SUM(C19:M19)</f>
        <v>0</v>
      </c>
    </row>
    <row r="20" ht="13.5" customHeight="1">
      <c r="A20" s="3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17">
        <f>SUM(B20:M20)</f>
        <v>0</v>
      </c>
    </row>
    <row r="21" ht="13.5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</row>
    <row r="22" ht="13.5" customHeight="1">
      <c r="A22" s="89" t="s">
        <v>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3"/>
    </row>
    <row r="23" ht="13.5" customHeight="1">
      <c r="A23" s="26" t="s">
        <v>31</v>
      </c>
      <c r="B23" s="87">
        <v>0.0</v>
      </c>
      <c r="C23" s="87">
        <v>0.0</v>
      </c>
      <c r="D23" s="87">
        <v>0.0</v>
      </c>
      <c r="E23" s="87">
        <v>0.0</v>
      </c>
      <c r="F23" s="87">
        <v>0.0</v>
      </c>
      <c r="G23" s="87">
        <v>0.0</v>
      </c>
      <c r="H23" s="87">
        <v>0.0</v>
      </c>
      <c r="I23" s="87">
        <v>0.0</v>
      </c>
      <c r="J23" s="87">
        <v>0.0</v>
      </c>
      <c r="K23" s="87">
        <v>0.0</v>
      </c>
      <c r="L23" s="87">
        <v>0.0</v>
      </c>
      <c r="M23" s="87">
        <v>0.0</v>
      </c>
      <c r="N23" s="17">
        <f t="shared" ref="N23:N31" si="5">SUM(B23:M23)</f>
        <v>0</v>
      </c>
    </row>
    <row r="24" ht="13.5" customHeight="1">
      <c r="A24" s="32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17">
        <f t="shared" si="5"/>
        <v>0</v>
      </c>
    </row>
    <row r="25" ht="13.5" customHeight="1">
      <c r="A25" s="15" t="s">
        <v>127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17">
        <f t="shared" si="5"/>
        <v>0</v>
      </c>
    </row>
    <row r="26" ht="13.5" customHeight="1">
      <c r="A26" s="32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17">
        <f t="shared" si="5"/>
        <v>0</v>
      </c>
    </row>
    <row r="27" ht="13.5" customHeight="1">
      <c r="A27" s="31" t="s">
        <v>34</v>
      </c>
      <c r="B27" s="46"/>
      <c r="C27" s="46"/>
      <c r="D27" s="139"/>
      <c r="E27" s="140"/>
      <c r="F27" s="141"/>
      <c r="G27" s="141"/>
      <c r="H27" s="140"/>
      <c r="I27" s="141"/>
      <c r="J27" s="140"/>
      <c r="K27" s="141"/>
      <c r="L27" s="141"/>
      <c r="M27" s="141"/>
      <c r="N27" s="17">
        <f t="shared" si="5"/>
        <v>0</v>
      </c>
    </row>
    <row r="28" ht="13.5" customHeight="1">
      <c r="A28" s="33" t="s">
        <v>35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17">
        <f t="shared" si="5"/>
        <v>0</v>
      </c>
    </row>
    <row r="29" ht="13.5" customHeight="1">
      <c r="A29" s="27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17">
        <f t="shared" si="5"/>
        <v>0</v>
      </c>
    </row>
    <row r="30" ht="13.5" customHeight="1">
      <c r="A30" s="31" t="s">
        <v>37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17">
        <f t="shared" si="5"/>
        <v>0</v>
      </c>
    </row>
    <row r="31" ht="13.5" customHeight="1">
      <c r="A31" s="3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17">
        <f t="shared" si="5"/>
        <v>0</v>
      </c>
    </row>
    <row r="32" ht="13.5" customHeight="1">
      <c r="A32" s="91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0</v>
      </c>
      <c r="E32" s="28">
        <f t="shared" si="6"/>
        <v>0</v>
      </c>
      <c r="F32" s="28">
        <f t="shared" si="6"/>
        <v>0</v>
      </c>
      <c r="G32" s="28">
        <f t="shared" si="6"/>
        <v>0</v>
      </c>
      <c r="H32" s="28">
        <f t="shared" si="6"/>
        <v>0</v>
      </c>
      <c r="I32" s="28">
        <f t="shared" si="6"/>
        <v>0</v>
      </c>
      <c r="J32" s="28">
        <f t="shared" si="6"/>
        <v>0</v>
      </c>
      <c r="K32" s="28">
        <f t="shared" si="6"/>
        <v>0</v>
      </c>
      <c r="L32" s="28">
        <f t="shared" si="6"/>
        <v>0</v>
      </c>
      <c r="M32" s="28">
        <f t="shared" si="6"/>
        <v>0</v>
      </c>
      <c r="N32" s="28">
        <f t="shared" si="6"/>
        <v>0</v>
      </c>
    </row>
    <row r="33" ht="13.5" customHeight="1">
      <c r="A33" s="79" t="s">
        <v>38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</row>
    <row r="34" ht="13.5" customHeight="1">
      <c r="A34" s="142" t="s">
        <v>39</v>
      </c>
      <c r="B34" s="86">
        <f t="shared" ref="B34:M34" si="7">1999+61.9+850+70</f>
        <v>2980.9</v>
      </c>
      <c r="C34" s="86">
        <f t="shared" si="7"/>
        <v>2980.9</v>
      </c>
      <c r="D34" s="86">
        <f t="shared" si="7"/>
        <v>2980.9</v>
      </c>
      <c r="E34" s="86">
        <f t="shared" si="7"/>
        <v>2980.9</v>
      </c>
      <c r="F34" s="86">
        <f t="shared" si="7"/>
        <v>2980.9</v>
      </c>
      <c r="G34" s="86">
        <f t="shared" si="7"/>
        <v>2980.9</v>
      </c>
      <c r="H34" s="86">
        <f t="shared" si="7"/>
        <v>2980.9</v>
      </c>
      <c r="I34" s="86">
        <f t="shared" si="7"/>
        <v>2980.9</v>
      </c>
      <c r="J34" s="86">
        <f t="shared" si="7"/>
        <v>2980.9</v>
      </c>
      <c r="K34" s="86">
        <f t="shared" si="7"/>
        <v>2980.9</v>
      </c>
      <c r="L34" s="86">
        <f t="shared" si="7"/>
        <v>2980.9</v>
      </c>
      <c r="M34" s="86">
        <f t="shared" si="7"/>
        <v>2980.9</v>
      </c>
      <c r="N34" s="95">
        <f t="shared" ref="N34:N51" si="8">SUM(B34:M34)</f>
        <v>35770.8</v>
      </c>
    </row>
    <row r="35" ht="13.5" customHeight="1">
      <c r="A35" s="19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17">
        <f t="shared" si="8"/>
        <v>0</v>
      </c>
    </row>
    <row r="36" ht="13.5" customHeight="1">
      <c r="A36" s="35" t="s">
        <v>41</v>
      </c>
      <c r="B36" s="46">
        <v>395.0</v>
      </c>
      <c r="C36" s="46">
        <v>395.0</v>
      </c>
      <c r="D36" s="46">
        <v>395.0</v>
      </c>
      <c r="E36" s="46">
        <v>395.0</v>
      </c>
      <c r="F36" s="46">
        <v>395.0</v>
      </c>
      <c r="G36" s="46">
        <v>395.0</v>
      </c>
      <c r="H36" s="46">
        <v>395.0</v>
      </c>
      <c r="I36" s="46">
        <v>395.0</v>
      </c>
      <c r="J36" s="46">
        <v>395.0</v>
      </c>
      <c r="K36" s="46">
        <v>395.0</v>
      </c>
      <c r="L36" s="46">
        <v>395.0</v>
      </c>
      <c r="M36" s="46">
        <v>395.0</v>
      </c>
      <c r="N36" s="17">
        <f t="shared" si="8"/>
        <v>4740</v>
      </c>
    </row>
    <row r="37" ht="13.5" customHeight="1">
      <c r="A37" s="35" t="s">
        <v>42</v>
      </c>
      <c r="B37" s="87">
        <v>759.0</v>
      </c>
      <c r="C37" s="87">
        <v>759.0</v>
      </c>
      <c r="D37" s="87">
        <v>759.0</v>
      </c>
      <c r="E37" s="87">
        <v>759.0</v>
      </c>
      <c r="F37" s="87">
        <v>759.0</v>
      </c>
      <c r="G37" s="87">
        <v>759.0</v>
      </c>
      <c r="H37" s="87">
        <v>759.0</v>
      </c>
      <c r="I37" s="87">
        <v>759.0</v>
      </c>
      <c r="J37" s="87">
        <v>759.0</v>
      </c>
      <c r="K37" s="87">
        <v>759.0</v>
      </c>
      <c r="L37" s="87">
        <v>759.0</v>
      </c>
      <c r="M37" s="87">
        <v>759.0</v>
      </c>
      <c r="N37" s="17">
        <f t="shared" si="8"/>
        <v>9108</v>
      </c>
    </row>
    <row r="38" ht="13.5" customHeight="1">
      <c r="A38" s="35" t="s">
        <v>43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17">
        <f t="shared" si="8"/>
        <v>0</v>
      </c>
    </row>
    <row r="39" ht="13.5" customHeight="1">
      <c r="A39" s="35" t="s">
        <v>44</v>
      </c>
      <c r="B39" s="46">
        <v>395.0</v>
      </c>
      <c r="C39" s="46">
        <v>395.0</v>
      </c>
      <c r="D39" s="46">
        <v>395.0</v>
      </c>
      <c r="E39" s="46">
        <v>395.0</v>
      </c>
      <c r="F39" s="46">
        <v>395.0</v>
      </c>
      <c r="G39" s="46">
        <v>395.0</v>
      </c>
      <c r="H39" s="46">
        <v>395.0</v>
      </c>
      <c r="I39" s="46">
        <v>395.0</v>
      </c>
      <c r="J39" s="46">
        <v>395.0</v>
      </c>
      <c r="K39" s="46">
        <v>395.0</v>
      </c>
      <c r="L39" s="46">
        <v>395.0</v>
      </c>
      <c r="M39" s="46">
        <v>395.0</v>
      </c>
      <c r="N39" s="17">
        <f t="shared" si="8"/>
        <v>4740</v>
      </c>
    </row>
    <row r="40" ht="13.5" customHeight="1">
      <c r="A40" s="35" t="s">
        <v>45</v>
      </c>
      <c r="B40" s="46"/>
      <c r="C40" s="87"/>
      <c r="D40" s="46"/>
      <c r="E40" s="87"/>
      <c r="F40" s="46"/>
      <c r="G40" s="46"/>
      <c r="H40" s="46"/>
      <c r="I40" s="46"/>
      <c r="J40" s="87"/>
      <c r="K40" s="46"/>
      <c r="L40" s="46"/>
      <c r="M40" s="46"/>
      <c r="N40" s="17">
        <f t="shared" si="8"/>
        <v>0</v>
      </c>
    </row>
    <row r="41" ht="13.5" customHeight="1">
      <c r="A41" s="39" t="s">
        <v>253</v>
      </c>
      <c r="B41" s="87">
        <v>3220.0</v>
      </c>
      <c r="C41" s="87">
        <v>3220.0</v>
      </c>
      <c r="D41" s="87">
        <v>4130.0</v>
      </c>
      <c r="E41" s="87">
        <v>4130.0</v>
      </c>
      <c r="F41" s="87">
        <v>4130.0</v>
      </c>
      <c r="G41" s="87">
        <v>4130.0</v>
      </c>
      <c r="H41" s="87">
        <v>4130.0</v>
      </c>
      <c r="I41" s="87">
        <v>4130.0</v>
      </c>
      <c r="J41" s="87">
        <v>4130.0</v>
      </c>
      <c r="K41" s="87">
        <v>4130.0</v>
      </c>
      <c r="L41" s="87">
        <v>4130.0</v>
      </c>
      <c r="M41" s="87">
        <v>4130.0</v>
      </c>
      <c r="N41" s="17">
        <f t="shared" si="8"/>
        <v>47740</v>
      </c>
    </row>
    <row r="42" ht="13.5" customHeight="1">
      <c r="A42" s="15" t="s">
        <v>47</v>
      </c>
      <c r="B42" s="87">
        <v>365.0</v>
      </c>
      <c r="C42" s="87">
        <v>365.0</v>
      </c>
      <c r="D42" s="87">
        <v>365.0</v>
      </c>
      <c r="E42" s="87">
        <v>365.0</v>
      </c>
      <c r="F42" s="87">
        <v>365.0</v>
      </c>
      <c r="G42" s="87">
        <v>365.0</v>
      </c>
      <c r="H42" s="87">
        <v>365.0</v>
      </c>
      <c r="I42" s="87">
        <v>365.0</v>
      </c>
      <c r="J42" s="87">
        <v>365.0</v>
      </c>
      <c r="K42" s="87">
        <v>365.0</v>
      </c>
      <c r="L42" s="87">
        <v>365.0</v>
      </c>
      <c r="M42" s="87">
        <v>365.0</v>
      </c>
      <c r="N42" s="17">
        <f t="shared" si="8"/>
        <v>4380</v>
      </c>
    </row>
    <row r="43" ht="13.5" customHeight="1">
      <c r="A43" s="19" t="s">
        <v>254</v>
      </c>
      <c r="B43" s="87">
        <v>949.0</v>
      </c>
      <c r="C43" s="87">
        <v>949.0</v>
      </c>
      <c r="D43" s="87">
        <v>949.0</v>
      </c>
      <c r="E43" s="87">
        <v>949.0</v>
      </c>
      <c r="F43" s="87">
        <v>949.0</v>
      </c>
      <c r="G43" s="87">
        <v>949.0</v>
      </c>
      <c r="H43" s="87">
        <v>949.0</v>
      </c>
      <c r="I43" s="87">
        <v>1005.94</v>
      </c>
      <c r="J43" s="87">
        <v>1005.94</v>
      </c>
      <c r="K43" s="87">
        <v>1005.94</v>
      </c>
      <c r="L43" s="87">
        <v>1005.94</v>
      </c>
      <c r="M43" s="87">
        <v>1005.94</v>
      </c>
      <c r="N43" s="17">
        <f t="shared" si="8"/>
        <v>11672.7</v>
      </c>
    </row>
    <row r="44" ht="13.5" customHeight="1">
      <c r="A44" s="19" t="s">
        <v>130</v>
      </c>
      <c r="B44" s="87">
        <v>199.0</v>
      </c>
      <c r="C44" s="87">
        <v>199.0</v>
      </c>
      <c r="D44" s="87">
        <v>199.0</v>
      </c>
      <c r="E44" s="87">
        <v>199.0</v>
      </c>
      <c r="F44" s="87">
        <v>199.0</v>
      </c>
      <c r="G44" s="87">
        <v>199.0</v>
      </c>
      <c r="H44" s="87">
        <v>199.0</v>
      </c>
      <c r="I44" s="87">
        <v>199.0</v>
      </c>
      <c r="J44" s="87">
        <v>199.0</v>
      </c>
      <c r="K44" s="87">
        <v>199.0</v>
      </c>
      <c r="L44" s="87">
        <v>199.0</v>
      </c>
      <c r="M44" s="87">
        <v>199.0</v>
      </c>
      <c r="N44" s="17">
        <f t="shared" si="8"/>
        <v>2388</v>
      </c>
    </row>
    <row r="45" ht="13.5" customHeight="1">
      <c r="A45" s="156" t="s">
        <v>50</v>
      </c>
      <c r="B45" s="87">
        <f t="shared" ref="B45:M45" si="9">45+448+97.5</f>
        <v>590.5</v>
      </c>
      <c r="C45" s="87">
        <f t="shared" si="9"/>
        <v>590.5</v>
      </c>
      <c r="D45" s="87">
        <f t="shared" si="9"/>
        <v>590.5</v>
      </c>
      <c r="E45" s="87">
        <f t="shared" si="9"/>
        <v>590.5</v>
      </c>
      <c r="F45" s="87">
        <f t="shared" si="9"/>
        <v>590.5</v>
      </c>
      <c r="G45" s="87">
        <f t="shared" si="9"/>
        <v>590.5</v>
      </c>
      <c r="H45" s="87">
        <f t="shared" si="9"/>
        <v>590.5</v>
      </c>
      <c r="I45" s="87">
        <f t="shared" si="9"/>
        <v>590.5</v>
      </c>
      <c r="J45" s="87">
        <f t="shared" si="9"/>
        <v>590.5</v>
      </c>
      <c r="K45" s="87">
        <f t="shared" si="9"/>
        <v>590.5</v>
      </c>
      <c r="L45" s="87">
        <f t="shared" si="9"/>
        <v>590.5</v>
      </c>
      <c r="M45" s="87">
        <f t="shared" si="9"/>
        <v>590.5</v>
      </c>
      <c r="N45" s="17">
        <f t="shared" si="8"/>
        <v>7086</v>
      </c>
    </row>
    <row r="46" ht="13.5" customHeight="1">
      <c r="A46" s="15" t="s">
        <v>51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17">
        <f t="shared" si="8"/>
        <v>0</v>
      </c>
    </row>
    <row r="47" ht="13.5" customHeight="1">
      <c r="A47" s="19" t="s">
        <v>52</v>
      </c>
      <c r="B47" s="87">
        <f t="shared" ref="B47:M47" si="10">850+200+1000+750</f>
        <v>2800</v>
      </c>
      <c r="C47" s="87">
        <f t="shared" si="10"/>
        <v>2800</v>
      </c>
      <c r="D47" s="87">
        <f t="shared" si="10"/>
        <v>2800</v>
      </c>
      <c r="E47" s="87">
        <f t="shared" si="10"/>
        <v>2800</v>
      </c>
      <c r="F47" s="87">
        <f t="shared" si="10"/>
        <v>2800</v>
      </c>
      <c r="G47" s="87">
        <f t="shared" si="10"/>
        <v>2800</v>
      </c>
      <c r="H47" s="87">
        <f t="shared" si="10"/>
        <v>2800</v>
      </c>
      <c r="I47" s="87">
        <f t="shared" si="10"/>
        <v>2800</v>
      </c>
      <c r="J47" s="87">
        <f t="shared" si="10"/>
        <v>2800</v>
      </c>
      <c r="K47" s="87">
        <f t="shared" si="10"/>
        <v>2800</v>
      </c>
      <c r="L47" s="87">
        <f t="shared" si="10"/>
        <v>2800</v>
      </c>
      <c r="M47" s="87">
        <f t="shared" si="10"/>
        <v>2800</v>
      </c>
      <c r="N47" s="17">
        <f t="shared" si="8"/>
        <v>33600</v>
      </c>
    </row>
    <row r="48" ht="13.5" customHeight="1">
      <c r="A48" s="15" t="s">
        <v>53</v>
      </c>
      <c r="B48" s="87">
        <f t="shared" ref="B48:M48" si="11">350.33+55.66+80</f>
        <v>485.99</v>
      </c>
      <c r="C48" s="87">
        <f t="shared" si="11"/>
        <v>485.99</v>
      </c>
      <c r="D48" s="87">
        <f t="shared" si="11"/>
        <v>485.99</v>
      </c>
      <c r="E48" s="87">
        <f t="shared" si="11"/>
        <v>485.99</v>
      </c>
      <c r="F48" s="87">
        <f t="shared" si="11"/>
        <v>485.99</v>
      </c>
      <c r="G48" s="87">
        <f t="shared" si="11"/>
        <v>485.99</v>
      </c>
      <c r="H48" s="87">
        <f t="shared" si="11"/>
        <v>485.99</v>
      </c>
      <c r="I48" s="87">
        <f t="shared" si="11"/>
        <v>485.99</v>
      </c>
      <c r="J48" s="87">
        <f t="shared" si="11"/>
        <v>485.99</v>
      </c>
      <c r="K48" s="87">
        <f t="shared" si="11"/>
        <v>485.99</v>
      </c>
      <c r="L48" s="87">
        <f t="shared" si="11"/>
        <v>485.99</v>
      </c>
      <c r="M48" s="87">
        <f t="shared" si="11"/>
        <v>485.99</v>
      </c>
      <c r="N48" s="17">
        <f t="shared" si="8"/>
        <v>5831.88</v>
      </c>
    </row>
    <row r="49" ht="13.5" customHeight="1">
      <c r="A49" s="35" t="s">
        <v>54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17">
        <f t="shared" si="8"/>
        <v>0</v>
      </c>
    </row>
    <row r="50" ht="13.5" customHeight="1">
      <c r="A50" s="19" t="s">
        <v>132</v>
      </c>
      <c r="B50" s="87">
        <v>1995.0</v>
      </c>
      <c r="C50" s="87">
        <v>1995.0</v>
      </c>
      <c r="D50" s="87">
        <v>1995.0</v>
      </c>
      <c r="E50" s="87">
        <v>1995.0</v>
      </c>
      <c r="F50" s="87">
        <v>1995.0</v>
      </c>
      <c r="G50" s="87">
        <v>1995.0</v>
      </c>
      <c r="H50" s="87">
        <v>1995.0</v>
      </c>
      <c r="I50" s="87">
        <v>1995.0</v>
      </c>
      <c r="J50" s="87">
        <v>1995.0</v>
      </c>
      <c r="K50" s="87">
        <v>1995.0</v>
      </c>
      <c r="L50" s="87">
        <v>1995.0</v>
      </c>
      <c r="M50" s="87">
        <v>1995.0</v>
      </c>
      <c r="N50" s="17">
        <f t="shared" si="8"/>
        <v>23940</v>
      </c>
    </row>
    <row r="51" ht="13.5" customHeight="1">
      <c r="A51" s="15" t="s">
        <v>160</v>
      </c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17">
        <f t="shared" si="8"/>
        <v>0</v>
      </c>
    </row>
    <row r="52" ht="13.5" customHeight="1">
      <c r="A52" s="91" t="s">
        <v>23</v>
      </c>
      <c r="B52" s="28">
        <f t="shared" ref="B52:N52" si="12">SUM(B34:B51)</f>
        <v>15134.39</v>
      </c>
      <c r="C52" s="28">
        <f t="shared" si="12"/>
        <v>15134.39</v>
      </c>
      <c r="D52" s="28">
        <f t="shared" si="12"/>
        <v>16044.39</v>
      </c>
      <c r="E52" s="28">
        <f t="shared" si="12"/>
        <v>16044.39</v>
      </c>
      <c r="F52" s="28">
        <f t="shared" si="12"/>
        <v>16044.39</v>
      </c>
      <c r="G52" s="28">
        <f t="shared" si="12"/>
        <v>16044.39</v>
      </c>
      <c r="H52" s="28">
        <f t="shared" si="12"/>
        <v>16044.39</v>
      </c>
      <c r="I52" s="28">
        <f t="shared" si="12"/>
        <v>16101.33</v>
      </c>
      <c r="J52" s="28">
        <f t="shared" si="12"/>
        <v>16101.33</v>
      </c>
      <c r="K52" s="28">
        <f t="shared" si="12"/>
        <v>16101.33</v>
      </c>
      <c r="L52" s="28">
        <f t="shared" si="12"/>
        <v>16101.33</v>
      </c>
      <c r="M52" s="28">
        <f t="shared" si="12"/>
        <v>16101.33</v>
      </c>
      <c r="N52" s="28">
        <f t="shared" si="12"/>
        <v>190997.38</v>
      </c>
    </row>
    <row r="53" ht="13.5" customHeight="1">
      <c r="A53" s="79" t="s">
        <v>56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</row>
    <row r="54" ht="13.5" customHeight="1">
      <c r="A54" s="32" t="s">
        <v>57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17">
        <f t="shared" ref="N54:N69" si="14">SUM(B54:M54)</f>
        <v>0</v>
      </c>
    </row>
    <row r="55" ht="13.5" customHeight="1">
      <c r="A55" s="32" t="s">
        <v>58</v>
      </c>
      <c r="B55" s="87">
        <v>1650.0</v>
      </c>
      <c r="C55" s="87">
        <f t="shared" ref="C55:G55" si="13">2250+199</f>
        <v>2449</v>
      </c>
      <c r="D55" s="87">
        <f t="shared" si="13"/>
        <v>2449</v>
      </c>
      <c r="E55" s="87">
        <f t="shared" si="13"/>
        <v>2449</v>
      </c>
      <c r="F55" s="87">
        <f t="shared" si="13"/>
        <v>2449</v>
      </c>
      <c r="G55" s="87">
        <f t="shared" si="13"/>
        <v>2449</v>
      </c>
      <c r="H55" s="87">
        <v>1750.0</v>
      </c>
      <c r="I55" s="87">
        <v>2000.0</v>
      </c>
      <c r="J55" s="87">
        <v>2350.0</v>
      </c>
      <c r="K55" s="87">
        <v>2350.0</v>
      </c>
      <c r="L55" s="87">
        <v>2350.0</v>
      </c>
      <c r="M55" s="87">
        <v>2350.0</v>
      </c>
      <c r="N55" s="17">
        <f t="shared" si="14"/>
        <v>27045</v>
      </c>
    </row>
    <row r="56" ht="13.5" customHeight="1">
      <c r="A56" s="31" t="s">
        <v>59</v>
      </c>
      <c r="B56" s="87">
        <f t="shared" ref="B56:M56" si="15">399+351+57</f>
        <v>807</v>
      </c>
      <c r="C56" s="87">
        <f t="shared" si="15"/>
        <v>807</v>
      </c>
      <c r="D56" s="87">
        <f t="shared" si="15"/>
        <v>807</v>
      </c>
      <c r="E56" s="87">
        <f t="shared" si="15"/>
        <v>807</v>
      </c>
      <c r="F56" s="87">
        <f t="shared" si="15"/>
        <v>807</v>
      </c>
      <c r="G56" s="87">
        <f t="shared" si="15"/>
        <v>807</v>
      </c>
      <c r="H56" s="87">
        <f t="shared" si="15"/>
        <v>807</v>
      </c>
      <c r="I56" s="87">
        <f t="shared" si="15"/>
        <v>807</v>
      </c>
      <c r="J56" s="87">
        <f t="shared" si="15"/>
        <v>807</v>
      </c>
      <c r="K56" s="87">
        <f t="shared" si="15"/>
        <v>807</v>
      </c>
      <c r="L56" s="87">
        <f t="shared" si="15"/>
        <v>807</v>
      </c>
      <c r="M56" s="87">
        <f t="shared" si="15"/>
        <v>807</v>
      </c>
      <c r="N56" s="17">
        <f t="shared" si="14"/>
        <v>9684</v>
      </c>
    </row>
    <row r="57" ht="13.5" customHeight="1">
      <c r="A57" s="31" t="s">
        <v>133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17">
        <f t="shared" si="14"/>
        <v>0</v>
      </c>
    </row>
    <row r="58" ht="13.5" customHeight="1">
      <c r="A58" s="31" t="s">
        <v>134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17">
        <f t="shared" si="14"/>
        <v>0</v>
      </c>
    </row>
    <row r="59" ht="13.5" customHeight="1">
      <c r="A59" s="31" t="s">
        <v>135</v>
      </c>
      <c r="B59" s="87">
        <v>1100.0</v>
      </c>
      <c r="C59" s="87">
        <v>1100.0</v>
      </c>
      <c r="D59" s="87">
        <v>1100.0</v>
      </c>
      <c r="E59" s="87">
        <v>1100.0</v>
      </c>
      <c r="F59" s="87">
        <v>1100.0</v>
      </c>
      <c r="G59" s="87">
        <v>1100.0</v>
      </c>
      <c r="H59" s="87">
        <v>1100.0</v>
      </c>
      <c r="I59" s="87">
        <v>1100.0</v>
      </c>
      <c r="J59" s="87">
        <v>1100.0</v>
      </c>
      <c r="K59" s="87">
        <v>1100.0</v>
      </c>
      <c r="L59" s="87">
        <v>1100.0</v>
      </c>
      <c r="M59" s="87">
        <v>1100.0</v>
      </c>
      <c r="N59" s="17">
        <f t="shared" si="14"/>
        <v>13200</v>
      </c>
    </row>
    <row r="60" ht="13.5" customHeight="1">
      <c r="A60" s="32" t="s">
        <v>136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17">
        <f t="shared" si="14"/>
        <v>0</v>
      </c>
    </row>
    <row r="61" ht="13.5" customHeight="1">
      <c r="A61" s="32" t="s">
        <v>137</v>
      </c>
      <c r="B61" s="46"/>
      <c r="C61" s="46"/>
      <c r="D61" s="46"/>
      <c r="E61" s="46"/>
      <c r="F61" s="46"/>
      <c r="G61" s="46"/>
      <c r="H61" s="46"/>
      <c r="J61" s="46"/>
      <c r="K61" s="46"/>
      <c r="L61" s="46"/>
      <c r="M61" s="46"/>
      <c r="N61" s="17">
        <f t="shared" si="14"/>
        <v>0</v>
      </c>
    </row>
    <row r="62" ht="13.5" customHeight="1">
      <c r="A62" s="32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14"/>
        <v>0</v>
      </c>
    </row>
    <row r="63" ht="13.5" customHeight="1">
      <c r="A63" s="31" t="s">
        <v>64</v>
      </c>
      <c r="B63" s="87">
        <v>2873.0</v>
      </c>
      <c r="C63" s="87">
        <v>2873.0</v>
      </c>
      <c r="D63" s="87">
        <v>2873.0</v>
      </c>
      <c r="E63" s="87">
        <v>2873.0</v>
      </c>
      <c r="F63" s="87">
        <v>2873.0</v>
      </c>
      <c r="G63" s="87">
        <v>2873.0</v>
      </c>
      <c r="H63" s="87">
        <v>2873.0</v>
      </c>
      <c r="I63" s="87">
        <v>2873.0</v>
      </c>
      <c r="J63" s="87">
        <v>2873.0</v>
      </c>
      <c r="K63" s="87">
        <v>2873.0</v>
      </c>
      <c r="L63" s="87">
        <v>2873.0</v>
      </c>
      <c r="M63" s="87">
        <v>2873.0</v>
      </c>
      <c r="N63" s="17">
        <f t="shared" si="14"/>
        <v>34476</v>
      </c>
    </row>
    <row r="64" ht="13.5" customHeight="1">
      <c r="A64" s="32" t="s">
        <v>65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17">
        <f t="shared" si="14"/>
        <v>0</v>
      </c>
    </row>
    <row r="65" ht="13.5" customHeight="1">
      <c r="A65" s="31" t="s">
        <v>66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17">
        <f t="shared" si="14"/>
        <v>0</v>
      </c>
    </row>
    <row r="66" ht="13.5" customHeight="1">
      <c r="A66" s="31" t="s">
        <v>67</v>
      </c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17">
        <f t="shared" si="14"/>
        <v>0</v>
      </c>
    </row>
    <row r="67" ht="13.5" customHeight="1">
      <c r="A67" s="25" t="s">
        <v>165</v>
      </c>
      <c r="B67" s="28"/>
      <c r="C67" s="28"/>
      <c r="D67" s="28"/>
      <c r="E67" s="28"/>
      <c r="F67" s="167"/>
      <c r="G67" s="167"/>
      <c r="H67" s="167"/>
      <c r="I67" s="28"/>
      <c r="J67" s="28"/>
      <c r="K67" s="28"/>
      <c r="L67" s="28"/>
      <c r="M67" s="28"/>
      <c r="N67" s="17">
        <f t="shared" si="14"/>
        <v>0</v>
      </c>
    </row>
    <row r="68" ht="13.5" customHeight="1">
      <c r="A68" s="25" t="s">
        <v>69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17">
        <f t="shared" si="14"/>
        <v>0</v>
      </c>
    </row>
    <row r="69" ht="13.5" customHeight="1">
      <c r="A69" s="39" t="s">
        <v>70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17">
        <f t="shared" si="14"/>
        <v>0</v>
      </c>
    </row>
    <row r="70" ht="13.5" customHeight="1">
      <c r="A70" s="91" t="s">
        <v>23</v>
      </c>
      <c r="B70" s="28">
        <f t="shared" ref="B70:M70" si="16">SUM(B54:B69)</f>
        <v>6430</v>
      </c>
      <c r="C70" s="28">
        <f t="shared" si="16"/>
        <v>7229</v>
      </c>
      <c r="D70" s="28">
        <f t="shared" si="16"/>
        <v>7229</v>
      </c>
      <c r="E70" s="28">
        <f t="shared" si="16"/>
        <v>7229</v>
      </c>
      <c r="F70" s="28">
        <f t="shared" si="16"/>
        <v>7229</v>
      </c>
      <c r="G70" s="28">
        <f t="shared" si="16"/>
        <v>7229</v>
      </c>
      <c r="H70" s="28">
        <f t="shared" si="16"/>
        <v>6530</v>
      </c>
      <c r="I70" s="28">
        <f t="shared" si="16"/>
        <v>6780</v>
      </c>
      <c r="J70" s="28">
        <f t="shared" si="16"/>
        <v>7130</v>
      </c>
      <c r="K70" s="28">
        <f t="shared" si="16"/>
        <v>7130</v>
      </c>
      <c r="L70" s="28">
        <f t="shared" si="16"/>
        <v>7130</v>
      </c>
      <c r="M70" s="28">
        <f t="shared" si="16"/>
        <v>7130</v>
      </c>
      <c r="N70" s="28">
        <f>SUM(N54:N66)</f>
        <v>84405</v>
      </c>
    </row>
    <row r="71" ht="13.5" customHeight="1">
      <c r="A71" s="79" t="s">
        <v>71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</row>
    <row r="72" ht="13.5" customHeight="1">
      <c r="A72" s="32" t="s">
        <v>138</v>
      </c>
      <c r="B72" s="87">
        <v>0.0</v>
      </c>
      <c r="C72" s="87">
        <v>0.0</v>
      </c>
      <c r="D72" s="87">
        <v>0.0</v>
      </c>
      <c r="E72" s="87">
        <v>0.0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0.0</v>
      </c>
      <c r="L72" s="87">
        <v>0.0</v>
      </c>
      <c r="M72" s="87">
        <v>0.0</v>
      </c>
      <c r="N72" s="17">
        <f t="shared" ref="N72:N83" si="17">SUM(B72:M72)</f>
        <v>0</v>
      </c>
    </row>
    <row r="73" ht="13.5" customHeight="1">
      <c r="A73" s="31" t="s">
        <v>73</v>
      </c>
      <c r="B73" s="87">
        <v>0.0</v>
      </c>
      <c r="C73" s="87">
        <v>0.0</v>
      </c>
      <c r="D73" s="87">
        <v>0.0</v>
      </c>
      <c r="E73" s="87">
        <v>0.0</v>
      </c>
      <c r="F73" s="87">
        <v>0.0</v>
      </c>
      <c r="G73" s="87">
        <v>0.0</v>
      </c>
      <c r="H73" s="87">
        <v>0.0</v>
      </c>
      <c r="I73" s="87">
        <v>0.0</v>
      </c>
      <c r="J73" s="87">
        <v>0.0</v>
      </c>
      <c r="K73" s="87">
        <v>0.0</v>
      </c>
      <c r="L73" s="87">
        <v>0.0</v>
      </c>
      <c r="M73" s="87">
        <v>0.0</v>
      </c>
      <c r="N73" s="17">
        <f t="shared" si="17"/>
        <v>0</v>
      </c>
    </row>
    <row r="74" ht="13.5" customHeight="1">
      <c r="A74" s="32" t="s">
        <v>139</v>
      </c>
      <c r="B74" s="146">
        <v>1100.0</v>
      </c>
      <c r="C74" s="105">
        <v>1100.0</v>
      </c>
      <c r="D74" s="105">
        <v>1100.0</v>
      </c>
      <c r="E74" s="105">
        <v>1100.0</v>
      </c>
      <c r="F74" s="105">
        <v>1100.0</v>
      </c>
      <c r="G74" s="105">
        <v>1100.0</v>
      </c>
      <c r="H74" s="105">
        <v>1100.0</v>
      </c>
      <c r="I74" s="105">
        <v>1100.0</v>
      </c>
      <c r="J74" s="105">
        <v>1100.0</v>
      </c>
      <c r="K74" s="105">
        <v>1100.0</v>
      </c>
      <c r="L74" s="105">
        <v>1100.0</v>
      </c>
      <c r="M74" s="105">
        <v>1100.0</v>
      </c>
      <c r="N74" s="17">
        <f t="shared" si="17"/>
        <v>13200</v>
      </c>
    </row>
    <row r="75" ht="13.5" customHeight="1">
      <c r="A75" s="31" t="s">
        <v>137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17">
        <f t="shared" si="17"/>
        <v>0</v>
      </c>
    </row>
    <row r="76" ht="13.5" customHeight="1">
      <c r="A76" s="32" t="s">
        <v>136</v>
      </c>
      <c r="B76" s="46"/>
      <c r="C76" s="46"/>
      <c r="D76" s="46"/>
      <c r="E76" s="46"/>
      <c r="F76" s="87"/>
      <c r="G76" s="46"/>
      <c r="H76" s="46"/>
      <c r="I76" s="46"/>
      <c r="J76" s="46"/>
      <c r="K76" s="46"/>
      <c r="L76" s="46"/>
      <c r="M76" s="46"/>
      <c r="N76" s="17">
        <f t="shared" si="17"/>
        <v>0</v>
      </c>
    </row>
    <row r="77" ht="13.5" customHeight="1">
      <c r="A77" s="32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17">
        <f t="shared" si="17"/>
        <v>0</v>
      </c>
    </row>
    <row r="78" ht="13.5" customHeight="1">
      <c r="A78" s="31" t="s">
        <v>140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17">
        <f t="shared" si="17"/>
        <v>0</v>
      </c>
    </row>
    <row r="79" ht="13.5" customHeight="1">
      <c r="A79" s="27" t="s">
        <v>141</v>
      </c>
      <c r="B79" s="96">
        <v>4351.3</v>
      </c>
      <c r="C79" s="96">
        <v>4351.3</v>
      </c>
      <c r="D79" s="96">
        <v>4351.3</v>
      </c>
      <c r="E79" s="96">
        <v>4351.3</v>
      </c>
      <c r="F79" s="96">
        <v>4351.3</v>
      </c>
      <c r="G79" s="96">
        <v>4351.3</v>
      </c>
      <c r="H79" s="96">
        <v>4351.3</v>
      </c>
      <c r="I79" s="96">
        <v>4351.3</v>
      </c>
      <c r="J79" s="96">
        <v>4351.3</v>
      </c>
      <c r="K79" s="96">
        <v>4351.3</v>
      </c>
      <c r="L79" s="96">
        <v>4351.3</v>
      </c>
      <c r="M79" s="96">
        <v>4351.3</v>
      </c>
      <c r="N79" s="17">
        <f t="shared" si="17"/>
        <v>52215.6</v>
      </c>
    </row>
    <row r="80" ht="13.5" customHeight="1">
      <c r="A80" s="145" t="s">
        <v>79</v>
      </c>
      <c r="B80" s="87">
        <v>1750.0</v>
      </c>
      <c r="C80" s="87">
        <v>1750.0</v>
      </c>
      <c r="D80" s="87">
        <v>1750.0</v>
      </c>
      <c r="E80" s="87">
        <v>1750.0</v>
      </c>
      <c r="F80" s="87">
        <v>1750.0</v>
      </c>
      <c r="G80" s="87">
        <v>1750.0</v>
      </c>
      <c r="H80" s="87">
        <v>1750.0</v>
      </c>
      <c r="I80" s="87">
        <v>1750.0</v>
      </c>
      <c r="J80" s="87">
        <v>1750.0</v>
      </c>
      <c r="K80" s="87">
        <v>1750.0</v>
      </c>
      <c r="L80" s="87">
        <v>1750.0</v>
      </c>
      <c r="M80" s="87">
        <v>1750.0</v>
      </c>
      <c r="N80" s="17">
        <f t="shared" si="17"/>
        <v>21000</v>
      </c>
    </row>
    <row r="81" ht="13.5" customHeight="1">
      <c r="A81" s="43" t="s">
        <v>80</v>
      </c>
      <c r="B81" s="87">
        <v>0.0</v>
      </c>
      <c r="C81" s="87">
        <v>0.0</v>
      </c>
      <c r="D81" s="87">
        <v>0.0</v>
      </c>
      <c r="E81" s="87">
        <v>0.0</v>
      </c>
      <c r="F81" s="87">
        <v>0.0</v>
      </c>
      <c r="G81" s="87">
        <v>0.0</v>
      </c>
      <c r="H81" s="87">
        <v>0.0</v>
      </c>
      <c r="I81" s="87">
        <v>0.0</v>
      </c>
      <c r="J81" s="87">
        <v>0.0</v>
      </c>
      <c r="K81" s="87">
        <v>0.0</v>
      </c>
      <c r="L81" s="87">
        <v>0.0</v>
      </c>
      <c r="M81" s="87">
        <v>0.0</v>
      </c>
      <c r="N81" s="17">
        <f t="shared" si="17"/>
        <v>0</v>
      </c>
    </row>
    <row r="82" ht="13.5" customHeight="1">
      <c r="A82" s="91" t="s">
        <v>23</v>
      </c>
      <c r="B82" s="28">
        <f t="shared" ref="B82:M82" si="18">SUM(B72:B81)</f>
        <v>7201.3</v>
      </c>
      <c r="C82" s="28">
        <f t="shared" si="18"/>
        <v>7201.3</v>
      </c>
      <c r="D82" s="28">
        <f t="shared" si="18"/>
        <v>7201.3</v>
      </c>
      <c r="E82" s="28">
        <f t="shared" si="18"/>
        <v>7201.3</v>
      </c>
      <c r="F82" s="28">
        <f t="shared" si="18"/>
        <v>7201.3</v>
      </c>
      <c r="G82" s="28">
        <f t="shared" si="18"/>
        <v>7201.3</v>
      </c>
      <c r="H82" s="28">
        <f t="shared" si="18"/>
        <v>7201.3</v>
      </c>
      <c r="I82" s="28">
        <f t="shared" si="18"/>
        <v>7201.3</v>
      </c>
      <c r="J82" s="28">
        <f t="shared" si="18"/>
        <v>7201.3</v>
      </c>
      <c r="K82" s="28">
        <f t="shared" si="18"/>
        <v>7201.3</v>
      </c>
      <c r="L82" s="28">
        <f t="shared" si="18"/>
        <v>7201.3</v>
      </c>
      <c r="M82" s="28">
        <f t="shared" si="18"/>
        <v>7201.3</v>
      </c>
      <c r="N82" s="44">
        <f t="shared" si="17"/>
        <v>86415.6</v>
      </c>
    </row>
    <row r="83" ht="13.5" customHeight="1">
      <c r="A83" s="99" t="s">
        <v>81</v>
      </c>
      <c r="B83" s="28">
        <f t="shared" ref="B83:M83" si="19">B52+B70+B82</f>
        <v>28765.69</v>
      </c>
      <c r="C83" s="28">
        <f t="shared" si="19"/>
        <v>29564.69</v>
      </c>
      <c r="D83" s="28">
        <f t="shared" si="19"/>
        <v>30474.69</v>
      </c>
      <c r="E83" s="28">
        <f t="shared" si="19"/>
        <v>30474.69</v>
      </c>
      <c r="F83" s="28">
        <f t="shared" si="19"/>
        <v>30474.69</v>
      </c>
      <c r="G83" s="28">
        <f t="shared" si="19"/>
        <v>30474.69</v>
      </c>
      <c r="H83" s="28">
        <f t="shared" si="19"/>
        <v>29775.69</v>
      </c>
      <c r="I83" s="28">
        <f t="shared" si="19"/>
        <v>30082.63</v>
      </c>
      <c r="J83" s="28">
        <f t="shared" si="19"/>
        <v>30432.63</v>
      </c>
      <c r="K83" s="28">
        <f t="shared" si="19"/>
        <v>30432.63</v>
      </c>
      <c r="L83" s="28">
        <f t="shared" si="19"/>
        <v>30432.63</v>
      </c>
      <c r="M83" s="28">
        <f t="shared" si="19"/>
        <v>30432.63</v>
      </c>
      <c r="N83" s="44">
        <f t="shared" si="17"/>
        <v>361817.98</v>
      </c>
    </row>
    <row r="84" ht="13.5" customHeight="1">
      <c r="A84" s="99" t="s">
        <v>82</v>
      </c>
      <c r="B84" s="46">
        <f t="shared" ref="B84:N84" si="20">B83/B112</f>
        <v>273.9589524</v>
      </c>
      <c r="C84" s="46">
        <f t="shared" si="20"/>
        <v>311.2072632</v>
      </c>
      <c r="D84" s="46">
        <f t="shared" si="20"/>
        <v>243.79752</v>
      </c>
      <c r="E84" s="46">
        <f t="shared" si="20"/>
        <v>269.6875221</v>
      </c>
      <c r="F84" s="46">
        <f t="shared" si="20"/>
        <v>264.9973043</v>
      </c>
      <c r="G84" s="46">
        <f t="shared" si="20"/>
        <v>258.2600847</v>
      </c>
      <c r="H84" s="46">
        <f t="shared" si="20"/>
        <v>254.4930769</v>
      </c>
      <c r="I84" s="46">
        <f t="shared" si="20"/>
        <v>261.588087</v>
      </c>
      <c r="J84" s="46">
        <f t="shared" si="20"/>
        <v>279.1984404</v>
      </c>
      <c r="K84" s="46">
        <f t="shared" si="20"/>
        <v>276.6602727</v>
      </c>
      <c r="L84" s="46">
        <f t="shared" si="20"/>
        <v>295.4624272</v>
      </c>
      <c r="M84" s="46">
        <f t="shared" si="20"/>
        <v>225.4268889</v>
      </c>
      <c r="N84" s="15">
        <f t="shared" si="20"/>
        <v>266.0426324</v>
      </c>
    </row>
    <row r="85" ht="13.5" customHeight="1">
      <c r="A85" s="79" t="s">
        <v>83</v>
      </c>
      <c r="B85" s="293"/>
      <c r="C85" s="293"/>
      <c r="D85" s="293"/>
      <c r="E85" s="293"/>
      <c r="F85" s="293"/>
      <c r="G85" s="293"/>
      <c r="H85" s="293"/>
      <c r="I85" s="293"/>
      <c r="J85" s="293"/>
      <c r="K85" s="293"/>
      <c r="L85" s="293"/>
      <c r="M85" s="293"/>
      <c r="N85" s="83"/>
    </row>
    <row r="86" ht="13.5" customHeight="1">
      <c r="A86" s="15" t="s">
        <v>84</v>
      </c>
      <c r="B86" s="87">
        <v>820.0</v>
      </c>
      <c r="C86" s="87">
        <v>820.0</v>
      </c>
      <c r="D86" s="87">
        <v>820.0</v>
      </c>
      <c r="E86" s="87">
        <v>820.0</v>
      </c>
      <c r="F86" s="87">
        <v>820.0</v>
      </c>
      <c r="G86" s="87">
        <v>820.0</v>
      </c>
      <c r="H86" s="87">
        <v>820.0</v>
      </c>
      <c r="I86" s="87">
        <v>820.0</v>
      </c>
      <c r="J86" s="87">
        <v>820.0</v>
      </c>
      <c r="K86" s="87">
        <v>820.0</v>
      </c>
      <c r="L86" s="87">
        <v>820.0</v>
      </c>
      <c r="M86" s="87">
        <v>820.0</v>
      </c>
      <c r="N86" s="17">
        <f t="shared" ref="N86:N89" si="21">SUM(B86:M86)</f>
        <v>9840</v>
      </c>
    </row>
    <row r="87" ht="13.5" customHeight="1">
      <c r="A87" s="15" t="s">
        <v>142</v>
      </c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17">
        <f t="shared" si="21"/>
        <v>0</v>
      </c>
    </row>
    <row r="88" ht="13.5" customHeight="1">
      <c r="A88" s="9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17">
        <f t="shared" si="21"/>
        <v>0</v>
      </c>
    </row>
    <row r="89" ht="13.5" customHeight="1">
      <c r="A89" s="9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17">
        <f t="shared" si="21"/>
        <v>0</v>
      </c>
    </row>
    <row r="90" ht="13.5" customHeight="1">
      <c r="A90" s="91" t="s">
        <v>23</v>
      </c>
      <c r="B90" s="28">
        <f t="shared" ref="B90:N90" si="22">SUM(B86:B89)</f>
        <v>820</v>
      </c>
      <c r="C90" s="28">
        <f t="shared" si="22"/>
        <v>820</v>
      </c>
      <c r="D90" s="28">
        <f t="shared" si="22"/>
        <v>820</v>
      </c>
      <c r="E90" s="28">
        <f t="shared" si="22"/>
        <v>820</v>
      </c>
      <c r="F90" s="28">
        <f t="shared" si="22"/>
        <v>820</v>
      </c>
      <c r="G90" s="28">
        <f t="shared" si="22"/>
        <v>820</v>
      </c>
      <c r="H90" s="28">
        <f t="shared" si="22"/>
        <v>820</v>
      </c>
      <c r="I90" s="28">
        <f t="shared" si="22"/>
        <v>820</v>
      </c>
      <c r="J90" s="28">
        <f t="shared" si="22"/>
        <v>820</v>
      </c>
      <c r="K90" s="28">
        <f t="shared" si="22"/>
        <v>820</v>
      </c>
      <c r="L90" s="28">
        <f t="shared" si="22"/>
        <v>820</v>
      </c>
      <c r="M90" s="28">
        <f t="shared" si="22"/>
        <v>820</v>
      </c>
      <c r="N90" s="28">
        <f t="shared" si="22"/>
        <v>9840</v>
      </c>
    </row>
    <row r="91" ht="13.5" customHeight="1">
      <c r="A91" s="89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</row>
    <row r="92" ht="13.5" customHeight="1">
      <c r="A92" s="31" t="s">
        <v>89</v>
      </c>
      <c r="B92" s="101">
        <f>PRODUCTION!R18</f>
        <v>750</v>
      </c>
      <c r="C92" s="102">
        <f>PRODUCTION!R19</f>
        <v>750</v>
      </c>
      <c r="D92" s="102">
        <f>PRODUCTION!R20</f>
        <v>750</v>
      </c>
      <c r="E92" s="102">
        <f>PRODUCTION!R21</f>
        <v>750</v>
      </c>
      <c r="F92" s="102">
        <f>PRODUCTION!R22</f>
        <v>750</v>
      </c>
      <c r="G92" s="102">
        <f>PRODUCTION!R23</f>
        <v>750</v>
      </c>
      <c r="H92" s="102">
        <f>PRODUCTION!R24</f>
        <v>750</v>
      </c>
      <c r="I92" s="102">
        <f>PRODUCTION!R25</f>
        <v>750</v>
      </c>
      <c r="J92" s="102">
        <f>PRODUCTION!R26</f>
        <v>750</v>
      </c>
      <c r="K92" s="102">
        <f>PRODUCTION!R27</f>
        <v>750</v>
      </c>
      <c r="L92" s="102">
        <f>PRODUCTION!R28</f>
        <v>750</v>
      </c>
      <c r="M92" s="102">
        <f>PRODUCTION!R29</f>
        <v>750</v>
      </c>
      <c r="N92" s="17">
        <f t="shared" ref="N92:N105" si="23">SUM(B92:M92)</f>
        <v>9000</v>
      </c>
    </row>
    <row r="93" ht="13.5" customHeight="1">
      <c r="A93" s="31" t="s">
        <v>90</v>
      </c>
      <c r="B93" s="46"/>
      <c r="C93" s="87"/>
      <c r="D93" s="87"/>
      <c r="E93" s="87"/>
      <c r="F93" s="87"/>
      <c r="G93" s="46"/>
      <c r="H93" s="46"/>
      <c r="I93" s="46"/>
      <c r="J93" s="46"/>
      <c r="K93" s="87"/>
      <c r="L93" s="46"/>
      <c r="M93" s="87"/>
      <c r="N93" s="17">
        <f t="shared" si="23"/>
        <v>0</v>
      </c>
    </row>
    <row r="94" ht="13.5" customHeight="1">
      <c r="A94" s="31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17">
        <f t="shared" si="23"/>
        <v>2360</v>
      </c>
    </row>
    <row r="95" ht="13.5" customHeight="1">
      <c r="A95" s="31" t="s">
        <v>92</v>
      </c>
      <c r="B95" s="87">
        <v>0.0</v>
      </c>
      <c r="C95" s="87">
        <v>0.0</v>
      </c>
      <c r="D95" s="87">
        <v>0.0</v>
      </c>
      <c r="E95" s="87">
        <v>0.0</v>
      </c>
      <c r="F95" s="104">
        <v>135.0</v>
      </c>
      <c r="G95" s="104">
        <v>0.0</v>
      </c>
      <c r="H95" s="104">
        <v>0.0</v>
      </c>
      <c r="I95" s="87">
        <v>0.0</v>
      </c>
      <c r="J95" s="87">
        <v>0.0</v>
      </c>
      <c r="K95" s="87">
        <v>456.78</v>
      </c>
      <c r="L95" s="87">
        <v>0.0</v>
      </c>
      <c r="M95" s="87">
        <v>0.0</v>
      </c>
      <c r="N95" s="17">
        <f t="shared" si="23"/>
        <v>591.78</v>
      </c>
    </row>
    <row r="96" ht="13.5" customHeight="1">
      <c r="A96" s="32" t="s">
        <v>143</v>
      </c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17">
        <f t="shared" si="23"/>
        <v>0</v>
      </c>
    </row>
    <row r="97" ht="13.5" customHeight="1">
      <c r="A97" s="32" t="s">
        <v>94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17">
        <f t="shared" si="23"/>
        <v>0</v>
      </c>
    </row>
    <row r="98" ht="13.5" customHeight="1">
      <c r="A98" s="32" t="s">
        <v>95</v>
      </c>
      <c r="B98" s="46"/>
      <c r="C98" s="46"/>
      <c r="D98" s="46"/>
      <c r="E98" s="46"/>
      <c r="F98" s="87"/>
      <c r="G98" s="87"/>
      <c r="H98" s="87"/>
      <c r="I98" s="87"/>
      <c r="J98" s="46"/>
      <c r="K98" s="46"/>
      <c r="L98" s="46"/>
      <c r="M98" s="46"/>
      <c r="N98" s="17">
        <f t="shared" si="23"/>
        <v>0</v>
      </c>
    </row>
    <row r="99" ht="13.5" customHeight="1">
      <c r="A99" s="31" t="s">
        <v>96</v>
      </c>
      <c r="B99" s="87">
        <v>2000.0</v>
      </c>
      <c r="C99" s="87">
        <v>2000.0</v>
      </c>
      <c r="D99" s="87">
        <v>2000.0</v>
      </c>
      <c r="E99" s="87">
        <v>2000.0</v>
      </c>
      <c r="F99" s="87">
        <v>2000.0</v>
      </c>
      <c r="G99" s="87">
        <v>2000.0</v>
      </c>
      <c r="H99" s="87">
        <v>2000.0</v>
      </c>
      <c r="I99" s="87">
        <v>2000.0</v>
      </c>
      <c r="J99" s="87">
        <v>2000.0</v>
      </c>
      <c r="K99" s="87">
        <v>2000.0</v>
      </c>
      <c r="L99" s="87">
        <v>2000.0</v>
      </c>
      <c r="M99" s="87">
        <v>2000.0</v>
      </c>
      <c r="N99" s="17">
        <f t="shared" si="23"/>
        <v>24000</v>
      </c>
    </row>
    <row r="100" ht="13.5" customHeight="1">
      <c r="A100" s="31" t="s">
        <v>97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17">
        <f t="shared" si="23"/>
        <v>0</v>
      </c>
    </row>
    <row r="101" ht="13.5" customHeight="1">
      <c r="A101" s="32" t="s">
        <v>98</v>
      </c>
      <c r="B101" s="87">
        <v>0.0</v>
      </c>
      <c r="C101" s="87">
        <v>0.0</v>
      </c>
      <c r="D101" s="87">
        <v>0.0</v>
      </c>
      <c r="E101" s="87">
        <v>0.0</v>
      </c>
      <c r="F101" s="87">
        <v>0.0</v>
      </c>
      <c r="G101" s="87">
        <v>0.0</v>
      </c>
      <c r="H101" s="87">
        <v>0.0</v>
      </c>
      <c r="I101" s="87">
        <v>0.0</v>
      </c>
      <c r="J101" s="87">
        <v>0.0</v>
      </c>
      <c r="K101" s="87">
        <v>0.0</v>
      </c>
      <c r="L101" s="87">
        <v>0.0</v>
      </c>
      <c r="M101" s="87">
        <v>0.0</v>
      </c>
      <c r="N101" s="17">
        <f t="shared" si="23"/>
        <v>0</v>
      </c>
    </row>
    <row r="102" ht="13.5" customHeight="1">
      <c r="A102" s="31" t="s">
        <v>99</v>
      </c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17">
        <f t="shared" si="23"/>
        <v>0</v>
      </c>
    </row>
    <row r="103" ht="13.5" customHeight="1">
      <c r="A103" s="32" t="s">
        <v>100</v>
      </c>
      <c r="B103" s="87">
        <v>200.0</v>
      </c>
      <c r="C103" s="87">
        <v>435.0</v>
      </c>
      <c r="D103" s="87">
        <f>200+113.64</f>
        <v>313.64</v>
      </c>
      <c r="E103" s="87">
        <v>200.0</v>
      </c>
      <c r="F103" s="87">
        <v>200.0</v>
      </c>
      <c r="G103" s="87">
        <v>605.0</v>
      </c>
      <c r="H103" s="87">
        <v>605.0</v>
      </c>
      <c r="I103" s="87">
        <v>200.0</v>
      </c>
      <c r="J103" s="87">
        <f>435+200</f>
        <v>635</v>
      </c>
      <c r="K103" s="87">
        <v>200.0</v>
      </c>
      <c r="L103" s="87">
        <v>200.0</v>
      </c>
      <c r="M103" s="87">
        <v>200.0</v>
      </c>
      <c r="N103" s="17">
        <f t="shared" si="23"/>
        <v>3993.64</v>
      </c>
    </row>
    <row r="104" ht="13.5" customHeight="1">
      <c r="A104" s="27" t="s">
        <v>101</v>
      </c>
      <c r="B104" s="87">
        <v>200.0</v>
      </c>
      <c r="C104" s="87">
        <v>325.0</v>
      </c>
      <c r="D104" s="87">
        <v>325.0</v>
      </c>
      <c r="E104" s="87">
        <v>325.0</v>
      </c>
      <c r="F104" s="87">
        <v>325.0</v>
      </c>
      <c r="G104" s="87">
        <v>325.0</v>
      </c>
      <c r="H104" s="87">
        <v>325.0</v>
      </c>
      <c r="I104" s="87">
        <v>325.0</v>
      </c>
      <c r="J104" s="87">
        <v>325.0</v>
      </c>
      <c r="K104" s="87">
        <v>325.0</v>
      </c>
      <c r="L104" s="87">
        <v>325.0</v>
      </c>
      <c r="M104" s="87">
        <v>325.0</v>
      </c>
      <c r="N104" s="17">
        <f t="shared" si="23"/>
        <v>3775</v>
      </c>
    </row>
    <row r="105" ht="13.5" customHeight="1">
      <c r="A105" s="27" t="s">
        <v>102</v>
      </c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17">
        <f t="shared" si="23"/>
        <v>0</v>
      </c>
    </row>
    <row r="106" ht="13.5" customHeight="1">
      <c r="A106" s="9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ht="13.5" customHeight="1">
      <c r="A107" s="91" t="s">
        <v>23</v>
      </c>
      <c r="B107" s="28">
        <f t="shared" ref="B107:N107" si="24">SUM(B92:B105)</f>
        <v>3330</v>
      </c>
      <c r="C107" s="28">
        <f t="shared" si="24"/>
        <v>3690</v>
      </c>
      <c r="D107" s="28">
        <f t="shared" si="24"/>
        <v>3568.64</v>
      </c>
      <c r="E107" s="28">
        <f t="shared" si="24"/>
        <v>3455</v>
      </c>
      <c r="F107" s="28">
        <f t="shared" si="24"/>
        <v>3590</v>
      </c>
      <c r="G107" s="28">
        <f t="shared" si="24"/>
        <v>3860</v>
      </c>
      <c r="H107" s="28">
        <f t="shared" si="24"/>
        <v>3860</v>
      </c>
      <c r="I107" s="28">
        <f t="shared" si="24"/>
        <v>3455</v>
      </c>
      <c r="J107" s="28">
        <f t="shared" si="24"/>
        <v>3890</v>
      </c>
      <c r="K107" s="28">
        <f t="shared" si="24"/>
        <v>4111.78</v>
      </c>
      <c r="L107" s="28">
        <f t="shared" si="24"/>
        <v>3455</v>
      </c>
      <c r="M107" s="28">
        <f t="shared" si="24"/>
        <v>3455</v>
      </c>
      <c r="N107" s="28">
        <f t="shared" si="24"/>
        <v>43720.42</v>
      </c>
    </row>
    <row r="108" ht="13.5" customHeight="1">
      <c r="A108" s="91" t="s">
        <v>104</v>
      </c>
      <c r="B108" s="147">
        <v>0.0</v>
      </c>
      <c r="C108" s="147">
        <v>0.0</v>
      </c>
      <c r="D108" s="147">
        <v>0.0</v>
      </c>
      <c r="E108" s="147">
        <v>0.0</v>
      </c>
      <c r="F108" s="147">
        <v>0.0</v>
      </c>
      <c r="G108" s="147">
        <v>0.0</v>
      </c>
      <c r="H108" s="147">
        <v>0.0</v>
      </c>
      <c r="I108" s="147">
        <v>0.0</v>
      </c>
      <c r="J108" s="147">
        <v>0.0</v>
      </c>
      <c r="K108" s="147">
        <v>0.0</v>
      </c>
      <c r="L108" s="147">
        <v>0.0</v>
      </c>
      <c r="M108" s="147">
        <v>0.0</v>
      </c>
      <c r="N108" s="44">
        <f>SUM(B108:M108)</f>
        <v>0</v>
      </c>
    </row>
    <row r="109" ht="13.5" customHeight="1">
      <c r="A109" s="112" t="s">
        <v>105</v>
      </c>
      <c r="B109" s="50">
        <f t="shared" ref="B109:N109" si="25">B107+B90+B83+B32+B21+B13</f>
        <v>32915.69</v>
      </c>
      <c r="C109" s="50">
        <f t="shared" si="25"/>
        <v>34074.69</v>
      </c>
      <c r="D109" s="50">
        <f t="shared" si="25"/>
        <v>34863.33</v>
      </c>
      <c r="E109" s="50">
        <f t="shared" si="25"/>
        <v>34749.69</v>
      </c>
      <c r="F109" s="50">
        <f t="shared" si="25"/>
        <v>34884.69</v>
      </c>
      <c r="G109" s="50">
        <f t="shared" si="25"/>
        <v>35154.69</v>
      </c>
      <c r="H109" s="50">
        <f t="shared" si="25"/>
        <v>34455.69</v>
      </c>
      <c r="I109" s="50">
        <f t="shared" si="25"/>
        <v>34357.63</v>
      </c>
      <c r="J109" s="50">
        <f t="shared" si="25"/>
        <v>35142.63</v>
      </c>
      <c r="K109" s="50">
        <f t="shared" si="25"/>
        <v>35364.41</v>
      </c>
      <c r="L109" s="50">
        <f t="shared" si="25"/>
        <v>34707.63</v>
      </c>
      <c r="M109" s="50">
        <f t="shared" si="25"/>
        <v>34707.63</v>
      </c>
      <c r="N109" s="50">
        <f t="shared" si="25"/>
        <v>415378.4</v>
      </c>
    </row>
    <row r="110" ht="13.5" customHeight="1">
      <c r="A110" s="35" t="s">
        <v>106</v>
      </c>
      <c r="B110" s="148">
        <v>25.0</v>
      </c>
      <c r="C110" s="116">
        <v>25.0</v>
      </c>
      <c r="D110" s="116">
        <v>35.0</v>
      </c>
      <c r="E110" s="116">
        <v>33.0</v>
      </c>
      <c r="F110" s="116">
        <v>35.0</v>
      </c>
      <c r="G110" s="116">
        <v>33.0</v>
      </c>
      <c r="H110" s="116">
        <v>27.0</v>
      </c>
      <c r="I110" s="116">
        <v>30.0</v>
      </c>
      <c r="J110" s="116">
        <v>24.0</v>
      </c>
      <c r="K110" s="116">
        <v>30.0</v>
      </c>
      <c r="L110" s="116">
        <v>28.0</v>
      </c>
      <c r="M110" s="118">
        <v>35.0</v>
      </c>
      <c r="N110" s="149">
        <f t="shared" ref="N110:N112" si="26">SUM(B110:M110)</f>
        <v>360</v>
      </c>
    </row>
    <row r="111" ht="13.5" customHeight="1">
      <c r="A111" s="35" t="s">
        <v>107</v>
      </c>
      <c r="B111" s="120">
        <v>80.0</v>
      </c>
      <c r="C111" s="120">
        <v>70.0</v>
      </c>
      <c r="D111" s="150">
        <v>90.0</v>
      </c>
      <c r="E111" s="120">
        <v>80.0</v>
      </c>
      <c r="F111" s="120">
        <v>80.0</v>
      </c>
      <c r="G111" s="120">
        <v>85.0</v>
      </c>
      <c r="H111" s="120">
        <v>90.0</v>
      </c>
      <c r="I111" s="120">
        <v>85.0</v>
      </c>
      <c r="J111" s="120">
        <v>85.0</v>
      </c>
      <c r="K111" s="120">
        <v>80.0</v>
      </c>
      <c r="L111" s="120">
        <v>75.0</v>
      </c>
      <c r="M111" s="121">
        <v>100.0</v>
      </c>
      <c r="N111" s="149">
        <f t="shared" si="26"/>
        <v>1000</v>
      </c>
    </row>
    <row r="112" ht="13.5" customHeight="1">
      <c r="A112" s="91" t="s">
        <v>23</v>
      </c>
      <c r="B112" s="122">
        <f t="shared" ref="B112:M112" si="27">B110+B111</f>
        <v>105</v>
      </c>
      <c r="C112" s="122">
        <f t="shared" si="27"/>
        <v>95</v>
      </c>
      <c r="D112" s="122">
        <f t="shared" si="27"/>
        <v>125</v>
      </c>
      <c r="E112" s="122">
        <f t="shared" si="27"/>
        <v>113</v>
      </c>
      <c r="F112" s="123">
        <f t="shared" si="27"/>
        <v>115</v>
      </c>
      <c r="G112" s="123">
        <f t="shared" si="27"/>
        <v>118</v>
      </c>
      <c r="H112" s="123">
        <f t="shared" si="27"/>
        <v>117</v>
      </c>
      <c r="I112" s="123">
        <f t="shared" si="27"/>
        <v>115</v>
      </c>
      <c r="J112" s="123">
        <f t="shared" si="27"/>
        <v>109</v>
      </c>
      <c r="K112" s="123">
        <f t="shared" si="27"/>
        <v>110</v>
      </c>
      <c r="L112" s="123">
        <f t="shared" si="27"/>
        <v>103</v>
      </c>
      <c r="M112" s="124">
        <f t="shared" si="27"/>
        <v>135</v>
      </c>
      <c r="N112" s="125">
        <f t="shared" si="26"/>
        <v>1360</v>
      </c>
    </row>
    <row r="113" ht="13.5" customHeight="1">
      <c r="A113" s="126" t="s">
        <v>108</v>
      </c>
      <c r="B113" s="58">
        <f t="shared" ref="B113:N113" si="28">B109/B112</f>
        <v>313.4827619</v>
      </c>
      <c r="C113" s="58">
        <f t="shared" si="28"/>
        <v>358.6809474</v>
      </c>
      <c r="D113" s="58">
        <f t="shared" si="28"/>
        <v>278.90664</v>
      </c>
      <c r="E113" s="58">
        <f t="shared" si="28"/>
        <v>307.5193805</v>
      </c>
      <c r="F113" s="58">
        <f t="shared" si="28"/>
        <v>303.3451304</v>
      </c>
      <c r="G113" s="58">
        <f t="shared" si="28"/>
        <v>297.9211017</v>
      </c>
      <c r="H113" s="58">
        <f t="shared" si="28"/>
        <v>294.4930769</v>
      </c>
      <c r="I113" s="58">
        <f t="shared" si="28"/>
        <v>298.762</v>
      </c>
      <c r="J113" s="58">
        <f t="shared" si="28"/>
        <v>322.4094495</v>
      </c>
      <c r="K113" s="58">
        <f t="shared" si="28"/>
        <v>321.4946364</v>
      </c>
      <c r="L113" s="58">
        <f t="shared" si="28"/>
        <v>336.9672816</v>
      </c>
      <c r="M113" s="58">
        <f t="shared" si="28"/>
        <v>257.0935556</v>
      </c>
      <c r="N113" s="179">
        <f t="shared" si="28"/>
        <v>305.4252941</v>
      </c>
    </row>
    <row r="114" ht="13.5" customHeight="1">
      <c r="A114" s="79" t="s">
        <v>109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</row>
    <row r="115" ht="13.5" customHeight="1">
      <c r="A115" s="59" t="s">
        <v>110</v>
      </c>
      <c r="B115" s="87">
        <v>1095.0</v>
      </c>
      <c r="C115" s="87">
        <v>1095.0</v>
      </c>
      <c r="D115" s="87">
        <v>1095.0</v>
      </c>
      <c r="E115" s="87">
        <v>1095.0</v>
      </c>
      <c r="F115" s="87">
        <v>1095.0</v>
      </c>
      <c r="G115" s="87">
        <v>1095.0</v>
      </c>
      <c r="H115" s="87">
        <v>1095.0</v>
      </c>
      <c r="I115" s="87">
        <v>1095.0</v>
      </c>
      <c r="J115" s="87">
        <v>1095.0</v>
      </c>
      <c r="K115" s="87">
        <v>1095.0</v>
      </c>
      <c r="L115" s="87">
        <v>1095.0</v>
      </c>
      <c r="M115" s="87">
        <v>1095.0</v>
      </c>
      <c r="N115" s="17">
        <f t="shared" ref="N115:N120" si="29">SUM(B115:M115)</f>
        <v>13140</v>
      </c>
    </row>
    <row r="116" ht="13.5" customHeight="1">
      <c r="A116" s="60" t="s">
        <v>111</v>
      </c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17">
        <f t="shared" si="29"/>
        <v>0</v>
      </c>
    </row>
    <row r="117" ht="13.5" customHeight="1">
      <c r="A117" s="59" t="s">
        <v>112</v>
      </c>
      <c r="B117" s="87">
        <v>2500.0</v>
      </c>
      <c r="C117" s="87">
        <v>2500.0</v>
      </c>
      <c r="D117" s="87">
        <v>2500.0</v>
      </c>
      <c r="E117" s="87">
        <v>2500.0</v>
      </c>
      <c r="F117" s="87">
        <v>2500.0</v>
      </c>
      <c r="G117" s="87">
        <v>2500.0</v>
      </c>
      <c r="H117" s="87">
        <v>2500.0</v>
      </c>
      <c r="I117" s="87">
        <v>2500.0</v>
      </c>
      <c r="J117" s="87">
        <v>2500.0</v>
      </c>
      <c r="K117" s="87">
        <v>2500.0</v>
      </c>
      <c r="L117" s="87">
        <v>2500.0</v>
      </c>
      <c r="M117" s="87">
        <v>2500.0</v>
      </c>
      <c r="N117" s="17">
        <f t="shared" si="29"/>
        <v>30000</v>
      </c>
    </row>
    <row r="118" ht="13.5" customHeight="1">
      <c r="A118" s="59" t="s">
        <v>80</v>
      </c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17">
        <f t="shared" si="29"/>
        <v>0</v>
      </c>
    </row>
    <row r="119" ht="13.5" customHeight="1">
      <c r="A119" s="61" t="s">
        <v>113</v>
      </c>
      <c r="B119" s="87">
        <v>395.0</v>
      </c>
      <c r="C119" s="87">
        <v>395.0</v>
      </c>
      <c r="D119" s="87">
        <v>395.0</v>
      </c>
      <c r="E119" s="87">
        <v>395.0</v>
      </c>
      <c r="F119" s="87">
        <v>395.0</v>
      </c>
      <c r="G119" s="87">
        <v>395.0</v>
      </c>
      <c r="H119" s="87">
        <v>395.0</v>
      </c>
      <c r="I119" s="87">
        <v>395.0</v>
      </c>
      <c r="J119" s="87">
        <v>395.0</v>
      </c>
      <c r="K119" s="87">
        <v>395.0</v>
      </c>
      <c r="L119" s="87">
        <v>395.0</v>
      </c>
      <c r="M119" s="87">
        <v>395.0</v>
      </c>
      <c r="N119" s="17">
        <f t="shared" si="29"/>
        <v>4740</v>
      </c>
    </row>
    <row r="120" ht="13.5" customHeight="1">
      <c r="A120" s="132" t="s">
        <v>114</v>
      </c>
      <c r="B120" s="96">
        <v>1841.0</v>
      </c>
      <c r="C120" s="96">
        <v>1841.0</v>
      </c>
      <c r="D120" s="96">
        <v>1841.0</v>
      </c>
      <c r="E120" s="96">
        <v>1841.0</v>
      </c>
      <c r="F120" s="96">
        <v>1841.0</v>
      </c>
      <c r="G120" s="96">
        <v>1841.0</v>
      </c>
      <c r="H120" s="96">
        <v>1841.0</v>
      </c>
      <c r="I120" s="96">
        <v>1841.0</v>
      </c>
      <c r="J120" s="96">
        <v>1841.0</v>
      </c>
      <c r="K120" s="96">
        <v>1841.0</v>
      </c>
      <c r="L120" s="96">
        <v>1841.0</v>
      </c>
      <c r="M120" s="96">
        <v>1841.0</v>
      </c>
      <c r="N120" s="17">
        <f t="shared" si="29"/>
        <v>22092</v>
      </c>
    </row>
    <row r="121" ht="13.5" customHeight="1">
      <c r="A121" s="99" t="s">
        <v>23</v>
      </c>
      <c r="B121" s="63">
        <f t="shared" ref="B121:N121" si="30">SUM(B115:B120)</f>
        <v>5831</v>
      </c>
      <c r="C121" s="63">
        <f t="shared" si="30"/>
        <v>5831</v>
      </c>
      <c r="D121" s="63">
        <f t="shared" si="30"/>
        <v>5831</v>
      </c>
      <c r="E121" s="63">
        <f t="shared" si="30"/>
        <v>5831</v>
      </c>
      <c r="F121" s="63">
        <f t="shared" si="30"/>
        <v>5831</v>
      </c>
      <c r="G121" s="63">
        <f t="shared" si="30"/>
        <v>5831</v>
      </c>
      <c r="H121" s="63">
        <f t="shared" si="30"/>
        <v>5831</v>
      </c>
      <c r="I121" s="63">
        <f t="shared" si="30"/>
        <v>5831</v>
      </c>
      <c r="J121" s="63">
        <f t="shared" si="30"/>
        <v>5831</v>
      </c>
      <c r="K121" s="63">
        <f t="shared" si="30"/>
        <v>5831</v>
      </c>
      <c r="L121" s="63">
        <f t="shared" si="30"/>
        <v>5831</v>
      </c>
      <c r="M121" s="63">
        <f t="shared" si="30"/>
        <v>5831</v>
      </c>
      <c r="N121" s="63">
        <f t="shared" si="30"/>
        <v>69972</v>
      </c>
    </row>
    <row r="122" ht="13.5" customHeight="1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</row>
    <row r="123" ht="13.5" customHeight="1">
      <c r="A123" s="64" t="s">
        <v>115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</row>
    <row r="124" ht="13.5" customHeight="1">
      <c r="A124" s="64" t="s">
        <v>116</v>
      </c>
      <c r="B124" s="67">
        <f t="shared" ref="B124:N124" si="31">+B13*0.7+B21*0.7+B32*0.7+B52*0.6+B70+B107*0.6</f>
        <v>17508.634</v>
      </c>
      <c r="C124" s="67">
        <f t="shared" si="31"/>
        <v>18523.634</v>
      </c>
      <c r="D124" s="67">
        <f t="shared" si="31"/>
        <v>18996.818</v>
      </c>
      <c r="E124" s="67">
        <f t="shared" si="31"/>
        <v>18928.634</v>
      </c>
      <c r="F124" s="67">
        <f t="shared" si="31"/>
        <v>19009.634</v>
      </c>
      <c r="G124" s="67">
        <f t="shared" si="31"/>
        <v>19171.634</v>
      </c>
      <c r="H124" s="67">
        <f t="shared" si="31"/>
        <v>18472.634</v>
      </c>
      <c r="I124" s="67">
        <f t="shared" si="31"/>
        <v>18513.798</v>
      </c>
      <c r="J124" s="67">
        <f t="shared" si="31"/>
        <v>19124.798</v>
      </c>
      <c r="K124" s="67">
        <f t="shared" si="31"/>
        <v>19257.866</v>
      </c>
      <c r="L124" s="67">
        <f t="shared" si="31"/>
        <v>18863.798</v>
      </c>
      <c r="M124" s="67">
        <f t="shared" si="31"/>
        <v>18863.798</v>
      </c>
      <c r="N124" s="67">
        <f t="shared" si="31"/>
        <v>225235.68</v>
      </c>
    </row>
    <row r="125" ht="13.5" customHeight="1">
      <c r="A125" s="64" t="s">
        <v>117</v>
      </c>
      <c r="B125" s="67">
        <f t="shared" ref="B125:N125" si="32">+B13*0.3+B21*0.3+B32*0.3+B52*0.4+B82+B90+B107*0.4</f>
        <v>15407.056</v>
      </c>
      <c r="C125" s="67">
        <f t="shared" si="32"/>
        <v>15551.056</v>
      </c>
      <c r="D125" s="67">
        <f t="shared" si="32"/>
        <v>15866.512</v>
      </c>
      <c r="E125" s="67">
        <f t="shared" si="32"/>
        <v>15821.056</v>
      </c>
      <c r="F125" s="67">
        <f t="shared" si="32"/>
        <v>15875.056</v>
      </c>
      <c r="G125" s="67">
        <f t="shared" si="32"/>
        <v>15983.056</v>
      </c>
      <c r="H125" s="67">
        <f t="shared" si="32"/>
        <v>15983.056</v>
      </c>
      <c r="I125" s="67">
        <f t="shared" si="32"/>
        <v>15843.832</v>
      </c>
      <c r="J125" s="67">
        <f t="shared" si="32"/>
        <v>16017.832</v>
      </c>
      <c r="K125" s="67">
        <f t="shared" si="32"/>
        <v>16106.544</v>
      </c>
      <c r="L125" s="67">
        <f t="shared" si="32"/>
        <v>15843.832</v>
      </c>
      <c r="M125" s="67">
        <f t="shared" si="32"/>
        <v>15843.832</v>
      </c>
      <c r="N125" s="67">
        <f t="shared" si="32"/>
        <v>190142.72</v>
      </c>
    </row>
    <row r="126" ht="13.5" customHeight="1">
      <c r="A126" s="64" t="s">
        <v>23</v>
      </c>
      <c r="B126" s="67">
        <f t="shared" ref="B126:N126" si="33">SUM(B124:B125)</f>
        <v>32915.69</v>
      </c>
      <c r="C126" s="67">
        <f t="shared" si="33"/>
        <v>34074.69</v>
      </c>
      <c r="D126" s="67">
        <f t="shared" si="33"/>
        <v>34863.33</v>
      </c>
      <c r="E126" s="67">
        <f t="shared" si="33"/>
        <v>34749.69</v>
      </c>
      <c r="F126" s="67">
        <f t="shared" si="33"/>
        <v>34884.69</v>
      </c>
      <c r="G126" s="67">
        <f t="shared" si="33"/>
        <v>35154.69</v>
      </c>
      <c r="H126" s="67">
        <f t="shared" si="33"/>
        <v>34455.69</v>
      </c>
      <c r="I126" s="67">
        <f t="shared" si="33"/>
        <v>34357.63</v>
      </c>
      <c r="J126" s="67">
        <f t="shared" si="33"/>
        <v>35142.63</v>
      </c>
      <c r="K126" s="67">
        <f t="shared" si="33"/>
        <v>35364.41</v>
      </c>
      <c r="L126" s="67">
        <f t="shared" si="33"/>
        <v>34707.63</v>
      </c>
      <c r="M126" s="67">
        <f t="shared" si="33"/>
        <v>34707.63</v>
      </c>
      <c r="N126" s="67">
        <f t="shared" si="33"/>
        <v>415378.4</v>
      </c>
    </row>
    <row r="127" ht="13.5" customHeight="1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</row>
    <row r="128" ht="13.5" customHeight="1">
      <c r="A128" s="69" t="s">
        <v>118</v>
      </c>
      <c r="B128" s="70">
        <f t="shared" ref="B128:N128" si="34">+B109</f>
        <v>32915.69</v>
      </c>
      <c r="C128" s="70">
        <f t="shared" si="34"/>
        <v>34074.69</v>
      </c>
      <c r="D128" s="70">
        <f t="shared" si="34"/>
        <v>34863.33</v>
      </c>
      <c r="E128" s="70">
        <f t="shared" si="34"/>
        <v>34749.69</v>
      </c>
      <c r="F128" s="70">
        <f t="shared" si="34"/>
        <v>34884.69</v>
      </c>
      <c r="G128" s="70">
        <f t="shared" si="34"/>
        <v>35154.69</v>
      </c>
      <c r="H128" s="70">
        <f t="shared" si="34"/>
        <v>34455.69</v>
      </c>
      <c r="I128" s="70">
        <f t="shared" si="34"/>
        <v>34357.63</v>
      </c>
      <c r="J128" s="70">
        <f t="shared" si="34"/>
        <v>35142.63</v>
      </c>
      <c r="K128" s="70">
        <f t="shared" si="34"/>
        <v>35364.41</v>
      </c>
      <c r="L128" s="70">
        <f t="shared" si="34"/>
        <v>34707.63</v>
      </c>
      <c r="M128" s="70">
        <f t="shared" si="34"/>
        <v>34707.63</v>
      </c>
      <c r="N128" s="70">
        <f t="shared" si="34"/>
        <v>415378.4</v>
      </c>
    </row>
    <row r="129" ht="13.5" customHeight="1">
      <c r="A129" s="134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</row>
    <row r="130" ht="13.5" customHeight="1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</row>
    <row r="131" ht="13.5" customHeight="1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</row>
  </sheetData>
  <mergeCells count="1">
    <mergeCell ref="A1:N1"/>
  </mergeCells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1.38"/>
    <col customWidth="1" min="2" max="9" width="9.13"/>
    <col customWidth="1" min="10" max="10" width="9.63"/>
    <col customWidth="1" min="11" max="13" width="9.13"/>
    <col customWidth="1" min="14" max="14" width="10.63"/>
  </cols>
  <sheetData>
    <row r="1" ht="13.5" customHeight="1">
      <c r="A1" s="76" t="s">
        <v>255</v>
      </c>
    </row>
    <row r="2" ht="13.5" customHeight="1">
      <c r="A2" s="7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ht="13.5" customHeight="1">
      <c r="A3" s="1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</row>
    <row r="4" ht="13.5" customHeight="1">
      <c r="A4" s="296" t="s">
        <v>14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3"/>
    </row>
    <row r="5" ht="13.5" customHeight="1">
      <c r="A5" s="15" t="s">
        <v>15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17">
        <f t="shared" ref="N5:N12" si="1">SUM(B5:M5)</f>
        <v>0</v>
      </c>
    </row>
    <row r="6" ht="13.5" customHeight="1">
      <c r="A6" s="15" t="s">
        <v>123</v>
      </c>
      <c r="B6" s="46"/>
      <c r="C6" s="46"/>
      <c r="D6" s="46"/>
      <c r="E6" s="46"/>
      <c r="F6" s="46"/>
      <c r="G6" s="87"/>
      <c r="H6" s="87"/>
      <c r="I6" s="87"/>
      <c r="J6" s="46"/>
      <c r="K6" s="46"/>
      <c r="L6" s="46"/>
      <c r="M6" s="46"/>
      <c r="N6" s="17">
        <f t="shared" si="1"/>
        <v>0</v>
      </c>
    </row>
    <row r="7" ht="13.5" customHeight="1">
      <c r="A7" s="15" t="s">
        <v>17</v>
      </c>
      <c r="B7" s="46"/>
      <c r="C7" s="46"/>
      <c r="D7" s="87"/>
      <c r="E7" s="87"/>
      <c r="F7" s="87"/>
      <c r="G7" s="85"/>
      <c r="H7" s="85"/>
      <c r="I7" s="87"/>
      <c r="J7" s="87"/>
      <c r="K7" s="85"/>
      <c r="L7" s="85"/>
      <c r="M7" s="85"/>
      <c r="N7" s="17">
        <f t="shared" si="1"/>
        <v>0</v>
      </c>
    </row>
    <row r="8" ht="13.5" customHeight="1">
      <c r="A8" s="15" t="s">
        <v>18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87"/>
      <c r="M8" s="46"/>
      <c r="N8" s="17">
        <f t="shared" si="1"/>
        <v>0</v>
      </c>
    </row>
    <row r="9" ht="13.5" customHeight="1">
      <c r="A9" s="20" t="s">
        <v>204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17">
        <f t="shared" si="1"/>
        <v>0</v>
      </c>
    </row>
    <row r="10" ht="13.5" customHeight="1">
      <c r="A10" s="20" t="s">
        <v>235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17">
        <f t="shared" si="1"/>
        <v>0</v>
      </c>
    </row>
    <row r="11" ht="13.5" customHeight="1">
      <c r="A11" s="15" t="s">
        <v>21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17">
        <f t="shared" si="1"/>
        <v>0</v>
      </c>
    </row>
    <row r="12" ht="13.5" customHeight="1">
      <c r="A12" s="15" t="s">
        <v>22</v>
      </c>
      <c r="B12" s="87">
        <v>0.0</v>
      </c>
      <c r="C12" s="87">
        <v>0.0</v>
      </c>
      <c r="D12" s="87">
        <v>0.0</v>
      </c>
      <c r="E12" s="87">
        <v>0.0</v>
      </c>
      <c r="F12" s="87">
        <v>0.0</v>
      </c>
      <c r="G12" s="87">
        <v>0.0</v>
      </c>
      <c r="H12" s="87">
        <v>0.0</v>
      </c>
      <c r="I12" s="87">
        <v>0.0</v>
      </c>
      <c r="J12" s="87">
        <v>0.0</v>
      </c>
      <c r="K12" s="87">
        <v>0.0</v>
      </c>
      <c r="L12" s="87">
        <v>0.0</v>
      </c>
      <c r="M12" s="87">
        <v>0.0</v>
      </c>
      <c r="N12" s="17">
        <f t="shared" si="1"/>
        <v>0</v>
      </c>
    </row>
    <row r="13" ht="13.5" customHeight="1">
      <c r="A13" s="21" t="s">
        <v>23</v>
      </c>
      <c r="B13" s="22">
        <f t="shared" ref="B13:N13" si="2">SUM(B5:B12)</f>
        <v>0</v>
      </c>
      <c r="C13" s="22">
        <f t="shared" si="2"/>
        <v>0</v>
      </c>
      <c r="D13" s="22">
        <f t="shared" si="2"/>
        <v>0</v>
      </c>
      <c r="E13" s="22">
        <f t="shared" si="2"/>
        <v>0</v>
      </c>
      <c r="F13" s="22">
        <f t="shared" si="2"/>
        <v>0</v>
      </c>
      <c r="G13" s="22">
        <f t="shared" si="2"/>
        <v>0</v>
      </c>
      <c r="H13" s="22">
        <f t="shared" si="2"/>
        <v>0</v>
      </c>
      <c r="I13" s="22">
        <f t="shared" si="2"/>
        <v>0</v>
      </c>
      <c r="J13" s="22">
        <f t="shared" si="2"/>
        <v>0</v>
      </c>
      <c r="K13" s="22">
        <f t="shared" si="2"/>
        <v>0</v>
      </c>
      <c r="L13" s="22">
        <f t="shared" si="2"/>
        <v>0</v>
      </c>
      <c r="M13" s="22">
        <f t="shared" si="2"/>
        <v>0</v>
      </c>
      <c r="N13" s="22">
        <f t="shared" si="2"/>
        <v>0</v>
      </c>
    </row>
    <row r="14" ht="13.5" customHeight="1">
      <c r="A14" s="297" t="s">
        <v>24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83"/>
    </row>
    <row r="15" ht="13.5" customHeight="1">
      <c r="A15" s="35" t="s">
        <v>214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17">
        <f t="shared" ref="N15:N18" si="3">SUM(B15:M15)</f>
        <v>0</v>
      </c>
    </row>
    <row r="16" ht="13.5" customHeight="1">
      <c r="A16" s="35" t="s">
        <v>26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17">
        <f t="shared" si="3"/>
        <v>0</v>
      </c>
    </row>
    <row r="17" ht="13.5" customHeight="1">
      <c r="A17" s="3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17">
        <f t="shared" si="3"/>
        <v>0</v>
      </c>
    </row>
    <row r="18" ht="13.5" customHeight="1">
      <c r="A18" s="3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17">
        <f t="shared" si="3"/>
        <v>0</v>
      </c>
    </row>
    <row r="19" ht="13.5" customHeight="1">
      <c r="A19" s="27" t="s">
        <v>29</v>
      </c>
      <c r="B19" s="103"/>
      <c r="C19" s="103"/>
      <c r="D19" s="46"/>
      <c r="E19" s="87"/>
      <c r="F19" s="46"/>
      <c r="G19" s="46"/>
      <c r="H19" s="46"/>
      <c r="I19" s="46"/>
      <c r="J19" s="46"/>
      <c r="K19" s="46"/>
      <c r="L19" s="46"/>
      <c r="M19" s="46"/>
      <c r="N19" s="17">
        <f>SUM(C19:M19)</f>
        <v>0</v>
      </c>
    </row>
    <row r="20" ht="13.5" customHeight="1">
      <c r="A20" s="3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17">
        <f>SUM(B20:M20)</f>
        <v>0</v>
      </c>
    </row>
    <row r="21" ht="13.5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</row>
    <row r="22" ht="13.5" customHeight="1">
      <c r="A22" s="89" t="s">
        <v>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3"/>
    </row>
    <row r="23" ht="13.5" customHeight="1">
      <c r="A23" s="26" t="s">
        <v>31</v>
      </c>
      <c r="B23" s="87">
        <v>0.0</v>
      </c>
      <c r="C23" s="87">
        <v>0.0</v>
      </c>
      <c r="D23" s="96">
        <v>2000.0</v>
      </c>
      <c r="E23" s="87">
        <v>0.0</v>
      </c>
      <c r="F23" s="96">
        <v>2000.0</v>
      </c>
      <c r="G23" s="87">
        <v>0.0</v>
      </c>
      <c r="H23" s="87">
        <v>0.0</v>
      </c>
      <c r="I23" s="96">
        <v>2000.0</v>
      </c>
      <c r="J23" s="87">
        <v>0.0</v>
      </c>
      <c r="K23" s="87">
        <v>0.0</v>
      </c>
      <c r="L23" s="87">
        <v>0.0</v>
      </c>
      <c r="M23" s="87">
        <v>0.0</v>
      </c>
      <c r="N23" s="17">
        <f t="shared" ref="N23:N31" si="5">SUM(B23:M23)</f>
        <v>6000</v>
      </c>
    </row>
    <row r="24" ht="13.5" customHeight="1">
      <c r="A24" s="32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17">
        <f t="shared" si="5"/>
        <v>0</v>
      </c>
    </row>
    <row r="25" ht="13.5" customHeight="1">
      <c r="A25" s="15" t="s">
        <v>127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17">
        <f t="shared" si="5"/>
        <v>0</v>
      </c>
    </row>
    <row r="26" ht="13.5" customHeight="1">
      <c r="A26" s="32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17">
        <f t="shared" si="5"/>
        <v>0</v>
      </c>
    </row>
    <row r="27" ht="13.5" customHeight="1">
      <c r="A27" s="31" t="s">
        <v>34</v>
      </c>
      <c r="B27" s="46"/>
      <c r="C27" s="46"/>
      <c r="D27" s="139"/>
      <c r="E27" s="140"/>
      <c r="F27" s="141"/>
      <c r="G27" s="141"/>
      <c r="H27" s="140"/>
      <c r="I27" s="141"/>
      <c r="J27" s="140"/>
      <c r="K27" s="141"/>
      <c r="L27" s="141"/>
      <c r="M27" s="141"/>
      <c r="N27" s="17">
        <f t="shared" si="5"/>
        <v>0</v>
      </c>
    </row>
    <row r="28" ht="13.5" customHeight="1">
      <c r="A28" s="33" t="s">
        <v>35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17">
        <f t="shared" si="5"/>
        <v>0</v>
      </c>
    </row>
    <row r="29" ht="13.5" customHeight="1">
      <c r="A29" s="27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17">
        <f t="shared" si="5"/>
        <v>0</v>
      </c>
    </row>
    <row r="30" ht="13.5" customHeight="1">
      <c r="A30" s="31" t="s">
        <v>37</v>
      </c>
      <c r="B30" s="46"/>
      <c r="C30" s="46"/>
      <c r="D30" s="46"/>
      <c r="E30" s="46"/>
      <c r="F30" s="87"/>
      <c r="G30" s="87"/>
      <c r="H30" s="87"/>
      <c r="I30" s="46"/>
      <c r="J30" s="87"/>
      <c r="K30" s="46"/>
      <c r="L30" s="87"/>
      <c r="M30" s="46"/>
      <c r="N30" s="17">
        <f t="shared" si="5"/>
        <v>0</v>
      </c>
    </row>
    <row r="31" ht="13.5" customHeight="1">
      <c r="A31" s="3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17">
        <f t="shared" si="5"/>
        <v>0</v>
      </c>
    </row>
    <row r="32" ht="13.5" customHeight="1">
      <c r="A32" s="91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2000</v>
      </c>
      <c r="E32" s="28">
        <f t="shared" si="6"/>
        <v>0</v>
      </c>
      <c r="F32" s="28">
        <f t="shared" si="6"/>
        <v>2000</v>
      </c>
      <c r="G32" s="28">
        <f t="shared" si="6"/>
        <v>0</v>
      </c>
      <c r="H32" s="28">
        <f t="shared" si="6"/>
        <v>0</v>
      </c>
      <c r="I32" s="28">
        <f t="shared" si="6"/>
        <v>2000</v>
      </c>
      <c r="J32" s="28">
        <f t="shared" si="6"/>
        <v>0</v>
      </c>
      <c r="K32" s="28">
        <f t="shared" si="6"/>
        <v>0</v>
      </c>
      <c r="L32" s="28">
        <f t="shared" si="6"/>
        <v>0</v>
      </c>
      <c r="M32" s="28">
        <f t="shared" si="6"/>
        <v>0</v>
      </c>
      <c r="N32" s="28">
        <f t="shared" si="6"/>
        <v>6000</v>
      </c>
    </row>
    <row r="33" ht="13.5" customHeight="1">
      <c r="A33" s="79" t="s">
        <v>38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</row>
    <row r="34" ht="13.5" customHeight="1">
      <c r="A34" s="15" t="s">
        <v>39</v>
      </c>
      <c r="B34" s="87">
        <f t="shared" ref="B34:M34" si="7">1899+61.99+850+70</f>
        <v>2880.99</v>
      </c>
      <c r="C34" s="87">
        <f t="shared" si="7"/>
        <v>2880.99</v>
      </c>
      <c r="D34" s="87">
        <f t="shared" si="7"/>
        <v>2880.99</v>
      </c>
      <c r="E34" s="87">
        <f t="shared" si="7"/>
        <v>2880.99</v>
      </c>
      <c r="F34" s="87">
        <f t="shared" si="7"/>
        <v>2880.99</v>
      </c>
      <c r="G34" s="87">
        <f t="shared" si="7"/>
        <v>2880.99</v>
      </c>
      <c r="H34" s="87">
        <f t="shared" si="7"/>
        <v>2880.99</v>
      </c>
      <c r="I34" s="87">
        <f t="shared" si="7"/>
        <v>2880.99</v>
      </c>
      <c r="J34" s="87">
        <f t="shared" si="7"/>
        <v>2880.99</v>
      </c>
      <c r="K34" s="87">
        <f t="shared" si="7"/>
        <v>2880.99</v>
      </c>
      <c r="L34" s="87">
        <f t="shared" si="7"/>
        <v>2880.99</v>
      </c>
      <c r="M34" s="87">
        <f t="shared" si="7"/>
        <v>2880.99</v>
      </c>
      <c r="N34" s="17">
        <f t="shared" ref="N34:N51" si="8">SUM(B34:M34)</f>
        <v>34571.88</v>
      </c>
    </row>
    <row r="35" ht="13.5" customHeight="1">
      <c r="A35" s="19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17">
        <f t="shared" si="8"/>
        <v>0</v>
      </c>
    </row>
    <row r="36" ht="13.5" customHeight="1">
      <c r="A36" s="35" t="s">
        <v>41</v>
      </c>
      <c r="B36" s="87">
        <f t="shared" ref="B36:M36" si="9">395+75</f>
        <v>470</v>
      </c>
      <c r="C36" s="87">
        <f t="shared" si="9"/>
        <v>470</v>
      </c>
      <c r="D36" s="87">
        <f t="shared" si="9"/>
        <v>470</v>
      </c>
      <c r="E36" s="87">
        <f t="shared" si="9"/>
        <v>470</v>
      </c>
      <c r="F36" s="87">
        <f t="shared" si="9"/>
        <v>470</v>
      </c>
      <c r="G36" s="87">
        <f t="shared" si="9"/>
        <v>470</v>
      </c>
      <c r="H36" s="87">
        <f t="shared" si="9"/>
        <v>470</v>
      </c>
      <c r="I36" s="87">
        <f t="shared" si="9"/>
        <v>470</v>
      </c>
      <c r="J36" s="87">
        <f t="shared" si="9"/>
        <v>470</v>
      </c>
      <c r="K36" s="87">
        <f t="shared" si="9"/>
        <v>470</v>
      </c>
      <c r="L36" s="87">
        <f t="shared" si="9"/>
        <v>470</v>
      </c>
      <c r="M36" s="87">
        <f t="shared" si="9"/>
        <v>470</v>
      </c>
      <c r="N36" s="17">
        <f t="shared" si="8"/>
        <v>5640</v>
      </c>
    </row>
    <row r="37" ht="13.5" customHeight="1">
      <c r="A37" s="35" t="s">
        <v>42</v>
      </c>
      <c r="B37" s="87">
        <v>759.0</v>
      </c>
      <c r="C37" s="87">
        <v>759.0</v>
      </c>
      <c r="D37" s="87">
        <v>759.0</v>
      </c>
      <c r="E37" s="87">
        <v>759.0</v>
      </c>
      <c r="F37" s="87">
        <v>759.0</v>
      </c>
      <c r="G37" s="87">
        <v>759.0</v>
      </c>
      <c r="H37" s="87">
        <v>759.0</v>
      </c>
      <c r="I37" s="87">
        <v>759.0</v>
      </c>
      <c r="J37" s="87">
        <v>759.0</v>
      </c>
      <c r="K37" s="87">
        <v>759.0</v>
      </c>
      <c r="L37" s="87">
        <v>759.0</v>
      </c>
      <c r="M37" s="87">
        <v>759.0</v>
      </c>
      <c r="N37" s="17">
        <f t="shared" si="8"/>
        <v>9108</v>
      </c>
    </row>
    <row r="38" ht="13.5" customHeight="1">
      <c r="A38" s="35" t="s">
        <v>43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17">
        <f t="shared" si="8"/>
        <v>0</v>
      </c>
    </row>
    <row r="39" ht="13.5" customHeight="1">
      <c r="A39" s="35" t="s">
        <v>44</v>
      </c>
      <c r="B39" s="87">
        <v>495.0</v>
      </c>
      <c r="C39" s="87">
        <v>495.0</v>
      </c>
      <c r="D39" s="87">
        <v>495.0</v>
      </c>
      <c r="E39" s="87">
        <v>495.0</v>
      </c>
      <c r="F39" s="87">
        <v>495.0</v>
      </c>
      <c r="G39" s="87">
        <v>495.0</v>
      </c>
      <c r="H39" s="87">
        <v>495.0</v>
      </c>
      <c r="I39" s="87">
        <v>495.0</v>
      </c>
      <c r="J39" s="87">
        <v>495.0</v>
      </c>
      <c r="K39" s="87">
        <v>495.0</v>
      </c>
      <c r="L39" s="87">
        <v>495.0</v>
      </c>
      <c r="M39" s="87">
        <v>495.0</v>
      </c>
      <c r="N39" s="17">
        <f t="shared" si="8"/>
        <v>5940</v>
      </c>
    </row>
    <row r="40" ht="13.5" customHeight="1">
      <c r="A40" s="35" t="s">
        <v>45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17">
        <f t="shared" si="8"/>
        <v>0</v>
      </c>
    </row>
    <row r="41" ht="13.5" customHeight="1">
      <c r="A41" s="39" t="s">
        <v>170</v>
      </c>
      <c r="B41" s="87">
        <v>4130.0</v>
      </c>
      <c r="C41" s="87">
        <v>4130.0</v>
      </c>
      <c r="D41" s="87">
        <v>4130.0</v>
      </c>
      <c r="E41" s="87">
        <v>4130.0</v>
      </c>
      <c r="F41" s="87">
        <v>4130.0</v>
      </c>
      <c r="G41" s="87">
        <v>4130.0</v>
      </c>
      <c r="H41" s="87">
        <v>4130.0</v>
      </c>
      <c r="I41" s="87">
        <v>4130.0</v>
      </c>
      <c r="J41" s="87">
        <v>4130.0</v>
      </c>
      <c r="K41" s="87">
        <v>4130.0</v>
      </c>
      <c r="L41" s="87">
        <v>4130.0</v>
      </c>
      <c r="M41" s="87">
        <v>4130.0</v>
      </c>
      <c r="N41" s="17">
        <f t="shared" si="8"/>
        <v>49560</v>
      </c>
    </row>
    <row r="42" ht="13.5" customHeight="1">
      <c r="A42" s="19" t="s">
        <v>146</v>
      </c>
      <c r="B42" s="87">
        <v>295.0</v>
      </c>
      <c r="C42" s="87">
        <v>295.0</v>
      </c>
      <c r="D42" s="87">
        <v>295.0</v>
      </c>
      <c r="E42" s="87">
        <v>295.0</v>
      </c>
      <c r="F42" s="87">
        <v>295.0</v>
      </c>
      <c r="G42" s="87">
        <v>295.0</v>
      </c>
      <c r="H42" s="87">
        <v>295.0</v>
      </c>
      <c r="I42" s="87">
        <v>295.0</v>
      </c>
      <c r="J42" s="87">
        <v>295.0</v>
      </c>
      <c r="K42" s="87">
        <v>295.0</v>
      </c>
      <c r="L42" s="87">
        <v>295.0</v>
      </c>
      <c r="M42" s="87">
        <v>295.0</v>
      </c>
      <c r="N42" s="17">
        <f t="shared" si="8"/>
        <v>3540</v>
      </c>
    </row>
    <row r="43" ht="13.5" customHeight="1">
      <c r="A43" s="19" t="s">
        <v>48</v>
      </c>
      <c r="B43" s="87">
        <v>949.0</v>
      </c>
      <c r="C43" s="87">
        <v>949.0</v>
      </c>
      <c r="D43" s="87">
        <v>949.0</v>
      </c>
      <c r="E43" s="87">
        <v>949.0</v>
      </c>
      <c r="F43" s="87">
        <v>949.0</v>
      </c>
      <c r="G43" s="87">
        <v>949.0</v>
      </c>
      <c r="H43" s="87">
        <v>949.0</v>
      </c>
      <c r="I43" s="87">
        <v>949.0</v>
      </c>
      <c r="J43" s="87">
        <v>949.0</v>
      </c>
      <c r="K43" s="87">
        <v>949.0</v>
      </c>
      <c r="L43" s="87">
        <v>949.0</v>
      </c>
      <c r="M43" s="87">
        <v>949.0</v>
      </c>
      <c r="N43" s="17">
        <f t="shared" si="8"/>
        <v>11388</v>
      </c>
    </row>
    <row r="44" ht="13.5" customHeight="1">
      <c r="A44" s="31" t="s">
        <v>256</v>
      </c>
      <c r="B44" s="87">
        <v>399.0</v>
      </c>
      <c r="C44" s="87">
        <v>399.0</v>
      </c>
      <c r="D44" s="87">
        <v>399.0</v>
      </c>
      <c r="E44" s="87">
        <v>399.0</v>
      </c>
      <c r="F44" s="87">
        <v>399.0</v>
      </c>
      <c r="G44" s="87">
        <v>399.0</v>
      </c>
      <c r="H44" s="87">
        <v>399.0</v>
      </c>
      <c r="I44" s="87">
        <v>399.0</v>
      </c>
      <c r="J44" s="87">
        <v>399.0</v>
      </c>
      <c r="K44" s="87">
        <v>399.0</v>
      </c>
      <c r="L44" s="87">
        <v>399.0</v>
      </c>
      <c r="M44" s="87">
        <v>399.0</v>
      </c>
      <c r="N44" s="17">
        <f t="shared" si="8"/>
        <v>4788</v>
      </c>
    </row>
    <row r="45" ht="13.5" customHeight="1">
      <c r="A45" s="19" t="s">
        <v>50</v>
      </c>
      <c r="B45" s="299">
        <f t="shared" ref="B45:M45" si="10">45+97.5</f>
        <v>142.5</v>
      </c>
      <c r="C45" s="299">
        <f t="shared" si="10"/>
        <v>142.5</v>
      </c>
      <c r="D45" s="299">
        <f t="shared" si="10"/>
        <v>142.5</v>
      </c>
      <c r="E45" s="299">
        <f t="shared" si="10"/>
        <v>142.5</v>
      </c>
      <c r="F45" s="299">
        <f t="shared" si="10"/>
        <v>142.5</v>
      </c>
      <c r="G45" s="299">
        <f t="shared" si="10"/>
        <v>142.5</v>
      </c>
      <c r="H45" s="299">
        <f t="shared" si="10"/>
        <v>142.5</v>
      </c>
      <c r="I45" s="299">
        <f t="shared" si="10"/>
        <v>142.5</v>
      </c>
      <c r="J45" s="299">
        <f t="shared" si="10"/>
        <v>142.5</v>
      </c>
      <c r="K45" s="299">
        <f t="shared" si="10"/>
        <v>142.5</v>
      </c>
      <c r="L45" s="299">
        <f t="shared" si="10"/>
        <v>142.5</v>
      </c>
      <c r="M45" s="299">
        <f t="shared" si="10"/>
        <v>142.5</v>
      </c>
      <c r="N45" s="17">
        <f t="shared" si="8"/>
        <v>1710</v>
      </c>
    </row>
    <row r="46" ht="13.5" customHeight="1">
      <c r="A46" s="15" t="s">
        <v>51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17">
        <f t="shared" si="8"/>
        <v>0</v>
      </c>
    </row>
    <row r="47" ht="13.5" customHeight="1">
      <c r="A47" s="19" t="s">
        <v>52</v>
      </c>
      <c r="B47" s="87">
        <f t="shared" ref="B47:M47" si="11">850+30+750+2500</f>
        <v>4130</v>
      </c>
      <c r="C47" s="87">
        <f t="shared" si="11"/>
        <v>4130</v>
      </c>
      <c r="D47" s="87">
        <f t="shared" si="11"/>
        <v>4130</v>
      </c>
      <c r="E47" s="87">
        <f t="shared" si="11"/>
        <v>4130</v>
      </c>
      <c r="F47" s="87">
        <f t="shared" si="11"/>
        <v>4130</v>
      </c>
      <c r="G47" s="87">
        <f t="shared" si="11"/>
        <v>4130</v>
      </c>
      <c r="H47" s="87">
        <f t="shared" si="11"/>
        <v>4130</v>
      </c>
      <c r="I47" s="87">
        <f t="shared" si="11"/>
        <v>4130</v>
      </c>
      <c r="J47" s="87">
        <f t="shared" si="11"/>
        <v>4130</v>
      </c>
      <c r="K47" s="87">
        <f t="shared" si="11"/>
        <v>4130</v>
      </c>
      <c r="L47" s="87">
        <f t="shared" si="11"/>
        <v>4130</v>
      </c>
      <c r="M47" s="87">
        <f t="shared" si="11"/>
        <v>4130</v>
      </c>
      <c r="N47" s="17">
        <f t="shared" si="8"/>
        <v>49560</v>
      </c>
    </row>
    <row r="48" ht="13.5" customHeight="1">
      <c r="A48" s="15" t="s">
        <v>53</v>
      </c>
      <c r="B48" s="87">
        <f t="shared" ref="B48:M48" si="12">350.33+55.66+80</f>
        <v>485.99</v>
      </c>
      <c r="C48" s="87">
        <f t="shared" si="12"/>
        <v>485.99</v>
      </c>
      <c r="D48" s="87">
        <f t="shared" si="12"/>
        <v>485.99</v>
      </c>
      <c r="E48" s="87">
        <f t="shared" si="12"/>
        <v>485.99</v>
      </c>
      <c r="F48" s="87">
        <f t="shared" si="12"/>
        <v>485.99</v>
      </c>
      <c r="G48" s="87">
        <f t="shared" si="12"/>
        <v>485.99</v>
      </c>
      <c r="H48" s="87">
        <f t="shared" si="12"/>
        <v>485.99</v>
      </c>
      <c r="I48" s="87">
        <f t="shared" si="12"/>
        <v>485.99</v>
      </c>
      <c r="J48" s="87">
        <f t="shared" si="12"/>
        <v>485.99</v>
      </c>
      <c r="K48" s="87">
        <f t="shared" si="12"/>
        <v>485.99</v>
      </c>
      <c r="L48" s="87">
        <f t="shared" si="12"/>
        <v>485.99</v>
      </c>
      <c r="M48" s="87">
        <f t="shared" si="12"/>
        <v>485.99</v>
      </c>
      <c r="N48" s="17">
        <f t="shared" si="8"/>
        <v>5831.88</v>
      </c>
    </row>
    <row r="49" ht="13.5" customHeight="1">
      <c r="A49" s="35" t="s">
        <v>54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17">
        <f t="shared" si="8"/>
        <v>0</v>
      </c>
    </row>
    <row r="50" ht="13.5" customHeight="1">
      <c r="A50" s="19" t="s">
        <v>240</v>
      </c>
      <c r="B50" s="87">
        <v>1600.0</v>
      </c>
      <c r="C50" s="87">
        <v>1600.0</v>
      </c>
      <c r="D50" s="87">
        <v>1600.0</v>
      </c>
      <c r="E50" s="87">
        <v>1600.0</v>
      </c>
      <c r="F50" s="87">
        <v>1600.0</v>
      </c>
      <c r="G50" s="87">
        <v>1600.0</v>
      </c>
      <c r="H50" s="87">
        <v>1600.0</v>
      </c>
      <c r="I50" s="87">
        <v>1600.0</v>
      </c>
      <c r="J50" s="87">
        <v>1600.0</v>
      </c>
      <c r="K50" s="87">
        <v>1600.0</v>
      </c>
      <c r="L50" s="87">
        <v>1600.0</v>
      </c>
      <c r="M50" s="87">
        <v>1600.0</v>
      </c>
      <c r="N50" s="17">
        <f t="shared" si="8"/>
        <v>19200</v>
      </c>
    </row>
    <row r="51" ht="13.5" customHeight="1">
      <c r="A51" s="15" t="s">
        <v>160</v>
      </c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17">
        <f t="shared" si="8"/>
        <v>0</v>
      </c>
    </row>
    <row r="52" ht="13.5" customHeight="1">
      <c r="A52" s="91" t="s">
        <v>23</v>
      </c>
      <c r="B52" s="28">
        <f t="shared" ref="B52:N52" si="13">SUM(B34:B51)</f>
        <v>16736.48</v>
      </c>
      <c r="C52" s="28">
        <f t="shared" si="13"/>
        <v>16736.48</v>
      </c>
      <c r="D52" s="28">
        <f t="shared" si="13"/>
        <v>16736.48</v>
      </c>
      <c r="E52" s="28">
        <f t="shared" si="13"/>
        <v>16736.48</v>
      </c>
      <c r="F52" s="28">
        <f t="shared" si="13"/>
        <v>16736.48</v>
      </c>
      <c r="G52" s="28">
        <f t="shared" si="13"/>
        <v>16736.48</v>
      </c>
      <c r="H52" s="28">
        <f t="shared" si="13"/>
        <v>16736.48</v>
      </c>
      <c r="I52" s="28">
        <f t="shared" si="13"/>
        <v>16736.48</v>
      </c>
      <c r="J52" s="28">
        <f t="shared" si="13"/>
        <v>16736.48</v>
      </c>
      <c r="K52" s="28">
        <f t="shared" si="13"/>
        <v>16736.48</v>
      </c>
      <c r="L52" s="28">
        <f t="shared" si="13"/>
        <v>16736.48</v>
      </c>
      <c r="M52" s="28">
        <f t="shared" si="13"/>
        <v>16736.48</v>
      </c>
      <c r="N52" s="28">
        <f t="shared" si="13"/>
        <v>200837.76</v>
      </c>
    </row>
    <row r="53" ht="13.5" customHeight="1">
      <c r="A53" s="79" t="s">
        <v>56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</row>
    <row r="54" ht="13.5" customHeight="1">
      <c r="A54" s="32" t="s">
        <v>57</v>
      </c>
      <c r="B54" s="46"/>
      <c r="C54" s="87">
        <v>1489.5</v>
      </c>
      <c r="D54" s="46"/>
      <c r="E54" s="46"/>
      <c r="F54" s="46"/>
      <c r="G54" s="87">
        <v>1489.5</v>
      </c>
      <c r="H54" s="46"/>
      <c r="I54" s="87">
        <v>1489.5</v>
      </c>
      <c r="J54" s="87"/>
      <c r="K54" s="87">
        <v>1489.5</v>
      </c>
      <c r="L54" s="46"/>
      <c r="M54" s="46"/>
      <c r="N54" s="17">
        <f t="shared" ref="N54:N69" si="14">SUM(B54:M54)</f>
        <v>5958</v>
      </c>
    </row>
    <row r="55" ht="13.5" customHeight="1">
      <c r="A55" s="32" t="s">
        <v>58</v>
      </c>
      <c r="B55" s="87">
        <v>1800.0</v>
      </c>
      <c r="C55" s="87">
        <v>2100.0</v>
      </c>
      <c r="D55" s="87">
        <v>2100.0</v>
      </c>
      <c r="E55" s="87">
        <v>2100.0</v>
      </c>
      <c r="F55" s="87">
        <v>2100.0</v>
      </c>
      <c r="G55" s="87">
        <v>2100.0</v>
      </c>
      <c r="H55" s="87">
        <v>2100.0</v>
      </c>
      <c r="I55" s="87">
        <v>2100.0</v>
      </c>
      <c r="J55" s="87">
        <v>2100.0</v>
      </c>
      <c r="K55" s="87">
        <v>2100.0</v>
      </c>
      <c r="L55" s="87">
        <v>2100.0</v>
      </c>
      <c r="M55" s="87">
        <v>2100.0</v>
      </c>
      <c r="N55" s="17">
        <f t="shared" si="14"/>
        <v>24900</v>
      </c>
    </row>
    <row r="56" ht="13.5" customHeight="1">
      <c r="A56" s="31" t="s">
        <v>59</v>
      </c>
      <c r="B56" s="87">
        <f t="shared" ref="B56:M56" si="15">399+351+57</f>
        <v>807</v>
      </c>
      <c r="C56" s="87">
        <f t="shared" si="15"/>
        <v>807</v>
      </c>
      <c r="D56" s="87">
        <f t="shared" si="15"/>
        <v>807</v>
      </c>
      <c r="E56" s="87">
        <f t="shared" si="15"/>
        <v>807</v>
      </c>
      <c r="F56" s="87">
        <f t="shared" si="15"/>
        <v>807</v>
      </c>
      <c r="G56" s="87">
        <f t="shared" si="15"/>
        <v>807</v>
      </c>
      <c r="H56" s="87">
        <f t="shared" si="15"/>
        <v>807</v>
      </c>
      <c r="I56" s="87">
        <f t="shared" si="15"/>
        <v>807</v>
      </c>
      <c r="J56" s="87">
        <f t="shared" si="15"/>
        <v>807</v>
      </c>
      <c r="K56" s="87">
        <f t="shared" si="15"/>
        <v>807</v>
      </c>
      <c r="L56" s="87">
        <f t="shared" si="15"/>
        <v>807</v>
      </c>
      <c r="M56" s="87">
        <f t="shared" si="15"/>
        <v>807</v>
      </c>
      <c r="N56" s="17">
        <f t="shared" si="14"/>
        <v>9684</v>
      </c>
    </row>
    <row r="57" ht="13.5" customHeight="1">
      <c r="A57" s="31" t="s">
        <v>133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17">
        <f t="shared" si="14"/>
        <v>0</v>
      </c>
    </row>
    <row r="58" ht="13.5" customHeight="1">
      <c r="A58" s="31" t="s">
        <v>134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17">
        <f t="shared" si="14"/>
        <v>0</v>
      </c>
    </row>
    <row r="59" ht="13.5" customHeight="1">
      <c r="A59" s="31" t="s">
        <v>135</v>
      </c>
      <c r="B59" s="87">
        <v>850.0</v>
      </c>
      <c r="C59" s="87">
        <v>850.0</v>
      </c>
      <c r="D59" s="87">
        <v>850.0</v>
      </c>
      <c r="E59" s="87">
        <v>850.0</v>
      </c>
      <c r="F59" s="87">
        <v>850.0</v>
      </c>
      <c r="G59" s="87">
        <v>850.0</v>
      </c>
      <c r="H59" s="87">
        <v>850.0</v>
      </c>
      <c r="I59" s="87">
        <v>850.0</v>
      </c>
      <c r="J59" s="87">
        <v>850.0</v>
      </c>
      <c r="K59" s="87">
        <v>850.0</v>
      </c>
      <c r="L59" s="87">
        <v>850.0</v>
      </c>
      <c r="M59" s="87">
        <v>850.0</v>
      </c>
      <c r="N59" s="17">
        <f t="shared" si="14"/>
        <v>10200</v>
      </c>
    </row>
    <row r="60" ht="13.5" customHeight="1">
      <c r="A60" s="38" t="s">
        <v>62</v>
      </c>
      <c r="B60" s="87">
        <v>99.0</v>
      </c>
      <c r="C60" s="87">
        <v>99.0</v>
      </c>
      <c r="D60" s="87">
        <v>99.0</v>
      </c>
      <c r="E60" s="87">
        <v>99.0</v>
      </c>
      <c r="F60" s="87">
        <v>99.0</v>
      </c>
      <c r="G60" s="87">
        <v>99.0</v>
      </c>
      <c r="H60" s="87">
        <v>99.0</v>
      </c>
      <c r="I60" s="87">
        <v>99.0</v>
      </c>
      <c r="J60" s="87">
        <v>99.0</v>
      </c>
      <c r="K60" s="87">
        <v>99.0</v>
      </c>
      <c r="L60" s="87">
        <v>99.0</v>
      </c>
      <c r="M60" s="87">
        <v>99.0</v>
      </c>
      <c r="N60" s="17">
        <f t="shared" si="14"/>
        <v>1188</v>
      </c>
    </row>
    <row r="61" ht="13.5" customHeight="1">
      <c r="A61" s="32" t="s">
        <v>137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17">
        <f t="shared" si="14"/>
        <v>0</v>
      </c>
    </row>
    <row r="62" ht="13.5" customHeight="1">
      <c r="A62" s="32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14"/>
        <v>0</v>
      </c>
    </row>
    <row r="63" ht="13.5" customHeight="1">
      <c r="A63" s="31" t="s">
        <v>64</v>
      </c>
      <c r="B63" s="87">
        <v>1800.0</v>
      </c>
      <c r="C63" s="87">
        <v>1800.0</v>
      </c>
      <c r="D63" s="87">
        <v>1800.0</v>
      </c>
      <c r="E63" s="87">
        <v>1800.0</v>
      </c>
      <c r="F63" s="87">
        <v>1800.0</v>
      </c>
      <c r="G63" s="87">
        <v>1800.0</v>
      </c>
      <c r="H63" s="87">
        <v>1800.0</v>
      </c>
      <c r="I63" s="87">
        <v>1800.0</v>
      </c>
      <c r="J63" s="87">
        <v>1800.0</v>
      </c>
      <c r="K63" s="87">
        <v>1800.0</v>
      </c>
      <c r="L63" s="87">
        <v>1800.0</v>
      </c>
      <c r="M63" s="87">
        <v>1800.0</v>
      </c>
      <c r="N63" s="17">
        <f t="shared" si="14"/>
        <v>21600</v>
      </c>
    </row>
    <row r="64" ht="13.5" customHeight="1">
      <c r="A64" s="32" t="s">
        <v>65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17">
        <f t="shared" si="14"/>
        <v>0</v>
      </c>
    </row>
    <row r="65" ht="13.5" customHeight="1">
      <c r="A65" s="31" t="s">
        <v>66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17">
        <f t="shared" si="14"/>
        <v>0</v>
      </c>
    </row>
    <row r="66" ht="13.5" customHeight="1">
      <c r="A66" s="31" t="s">
        <v>67</v>
      </c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17">
        <f t="shared" si="14"/>
        <v>0</v>
      </c>
    </row>
    <row r="67" ht="13.5" customHeight="1">
      <c r="A67" s="25" t="s">
        <v>165</v>
      </c>
      <c r="B67" s="28"/>
      <c r="C67" s="28"/>
      <c r="D67" s="28"/>
      <c r="E67" s="28"/>
      <c r="F67" s="167"/>
      <c r="G67" s="167"/>
      <c r="H67" s="167"/>
      <c r="I67" s="28"/>
      <c r="J67" s="87"/>
      <c r="K67" s="28"/>
      <c r="L67" s="28"/>
      <c r="M67" s="28"/>
      <c r="N67" s="17">
        <f t="shared" si="14"/>
        <v>0</v>
      </c>
    </row>
    <row r="68" ht="13.5" customHeight="1">
      <c r="A68" s="25" t="s">
        <v>69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17">
        <f t="shared" si="14"/>
        <v>0</v>
      </c>
    </row>
    <row r="69" ht="13.5" customHeight="1">
      <c r="A69" s="39" t="s">
        <v>70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17">
        <f t="shared" si="14"/>
        <v>0</v>
      </c>
    </row>
    <row r="70" ht="13.5" customHeight="1">
      <c r="A70" s="91" t="s">
        <v>23</v>
      </c>
      <c r="B70" s="28">
        <f t="shared" ref="B70:M70" si="16">SUM(B54:B69)</f>
        <v>5356</v>
      </c>
      <c r="C70" s="28">
        <f t="shared" si="16"/>
        <v>7145.5</v>
      </c>
      <c r="D70" s="28">
        <f t="shared" si="16"/>
        <v>5656</v>
      </c>
      <c r="E70" s="28">
        <f t="shared" si="16"/>
        <v>5656</v>
      </c>
      <c r="F70" s="28">
        <f t="shared" si="16"/>
        <v>5656</v>
      </c>
      <c r="G70" s="28">
        <f t="shared" si="16"/>
        <v>7145.5</v>
      </c>
      <c r="H70" s="28">
        <f t="shared" si="16"/>
        <v>5656</v>
      </c>
      <c r="I70" s="28">
        <f t="shared" si="16"/>
        <v>7145.5</v>
      </c>
      <c r="J70" s="28">
        <f t="shared" si="16"/>
        <v>5656</v>
      </c>
      <c r="K70" s="28">
        <f t="shared" si="16"/>
        <v>7145.5</v>
      </c>
      <c r="L70" s="28">
        <f t="shared" si="16"/>
        <v>5656</v>
      </c>
      <c r="M70" s="28">
        <f t="shared" si="16"/>
        <v>5656</v>
      </c>
      <c r="N70" s="28">
        <f>SUM(N54:N66)</f>
        <v>73530</v>
      </c>
    </row>
    <row r="71" ht="13.5" customHeight="1">
      <c r="A71" s="79" t="s">
        <v>71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</row>
    <row r="72" ht="13.5" customHeight="1">
      <c r="A72" s="32" t="s">
        <v>138</v>
      </c>
      <c r="B72" s="87">
        <v>0.0</v>
      </c>
      <c r="C72" s="87">
        <v>0.0</v>
      </c>
      <c r="D72" s="87">
        <v>0.0</v>
      </c>
      <c r="E72" s="87">
        <v>0.0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0.0</v>
      </c>
      <c r="L72" s="87">
        <v>0.0</v>
      </c>
      <c r="M72" s="87">
        <v>0.0</v>
      </c>
      <c r="N72" s="17">
        <f t="shared" ref="N72:N83" si="17">SUM(B72:M72)</f>
        <v>0</v>
      </c>
    </row>
    <row r="73" ht="13.5" customHeight="1">
      <c r="A73" s="31" t="s">
        <v>73</v>
      </c>
      <c r="B73" s="87">
        <v>0.0</v>
      </c>
      <c r="C73" s="87">
        <v>0.0</v>
      </c>
      <c r="D73" s="87">
        <v>0.0</v>
      </c>
      <c r="E73" s="87">
        <v>0.0</v>
      </c>
      <c r="F73" s="87">
        <v>0.0</v>
      </c>
      <c r="G73" s="87">
        <v>0.0</v>
      </c>
      <c r="H73" s="87">
        <v>0.0</v>
      </c>
      <c r="I73" s="87">
        <v>0.0</v>
      </c>
      <c r="J73" s="87">
        <v>0.0</v>
      </c>
      <c r="K73" s="87">
        <v>0.0</v>
      </c>
      <c r="L73" s="87">
        <v>0.0</v>
      </c>
      <c r="M73" s="87">
        <v>0.0</v>
      </c>
      <c r="N73" s="17">
        <f t="shared" si="17"/>
        <v>0</v>
      </c>
    </row>
    <row r="74" ht="13.5" customHeight="1">
      <c r="A74" s="32" t="s">
        <v>139</v>
      </c>
      <c r="B74" s="87">
        <v>850.0</v>
      </c>
      <c r="C74" s="87">
        <v>850.0</v>
      </c>
      <c r="D74" s="87">
        <v>850.0</v>
      </c>
      <c r="E74" s="87">
        <v>850.0</v>
      </c>
      <c r="F74" s="87">
        <v>850.0</v>
      </c>
      <c r="G74" s="87">
        <v>850.0</v>
      </c>
      <c r="H74" s="87">
        <v>850.0</v>
      </c>
      <c r="I74" s="87">
        <v>850.0</v>
      </c>
      <c r="J74" s="87">
        <v>850.0</v>
      </c>
      <c r="K74" s="87">
        <v>850.0</v>
      </c>
      <c r="L74" s="87">
        <v>850.0</v>
      </c>
      <c r="M74" s="87">
        <v>850.0</v>
      </c>
      <c r="N74" s="17">
        <f t="shared" si="17"/>
        <v>10200</v>
      </c>
    </row>
    <row r="75" ht="13.5" customHeight="1">
      <c r="A75" s="31" t="s">
        <v>137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17">
        <f t="shared" si="17"/>
        <v>0</v>
      </c>
    </row>
    <row r="76" ht="13.5" customHeight="1">
      <c r="A76" s="31" t="s">
        <v>257</v>
      </c>
      <c r="B76" s="87">
        <v>799.0</v>
      </c>
      <c r="C76" s="87">
        <v>799.0</v>
      </c>
      <c r="D76" s="87">
        <v>799.0</v>
      </c>
      <c r="E76" s="87">
        <v>799.0</v>
      </c>
      <c r="F76" s="87">
        <v>799.0</v>
      </c>
      <c r="G76" s="87">
        <v>799.0</v>
      </c>
      <c r="H76" s="87">
        <v>799.0</v>
      </c>
      <c r="I76" s="87">
        <v>799.0</v>
      </c>
      <c r="J76" s="87">
        <v>799.0</v>
      </c>
      <c r="K76" s="87">
        <v>799.0</v>
      </c>
      <c r="L76" s="87">
        <v>799.0</v>
      </c>
      <c r="M76" s="87">
        <v>799.0</v>
      </c>
      <c r="N76" s="17">
        <f t="shared" si="17"/>
        <v>9588</v>
      </c>
    </row>
    <row r="77" ht="13.5" customHeight="1">
      <c r="A77" s="32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17">
        <f t="shared" si="17"/>
        <v>0</v>
      </c>
    </row>
    <row r="78" ht="13.5" customHeight="1">
      <c r="A78" s="31" t="s">
        <v>140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17">
        <f t="shared" si="17"/>
        <v>0</v>
      </c>
    </row>
    <row r="79" ht="13.5" customHeight="1">
      <c r="A79" s="27" t="s">
        <v>141</v>
      </c>
      <c r="B79" s="87">
        <v>4105.0</v>
      </c>
      <c r="C79" s="87">
        <v>4105.0</v>
      </c>
      <c r="D79" s="87">
        <v>4105.0</v>
      </c>
      <c r="E79" s="87">
        <v>4105.0</v>
      </c>
      <c r="F79" s="87">
        <v>4105.0</v>
      </c>
      <c r="G79" s="87">
        <v>4105.0</v>
      </c>
      <c r="H79" s="87">
        <v>4105.0</v>
      </c>
      <c r="I79" s="87">
        <v>4105.0</v>
      </c>
      <c r="J79" s="87">
        <v>4105.0</v>
      </c>
      <c r="K79" s="87">
        <v>4105.0</v>
      </c>
      <c r="L79" s="87">
        <v>4105.0</v>
      </c>
      <c r="M79" s="87">
        <v>4105.0</v>
      </c>
      <c r="N79" s="17">
        <f t="shared" si="17"/>
        <v>49260</v>
      </c>
    </row>
    <row r="80" ht="13.5" customHeight="1">
      <c r="A80" s="145" t="s">
        <v>79</v>
      </c>
      <c r="B80" s="87">
        <v>1650.0</v>
      </c>
      <c r="C80" s="87">
        <v>1650.0</v>
      </c>
      <c r="D80" s="87">
        <v>2650.0</v>
      </c>
      <c r="E80" s="87">
        <v>2650.0</v>
      </c>
      <c r="F80" s="87">
        <v>2650.0</v>
      </c>
      <c r="G80" s="87">
        <v>2650.0</v>
      </c>
      <c r="H80" s="87">
        <v>2650.0</v>
      </c>
      <c r="I80" s="87">
        <v>2650.0</v>
      </c>
      <c r="J80" s="87">
        <v>2650.0</v>
      </c>
      <c r="K80" s="87">
        <v>2650.0</v>
      </c>
      <c r="L80" s="87">
        <v>2650.0</v>
      </c>
      <c r="M80" s="87">
        <v>2650.0</v>
      </c>
      <c r="N80" s="17">
        <f t="shared" si="17"/>
        <v>29800</v>
      </c>
    </row>
    <row r="81" ht="13.5" customHeight="1">
      <c r="A81" s="43" t="s">
        <v>80</v>
      </c>
      <c r="B81" s="87">
        <v>0.0</v>
      </c>
      <c r="C81" s="87">
        <v>0.0</v>
      </c>
      <c r="D81" s="87">
        <v>0.0</v>
      </c>
      <c r="E81" s="87">
        <v>0.0</v>
      </c>
      <c r="F81" s="87">
        <v>0.0</v>
      </c>
      <c r="G81" s="87">
        <v>0.0</v>
      </c>
      <c r="H81" s="87">
        <v>0.0</v>
      </c>
      <c r="I81" s="87">
        <v>0.0</v>
      </c>
      <c r="J81" s="87">
        <v>0.0</v>
      </c>
      <c r="K81" s="87">
        <v>0.0</v>
      </c>
      <c r="L81" s="87">
        <v>0.0</v>
      </c>
      <c r="M81" s="87">
        <v>0.0</v>
      </c>
      <c r="N81" s="17">
        <f t="shared" si="17"/>
        <v>0</v>
      </c>
    </row>
    <row r="82" ht="13.5" customHeight="1">
      <c r="A82" s="91" t="s">
        <v>23</v>
      </c>
      <c r="B82" s="28">
        <f t="shared" ref="B82:M82" si="18">SUM(B72:B81)</f>
        <v>7404</v>
      </c>
      <c r="C82" s="28">
        <f t="shared" si="18"/>
        <v>7404</v>
      </c>
      <c r="D82" s="28">
        <f t="shared" si="18"/>
        <v>8404</v>
      </c>
      <c r="E82" s="28">
        <f t="shared" si="18"/>
        <v>8404</v>
      </c>
      <c r="F82" s="28">
        <f t="shared" si="18"/>
        <v>8404</v>
      </c>
      <c r="G82" s="28">
        <f t="shared" si="18"/>
        <v>8404</v>
      </c>
      <c r="H82" s="28">
        <f t="shared" si="18"/>
        <v>8404</v>
      </c>
      <c r="I82" s="28">
        <f t="shared" si="18"/>
        <v>8404</v>
      </c>
      <c r="J82" s="28">
        <f t="shared" si="18"/>
        <v>8404</v>
      </c>
      <c r="K82" s="28">
        <f t="shared" si="18"/>
        <v>8404</v>
      </c>
      <c r="L82" s="28">
        <f t="shared" si="18"/>
        <v>8404</v>
      </c>
      <c r="M82" s="28">
        <f t="shared" si="18"/>
        <v>8404</v>
      </c>
      <c r="N82" s="44">
        <f t="shared" si="17"/>
        <v>98848</v>
      </c>
    </row>
    <row r="83" ht="13.5" customHeight="1">
      <c r="A83" s="99" t="s">
        <v>81</v>
      </c>
      <c r="B83" s="28">
        <f t="shared" ref="B83:M83" si="19">B52+B70+B82</f>
        <v>29496.48</v>
      </c>
      <c r="C83" s="28">
        <f t="shared" si="19"/>
        <v>31285.98</v>
      </c>
      <c r="D83" s="28">
        <f t="shared" si="19"/>
        <v>30796.48</v>
      </c>
      <c r="E83" s="28">
        <f t="shared" si="19"/>
        <v>30796.48</v>
      </c>
      <c r="F83" s="28">
        <f t="shared" si="19"/>
        <v>30796.48</v>
      </c>
      <c r="G83" s="28">
        <f t="shared" si="19"/>
        <v>32285.98</v>
      </c>
      <c r="H83" s="28">
        <f t="shared" si="19"/>
        <v>30796.48</v>
      </c>
      <c r="I83" s="28">
        <f t="shared" si="19"/>
        <v>32285.98</v>
      </c>
      <c r="J83" s="28">
        <f t="shared" si="19"/>
        <v>30796.48</v>
      </c>
      <c r="K83" s="28">
        <f t="shared" si="19"/>
        <v>32285.98</v>
      </c>
      <c r="L83" s="28">
        <f t="shared" si="19"/>
        <v>30796.48</v>
      </c>
      <c r="M83" s="28">
        <f t="shared" si="19"/>
        <v>30796.48</v>
      </c>
      <c r="N83" s="44">
        <f t="shared" si="17"/>
        <v>373215.76</v>
      </c>
    </row>
    <row r="84" ht="13.5" customHeight="1">
      <c r="A84" s="99" t="s">
        <v>82</v>
      </c>
      <c r="B84" s="46">
        <f t="shared" ref="B84:N84" si="20">B83/B112</f>
        <v>446.9163636</v>
      </c>
      <c r="C84" s="46">
        <f t="shared" si="20"/>
        <v>460.0879412</v>
      </c>
      <c r="D84" s="46">
        <f t="shared" si="20"/>
        <v>353.9825287</v>
      </c>
      <c r="E84" s="46">
        <f t="shared" si="20"/>
        <v>353.9825287</v>
      </c>
      <c r="F84" s="46">
        <f t="shared" si="20"/>
        <v>334.7443478</v>
      </c>
      <c r="G84" s="46">
        <f t="shared" si="20"/>
        <v>347.1610753</v>
      </c>
      <c r="H84" s="46">
        <f t="shared" si="20"/>
        <v>324.1734737</v>
      </c>
      <c r="I84" s="46">
        <f t="shared" si="20"/>
        <v>343.4678723</v>
      </c>
      <c r="J84" s="46">
        <f t="shared" si="20"/>
        <v>311.0755556</v>
      </c>
      <c r="K84" s="46">
        <f t="shared" si="20"/>
        <v>296.2016514</v>
      </c>
      <c r="L84" s="46">
        <f t="shared" si="20"/>
        <v>282.5365138</v>
      </c>
      <c r="M84" s="46">
        <f t="shared" si="20"/>
        <v>293.2998095</v>
      </c>
      <c r="N84" s="15">
        <f t="shared" si="20"/>
        <v>338.0577536</v>
      </c>
    </row>
    <row r="85" ht="13.5" customHeight="1">
      <c r="A85" s="79" t="s">
        <v>83</v>
      </c>
      <c r="B85" s="83"/>
      <c r="C85" s="83"/>
      <c r="D85" s="83"/>
      <c r="E85" s="294" t="s">
        <v>258</v>
      </c>
      <c r="F85" s="83"/>
      <c r="G85" s="83"/>
      <c r="H85" s="83"/>
      <c r="I85" s="83"/>
      <c r="J85" s="83"/>
      <c r="K85" s="83"/>
      <c r="L85" s="83"/>
      <c r="M85" s="83"/>
      <c r="N85" s="83"/>
    </row>
    <row r="86" ht="13.5" customHeight="1">
      <c r="A86" s="15" t="s">
        <v>84</v>
      </c>
      <c r="B86" s="87">
        <v>820.0</v>
      </c>
      <c r="C86" s="87">
        <v>820.0</v>
      </c>
      <c r="D86" s="87">
        <v>820.0</v>
      </c>
      <c r="E86" s="87">
        <v>820.0</v>
      </c>
      <c r="F86" s="87">
        <v>820.0</v>
      </c>
      <c r="G86" s="87">
        <v>820.0</v>
      </c>
      <c r="H86" s="87">
        <v>820.0</v>
      </c>
      <c r="I86" s="87">
        <v>820.0</v>
      </c>
      <c r="J86" s="87">
        <v>820.0</v>
      </c>
      <c r="K86" s="87">
        <v>820.0</v>
      </c>
      <c r="L86" s="87">
        <v>820.0</v>
      </c>
      <c r="M86" s="87">
        <v>820.0</v>
      </c>
      <c r="N86" s="17">
        <f t="shared" ref="N86:N89" si="21">SUM(B86:M86)</f>
        <v>9840</v>
      </c>
    </row>
    <row r="87" ht="13.5" customHeight="1">
      <c r="A87" s="15" t="s">
        <v>142</v>
      </c>
      <c r="B87" s="46"/>
      <c r="C87" s="46"/>
      <c r="D87" s="46"/>
      <c r="E87" s="46"/>
      <c r="F87" s="87"/>
      <c r="G87" s="87"/>
      <c r="H87" s="46"/>
      <c r="I87" s="46"/>
      <c r="J87" s="46"/>
      <c r="K87" s="46"/>
      <c r="L87" s="46"/>
      <c r="M87" s="46"/>
      <c r="N87" s="17">
        <f t="shared" si="21"/>
        <v>0</v>
      </c>
    </row>
    <row r="88" ht="13.5" customHeight="1">
      <c r="A88" s="39" t="s">
        <v>86</v>
      </c>
      <c r="B88" s="28"/>
      <c r="C88" s="28"/>
      <c r="D88" s="28"/>
      <c r="E88" s="28"/>
      <c r="F88" s="87"/>
      <c r="G88" s="28"/>
      <c r="H88" s="28"/>
      <c r="I88" s="28"/>
      <c r="J88" s="28"/>
      <c r="K88" s="28"/>
      <c r="L88" s="28"/>
      <c r="M88" s="28"/>
      <c r="N88" s="17">
        <f t="shared" si="21"/>
        <v>0</v>
      </c>
    </row>
    <row r="89" ht="13.5" customHeight="1">
      <c r="A89" s="9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17">
        <f t="shared" si="21"/>
        <v>0</v>
      </c>
    </row>
    <row r="90" ht="13.5" customHeight="1">
      <c r="A90" s="91" t="s">
        <v>23</v>
      </c>
      <c r="B90" s="28">
        <f t="shared" ref="B90:N90" si="22">SUM(B86:B89)</f>
        <v>820</v>
      </c>
      <c r="C90" s="28">
        <f t="shared" si="22"/>
        <v>820</v>
      </c>
      <c r="D90" s="28">
        <f t="shared" si="22"/>
        <v>820</v>
      </c>
      <c r="E90" s="28">
        <f t="shared" si="22"/>
        <v>820</v>
      </c>
      <c r="F90" s="28">
        <f t="shared" si="22"/>
        <v>820</v>
      </c>
      <c r="G90" s="28">
        <f t="shared" si="22"/>
        <v>820</v>
      </c>
      <c r="H90" s="28">
        <f t="shared" si="22"/>
        <v>820</v>
      </c>
      <c r="I90" s="28">
        <f t="shared" si="22"/>
        <v>820</v>
      </c>
      <c r="J90" s="28">
        <f t="shared" si="22"/>
        <v>820</v>
      </c>
      <c r="K90" s="28">
        <f t="shared" si="22"/>
        <v>820</v>
      </c>
      <c r="L90" s="28">
        <f t="shared" si="22"/>
        <v>820</v>
      </c>
      <c r="M90" s="28">
        <f t="shared" si="22"/>
        <v>820</v>
      </c>
      <c r="N90" s="28">
        <f t="shared" si="22"/>
        <v>9840</v>
      </c>
    </row>
    <row r="91" ht="13.5" customHeight="1">
      <c r="A91" s="89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</row>
    <row r="92" ht="13.5" customHeight="1">
      <c r="A92" s="31" t="s">
        <v>89</v>
      </c>
      <c r="B92" s="101">
        <f>PRODUCTION!S18</f>
        <v>750</v>
      </c>
      <c r="C92" s="102">
        <f>PRODUCTION!S19</f>
        <v>750</v>
      </c>
      <c r="D92" s="102">
        <f>PRODUCTION!S20</f>
        <v>750</v>
      </c>
      <c r="E92" s="102">
        <f>PRODUCTION!S21</f>
        <v>750</v>
      </c>
      <c r="F92" s="102">
        <f>PRODUCTION!S22</f>
        <v>750</v>
      </c>
      <c r="G92" s="102">
        <f>PRODUCTION!S23</f>
        <v>750</v>
      </c>
      <c r="H92" s="102">
        <f>PRODUCTION!S24</f>
        <v>750</v>
      </c>
      <c r="I92" s="102">
        <f>PRODUCTION!S25</f>
        <v>750</v>
      </c>
      <c r="J92" s="102">
        <f>PRODUCTION!S26</f>
        <v>750</v>
      </c>
      <c r="K92" s="102">
        <f>PRODUCTION!S27</f>
        <v>750</v>
      </c>
      <c r="L92" s="102">
        <f>PRODUCTION!S28</f>
        <v>750</v>
      </c>
      <c r="M92" s="102">
        <f>PRODUCTION!S29</f>
        <v>750</v>
      </c>
      <c r="N92" s="17">
        <f t="shared" ref="N92:N105" si="23">SUM(B92:M92)</f>
        <v>9000</v>
      </c>
    </row>
    <row r="93" ht="13.5" customHeight="1">
      <c r="A93" s="31" t="s">
        <v>90</v>
      </c>
      <c r="B93" s="46"/>
      <c r="C93" s="87"/>
      <c r="D93" s="87"/>
      <c r="E93" s="87"/>
      <c r="F93" s="87"/>
      <c r="G93" s="46"/>
      <c r="H93" s="46"/>
      <c r="I93" s="46"/>
      <c r="J93" s="87"/>
      <c r="K93" s="87"/>
      <c r="L93" s="46"/>
      <c r="M93" s="87"/>
      <c r="N93" s="17">
        <f t="shared" si="23"/>
        <v>0</v>
      </c>
    </row>
    <row r="94" ht="13.5" customHeight="1">
      <c r="A94" s="31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17">
        <f t="shared" si="23"/>
        <v>2360</v>
      </c>
    </row>
    <row r="95" ht="13.5" customHeight="1">
      <c r="A95" s="31" t="s">
        <v>92</v>
      </c>
      <c r="B95" s="146">
        <v>500.0</v>
      </c>
      <c r="C95" s="105">
        <v>500.0</v>
      </c>
      <c r="D95" s="105">
        <v>0.0</v>
      </c>
      <c r="E95" s="105">
        <v>0.0</v>
      </c>
      <c r="F95" s="104">
        <v>135.0</v>
      </c>
      <c r="G95" s="104">
        <f>350+167</f>
        <v>517</v>
      </c>
      <c r="H95" s="104">
        <v>0.0</v>
      </c>
      <c r="I95" s="218">
        <f>220.48+3.233</f>
        <v>223.713</v>
      </c>
      <c r="J95" s="105">
        <v>500.0</v>
      </c>
      <c r="K95" s="87">
        <v>367.23</v>
      </c>
      <c r="L95" s="105">
        <v>500.0</v>
      </c>
      <c r="M95" s="105">
        <v>500.0</v>
      </c>
      <c r="N95" s="17">
        <f t="shared" si="23"/>
        <v>3742.943</v>
      </c>
    </row>
    <row r="96" ht="13.5" customHeight="1">
      <c r="A96" s="32" t="s">
        <v>143</v>
      </c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17">
        <f t="shared" si="23"/>
        <v>0</v>
      </c>
    </row>
    <row r="97" ht="13.5" customHeight="1">
      <c r="A97" s="32" t="s">
        <v>94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17">
        <f t="shared" si="23"/>
        <v>0</v>
      </c>
    </row>
    <row r="98" ht="13.5" customHeight="1">
      <c r="A98" s="32" t="s">
        <v>95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17">
        <f t="shared" si="23"/>
        <v>0</v>
      </c>
    </row>
    <row r="99" ht="13.5" customHeight="1">
      <c r="A99" s="31" t="s">
        <v>96</v>
      </c>
      <c r="B99" s="46"/>
      <c r="C99" s="46"/>
      <c r="D99" s="46"/>
      <c r="E99" s="46"/>
      <c r="F99" s="46"/>
      <c r="G99" s="46"/>
      <c r="H99" s="87"/>
      <c r="I99" s="87"/>
      <c r="J99" s="46"/>
      <c r="K99" s="46"/>
      <c r="L99" s="46"/>
      <c r="M99" s="46"/>
      <c r="N99" s="17">
        <f t="shared" si="23"/>
        <v>0</v>
      </c>
    </row>
    <row r="100" ht="13.5" customHeight="1">
      <c r="A100" s="31" t="s">
        <v>97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17">
        <f t="shared" si="23"/>
        <v>0</v>
      </c>
    </row>
    <row r="101" ht="13.5" customHeight="1">
      <c r="A101" s="32" t="s">
        <v>98</v>
      </c>
      <c r="B101" s="87">
        <v>0.0</v>
      </c>
      <c r="C101" s="87">
        <v>0.0</v>
      </c>
      <c r="D101" s="87">
        <v>0.0</v>
      </c>
      <c r="E101" s="87">
        <v>0.0</v>
      </c>
      <c r="F101" s="87">
        <v>0.0</v>
      </c>
      <c r="G101" s="87">
        <v>0.0</v>
      </c>
      <c r="H101" s="87">
        <v>0.0</v>
      </c>
      <c r="I101" s="87">
        <v>0.0</v>
      </c>
      <c r="J101" s="87">
        <v>0.0</v>
      </c>
      <c r="K101" s="87">
        <v>0.0</v>
      </c>
      <c r="L101" s="87">
        <v>0.0</v>
      </c>
      <c r="M101" s="87">
        <v>0.0</v>
      </c>
      <c r="N101" s="17">
        <f t="shared" si="23"/>
        <v>0</v>
      </c>
    </row>
    <row r="102" ht="13.5" customHeight="1">
      <c r="A102" s="31" t="s">
        <v>99</v>
      </c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17">
        <f t="shared" si="23"/>
        <v>0</v>
      </c>
    </row>
    <row r="103" ht="13.5" customHeight="1">
      <c r="A103" s="32" t="s">
        <v>100</v>
      </c>
      <c r="B103" s="87">
        <v>200.0</v>
      </c>
      <c r="C103" s="87">
        <v>435.0</v>
      </c>
      <c r="D103" s="87">
        <f>200+113.64</f>
        <v>313.64</v>
      </c>
      <c r="E103" s="87">
        <v>200.0</v>
      </c>
      <c r="F103" s="87">
        <v>200.0</v>
      </c>
      <c r="G103" s="87">
        <v>605.0</v>
      </c>
      <c r="H103" s="87">
        <v>605.0</v>
      </c>
      <c r="I103" s="87">
        <v>200.0</v>
      </c>
      <c r="J103" s="87">
        <f>435+200</f>
        <v>635</v>
      </c>
      <c r="K103" s="87">
        <v>200.0</v>
      </c>
      <c r="L103" s="87">
        <v>200.0</v>
      </c>
      <c r="M103" s="87">
        <v>200.0</v>
      </c>
      <c r="N103" s="17">
        <f t="shared" si="23"/>
        <v>3993.64</v>
      </c>
    </row>
    <row r="104" ht="13.5" customHeight="1">
      <c r="A104" s="27" t="s">
        <v>101</v>
      </c>
      <c r="B104" s="87">
        <v>300.0</v>
      </c>
      <c r="C104" s="87">
        <v>375.0</v>
      </c>
      <c r="D104" s="87">
        <v>375.0</v>
      </c>
      <c r="E104" s="87">
        <v>375.0</v>
      </c>
      <c r="F104" s="87">
        <v>375.0</v>
      </c>
      <c r="G104" s="87">
        <v>375.0</v>
      </c>
      <c r="H104" s="87">
        <v>375.0</v>
      </c>
      <c r="I104" s="87">
        <v>375.0</v>
      </c>
      <c r="J104" s="87">
        <v>375.0</v>
      </c>
      <c r="K104" s="87">
        <v>375.0</v>
      </c>
      <c r="L104" s="87">
        <v>375.0</v>
      </c>
      <c r="M104" s="87">
        <v>375.0</v>
      </c>
      <c r="N104" s="17">
        <f t="shared" si="23"/>
        <v>4425</v>
      </c>
    </row>
    <row r="105" ht="13.5" customHeight="1">
      <c r="A105" s="27"/>
      <c r="B105" s="28"/>
      <c r="C105" s="28"/>
      <c r="D105" s="28"/>
      <c r="E105" s="28"/>
      <c r="F105" s="87"/>
      <c r="G105" s="28"/>
      <c r="H105" s="28"/>
      <c r="I105" s="28"/>
      <c r="J105" s="28"/>
      <c r="K105" s="28"/>
      <c r="L105" s="28"/>
      <c r="M105" s="28"/>
      <c r="N105" s="17">
        <f t="shared" si="23"/>
        <v>0</v>
      </c>
    </row>
    <row r="106" ht="13.5" customHeight="1">
      <c r="A106" s="9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ht="13.5" customHeight="1">
      <c r="A107" s="91" t="s">
        <v>23</v>
      </c>
      <c r="B107" s="28">
        <f t="shared" ref="B107:N107" si="24">SUM(B92:B105)</f>
        <v>1930</v>
      </c>
      <c r="C107" s="28">
        <f t="shared" si="24"/>
        <v>2240</v>
      </c>
      <c r="D107" s="28">
        <f t="shared" si="24"/>
        <v>1618.64</v>
      </c>
      <c r="E107" s="28">
        <f t="shared" si="24"/>
        <v>1505</v>
      </c>
      <c r="F107" s="28">
        <f t="shared" si="24"/>
        <v>1640</v>
      </c>
      <c r="G107" s="28">
        <f t="shared" si="24"/>
        <v>2427</v>
      </c>
      <c r="H107" s="28">
        <f t="shared" si="24"/>
        <v>1910</v>
      </c>
      <c r="I107" s="28">
        <f t="shared" si="24"/>
        <v>1728.713</v>
      </c>
      <c r="J107" s="28">
        <f t="shared" si="24"/>
        <v>2440</v>
      </c>
      <c r="K107" s="28">
        <f t="shared" si="24"/>
        <v>2072.23</v>
      </c>
      <c r="L107" s="28">
        <f t="shared" si="24"/>
        <v>2005</v>
      </c>
      <c r="M107" s="28">
        <f t="shared" si="24"/>
        <v>2005</v>
      </c>
      <c r="N107" s="28">
        <f t="shared" si="24"/>
        <v>23521.583</v>
      </c>
    </row>
    <row r="108" ht="13.5" customHeight="1">
      <c r="A108" s="91" t="s">
        <v>104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44">
        <f>SUM(B108:M108)</f>
        <v>0</v>
      </c>
    </row>
    <row r="109" ht="13.5" customHeight="1">
      <c r="A109" s="112" t="s">
        <v>105</v>
      </c>
      <c r="B109" s="50">
        <f t="shared" ref="B109:N109" si="25">B107+B90+B83+B32+B21+B13</f>
        <v>32246.48</v>
      </c>
      <c r="C109" s="50">
        <f t="shared" si="25"/>
        <v>34345.98</v>
      </c>
      <c r="D109" s="50">
        <f t="shared" si="25"/>
        <v>35235.12</v>
      </c>
      <c r="E109" s="50">
        <f t="shared" si="25"/>
        <v>33121.48</v>
      </c>
      <c r="F109" s="50">
        <f t="shared" si="25"/>
        <v>35256.48</v>
      </c>
      <c r="G109" s="50">
        <f t="shared" si="25"/>
        <v>35532.98</v>
      </c>
      <c r="H109" s="50">
        <f t="shared" si="25"/>
        <v>33526.48</v>
      </c>
      <c r="I109" s="50">
        <f t="shared" si="25"/>
        <v>36834.693</v>
      </c>
      <c r="J109" s="50">
        <f t="shared" si="25"/>
        <v>34056.48</v>
      </c>
      <c r="K109" s="50">
        <f t="shared" si="25"/>
        <v>35178.21</v>
      </c>
      <c r="L109" s="50">
        <f t="shared" si="25"/>
        <v>33621.48</v>
      </c>
      <c r="M109" s="50">
        <f t="shared" si="25"/>
        <v>33621.48</v>
      </c>
      <c r="N109" s="50">
        <f t="shared" si="25"/>
        <v>412577.343</v>
      </c>
    </row>
    <row r="110" ht="13.5" customHeight="1">
      <c r="A110" s="35" t="s">
        <v>106</v>
      </c>
      <c r="B110" s="148">
        <v>14.0</v>
      </c>
      <c r="C110" s="116">
        <v>16.0</v>
      </c>
      <c r="D110" s="116">
        <v>27.0</v>
      </c>
      <c r="E110" s="116">
        <v>27.0</v>
      </c>
      <c r="F110" s="116">
        <v>27.0</v>
      </c>
      <c r="G110" s="116">
        <v>28.0</v>
      </c>
      <c r="H110" s="116">
        <v>30.0</v>
      </c>
      <c r="I110" s="116">
        <v>30.0</v>
      </c>
      <c r="J110" s="116">
        <v>35.0</v>
      </c>
      <c r="K110" s="116">
        <v>42.0</v>
      </c>
      <c r="L110" s="116">
        <v>44.0</v>
      </c>
      <c r="M110" s="116">
        <v>40.0</v>
      </c>
      <c r="N110" s="149">
        <f t="shared" ref="N110:N111" si="26">SUM(B110:M110)</f>
        <v>360</v>
      </c>
    </row>
    <row r="111" ht="13.5" customHeight="1">
      <c r="A111" s="35" t="s">
        <v>107</v>
      </c>
      <c r="B111" s="120">
        <v>52.0</v>
      </c>
      <c r="C111" s="120">
        <v>52.0</v>
      </c>
      <c r="D111" s="120">
        <v>60.0</v>
      </c>
      <c r="E111" s="120">
        <v>60.0</v>
      </c>
      <c r="F111" s="120">
        <v>65.0</v>
      </c>
      <c r="G111" s="120">
        <v>65.0</v>
      </c>
      <c r="H111" s="120">
        <v>65.0</v>
      </c>
      <c r="I111" s="120">
        <v>64.0</v>
      </c>
      <c r="J111" s="120">
        <v>64.0</v>
      </c>
      <c r="K111" s="120">
        <v>67.0</v>
      </c>
      <c r="L111" s="120">
        <v>65.0</v>
      </c>
      <c r="M111" s="120">
        <v>65.0</v>
      </c>
      <c r="N111" s="149">
        <f t="shared" si="26"/>
        <v>744</v>
      </c>
    </row>
    <row r="112" ht="13.5" customHeight="1">
      <c r="A112" s="91" t="s">
        <v>23</v>
      </c>
      <c r="B112" s="122">
        <f t="shared" ref="B112:N112" si="27">SUM(B110:B111)</f>
        <v>66</v>
      </c>
      <c r="C112" s="122">
        <f t="shared" si="27"/>
        <v>68</v>
      </c>
      <c r="D112" s="122">
        <f t="shared" si="27"/>
        <v>87</v>
      </c>
      <c r="E112" s="122">
        <f t="shared" si="27"/>
        <v>87</v>
      </c>
      <c r="F112" s="122">
        <f t="shared" si="27"/>
        <v>92</v>
      </c>
      <c r="G112" s="122">
        <f t="shared" si="27"/>
        <v>93</v>
      </c>
      <c r="H112" s="122">
        <f t="shared" si="27"/>
        <v>95</v>
      </c>
      <c r="I112" s="122">
        <f t="shared" si="27"/>
        <v>94</v>
      </c>
      <c r="J112" s="122">
        <f t="shared" si="27"/>
        <v>99</v>
      </c>
      <c r="K112" s="122">
        <f t="shared" si="27"/>
        <v>109</v>
      </c>
      <c r="L112" s="122">
        <f t="shared" si="27"/>
        <v>109</v>
      </c>
      <c r="M112" s="122">
        <f t="shared" si="27"/>
        <v>105</v>
      </c>
      <c r="N112" s="122">
        <f t="shared" si="27"/>
        <v>1104</v>
      </c>
    </row>
    <row r="113" ht="13.5" customHeight="1">
      <c r="A113" s="126" t="s">
        <v>108</v>
      </c>
      <c r="B113" s="57">
        <f t="shared" ref="B113:N113" si="28">B109/B112</f>
        <v>488.5830303</v>
      </c>
      <c r="C113" s="57">
        <f t="shared" si="28"/>
        <v>505.0879412</v>
      </c>
      <c r="D113" s="57">
        <f t="shared" si="28"/>
        <v>405.0013793</v>
      </c>
      <c r="E113" s="57">
        <f t="shared" si="28"/>
        <v>380.7066667</v>
      </c>
      <c r="F113" s="57">
        <f t="shared" si="28"/>
        <v>383.2226087</v>
      </c>
      <c r="G113" s="57">
        <f t="shared" si="28"/>
        <v>382.0750538</v>
      </c>
      <c r="H113" s="57">
        <f t="shared" si="28"/>
        <v>352.9103158</v>
      </c>
      <c r="I113" s="57">
        <f t="shared" si="28"/>
        <v>391.8584362</v>
      </c>
      <c r="J113" s="57">
        <f t="shared" si="28"/>
        <v>344.0048485</v>
      </c>
      <c r="K113" s="57">
        <f t="shared" si="28"/>
        <v>322.7358716</v>
      </c>
      <c r="L113" s="57">
        <f t="shared" si="28"/>
        <v>308.453945</v>
      </c>
      <c r="M113" s="57">
        <f t="shared" si="28"/>
        <v>320.2045714</v>
      </c>
      <c r="N113" s="57">
        <f t="shared" si="28"/>
        <v>373.7113614</v>
      </c>
    </row>
    <row r="114" ht="13.5" customHeight="1">
      <c r="A114" s="79" t="s">
        <v>109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</row>
    <row r="115" ht="13.5" customHeight="1">
      <c r="A115" s="59" t="s">
        <v>110</v>
      </c>
      <c r="B115" s="87">
        <v>1095.0</v>
      </c>
      <c r="C115" s="87">
        <v>1095.0</v>
      </c>
      <c r="D115" s="87">
        <v>1095.0</v>
      </c>
      <c r="E115" s="87">
        <v>1095.0</v>
      </c>
      <c r="F115" s="87">
        <v>1095.0</v>
      </c>
      <c r="G115" s="87">
        <v>1095.0</v>
      </c>
      <c r="H115" s="87">
        <v>1095.0</v>
      </c>
      <c r="I115" s="87">
        <v>1095.0</v>
      </c>
      <c r="J115" s="87">
        <v>1095.0</v>
      </c>
      <c r="K115" s="87">
        <v>1095.0</v>
      </c>
      <c r="L115" s="87">
        <v>1095.0</v>
      </c>
      <c r="M115" s="87">
        <v>1095.0</v>
      </c>
      <c r="N115" s="17">
        <f t="shared" ref="N115:N120" si="29">SUM(B115:M115)</f>
        <v>13140</v>
      </c>
    </row>
    <row r="116" ht="13.5" customHeight="1">
      <c r="A116" s="60" t="s">
        <v>111</v>
      </c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17">
        <f t="shared" si="29"/>
        <v>0</v>
      </c>
    </row>
    <row r="117" ht="13.5" customHeight="1">
      <c r="A117" s="59" t="s">
        <v>112</v>
      </c>
      <c r="B117" s="87">
        <v>3000.0</v>
      </c>
      <c r="C117" s="87">
        <v>3000.0</v>
      </c>
      <c r="D117" s="87">
        <v>3000.0</v>
      </c>
      <c r="E117" s="87">
        <v>3000.0</v>
      </c>
      <c r="F117" s="87">
        <v>3000.0</v>
      </c>
      <c r="G117" s="87">
        <v>3000.0</v>
      </c>
      <c r="H117" s="87">
        <v>3000.0</v>
      </c>
      <c r="I117" s="87">
        <v>3000.0</v>
      </c>
      <c r="J117" s="87">
        <v>3000.0</v>
      </c>
      <c r="K117" s="87">
        <v>3000.0</v>
      </c>
      <c r="L117" s="87">
        <v>3000.0</v>
      </c>
      <c r="M117" s="87">
        <v>3000.0</v>
      </c>
      <c r="N117" s="17">
        <f t="shared" si="29"/>
        <v>36000</v>
      </c>
    </row>
    <row r="118" ht="13.5" customHeight="1">
      <c r="A118" s="59" t="s">
        <v>80</v>
      </c>
      <c r="B118" s="87">
        <v>0.0</v>
      </c>
      <c r="C118" s="87">
        <v>0.0</v>
      </c>
      <c r="D118" s="87">
        <v>0.0</v>
      </c>
      <c r="E118" s="87">
        <v>0.0</v>
      </c>
      <c r="F118" s="87">
        <v>0.0</v>
      </c>
      <c r="G118" s="87">
        <v>0.0</v>
      </c>
      <c r="H118" s="87">
        <v>0.0</v>
      </c>
      <c r="I118" s="87">
        <v>0.0</v>
      </c>
      <c r="J118" s="87">
        <v>0.0</v>
      </c>
      <c r="K118" s="87">
        <v>0.0</v>
      </c>
      <c r="L118" s="87">
        <v>0.0</v>
      </c>
      <c r="M118" s="87">
        <v>0.0</v>
      </c>
      <c r="N118" s="17">
        <f t="shared" si="29"/>
        <v>0</v>
      </c>
    </row>
    <row r="119" ht="13.5" customHeight="1">
      <c r="A119" s="61" t="s">
        <v>113</v>
      </c>
      <c r="B119" s="87">
        <v>395.0</v>
      </c>
      <c r="C119" s="87">
        <v>395.0</v>
      </c>
      <c r="D119" s="87">
        <v>395.0</v>
      </c>
      <c r="E119" s="87">
        <v>395.0</v>
      </c>
      <c r="F119" s="87">
        <v>395.0</v>
      </c>
      <c r="G119" s="87">
        <v>395.0</v>
      </c>
      <c r="H119" s="87">
        <v>395.0</v>
      </c>
      <c r="I119" s="87">
        <v>395.0</v>
      </c>
      <c r="J119" s="87">
        <v>395.0</v>
      </c>
      <c r="K119" s="87">
        <v>395.0</v>
      </c>
      <c r="L119" s="87">
        <v>395.0</v>
      </c>
      <c r="M119" s="87">
        <v>395.0</v>
      </c>
      <c r="N119" s="17">
        <f t="shared" si="29"/>
        <v>4740</v>
      </c>
    </row>
    <row r="120" ht="13.5" customHeight="1">
      <c r="A120" s="132" t="s">
        <v>114</v>
      </c>
      <c r="B120" s="96">
        <v>1841.0</v>
      </c>
      <c r="C120" s="96">
        <v>1841.0</v>
      </c>
      <c r="D120" s="96">
        <v>1841.0</v>
      </c>
      <c r="E120" s="96">
        <v>1841.0</v>
      </c>
      <c r="F120" s="96">
        <v>1841.0</v>
      </c>
      <c r="G120" s="96">
        <v>1841.0</v>
      </c>
      <c r="H120" s="96">
        <v>1841.0</v>
      </c>
      <c r="I120" s="96">
        <v>1841.0</v>
      </c>
      <c r="J120" s="96">
        <v>1841.0</v>
      </c>
      <c r="K120" s="96">
        <v>1841.0</v>
      </c>
      <c r="L120" s="96">
        <v>1841.0</v>
      </c>
      <c r="M120" s="96">
        <v>1841.0</v>
      </c>
      <c r="N120" s="17">
        <f t="shared" si="29"/>
        <v>22092</v>
      </c>
    </row>
    <row r="121" ht="13.5" customHeight="1">
      <c r="A121" s="99" t="s">
        <v>23</v>
      </c>
      <c r="B121" s="63">
        <f t="shared" ref="B121:N121" si="30">SUM(B115:B120)</f>
        <v>6331</v>
      </c>
      <c r="C121" s="63">
        <f t="shared" si="30"/>
        <v>6331</v>
      </c>
      <c r="D121" s="63">
        <f t="shared" si="30"/>
        <v>6331</v>
      </c>
      <c r="E121" s="63">
        <f t="shared" si="30"/>
        <v>6331</v>
      </c>
      <c r="F121" s="63">
        <f t="shared" si="30"/>
        <v>6331</v>
      </c>
      <c r="G121" s="63">
        <f t="shared" si="30"/>
        <v>6331</v>
      </c>
      <c r="H121" s="63">
        <f t="shared" si="30"/>
        <v>6331</v>
      </c>
      <c r="I121" s="63">
        <f t="shared" si="30"/>
        <v>6331</v>
      </c>
      <c r="J121" s="63">
        <f t="shared" si="30"/>
        <v>6331</v>
      </c>
      <c r="K121" s="63">
        <f t="shared" si="30"/>
        <v>6331</v>
      </c>
      <c r="L121" s="63">
        <f t="shared" si="30"/>
        <v>6331</v>
      </c>
      <c r="M121" s="63">
        <f t="shared" si="30"/>
        <v>6331</v>
      </c>
      <c r="N121" s="63">
        <f t="shared" si="30"/>
        <v>75972</v>
      </c>
    </row>
    <row r="122" ht="13.5" customHeight="1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</row>
    <row r="123" ht="13.5" customHeight="1">
      <c r="A123" s="64" t="s">
        <v>115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</row>
    <row r="124" ht="13.5" customHeight="1">
      <c r="A124" s="64" t="s">
        <v>116</v>
      </c>
      <c r="B124" s="67">
        <f t="shared" ref="B124:N124" si="31">+B13*0.7+B21*0.7+B32*0.7+B52*0.6+B70+B107*0.6</f>
        <v>16555.888</v>
      </c>
      <c r="C124" s="67">
        <f t="shared" si="31"/>
        <v>18531.388</v>
      </c>
      <c r="D124" s="67">
        <f t="shared" si="31"/>
        <v>18069.072</v>
      </c>
      <c r="E124" s="67">
        <f t="shared" si="31"/>
        <v>16600.888</v>
      </c>
      <c r="F124" s="67">
        <f t="shared" si="31"/>
        <v>18081.888</v>
      </c>
      <c r="G124" s="67">
        <f t="shared" si="31"/>
        <v>18643.588</v>
      </c>
      <c r="H124" s="67">
        <f t="shared" si="31"/>
        <v>16843.888</v>
      </c>
      <c r="I124" s="67">
        <f t="shared" si="31"/>
        <v>19624.6158</v>
      </c>
      <c r="J124" s="67">
        <f t="shared" si="31"/>
        <v>17161.888</v>
      </c>
      <c r="K124" s="67">
        <f t="shared" si="31"/>
        <v>18430.726</v>
      </c>
      <c r="L124" s="67">
        <f t="shared" si="31"/>
        <v>16900.888</v>
      </c>
      <c r="M124" s="67">
        <f t="shared" si="31"/>
        <v>16900.888</v>
      </c>
      <c r="N124" s="67">
        <f t="shared" si="31"/>
        <v>212345.6058</v>
      </c>
    </row>
    <row r="125" ht="13.5" customHeight="1">
      <c r="A125" s="64" t="s">
        <v>117</v>
      </c>
      <c r="B125" s="67">
        <f t="shared" ref="B125:N125" si="32">+B13*0.3+B21*0.3+B32*0.3+B52*0.4+B82+B90+B107*0.4</f>
        <v>15690.592</v>
      </c>
      <c r="C125" s="67">
        <f t="shared" si="32"/>
        <v>15814.592</v>
      </c>
      <c r="D125" s="67">
        <f t="shared" si="32"/>
        <v>17166.048</v>
      </c>
      <c r="E125" s="67">
        <f t="shared" si="32"/>
        <v>16520.592</v>
      </c>
      <c r="F125" s="67">
        <f t="shared" si="32"/>
        <v>17174.592</v>
      </c>
      <c r="G125" s="67">
        <f t="shared" si="32"/>
        <v>16889.392</v>
      </c>
      <c r="H125" s="67">
        <f t="shared" si="32"/>
        <v>16682.592</v>
      </c>
      <c r="I125" s="67">
        <f t="shared" si="32"/>
        <v>17210.0772</v>
      </c>
      <c r="J125" s="67">
        <f t="shared" si="32"/>
        <v>16894.592</v>
      </c>
      <c r="K125" s="67">
        <f t="shared" si="32"/>
        <v>16747.484</v>
      </c>
      <c r="L125" s="67">
        <f t="shared" si="32"/>
        <v>16720.592</v>
      </c>
      <c r="M125" s="67">
        <f t="shared" si="32"/>
        <v>16720.592</v>
      </c>
      <c r="N125" s="67">
        <f t="shared" si="32"/>
        <v>200231.7372</v>
      </c>
    </row>
    <row r="126" ht="13.5" customHeight="1">
      <c r="A126" s="64" t="s">
        <v>23</v>
      </c>
      <c r="B126" s="67">
        <f t="shared" ref="B126:N126" si="33">SUM(B124:B125)</f>
        <v>32246.48</v>
      </c>
      <c r="C126" s="67">
        <f t="shared" si="33"/>
        <v>34345.98</v>
      </c>
      <c r="D126" s="67">
        <f t="shared" si="33"/>
        <v>35235.12</v>
      </c>
      <c r="E126" s="67">
        <f t="shared" si="33"/>
        <v>33121.48</v>
      </c>
      <c r="F126" s="67">
        <f t="shared" si="33"/>
        <v>35256.48</v>
      </c>
      <c r="G126" s="67">
        <f t="shared" si="33"/>
        <v>35532.98</v>
      </c>
      <c r="H126" s="67">
        <f t="shared" si="33"/>
        <v>33526.48</v>
      </c>
      <c r="I126" s="67">
        <f t="shared" si="33"/>
        <v>36834.693</v>
      </c>
      <c r="J126" s="67">
        <f t="shared" si="33"/>
        <v>34056.48</v>
      </c>
      <c r="K126" s="67">
        <f t="shared" si="33"/>
        <v>35178.21</v>
      </c>
      <c r="L126" s="67">
        <f t="shared" si="33"/>
        <v>33621.48</v>
      </c>
      <c r="M126" s="67">
        <f t="shared" si="33"/>
        <v>33621.48</v>
      </c>
      <c r="N126" s="67">
        <f t="shared" si="33"/>
        <v>412577.343</v>
      </c>
    </row>
    <row r="127" ht="13.5" customHeight="1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</row>
    <row r="128" ht="13.5" customHeight="1">
      <c r="A128" s="69" t="s">
        <v>118</v>
      </c>
      <c r="B128" s="70">
        <f t="shared" ref="B128:N128" si="34">+B109</f>
        <v>32246.48</v>
      </c>
      <c r="C128" s="70">
        <f t="shared" si="34"/>
        <v>34345.98</v>
      </c>
      <c r="D128" s="70">
        <f t="shared" si="34"/>
        <v>35235.12</v>
      </c>
      <c r="E128" s="70">
        <f t="shared" si="34"/>
        <v>33121.48</v>
      </c>
      <c r="F128" s="70">
        <f t="shared" si="34"/>
        <v>35256.48</v>
      </c>
      <c r="G128" s="70">
        <f t="shared" si="34"/>
        <v>35532.98</v>
      </c>
      <c r="H128" s="70">
        <f t="shared" si="34"/>
        <v>33526.48</v>
      </c>
      <c r="I128" s="70">
        <f t="shared" si="34"/>
        <v>36834.693</v>
      </c>
      <c r="J128" s="70">
        <f t="shared" si="34"/>
        <v>34056.48</v>
      </c>
      <c r="K128" s="70">
        <f t="shared" si="34"/>
        <v>35178.21</v>
      </c>
      <c r="L128" s="70">
        <f t="shared" si="34"/>
        <v>33621.48</v>
      </c>
      <c r="M128" s="70">
        <f t="shared" si="34"/>
        <v>33621.48</v>
      </c>
      <c r="N128" s="70">
        <f t="shared" si="34"/>
        <v>412577.343</v>
      </c>
    </row>
    <row r="129" ht="13.5" customHeight="1">
      <c r="A129" s="134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</row>
    <row r="130" ht="13.5" customHeight="1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</row>
    <row r="131" ht="13.5" customHeight="1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</row>
  </sheetData>
  <mergeCells count="1">
    <mergeCell ref="A1:N1"/>
  </mergeCells>
  <hyperlinks>
    <hyperlink r:id="rId2" ref="A60"/>
  </hyperlinks>
  <drawing r:id="rId3"/>
  <legacy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1.38"/>
    <col customWidth="1" min="2" max="9" width="9.13"/>
    <col customWidth="1" min="10" max="10" width="9.63"/>
    <col customWidth="1" min="11" max="13" width="9.13"/>
    <col customWidth="1" min="14" max="14" width="10.63"/>
  </cols>
  <sheetData>
    <row r="1" ht="13.5" customHeight="1">
      <c r="A1" s="76" t="s">
        <v>259</v>
      </c>
    </row>
    <row r="2" ht="13.5" customHeight="1">
      <c r="A2" s="7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ht="13.5" customHeight="1">
      <c r="A3" s="1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</row>
    <row r="4" ht="13.5" customHeight="1">
      <c r="A4" s="296" t="s">
        <v>14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3"/>
    </row>
    <row r="5" ht="13.5" customHeight="1">
      <c r="A5" s="15" t="s">
        <v>15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17">
        <f t="shared" ref="N5:N12" si="1">SUM(B5:M5)</f>
        <v>0</v>
      </c>
    </row>
    <row r="6" ht="13.5" customHeight="1">
      <c r="A6" s="15" t="s">
        <v>123</v>
      </c>
      <c r="B6" s="46"/>
      <c r="C6" s="46"/>
      <c r="D6" s="46"/>
      <c r="E6" s="46"/>
      <c r="F6" s="46"/>
      <c r="G6" s="87"/>
      <c r="H6" s="87"/>
      <c r="I6" s="87"/>
      <c r="J6" s="46"/>
      <c r="K6" s="46"/>
      <c r="L6" s="46"/>
      <c r="M6" s="46"/>
      <c r="N6" s="17">
        <f t="shared" si="1"/>
        <v>0</v>
      </c>
    </row>
    <row r="7" ht="13.5" customHeight="1">
      <c r="A7" s="15" t="s">
        <v>17</v>
      </c>
      <c r="B7" s="46"/>
      <c r="C7" s="46"/>
      <c r="D7" s="87"/>
      <c r="E7" s="87"/>
      <c r="F7" s="87"/>
      <c r="G7" s="85"/>
      <c r="H7" s="85"/>
      <c r="I7" s="87"/>
      <c r="J7" s="87"/>
      <c r="K7" s="85"/>
      <c r="L7" s="85"/>
      <c r="M7" s="85"/>
      <c r="N7" s="17">
        <f t="shared" si="1"/>
        <v>0</v>
      </c>
    </row>
    <row r="8" ht="13.5" customHeight="1">
      <c r="A8" s="15" t="s">
        <v>18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87"/>
      <c r="M8" s="46"/>
      <c r="N8" s="17">
        <f t="shared" si="1"/>
        <v>0</v>
      </c>
    </row>
    <row r="9" ht="13.5" customHeight="1">
      <c r="A9" s="20" t="s">
        <v>204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17">
        <f t="shared" si="1"/>
        <v>0</v>
      </c>
    </row>
    <row r="10" ht="13.5" customHeight="1">
      <c r="A10" s="20" t="s">
        <v>235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17">
        <f t="shared" si="1"/>
        <v>0</v>
      </c>
    </row>
    <row r="11" ht="13.5" customHeight="1">
      <c r="A11" s="15" t="s">
        <v>21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17">
        <f t="shared" si="1"/>
        <v>0</v>
      </c>
    </row>
    <row r="12" ht="13.5" customHeight="1">
      <c r="A12" s="15" t="s">
        <v>22</v>
      </c>
      <c r="B12" s="46" t="str">
        <f>PRODUCTION!T3</f>
        <v/>
      </c>
      <c r="C12" s="46" t="str">
        <f>PRODUCTION!T4</f>
        <v/>
      </c>
      <c r="D12" s="84" t="str">
        <f>PRODUCTION!T5</f>
        <v/>
      </c>
      <c r="E12" s="84" t="str">
        <f>PRODUCTION!T6</f>
        <v/>
      </c>
      <c r="F12" s="84" t="str">
        <f>PRODUCTION!T7</f>
        <v/>
      </c>
      <c r="G12" s="84" t="str">
        <f>PRODUCTION!T8</f>
        <v/>
      </c>
      <c r="H12" s="84" t="str">
        <f>PRODUCTION!T9</f>
        <v/>
      </c>
      <c r="I12" s="85"/>
      <c r="J12" s="85"/>
      <c r="K12" s="85"/>
      <c r="L12" s="85"/>
      <c r="M12" s="85"/>
      <c r="N12" s="17">
        <f t="shared" si="1"/>
        <v>0</v>
      </c>
    </row>
    <row r="13" ht="13.5" customHeight="1">
      <c r="A13" s="21" t="s">
        <v>23</v>
      </c>
      <c r="B13" s="22">
        <f t="shared" ref="B13:N13" si="2">SUM(B5:B12)</f>
        <v>0</v>
      </c>
      <c r="C13" s="22">
        <f t="shared" si="2"/>
        <v>0</v>
      </c>
      <c r="D13" s="22">
        <f t="shared" si="2"/>
        <v>0</v>
      </c>
      <c r="E13" s="22">
        <f t="shared" si="2"/>
        <v>0</v>
      </c>
      <c r="F13" s="22">
        <f t="shared" si="2"/>
        <v>0</v>
      </c>
      <c r="G13" s="22">
        <f t="shared" si="2"/>
        <v>0</v>
      </c>
      <c r="H13" s="22">
        <f t="shared" si="2"/>
        <v>0</v>
      </c>
      <c r="I13" s="22">
        <f t="shared" si="2"/>
        <v>0</v>
      </c>
      <c r="J13" s="22">
        <f t="shared" si="2"/>
        <v>0</v>
      </c>
      <c r="K13" s="22">
        <f t="shared" si="2"/>
        <v>0</v>
      </c>
      <c r="L13" s="22">
        <f t="shared" si="2"/>
        <v>0</v>
      </c>
      <c r="M13" s="22">
        <f t="shared" si="2"/>
        <v>0</v>
      </c>
      <c r="N13" s="22">
        <f t="shared" si="2"/>
        <v>0</v>
      </c>
    </row>
    <row r="14" ht="13.5" customHeight="1">
      <c r="A14" s="297" t="s">
        <v>24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83"/>
    </row>
    <row r="15" ht="13.5" customHeight="1">
      <c r="A15" s="35" t="s">
        <v>214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17">
        <f t="shared" ref="N15:N18" si="3">SUM(B15:M15)</f>
        <v>0</v>
      </c>
    </row>
    <row r="16" ht="13.5" customHeight="1">
      <c r="A16" s="35" t="s">
        <v>26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17">
        <f t="shared" si="3"/>
        <v>0</v>
      </c>
    </row>
    <row r="17" ht="13.5" customHeight="1">
      <c r="A17" s="3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17">
        <f t="shared" si="3"/>
        <v>0</v>
      </c>
    </row>
    <row r="18" ht="13.5" customHeight="1">
      <c r="A18" s="3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17">
        <f t="shared" si="3"/>
        <v>0</v>
      </c>
    </row>
    <row r="19" ht="13.5" customHeight="1">
      <c r="A19" s="27" t="s">
        <v>29</v>
      </c>
      <c r="B19" s="103"/>
      <c r="C19" s="103"/>
      <c r="D19" s="46"/>
      <c r="E19" s="87"/>
      <c r="F19" s="46"/>
      <c r="G19" s="46"/>
      <c r="H19" s="46"/>
      <c r="I19" s="46"/>
      <c r="J19" s="46"/>
      <c r="K19" s="46"/>
      <c r="L19" s="46"/>
      <c r="M19" s="46"/>
      <c r="N19" s="17">
        <f>SUM(C19:M19)</f>
        <v>0</v>
      </c>
    </row>
    <row r="20" ht="13.5" customHeight="1">
      <c r="A20" s="3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17">
        <f>SUM(B20:M20)</f>
        <v>0</v>
      </c>
    </row>
    <row r="21" ht="13.5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</row>
    <row r="22" ht="13.5" customHeight="1">
      <c r="A22" s="89" t="s">
        <v>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3"/>
    </row>
    <row r="23" ht="13.5" customHeight="1">
      <c r="A23" s="26" t="s">
        <v>31</v>
      </c>
      <c r="B23" s="300">
        <v>0.0</v>
      </c>
      <c r="C23" s="300">
        <v>0.0</v>
      </c>
      <c r="D23" s="301">
        <v>2000.0</v>
      </c>
      <c r="E23" s="300">
        <v>0.0</v>
      </c>
      <c r="F23" s="301">
        <v>2000.0</v>
      </c>
      <c r="G23" s="300">
        <v>0.0</v>
      </c>
      <c r="H23" s="302">
        <v>0.0</v>
      </c>
      <c r="I23" s="301">
        <v>2000.0</v>
      </c>
      <c r="J23" s="300">
        <v>0.0</v>
      </c>
      <c r="K23" s="301">
        <v>0.0</v>
      </c>
      <c r="L23" s="301">
        <v>0.0</v>
      </c>
      <c r="M23" s="302">
        <v>0.0</v>
      </c>
      <c r="N23" s="17">
        <f t="shared" ref="N23:N31" si="5">SUM(B23:M23)</f>
        <v>6000</v>
      </c>
    </row>
    <row r="24" ht="13.5" customHeight="1">
      <c r="A24" s="32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17">
        <f t="shared" si="5"/>
        <v>0</v>
      </c>
    </row>
    <row r="25" ht="13.5" customHeight="1">
      <c r="A25" s="15" t="s">
        <v>127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17">
        <f t="shared" si="5"/>
        <v>0</v>
      </c>
    </row>
    <row r="26" ht="13.5" customHeight="1">
      <c r="A26" s="32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17">
        <f t="shared" si="5"/>
        <v>0</v>
      </c>
    </row>
    <row r="27" ht="13.5" customHeight="1">
      <c r="A27" s="31" t="s">
        <v>34</v>
      </c>
      <c r="B27" s="46"/>
      <c r="C27" s="46"/>
      <c r="D27" s="139"/>
      <c r="E27" s="140"/>
      <c r="F27" s="141"/>
      <c r="G27" s="141"/>
      <c r="H27" s="140"/>
      <c r="I27" s="141"/>
      <c r="J27" s="140"/>
      <c r="K27" s="141"/>
      <c r="L27" s="141"/>
      <c r="M27" s="141"/>
      <c r="N27" s="17">
        <f t="shared" si="5"/>
        <v>0</v>
      </c>
    </row>
    <row r="28" ht="13.5" customHeight="1">
      <c r="A28" s="33" t="s">
        <v>35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17">
        <f t="shared" si="5"/>
        <v>0</v>
      </c>
    </row>
    <row r="29" ht="13.5" customHeight="1">
      <c r="A29" s="27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17">
        <f t="shared" si="5"/>
        <v>0</v>
      </c>
    </row>
    <row r="30" ht="13.5" customHeight="1">
      <c r="A30" s="31" t="s">
        <v>37</v>
      </c>
      <c r="B30" s="46"/>
      <c r="C30" s="46"/>
      <c r="D30" s="46"/>
      <c r="E30" s="46"/>
      <c r="F30" s="87"/>
      <c r="G30" s="87"/>
      <c r="H30" s="87"/>
      <c r="I30" s="46"/>
      <c r="J30" s="87"/>
      <c r="K30" s="87"/>
      <c r="L30" s="87"/>
      <c r="M30" s="46"/>
      <c r="N30" s="17">
        <f t="shared" si="5"/>
        <v>0</v>
      </c>
    </row>
    <row r="31" ht="13.5" customHeight="1">
      <c r="A31" s="3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17">
        <f t="shared" si="5"/>
        <v>0</v>
      </c>
    </row>
    <row r="32" ht="13.5" customHeight="1">
      <c r="A32" s="91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2000</v>
      </c>
      <c r="E32" s="28">
        <f t="shared" si="6"/>
        <v>0</v>
      </c>
      <c r="F32" s="28">
        <f t="shared" si="6"/>
        <v>2000</v>
      </c>
      <c r="G32" s="28">
        <f t="shared" si="6"/>
        <v>0</v>
      </c>
      <c r="H32" s="28">
        <f t="shared" si="6"/>
        <v>0</v>
      </c>
      <c r="I32" s="28">
        <f t="shared" si="6"/>
        <v>2000</v>
      </c>
      <c r="J32" s="28">
        <f t="shared" si="6"/>
        <v>0</v>
      </c>
      <c r="K32" s="28">
        <f t="shared" si="6"/>
        <v>0</v>
      </c>
      <c r="L32" s="28">
        <f t="shared" si="6"/>
        <v>0</v>
      </c>
      <c r="M32" s="28">
        <f t="shared" si="6"/>
        <v>0</v>
      </c>
      <c r="N32" s="28">
        <f t="shared" si="6"/>
        <v>6000</v>
      </c>
    </row>
    <row r="33" ht="13.5" customHeight="1">
      <c r="A33" s="79" t="s">
        <v>38</v>
      </c>
      <c r="B33" s="83"/>
      <c r="C33" s="83"/>
      <c r="D33" s="83"/>
      <c r="E33" s="83"/>
      <c r="F33" s="294"/>
      <c r="G33" s="83"/>
      <c r="H33" s="83"/>
      <c r="I33" s="83"/>
      <c r="J33" s="83"/>
      <c r="K33" s="83"/>
      <c r="L33" s="83"/>
      <c r="M33" s="83"/>
      <c r="N33" s="83"/>
    </row>
    <row r="34" ht="13.5" customHeight="1">
      <c r="A34" s="15" t="s">
        <v>39</v>
      </c>
      <c r="B34" s="87">
        <f t="shared" ref="B34:M34" si="7">1899+61.9+850+70</f>
        <v>2880.9</v>
      </c>
      <c r="C34" s="87">
        <f t="shared" si="7"/>
        <v>2880.9</v>
      </c>
      <c r="D34" s="87">
        <f t="shared" si="7"/>
        <v>2880.9</v>
      </c>
      <c r="E34" s="87">
        <f t="shared" si="7"/>
        <v>2880.9</v>
      </c>
      <c r="F34" s="87">
        <f t="shared" si="7"/>
        <v>2880.9</v>
      </c>
      <c r="G34" s="87">
        <f t="shared" si="7"/>
        <v>2880.9</v>
      </c>
      <c r="H34" s="87">
        <f t="shared" si="7"/>
        <v>2880.9</v>
      </c>
      <c r="I34" s="87">
        <f t="shared" si="7"/>
        <v>2880.9</v>
      </c>
      <c r="J34" s="87">
        <f t="shared" si="7"/>
        <v>2880.9</v>
      </c>
      <c r="K34" s="87">
        <f t="shared" si="7"/>
        <v>2880.9</v>
      </c>
      <c r="L34" s="87">
        <f t="shared" si="7"/>
        <v>2880.9</v>
      </c>
      <c r="M34" s="87">
        <f t="shared" si="7"/>
        <v>2880.9</v>
      </c>
      <c r="N34" s="17">
        <f t="shared" ref="N34:N51" si="8">SUM(B34:M34)</f>
        <v>34570.8</v>
      </c>
    </row>
    <row r="35" ht="13.5" customHeight="1">
      <c r="A35" s="19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17">
        <f t="shared" si="8"/>
        <v>0</v>
      </c>
    </row>
    <row r="36" ht="13.5" customHeight="1">
      <c r="A36" s="35" t="s">
        <v>41</v>
      </c>
      <c r="B36" s="87">
        <f t="shared" ref="B36:M36" si="9">395+75</f>
        <v>470</v>
      </c>
      <c r="C36" s="87">
        <f t="shared" si="9"/>
        <v>470</v>
      </c>
      <c r="D36" s="87">
        <f t="shared" si="9"/>
        <v>470</v>
      </c>
      <c r="E36" s="87">
        <f t="shared" si="9"/>
        <v>470</v>
      </c>
      <c r="F36" s="87">
        <f t="shared" si="9"/>
        <v>470</v>
      </c>
      <c r="G36" s="87">
        <f t="shared" si="9"/>
        <v>470</v>
      </c>
      <c r="H36" s="87">
        <f t="shared" si="9"/>
        <v>470</v>
      </c>
      <c r="I36" s="87">
        <f t="shared" si="9"/>
        <v>470</v>
      </c>
      <c r="J36" s="87">
        <f t="shared" si="9"/>
        <v>470</v>
      </c>
      <c r="K36" s="87">
        <f t="shared" si="9"/>
        <v>470</v>
      </c>
      <c r="L36" s="87">
        <f t="shared" si="9"/>
        <v>470</v>
      </c>
      <c r="M36" s="87">
        <f t="shared" si="9"/>
        <v>470</v>
      </c>
      <c r="N36" s="17">
        <f t="shared" si="8"/>
        <v>5640</v>
      </c>
    </row>
    <row r="37" ht="13.5" customHeight="1">
      <c r="A37" s="35" t="s">
        <v>42</v>
      </c>
      <c r="B37" s="87">
        <v>759.0</v>
      </c>
      <c r="C37" s="87">
        <v>759.0</v>
      </c>
      <c r="D37" s="87">
        <v>759.0</v>
      </c>
      <c r="E37" s="87">
        <v>759.0</v>
      </c>
      <c r="F37" s="87">
        <v>759.0</v>
      </c>
      <c r="G37" s="87">
        <v>759.0</v>
      </c>
      <c r="H37" s="87">
        <v>759.0</v>
      </c>
      <c r="I37" s="87">
        <v>759.0</v>
      </c>
      <c r="J37" s="87">
        <v>759.0</v>
      </c>
      <c r="K37" s="87">
        <v>759.0</v>
      </c>
      <c r="L37" s="87">
        <v>759.0</v>
      </c>
      <c r="M37" s="87">
        <v>759.0</v>
      </c>
      <c r="N37" s="17">
        <f t="shared" si="8"/>
        <v>9108</v>
      </c>
    </row>
    <row r="38" ht="13.5" customHeight="1">
      <c r="A38" s="35" t="s">
        <v>43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17">
        <f t="shared" si="8"/>
        <v>0</v>
      </c>
    </row>
    <row r="39" ht="13.5" customHeight="1">
      <c r="A39" s="35" t="s">
        <v>44</v>
      </c>
      <c r="B39" s="87">
        <v>495.0</v>
      </c>
      <c r="C39" s="87">
        <v>495.0</v>
      </c>
      <c r="D39" s="87">
        <v>495.0</v>
      </c>
      <c r="E39" s="87">
        <v>495.0</v>
      </c>
      <c r="F39" s="87">
        <v>495.0</v>
      </c>
      <c r="G39" s="87">
        <v>495.0</v>
      </c>
      <c r="H39" s="87">
        <v>495.0</v>
      </c>
      <c r="I39" s="87">
        <v>495.0</v>
      </c>
      <c r="J39" s="87">
        <v>495.0</v>
      </c>
      <c r="K39" s="87">
        <v>495.0</v>
      </c>
      <c r="L39" s="87">
        <v>495.0</v>
      </c>
      <c r="M39" s="87">
        <v>495.0</v>
      </c>
      <c r="N39" s="17">
        <f t="shared" si="8"/>
        <v>5940</v>
      </c>
    </row>
    <row r="40" ht="13.5" customHeight="1">
      <c r="A40" s="35" t="s">
        <v>45</v>
      </c>
      <c r="B40" s="87"/>
      <c r="C40" s="87"/>
      <c r="D40" s="46"/>
      <c r="E40" s="46"/>
      <c r="F40" s="87"/>
      <c r="G40" s="46"/>
      <c r="H40" s="87"/>
      <c r="I40" s="87"/>
      <c r="J40" s="87"/>
      <c r="K40" s="46"/>
      <c r="L40" s="46"/>
      <c r="M40" s="46"/>
      <c r="N40" s="17">
        <f t="shared" si="8"/>
        <v>0</v>
      </c>
    </row>
    <row r="41" ht="13.5" customHeight="1">
      <c r="A41" s="39" t="s">
        <v>170</v>
      </c>
      <c r="B41" s="87">
        <v>2380.0</v>
      </c>
      <c r="C41" s="87">
        <v>2380.0</v>
      </c>
      <c r="D41" s="87">
        <v>2380.0</v>
      </c>
      <c r="E41" s="87">
        <v>2380.0</v>
      </c>
      <c r="F41" s="87">
        <v>2380.0</v>
      </c>
      <c r="G41" s="87">
        <v>2380.0</v>
      </c>
      <c r="H41" s="87">
        <v>2380.0</v>
      </c>
      <c r="I41" s="87">
        <v>2380.0</v>
      </c>
      <c r="J41" s="87">
        <v>2380.0</v>
      </c>
      <c r="K41" s="87">
        <v>2380.0</v>
      </c>
      <c r="L41" s="87">
        <v>2380.0</v>
      </c>
      <c r="M41" s="87">
        <v>2380.0</v>
      </c>
      <c r="N41" s="17">
        <f t="shared" si="8"/>
        <v>28560</v>
      </c>
    </row>
    <row r="42" ht="13.5" customHeight="1">
      <c r="A42" s="19" t="s">
        <v>260</v>
      </c>
      <c r="B42" s="87">
        <v>295.0</v>
      </c>
      <c r="C42" s="87">
        <v>295.0</v>
      </c>
      <c r="D42" s="87">
        <v>295.0</v>
      </c>
      <c r="E42" s="87">
        <v>295.0</v>
      </c>
      <c r="F42" s="87">
        <v>295.0</v>
      </c>
      <c r="G42" s="87">
        <v>295.0</v>
      </c>
      <c r="H42" s="87">
        <v>295.0</v>
      </c>
      <c r="I42" s="87">
        <v>295.0</v>
      </c>
      <c r="J42" s="87">
        <v>295.0</v>
      </c>
      <c r="K42" s="87">
        <v>295.0</v>
      </c>
      <c r="L42" s="87">
        <v>295.0</v>
      </c>
      <c r="M42" s="87">
        <v>295.0</v>
      </c>
      <c r="N42" s="17">
        <f t="shared" si="8"/>
        <v>3540</v>
      </c>
    </row>
    <row r="43" ht="13.5" customHeight="1">
      <c r="A43" s="19" t="s">
        <v>129</v>
      </c>
      <c r="B43" s="87">
        <v>949.0</v>
      </c>
      <c r="C43" s="87">
        <v>949.0</v>
      </c>
      <c r="D43" s="87">
        <v>949.0</v>
      </c>
      <c r="E43" s="87">
        <v>949.0</v>
      </c>
      <c r="F43" s="87">
        <v>949.0</v>
      </c>
      <c r="G43" s="87">
        <v>949.0</v>
      </c>
      <c r="H43" s="87">
        <v>949.0</v>
      </c>
      <c r="I43" s="87">
        <v>949.0</v>
      </c>
      <c r="J43" s="87">
        <v>949.0</v>
      </c>
      <c r="K43" s="87">
        <v>949.0</v>
      </c>
      <c r="L43" s="87">
        <v>949.0</v>
      </c>
      <c r="M43" s="87">
        <v>949.0</v>
      </c>
      <c r="N43" s="17">
        <f t="shared" si="8"/>
        <v>11388</v>
      </c>
    </row>
    <row r="44" ht="13.5" customHeight="1">
      <c r="A44" s="31" t="s">
        <v>256</v>
      </c>
      <c r="B44" s="87">
        <v>399.0</v>
      </c>
      <c r="C44" s="87">
        <v>399.0</v>
      </c>
      <c r="D44" s="87">
        <v>399.0</v>
      </c>
      <c r="E44" s="87">
        <v>399.0</v>
      </c>
      <c r="F44" s="87">
        <v>399.0</v>
      </c>
      <c r="G44" s="87">
        <v>399.0</v>
      </c>
      <c r="H44" s="87">
        <v>399.0</v>
      </c>
      <c r="I44" s="87">
        <v>399.0</v>
      </c>
      <c r="J44" s="87">
        <v>399.0</v>
      </c>
      <c r="K44" s="87">
        <v>399.0</v>
      </c>
      <c r="L44" s="87">
        <v>399.0</v>
      </c>
      <c r="M44" s="87">
        <v>399.0</v>
      </c>
      <c r="N44" s="17">
        <f t="shared" si="8"/>
        <v>4788</v>
      </c>
    </row>
    <row r="45" ht="13.5" customHeight="1">
      <c r="A45" s="303" t="s">
        <v>50</v>
      </c>
      <c r="B45" s="299">
        <f t="shared" ref="B45:M45" si="10">45+97.5</f>
        <v>142.5</v>
      </c>
      <c r="C45" s="299">
        <f t="shared" si="10"/>
        <v>142.5</v>
      </c>
      <c r="D45" s="299">
        <f t="shared" si="10"/>
        <v>142.5</v>
      </c>
      <c r="E45" s="299">
        <f t="shared" si="10"/>
        <v>142.5</v>
      </c>
      <c r="F45" s="299">
        <f t="shared" si="10"/>
        <v>142.5</v>
      </c>
      <c r="G45" s="299">
        <f t="shared" si="10"/>
        <v>142.5</v>
      </c>
      <c r="H45" s="299">
        <f t="shared" si="10"/>
        <v>142.5</v>
      </c>
      <c r="I45" s="299">
        <f t="shared" si="10"/>
        <v>142.5</v>
      </c>
      <c r="J45" s="299">
        <f t="shared" si="10"/>
        <v>142.5</v>
      </c>
      <c r="K45" s="299">
        <f t="shared" si="10"/>
        <v>142.5</v>
      </c>
      <c r="L45" s="299">
        <f t="shared" si="10"/>
        <v>142.5</v>
      </c>
      <c r="M45" s="299">
        <f t="shared" si="10"/>
        <v>142.5</v>
      </c>
      <c r="N45" s="17">
        <f t="shared" si="8"/>
        <v>1710</v>
      </c>
    </row>
    <row r="46" ht="13.5" customHeight="1">
      <c r="A46" s="15" t="s">
        <v>51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17">
        <f t="shared" si="8"/>
        <v>0</v>
      </c>
    </row>
    <row r="47" ht="13.5" customHeight="1">
      <c r="A47" s="19" t="s">
        <v>52</v>
      </c>
      <c r="B47" s="87">
        <f t="shared" ref="B47:M47" si="11">850+30+750+2250</f>
        <v>3880</v>
      </c>
      <c r="C47" s="87">
        <f t="shared" si="11"/>
        <v>3880</v>
      </c>
      <c r="D47" s="87">
        <f t="shared" si="11"/>
        <v>3880</v>
      </c>
      <c r="E47" s="87">
        <f t="shared" si="11"/>
        <v>3880</v>
      </c>
      <c r="F47" s="87">
        <f t="shared" si="11"/>
        <v>3880</v>
      </c>
      <c r="G47" s="87">
        <f t="shared" si="11"/>
        <v>3880</v>
      </c>
      <c r="H47" s="87">
        <f t="shared" si="11"/>
        <v>3880</v>
      </c>
      <c r="I47" s="87">
        <f t="shared" si="11"/>
        <v>3880</v>
      </c>
      <c r="J47" s="87">
        <f t="shared" si="11"/>
        <v>3880</v>
      </c>
      <c r="K47" s="87">
        <f t="shared" si="11"/>
        <v>3880</v>
      </c>
      <c r="L47" s="87">
        <f t="shared" si="11"/>
        <v>3880</v>
      </c>
      <c r="M47" s="87">
        <f t="shared" si="11"/>
        <v>3880</v>
      </c>
      <c r="N47" s="17">
        <f t="shared" si="8"/>
        <v>46560</v>
      </c>
    </row>
    <row r="48" ht="13.5" customHeight="1">
      <c r="A48" s="19" t="s">
        <v>131</v>
      </c>
      <c r="B48" s="87">
        <f t="shared" ref="B48:M48" si="12">350.33+55.66+80</f>
        <v>485.99</v>
      </c>
      <c r="C48" s="87">
        <f t="shared" si="12"/>
        <v>485.99</v>
      </c>
      <c r="D48" s="87">
        <f t="shared" si="12"/>
        <v>485.99</v>
      </c>
      <c r="E48" s="87">
        <f t="shared" si="12"/>
        <v>485.99</v>
      </c>
      <c r="F48" s="87">
        <f t="shared" si="12"/>
        <v>485.99</v>
      </c>
      <c r="G48" s="87">
        <f t="shared" si="12"/>
        <v>485.99</v>
      </c>
      <c r="H48" s="87">
        <f t="shared" si="12"/>
        <v>485.99</v>
      </c>
      <c r="I48" s="87">
        <f t="shared" si="12"/>
        <v>485.99</v>
      </c>
      <c r="J48" s="87">
        <f t="shared" si="12"/>
        <v>485.99</v>
      </c>
      <c r="K48" s="87">
        <f t="shared" si="12"/>
        <v>485.99</v>
      </c>
      <c r="L48" s="87">
        <f t="shared" si="12"/>
        <v>485.99</v>
      </c>
      <c r="M48" s="87">
        <f t="shared" si="12"/>
        <v>485.99</v>
      </c>
      <c r="N48" s="17">
        <f t="shared" si="8"/>
        <v>5831.88</v>
      </c>
    </row>
    <row r="49" ht="13.5" customHeight="1">
      <c r="A49" s="35" t="s">
        <v>54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17">
        <f t="shared" si="8"/>
        <v>0</v>
      </c>
    </row>
    <row r="50" ht="13.5" customHeight="1">
      <c r="A50" s="19" t="s">
        <v>240</v>
      </c>
      <c r="B50" s="87">
        <v>1600.0</v>
      </c>
      <c r="C50" s="87">
        <v>1600.0</v>
      </c>
      <c r="D50" s="87">
        <v>1600.0</v>
      </c>
      <c r="E50" s="87">
        <v>1600.0</v>
      </c>
      <c r="F50" s="87">
        <v>1600.0</v>
      </c>
      <c r="G50" s="87">
        <v>1600.0</v>
      </c>
      <c r="H50" s="87">
        <v>1600.0</v>
      </c>
      <c r="I50" s="87">
        <v>1600.0</v>
      </c>
      <c r="J50" s="87">
        <v>1600.0</v>
      </c>
      <c r="K50" s="87">
        <v>1600.0</v>
      </c>
      <c r="L50" s="87">
        <v>1600.0</v>
      </c>
      <c r="M50" s="87">
        <v>1600.0</v>
      </c>
      <c r="N50" s="17">
        <f t="shared" si="8"/>
        <v>19200</v>
      </c>
    </row>
    <row r="51" ht="13.5" customHeight="1">
      <c r="A51" s="1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17">
        <f t="shared" si="8"/>
        <v>0</v>
      </c>
    </row>
    <row r="52" ht="13.5" customHeight="1">
      <c r="A52" s="91" t="s">
        <v>23</v>
      </c>
      <c r="B52" s="28">
        <f t="shared" ref="B52:N52" si="13">SUM(B34:B51)</f>
        <v>14736.39</v>
      </c>
      <c r="C52" s="28">
        <f t="shared" si="13"/>
        <v>14736.39</v>
      </c>
      <c r="D52" s="28">
        <f t="shared" si="13"/>
        <v>14736.39</v>
      </c>
      <c r="E52" s="28">
        <f t="shared" si="13"/>
        <v>14736.39</v>
      </c>
      <c r="F52" s="28">
        <f t="shared" si="13"/>
        <v>14736.39</v>
      </c>
      <c r="G52" s="28">
        <f t="shared" si="13"/>
        <v>14736.39</v>
      </c>
      <c r="H52" s="28">
        <f t="shared" si="13"/>
        <v>14736.39</v>
      </c>
      <c r="I52" s="28">
        <f t="shared" si="13"/>
        <v>14736.39</v>
      </c>
      <c r="J52" s="28">
        <f t="shared" si="13"/>
        <v>14736.39</v>
      </c>
      <c r="K52" s="28">
        <f t="shared" si="13"/>
        <v>14736.39</v>
      </c>
      <c r="L52" s="28">
        <f t="shared" si="13"/>
        <v>14736.39</v>
      </c>
      <c r="M52" s="28">
        <f t="shared" si="13"/>
        <v>14736.39</v>
      </c>
      <c r="N52" s="28">
        <f t="shared" si="13"/>
        <v>176836.68</v>
      </c>
    </row>
    <row r="53" ht="13.5" customHeight="1">
      <c r="A53" s="79" t="s">
        <v>56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</row>
    <row r="54" ht="13.5" customHeight="1">
      <c r="A54" s="32" t="s">
        <v>57</v>
      </c>
      <c r="B54" s="46"/>
      <c r="C54" s="87">
        <v>773.1</v>
      </c>
      <c r="D54" s="46"/>
      <c r="E54" s="46"/>
      <c r="F54" s="46"/>
      <c r="G54" s="87">
        <v>773.1</v>
      </c>
      <c r="H54" s="46"/>
      <c r="I54" s="87">
        <v>773.1</v>
      </c>
      <c r="J54" s="87">
        <v>875.0</v>
      </c>
      <c r="K54" s="87">
        <v>773.1</v>
      </c>
      <c r="L54" s="46"/>
      <c r="M54" s="46"/>
      <c r="N54" s="17">
        <f t="shared" ref="N54:N69" si="14">SUM(B54:M54)</f>
        <v>3967.4</v>
      </c>
    </row>
    <row r="55" ht="13.5" customHeight="1">
      <c r="A55" s="32" t="s">
        <v>58</v>
      </c>
      <c r="B55" s="87">
        <v>1550.0</v>
      </c>
      <c r="C55" s="87">
        <v>1050.0</v>
      </c>
      <c r="D55" s="87">
        <v>1050.0</v>
      </c>
      <c r="E55" s="87">
        <v>1050.0</v>
      </c>
      <c r="F55" s="87">
        <v>1050.0</v>
      </c>
      <c r="G55" s="87">
        <v>1050.0</v>
      </c>
      <c r="H55" s="87">
        <v>1050.0</v>
      </c>
      <c r="I55" s="87">
        <v>1050.0</v>
      </c>
      <c r="J55" s="87">
        <v>1050.0</v>
      </c>
      <c r="K55" s="87">
        <v>1050.0</v>
      </c>
      <c r="L55" s="87">
        <v>1050.0</v>
      </c>
      <c r="M55" s="87">
        <v>1050.0</v>
      </c>
      <c r="N55" s="17">
        <f t="shared" si="14"/>
        <v>13100</v>
      </c>
    </row>
    <row r="56" ht="13.5" customHeight="1">
      <c r="A56" s="31" t="s">
        <v>59</v>
      </c>
      <c r="B56" s="87">
        <f t="shared" ref="B56:M56" si="15">399+351+57</f>
        <v>807</v>
      </c>
      <c r="C56" s="87">
        <f t="shared" si="15"/>
        <v>807</v>
      </c>
      <c r="D56" s="87">
        <f t="shared" si="15"/>
        <v>807</v>
      </c>
      <c r="E56" s="87">
        <f t="shared" si="15"/>
        <v>807</v>
      </c>
      <c r="F56" s="87">
        <f t="shared" si="15"/>
        <v>807</v>
      </c>
      <c r="G56" s="87">
        <f t="shared" si="15"/>
        <v>807</v>
      </c>
      <c r="H56" s="87">
        <f t="shared" si="15"/>
        <v>807</v>
      </c>
      <c r="I56" s="87">
        <f t="shared" si="15"/>
        <v>807</v>
      </c>
      <c r="J56" s="87">
        <f t="shared" si="15"/>
        <v>807</v>
      </c>
      <c r="K56" s="87">
        <f t="shared" si="15"/>
        <v>807</v>
      </c>
      <c r="L56" s="87">
        <f t="shared" si="15"/>
        <v>807</v>
      </c>
      <c r="M56" s="87">
        <f t="shared" si="15"/>
        <v>807</v>
      </c>
      <c r="N56" s="17">
        <f t="shared" si="14"/>
        <v>9684</v>
      </c>
    </row>
    <row r="57" ht="13.5" customHeight="1">
      <c r="A57" s="31" t="s">
        <v>133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17">
        <f t="shared" si="14"/>
        <v>0</v>
      </c>
    </row>
    <row r="58" ht="13.5" customHeight="1">
      <c r="A58" s="31" t="s">
        <v>134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17">
        <f t="shared" si="14"/>
        <v>0</v>
      </c>
    </row>
    <row r="59" ht="13.5" customHeight="1">
      <c r="A59" s="31" t="s">
        <v>135</v>
      </c>
      <c r="B59" s="87">
        <v>850.0</v>
      </c>
      <c r="C59" s="87">
        <v>850.0</v>
      </c>
      <c r="D59" s="87">
        <v>850.0</v>
      </c>
      <c r="E59" s="87">
        <v>850.0</v>
      </c>
      <c r="F59" s="87">
        <v>850.0</v>
      </c>
      <c r="G59" s="87">
        <v>850.0</v>
      </c>
      <c r="H59" s="87">
        <v>850.0</v>
      </c>
      <c r="I59" s="87">
        <v>850.0</v>
      </c>
      <c r="J59" s="87">
        <v>850.0</v>
      </c>
      <c r="K59" s="87">
        <v>850.0</v>
      </c>
      <c r="L59" s="87">
        <v>850.0</v>
      </c>
      <c r="M59" s="87">
        <v>850.0</v>
      </c>
      <c r="N59" s="17">
        <f t="shared" si="14"/>
        <v>10200</v>
      </c>
    </row>
    <row r="60" ht="13.5" customHeight="1">
      <c r="A60" s="32" t="s">
        <v>136</v>
      </c>
      <c r="B60" s="87"/>
      <c r="C60" s="87"/>
      <c r="D60" s="87"/>
      <c r="E60" s="87"/>
      <c r="F60" s="87"/>
      <c r="G60" s="87"/>
      <c r="I60" s="87"/>
      <c r="J60" s="87"/>
      <c r="K60" s="87"/>
      <c r="L60" s="87"/>
      <c r="M60" s="87"/>
      <c r="N60" s="17">
        <f t="shared" si="14"/>
        <v>0</v>
      </c>
    </row>
    <row r="61" ht="13.5" customHeight="1">
      <c r="A61" s="32" t="s">
        <v>137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17">
        <f t="shared" si="14"/>
        <v>0</v>
      </c>
    </row>
    <row r="62" ht="13.5" customHeight="1">
      <c r="A62" s="32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14"/>
        <v>0</v>
      </c>
    </row>
    <row r="63" ht="13.5" customHeight="1">
      <c r="A63" s="31" t="s">
        <v>64</v>
      </c>
      <c r="B63" s="87">
        <v>4500.0</v>
      </c>
      <c r="C63" s="87">
        <v>4500.0</v>
      </c>
      <c r="D63" s="87">
        <v>4500.0</v>
      </c>
      <c r="E63" s="87">
        <v>4500.0</v>
      </c>
      <c r="F63" s="87">
        <v>4500.0</v>
      </c>
      <c r="G63" s="87">
        <v>4500.0</v>
      </c>
      <c r="H63" s="87">
        <v>4500.0</v>
      </c>
      <c r="I63" s="87">
        <v>4500.0</v>
      </c>
      <c r="J63" s="87">
        <v>4500.0</v>
      </c>
      <c r="K63" s="87">
        <v>4500.0</v>
      </c>
      <c r="L63" s="87">
        <v>4500.0</v>
      </c>
      <c r="M63" s="87">
        <v>4500.0</v>
      </c>
      <c r="N63" s="17">
        <f t="shared" si="14"/>
        <v>54000</v>
      </c>
    </row>
    <row r="64" ht="13.5" customHeight="1">
      <c r="A64" s="32" t="s">
        <v>65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17">
        <f t="shared" si="14"/>
        <v>0</v>
      </c>
    </row>
    <row r="65" ht="13.5" customHeight="1">
      <c r="A65" s="31" t="s">
        <v>66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17">
        <f t="shared" si="14"/>
        <v>0</v>
      </c>
    </row>
    <row r="66" ht="13.5" customHeight="1">
      <c r="A66" s="31" t="s">
        <v>67</v>
      </c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17">
        <f t="shared" si="14"/>
        <v>0</v>
      </c>
    </row>
    <row r="67" ht="13.5" customHeight="1">
      <c r="A67" s="25" t="s">
        <v>165</v>
      </c>
      <c r="B67" s="28"/>
      <c r="C67" s="28"/>
      <c r="D67" s="28"/>
      <c r="E67" s="28"/>
      <c r="F67" s="167"/>
      <c r="G67" s="167"/>
      <c r="H67" s="167"/>
      <c r="I67" s="28"/>
      <c r="J67" s="87"/>
      <c r="K67" s="28"/>
      <c r="L67" s="28"/>
      <c r="M67" s="28"/>
      <c r="N67" s="17">
        <f t="shared" si="14"/>
        <v>0</v>
      </c>
    </row>
    <row r="68" ht="13.5" customHeight="1">
      <c r="A68" s="25" t="s">
        <v>69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17">
        <f t="shared" si="14"/>
        <v>0</v>
      </c>
    </row>
    <row r="69" ht="13.5" customHeight="1">
      <c r="A69" s="39" t="s">
        <v>70</v>
      </c>
      <c r="B69" s="28"/>
      <c r="C69" s="28"/>
      <c r="D69" s="28"/>
      <c r="E69" s="87"/>
      <c r="F69" s="87"/>
      <c r="G69" s="87"/>
      <c r="H69" s="87"/>
      <c r="I69" s="87"/>
      <c r="J69" s="87"/>
      <c r="K69" s="87"/>
      <c r="L69" s="87"/>
      <c r="M69" s="87"/>
      <c r="N69" s="17">
        <f t="shared" si="14"/>
        <v>0</v>
      </c>
    </row>
    <row r="70" ht="13.5" customHeight="1">
      <c r="A70" s="91" t="s">
        <v>23</v>
      </c>
      <c r="B70" s="28">
        <f t="shared" ref="B70:M70" si="16">SUM(B54:B69)</f>
        <v>7707</v>
      </c>
      <c r="C70" s="28">
        <f t="shared" si="16"/>
        <v>7980.1</v>
      </c>
      <c r="D70" s="28">
        <f t="shared" si="16"/>
        <v>7207</v>
      </c>
      <c r="E70" s="28">
        <f t="shared" si="16"/>
        <v>7207</v>
      </c>
      <c r="F70" s="28">
        <f t="shared" si="16"/>
        <v>7207</v>
      </c>
      <c r="G70" s="28">
        <f t="shared" si="16"/>
        <v>7980.1</v>
      </c>
      <c r="H70" s="28">
        <f t="shared" si="16"/>
        <v>7207</v>
      </c>
      <c r="I70" s="28">
        <f t="shared" si="16"/>
        <v>7980.1</v>
      </c>
      <c r="J70" s="28">
        <f t="shared" si="16"/>
        <v>8082</v>
      </c>
      <c r="K70" s="28">
        <f t="shared" si="16"/>
        <v>7980.1</v>
      </c>
      <c r="L70" s="28">
        <f t="shared" si="16"/>
        <v>7207</v>
      </c>
      <c r="M70" s="28">
        <f t="shared" si="16"/>
        <v>7207</v>
      </c>
      <c r="N70" s="28">
        <f>SUM(N54:N66)</f>
        <v>90951.4</v>
      </c>
    </row>
    <row r="71" ht="13.5" customHeight="1">
      <c r="A71" s="79" t="s">
        <v>71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</row>
    <row r="72" ht="13.5" customHeight="1">
      <c r="A72" s="32" t="s">
        <v>138</v>
      </c>
      <c r="B72" s="87">
        <v>0.0</v>
      </c>
      <c r="C72" s="87">
        <v>0.0</v>
      </c>
      <c r="D72" s="87">
        <v>0.0</v>
      </c>
      <c r="E72" s="87">
        <v>0.0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0.0</v>
      </c>
      <c r="L72" s="87">
        <v>0.0</v>
      </c>
      <c r="M72" s="87">
        <v>0.0</v>
      </c>
      <c r="N72" s="17">
        <f t="shared" ref="N72:N83" si="17">SUM(B72:M72)</f>
        <v>0</v>
      </c>
    </row>
    <row r="73" ht="13.5" customHeight="1">
      <c r="A73" s="31" t="s">
        <v>73</v>
      </c>
      <c r="B73" s="87">
        <v>0.0</v>
      </c>
      <c r="C73" s="87">
        <v>0.0</v>
      </c>
      <c r="D73" s="87">
        <v>0.0</v>
      </c>
      <c r="E73" s="87">
        <v>0.0</v>
      </c>
      <c r="F73" s="87">
        <v>0.0</v>
      </c>
      <c r="G73" s="87">
        <v>0.0</v>
      </c>
      <c r="H73" s="87">
        <v>0.0</v>
      </c>
      <c r="I73" s="87">
        <v>0.0</v>
      </c>
      <c r="J73" s="87">
        <v>0.0</v>
      </c>
      <c r="K73" s="87">
        <v>0.0</v>
      </c>
      <c r="L73" s="87">
        <v>0.0</v>
      </c>
      <c r="M73" s="87">
        <v>0.0</v>
      </c>
      <c r="N73" s="17">
        <f t="shared" si="17"/>
        <v>0</v>
      </c>
    </row>
    <row r="74" ht="13.5" customHeight="1">
      <c r="A74" s="32" t="s">
        <v>139</v>
      </c>
      <c r="B74" s="87">
        <v>850.0</v>
      </c>
      <c r="C74" s="87">
        <v>850.0</v>
      </c>
      <c r="D74" s="87">
        <v>850.0</v>
      </c>
      <c r="E74" s="87">
        <v>850.0</v>
      </c>
      <c r="F74" s="87">
        <v>850.0</v>
      </c>
      <c r="G74" s="87">
        <v>850.0</v>
      </c>
      <c r="H74" s="87">
        <v>850.0</v>
      </c>
      <c r="I74" s="87">
        <v>850.0</v>
      </c>
      <c r="J74" s="87">
        <v>850.0</v>
      </c>
      <c r="K74" s="87">
        <v>850.0</v>
      </c>
      <c r="L74" s="87">
        <v>850.0</v>
      </c>
      <c r="M74" s="87">
        <v>850.0</v>
      </c>
      <c r="N74" s="17">
        <f t="shared" si="17"/>
        <v>10200</v>
      </c>
    </row>
    <row r="75" ht="13.5" customHeight="1">
      <c r="A75" s="31" t="s">
        <v>137</v>
      </c>
      <c r="B75" s="87"/>
      <c r="C75" s="87"/>
      <c r="D75" s="87"/>
      <c r="E75" s="46"/>
      <c r="F75" s="46"/>
      <c r="G75" s="46"/>
      <c r="H75" s="46"/>
      <c r="I75" s="46"/>
      <c r="J75" s="46"/>
      <c r="K75" s="46"/>
      <c r="L75" s="46"/>
      <c r="M75" s="46"/>
      <c r="N75" s="17">
        <f t="shared" si="17"/>
        <v>0</v>
      </c>
    </row>
    <row r="76" ht="13.5" customHeight="1">
      <c r="A76" s="31" t="s">
        <v>261</v>
      </c>
      <c r="B76" s="87">
        <v>799.0</v>
      </c>
      <c r="C76" s="87">
        <v>799.0</v>
      </c>
      <c r="D76" s="87">
        <v>799.0</v>
      </c>
      <c r="E76" s="87">
        <v>799.0</v>
      </c>
      <c r="F76" s="87">
        <v>799.0</v>
      </c>
      <c r="G76" s="87">
        <v>799.0</v>
      </c>
      <c r="H76" s="87">
        <v>799.0</v>
      </c>
      <c r="I76" s="87">
        <v>799.0</v>
      </c>
      <c r="J76" s="87">
        <v>799.0</v>
      </c>
      <c r="K76" s="87">
        <v>799.0</v>
      </c>
      <c r="L76" s="87">
        <v>799.0</v>
      </c>
      <c r="M76" s="87">
        <v>799.0</v>
      </c>
      <c r="N76" s="17">
        <f t="shared" si="17"/>
        <v>9588</v>
      </c>
    </row>
    <row r="77" ht="13.5" customHeight="1">
      <c r="A77" s="32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17">
        <f t="shared" si="17"/>
        <v>0</v>
      </c>
    </row>
    <row r="78" ht="13.5" customHeight="1">
      <c r="A78" s="31" t="s">
        <v>140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17">
        <f t="shared" si="17"/>
        <v>0</v>
      </c>
    </row>
    <row r="79" ht="13.5" customHeight="1">
      <c r="A79" s="27" t="s">
        <v>141</v>
      </c>
      <c r="B79" s="87">
        <v>4105.0</v>
      </c>
      <c r="C79" s="87">
        <v>4105.0</v>
      </c>
      <c r="D79" s="87">
        <v>4105.0</v>
      </c>
      <c r="E79" s="87">
        <v>4105.0</v>
      </c>
      <c r="F79" s="87">
        <v>4105.0</v>
      </c>
      <c r="G79" s="87">
        <v>4105.0</v>
      </c>
      <c r="H79" s="87">
        <v>4105.0</v>
      </c>
      <c r="I79" s="87">
        <v>4105.0</v>
      </c>
      <c r="J79" s="87">
        <v>4105.0</v>
      </c>
      <c r="K79" s="87">
        <v>4105.0</v>
      </c>
      <c r="L79" s="87">
        <v>4105.0</v>
      </c>
      <c r="M79" s="87">
        <v>4105.0</v>
      </c>
      <c r="N79" s="17">
        <f t="shared" si="17"/>
        <v>49260</v>
      </c>
    </row>
    <row r="80" ht="13.5" customHeight="1">
      <c r="A80" s="42" t="s">
        <v>79</v>
      </c>
      <c r="B80" s="87">
        <v>1650.0</v>
      </c>
      <c r="C80" s="87">
        <v>1650.0</v>
      </c>
      <c r="D80" s="87">
        <v>1650.0</v>
      </c>
      <c r="E80" s="87">
        <v>1650.0</v>
      </c>
      <c r="F80" s="87">
        <v>1650.0</v>
      </c>
      <c r="G80" s="87">
        <v>1567.5</v>
      </c>
      <c r="H80" s="87">
        <v>1567.5</v>
      </c>
      <c r="I80" s="87">
        <v>1650.0</v>
      </c>
      <c r="J80" s="87">
        <v>1650.0</v>
      </c>
      <c r="K80" s="87">
        <v>1650.0</v>
      </c>
      <c r="L80" s="87">
        <v>1650.0</v>
      </c>
      <c r="M80" s="87">
        <v>1650.0</v>
      </c>
      <c r="N80" s="17">
        <f t="shared" si="17"/>
        <v>19635</v>
      </c>
    </row>
    <row r="81" ht="13.5" customHeight="1">
      <c r="A81" s="43" t="s">
        <v>80</v>
      </c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17">
        <f t="shared" si="17"/>
        <v>0</v>
      </c>
    </row>
    <row r="82" ht="13.5" customHeight="1">
      <c r="A82" s="304" t="s">
        <v>23</v>
      </c>
      <c r="B82" s="305">
        <f t="shared" ref="B82:M82" si="18">SUM(B72:B81)</f>
        <v>7404</v>
      </c>
      <c r="C82" s="305">
        <f t="shared" si="18"/>
        <v>7404</v>
      </c>
      <c r="D82" s="305">
        <f t="shared" si="18"/>
        <v>7404</v>
      </c>
      <c r="E82" s="305">
        <f t="shared" si="18"/>
        <v>7404</v>
      </c>
      <c r="F82" s="305">
        <f t="shared" si="18"/>
        <v>7404</v>
      </c>
      <c r="G82" s="305">
        <f t="shared" si="18"/>
        <v>7321.5</v>
      </c>
      <c r="H82" s="305">
        <f t="shared" si="18"/>
        <v>7321.5</v>
      </c>
      <c r="I82" s="305">
        <f t="shared" si="18"/>
        <v>7404</v>
      </c>
      <c r="J82" s="305">
        <f t="shared" si="18"/>
        <v>7404</v>
      </c>
      <c r="K82" s="305">
        <f t="shared" si="18"/>
        <v>7404</v>
      </c>
      <c r="L82" s="305">
        <f t="shared" si="18"/>
        <v>7404</v>
      </c>
      <c r="M82" s="305">
        <f t="shared" si="18"/>
        <v>7404</v>
      </c>
      <c r="N82" s="306">
        <f t="shared" si="17"/>
        <v>88683</v>
      </c>
    </row>
    <row r="83" ht="13.5" customHeight="1">
      <c r="A83" s="99" t="s">
        <v>81</v>
      </c>
      <c r="B83" s="28">
        <f t="shared" ref="B83:M83" si="19">B52+B70+B82</f>
        <v>29847.39</v>
      </c>
      <c r="C83" s="28">
        <f t="shared" si="19"/>
        <v>30120.49</v>
      </c>
      <c r="D83" s="28">
        <f t="shared" si="19"/>
        <v>29347.39</v>
      </c>
      <c r="E83" s="28">
        <f t="shared" si="19"/>
        <v>29347.39</v>
      </c>
      <c r="F83" s="28">
        <f t="shared" si="19"/>
        <v>29347.39</v>
      </c>
      <c r="G83" s="28">
        <f t="shared" si="19"/>
        <v>30037.99</v>
      </c>
      <c r="H83" s="28">
        <f t="shared" si="19"/>
        <v>29264.89</v>
      </c>
      <c r="I83" s="28">
        <f t="shared" si="19"/>
        <v>30120.49</v>
      </c>
      <c r="J83" s="28">
        <f t="shared" si="19"/>
        <v>30222.39</v>
      </c>
      <c r="K83" s="28">
        <f t="shared" si="19"/>
        <v>30120.49</v>
      </c>
      <c r="L83" s="28">
        <f t="shared" si="19"/>
        <v>29347.39</v>
      </c>
      <c r="M83" s="28">
        <f t="shared" si="19"/>
        <v>29347.39</v>
      </c>
      <c r="N83" s="44">
        <f t="shared" si="17"/>
        <v>356471.08</v>
      </c>
    </row>
    <row r="84" ht="13.5" customHeight="1">
      <c r="A84" s="99" t="s">
        <v>82</v>
      </c>
      <c r="B84" s="46">
        <f t="shared" ref="B84:N84" si="20">B83/B112</f>
        <v>505.8879661</v>
      </c>
      <c r="C84" s="46">
        <f t="shared" si="20"/>
        <v>449.5595522</v>
      </c>
      <c r="D84" s="46">
        <f t="shared" si="20"/>
        <v>407.6026389</v>
      </c>
      <c r="E84" s="46">
        <f t="shared" si="20"/>
        <v>381.1349351</v>
      </c>
      <c r="F84" s="46">
        <f t="shared" si="20"/>
        <v>357.895</v>
      </c>
      <c r="G84" s="46">
        <f t="shared" si="20"/>
        <v>361.903494</v>
      </c>
      <c r="H84" s="46">
        <f t="shared" si="20"/>
        <v>328.8189888</v>
      </c>
      <c r="I84" s="46">
        <f t="shared" si="20"/>
        <v>350.2382558</v>
      </c>
      <c r="J84" s="46">
        <f t="shared" si="20"/>
        <v>373.1159259</v>
      </c>
      <c r="K84" s="46">
        <f t="shared" si="20"/>
        <v>358.5772619</v>
      </c>
      <c r="L84" s="46">
        <f t="shared" si="20"/>
        <v>337.3263218</v>
      </c>
      <c r="M84" s="46">
        <f t="shared" si="20"/>
        <v>315.5633333</v>
      </c>
      <c r="N84" s="15">
        <f t="shared" si="20"/>
        <v>371.3240417</v>
      </c>
    </row>
    <row r="85" ht="13.5" customHeight="1">
      <c r="A85" s="79" t="s">
        <v>83</v>
      </c>
      <c r="B85" s="83"/>
      <c r="C85" s="83"/>
      <c r="D85" s="83"/>
      <c r="E85" s="294" t="s">
        <v>258</v>
      </c>
      <c r="F85" s="83"/>
      <c r="G85" s="83"/>
      <c r="H85" s="83"/>
      <c r="I85" s="83"/>
      <c r="J85" s="83"/>
      <c r="K85" s="83"/>
      <c r="L85" s="83"/>
      <c r="M85" s="83"/>
      <c r="N85" s="83"/>
    </row>
    <row r="86" ht="13.5" customHeight="1">
      <c r="A86" s="15" t="s">
        <v>84</v>
      </c>
      <c r="B86" s="87">
        <v>820.0</v>
      </c>
      <c r="C86" s="87">
        <v>820.0</v>
      </c>
      <c r="D86" s="87">
        <v>820.0</v>
      </c>
      <c r="E86" s="87">
        <v>820.0</v>
      </c>
      <c r="F86" s="87">
        <v>820.0</v>
      </c>
      <c r="G86" s="87">
        <v>820.0</v>
      </c>
      <c r="H86" s="87">
        <v>820.0</v>
      </c>
      <c r="I86" s="87">
        <v>820.0</v>
      </c>
      <c r="J86" s="87">
        <v>820.0</v>
      </c>
      <c r="K86" s="87">
        <v>820.0</v>
      </c>
      <c r="L86" s="87">
        <v>820.0</v>
      </c>
      <c r="M86" s="87">
        <v>820.0</v>
      </c>
      <c r="N86" s="17">
        <f t="shared" ref="N86:N89" si="21">SUM(B86:M86)</f>
        <v>9840</v>
      </c>
    </row>
    <row r="87" ht="13.5" customHeight="1">
      <c r="A87" s="15" t="s">
        <v>142</v>
      </c>
      <c r="B87" s="46"/>
      <c r="C87" s="46"/>
      <c r="D87" s="46"/>
      <c r="E87" s="46"/>
      <c r="F87" s="87"/>
      <c r="G87" s="87"/>
      <c r="H87" s="46"/>
      <c r="I87" s="46"/>
      <c r="J87" s="46"/>
      <c r="K87" s="46"/>
      <c r="L87" s="46"/>
      <c r="M87" s="46"/>
      <c r="N87" s="17">
        <f t="shared" si="21"/>
        <v>0</v>
      </c>
    </row>
    <row r="88" ht="13.5" customHeight="1">
      <c r="A88" s="39" t="s">
        <v>86</v>
      </c>
      <c r="B88" s="28"/>
      <c r="C88" s="28"/>
      <c r="D88" s="28"/>
      <c r="E88" s="28"/>
      <c r="F88" s="87"/>
      <c r="G88" s="28"/>
      <c r="H88" s="28"/>
      <c r="I88" s="28"/>
      <c r="J88" s="28"/>
      <c r="K88" s="28"/>
      <c r="L88" s="28"/>
      <c r="M88" s="28"/>
      <c r="N88" s="17">
        <f t="shared" si="21"/>
        <v>0</v>
      </c>
    </row>
    <row r="89" ht="13.5" customHeight="1">
      <c r="A89" s="9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17">
        <f t="shared" si="21"/>
        <v>0</v>
      </c>
    </row>
    <row r="90" ht="13.5" customHeight="1">
      <c r="A90" s="91" t="s">
        <v>23</v>
      </c>
      <c r="B90" s="28">
        <f t="shared" ref="B90:N90" si="22">SUM(B86:B89)</f>
        <v>820</v>
      </c>
      <c r="C90" s="28">
        <f t="shared" si="22"/>
        <v>820</v>
      </c>
      <c r="D90" s="28">
        <f t="shared" si="22"/>
        <v>820</v>
      </c>
      <c r="E90" s="28">
        <f t="shared" si="22"/>
        <v>820</v>
      </c>
      <c r="F90" s="28">
        <f t="shared" si="22"/>
        <v>820</v>
      </c>
      <c r="G90" s="28">
        <f t="shared" si="22"/>
        <v>820</v>
      </c>
      <c r="H90" s="28">
        <f t="shared" si="22"/>
        <v>820</v>
      </c>
      <c r="I90" s="28">
        <f t="shared" si="22"/>
        <v>820</v>
      </c>
      <c r="J90" s="28">
        <f t="shared" si="22"/>
        <v>820</v>
      </c>
      <c r="K90" s="28">
        <f t="shared" si="22"/>
        <v>820</v>
      </c>
      <c r="L90" s="28">
        <f t="shared" si="22"/>
        <v>820</v>
      </c>
      <c r="M90" s="28">
        <f t="shared" si="22"/>
        <v>820</v>
      </c>
      <c r="N90" s="28">
        <f t="shared" si="22"/>
        <v>9840</v>
      </c>
    </row>
    <row r="91" ht="13.5" customHeight="1">
      <c r="A91" s="89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</row>
    <row r="92" ht="13.5" customHeight="1">
      <c r="A92" s="31" t="s">
        <v>89</v>
      </c>
      <c r="B92" s="101">
        <f>PRODUCTION!T18</f>
        <v>750</v>
      </c>
      <c r="C92" s="102">
        <f>PRODUCTION!T19</f>
        <v>750</v>
      </c>
      <c r="D92" s="102">
        <f>PRODUCTION!T20</f>
        <v>750</v>
      </c>
      <c r="E92" s="102">
        <f>PRODUCTION!T21</f>
        <v>750</v>
      </c>
      <c r="F92" s="102">
        <f>PRODUCTION!T22</f>
        <v>750</v>
      </c>
      <c r="G92" s="102">
        <f>PRODUCTION!T23</f>
        <v>750</v>
      </c>
      <c r="H92" s="102">
        <f>PRODUCTION!T24</f>
        <v>750</v>
      </c>
      <c r="I92" s="102">
        <f>PRODUCTION!T25</f>
        <v>750</v>
      </c>
      <c r="J92" s="102">
        <f>PRODUCTION!T26</f>
        <v>750</v>
      </c>
      <c r="K92" s="102">
        <f>PRODUCTION!T27</f>
        <v>750</v>
      </c>
      <c r="L92" s="102">
        <f>PRODUCTION!T28</f>
        <v>750</v>
      </c>
      <c r="M92" s="102">
        <f>PRODUCTION!T29</f>
        <v>750</v>
      </c>
      <c r="N92" s="17">
        <f t="shared" ref="N92:N105" si="23">SUM(B92:M92)</f>
        <v>9000</v>
      </c>
    </row>
    <row r="93" ht="13.5" customHeight="1">
      <c r="A93" s="31" t="s">
        <v>90</v>
      </c>
      <c r="B93" s="46"/>
      <c r="C93" s="87"/>
      <c r="D93" s="87"/>
      <c r="E93" s="87"/>
      <c r="F93" s="87"/>
      <c r="G93" s="46"/>
      <c r="H93" s="46"/>
      <c r="I93" s="46"/>
      <c r="J93" s="46"/>
      <c r="K93" s="87"/>
      <c r="L93" s="46"/>
      <c r="M93" s="87"/>
      <c r="N93" s="17">
        <f t="shared" si="23"/>
        <v>0</v>
      </c>
    </row>
    <row r="94" ht="13.5" customHeight="1">
      <c r="A94" s="31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17">
        <f t="shared" si="23"/>
        <v>2360</v>
      </c>
    </row>
    <row r="95" ht="13.5" customHeight="1">
      <c r="A95" s="31" t="s">
        <v>92</v>
      </c>
      <c r="B95" s="146">
        <v>500.0</v>
      </c>
      <c r="C95" s="105">
        <v>500.0</v>
      </c>
      <c r="D95" s="105">
        <v>0.0</v>
      </c>
      <c r="E95" s="105">
        <v>0.0</v>
      </c>
      <c r="F95" s="104">
        <v>135.0</v>
      </c>
      <c r="G95" s="104">
        <f>350+167</f>
        <v>517</v>
      </c>
      <c r="H95" s="104">
        <v>0.0</v>
      </c>
      <c r="I95" s="218">
        <f>220.48+3.233</f>
        <v>223.713</v>
      </c>
      <c r="J95" s="105">
        <v>500.0</v>
      </c>
      <c r="K95" s="87">
        <v>367.23</v>
      </c>
      <c r="L95" s="105">
        <v>500.0</v>
      </c>
      <c r="M95" s="105">
        <v>500.0</v>
      </c>
      <c r="N95" s="17">
        <f t="shared" si="23"/>
        <v>3742.943</v>
      </c>
    </row>
    <row r="96" ht="13.5" customHeight="1">
      <c r="A96" s="32" t="s">
        <v>143</v>
      </c>
      <c r="B96" s="46"/>
      <c r="C96" s="46"/>
      <c r="D96" s="46"/>
      <c r="E96" s="87"/>
      <c r="F96" s="87"/>
      <c r="G96" s="87"/>
      <c r="H96" s="87"/>
      <c r="I96" s="87"/>
      <c r="J96" s="87"/>
      <c r="K96" s="87"/>
      <c r="L96" s="87"/>
      <c r="M96" s="87"/>
      <c r="N96" s="17">
        <f t="shared" si="23"/>
        <v>0</v>
      </c>
    </row>
    <row r="97" ht="13.5" customHeight="1">
      <c r="A97" s="32" t="s">
        <v>94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17">
        <f t="shared" si="23"/>
        <v>0</v>
      </c>
    </row>
    <row r="98" ht="13.5" customHeight="1">
      <c r="A98" s="32" t="s">
        <v>95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17">
        <f t="shared" si="23"/>
        <v>0</v>
      </c>
    </row>
    <row r="99" ht="13.5" customHeight="1">
      <c r="A99" s="31" t="s">
        <v>96</v>
      </c>
      <c r="B99" s="46"/>
      <c r="C99" s="46"/>
      <c r="D99" s="46"/>
      <c r="E99" s="46"/>
      <c r="F99" s="87"/>
      <c r="G99" s="46"/>
      <c r="H99" s="87"/>
      <c r="I99" s="46"/>
      <c r="J99" s="46"/>
      <c r="K99" s="87"/>
      <c r="L99" s="87"/>
      <c r="M99" s="87"/>
      <c r="N99" s="17">
        <f t="shared" si="23"/>
        <v>0</v>
      </c>
    </row>
    <row r="100" ht="13.5" customHeight="1">
      <c r="A100" s="31" t="s">
        <v>97</v>
      </c>
      <c r="B100" s="46"/>
      <c r="C100" s="46"/>
      <c r="D100" s="46"/>
      <c r="E100" s="46"/>
      <c r="G100" s="87"/>
      <c r="H100" s="46"/>
      <c r="I100" s="46"/>
      <c r="J100" s="46"/>
      <c r="K100" s="46"/>
      <c r="L100" s="46"/>
      <c r="M100" s="46"/>
      <c r="N100" s="17">
        <f t="shared" si="23"/>
        <v>0</v>
      </c>
    </row>
    <row r="101" ht="13.5" customHeight="1">
      <c r="A101" s="32" t="s">
        <v>98</v>
      </c>
      <c r="B101" s="87">
        <v>0.0</v>
      </c>
      <c r="C101" s="87">
        <v>0.0</v>
      </c>
      <c r="D101" s="87">
        <v>0.0</v>
      </c>
      <c r="E101" s="87">
        <v>0.0</v>
      </c>
      <c r="F101" s="87">
        <v>0.0</v>
      </c>
      <c r="G101" s="87">
        <v>0.0</v>
      </c>
      <c r="H101" s="87">
        <v>0.0</v>
      </c>
      <c r="I101" s="87">
        <v>0.0</v>
      </c>
      <c r="J101" s="87">
        <v>0.0</v>
      </c>
      <c r="K101" s="87">
        <v>0.0</v>
      </c>
      <c r="L101" s="87">
        <v>0.0</v>
      </c>
      <c r="M101" s="87">
        <v>0.0</v>
      </c>
      <c r="N101" s="17">
        <f t="shared" si="23"/>
        <v>0</v>
      </c>
    </row>
    <row r="102" ht="13.5" customHeight="1">
      <c r="A102" s="31" t="s">
        <v>99</v>
      </c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17">
        <f t="shared" si="23"/>
        <v>0</v>
      </c>
    </row>
    <row r="103" ht="13.5" customHeight="1">
      <c r="A103" s="32" t="s">
        <v>100</v>
      </c>
      <c r="B103" s="87">
        <v>200.0</v>
      </c>
      <c r="C103" s="87">
        <v>435.0</v>
      </c>
      <c r="D103" s="87">
        <f>200+113.64</f>
        <v>313.64</v>
      </c>
      <c r="E103" s="87">
        <v>200.0</v>
      </c>
      <c r="F103" s="87">
        <v>200.0</v>
      </c>
      <c r="G103" s="87">
        <v>605.0</v>
      </c>
      <c r="H103" s="87">
        <v>605.0</v>
      </c>
      <c r="I103" s="87">
        <v>200.0</v>
      </c>
      <c r="J103" s="87">
        <f>435+200</f>
        <v>635</v>
      </c>
      <c r="K103" s="87">
        <v>200.0</v>
      </c>
      <c r="L103" s="87">
        <v>200.0</v>
      </c>
      <c r="M103" s="87">
        <v>200.0</v>
      </c>
      <c r="N103" s="17">
        <f t="shared" si="23"/>
        <v>3993.64</v>
      </c>
    </row>
    <row r="104" ht="13.5" customHeight="1">
      <c r="A104" s="27" t="s">
        <v>101</v>
      </c>
      <c r="B104" s="87">
        <v>400.0</v>
      </c>
      <c r="C104" s="87">
        <v>475.0</v>
      </c>
      <c r="D104" s="87">
        <v>475.0</v>
      </c>
      <c r="E104" s="87">
        <v>475.0</v>
      </c>
      <c r="F104" s="87">
        <v>475.0</v>
      </c>
      <c r="G104" s="87">
        <v>475.0</v>
      </c>
      <c r="H104" s="87">
        <v>475.0</v>
      </c>
      <c r="I104" s="87">
        <v>475.0</v>
      </c>
      <c r="J104" s="87">
        <v>475.0</v>
      </c>
      <c r="K104" s="87">
        <v>475.0</v>
      </c>
      <c r="L104" s="87">
        <v>475.0</v>
      </c>
      <c r="M104" s="87">
        <v>475.0</v>
      </c>
      <c r="N104" s="17">
        <f t="shared" si="23"/>
        <v>5625</v>
      </c>
    </row>
    <row r="105" ht="13.5" customHeight="1">
      <c r="A105" s="27"/>
      <c r="B105" s="28"/>
      <c r="C105" s="28"/>
      <c r="D105" s="28"/>
      <c r="E105" s="28"/>
      <c r="F105" s="87"/>
      <c r="G105" s="28"/>
      <c r="H105" s="28"/>
      <c r="I105" s="28"/>
      <c r="J105" s="28"/>
      <c r="K105" s="28"/>
      <c r="L105" s="28"/>
      <c r="M105" s="28"/>
      <c r="N105" s="17">
        <f t="shared" si="23"/>
        <v>0</v>
      </c>
    </row>
    <row r="106" ht="13.5" customHeight="1">
      <c r="A106" s="91"/>
      <c r="B106" s="28"/>
      <c r="C106" s="28"/>
      <c r="D106" s="28"/>
      <c r="E106" s="28"/>
      <c r="F106" s="147"/>
      <c r="G106" s="28"/>
      <c r="H106" s="28"/>
      <c r="I106" s="28"/>
      <c r="J106" s="28"/>
      <c r="K106" s="28"/>
      <c r="L106" s="28"/>
      <c r="M106" s="28"/>
      <c r="N106" s="28"/>
    </row>
    <row r="107" ht="13.5" customHeight="1">
      <c r="A107" s="91" t="s">
        <v>23</v>
      </c>
      <c r="B107" s="28">
        <f t="shared" ref="B107:E107" si="24">SUM(B92:B105)</f>
        <v>2030</v>
      </c>
      <c r="C107" s="28">
        <f t="shared" si="24"/>
        <v>2340</v>
      </c>
      <c r="D107" s="28">
        <f t="shared" si="24"/>
        <v>1718.64</v>
      </c>
      <c r="E107" s="28">
        <f t="shared" si="24"/>
        <v>1605</v>
      </c>
      <c r="F107" s="28">
        <f>SUM(F92:F106)</f>
        <v>1740</v>
      </c>
      <c r="G107" s="28">
        <f t="shared" ref="G107:N107" si="25">SUM(G92:G105)</f>
        <v>2527</v>
      </c>
      <c r="H107" s="28">
        <f t="shared" si="25"/>
        <v>2010</v>
      </c>
      <c r="I107" s="28">
        <f t="shared" si="25"/>
        <v>1828.713</v>
      </c>
      <c r="J107" s="28">
        <f t="shared" si="25"/>
        <v>2540</v>
      </c>
      <c r="K107" s="28">
        <f t="shared" si="25"/>
        <v>2172.23</v>
      </c>
      <c r="L107" s="28">
        <f t="shared" si="25"/>
        <v>2105</v>
      </c>
      <c r="M107" s="28">
        <f t="shared" si="25"/>
        <v>2105</v>
      </c>
      <c r="N107" s="28">
        <f t="shared" si="25"/>
        <v>24721.583</v>
      </c>
    </row>
    <row r="108" ht="13.5" customHeight="1">
      <c r="A108" s="91" t="s">
        <v>104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44">
        <f>SUM(B108:M108)</f>
        <v>0</v>
      </c>
    </row>
    <row r="109" ht="13.5" customHeight="1">
      <c r="A109" s="112" t="s">
        <v>105</v>
      </c>
      <c r="B109" s="50">
        <f t="shared" ref="B109:N109" si="26">B107+B90+B83+B32+B21+B13</f>
        <v>32697.39</v>
      </c>
      <c r="C109" s="50">
        <f t="shared" si="26"/>
        <v>33280.49</v>
      </c>
      <c r="D109" s="50">
        <f t="shared" si="26"/>
        <v>33886.03</v>
      </c>
      <c r="E109" s="50">
        <f t="shared" si="26"/>
        <v>31772.39</v>
      </c>
      <c r="F109" s="50">
        <f t="shared" si="26"/>
        <v>33907.39</v>
      </c>
      <c r="G109" s="50">
        <f t="shared" si="26"/>
        <v>33384.99</v>
      </c>
      <c r="H109" s="50">
        <f t="shared" si="26"/>
        <v>32094.89</v>
      </c>
      <c r="I109" s="50">
        <f t="shared" si="26"/>
        <v>34769.203</v>
      </c>
      <c r="J109" s="50">
        <f t="shared" si="26"/>
        <v>33582.39</v>
      </c>
      <c r="K109" s="50">
        <f t="shared" si="26"/>
        <v>33112.72</v>
      </c>
      <c r="L109" s="50">
        <f t="shared" si="26"/>
        <v>32272.39</v>
      </c>
      <c r="M109" s="50">
        <f t="shared" si="26"/>
        <v>32272.39</v>
      </c>
      <c r="N109" s="50">
        <f t="shared" si="26"/>
        <v>397032.663</v>
      </c>
    </row>
    <row r="110" ht="13.5" customHeight="1">
      <c r="A110" s="35" t="s">
        <v>106</v>
      </c>
      <c r="B110" s="148">
        <v>14.0</v>
      </c>
      <c r="C110" s="116">
        <v>17.0</v>
      </c>
      <c r="D110" s="117">
        <v>20.0</v>
      </c>
      <c r="E110" s="116">
        <v>22.0</v>
      </c>
      <c r="F110" s="116">
        <v>24.0</v>
      </c>
      <c r="G110" s="116">
        <v>23.0</v>
      </c>
      <c r="H110" s="116">
        <v>26.0</v>
      </c>
      <c r="I110" s="116">
        <v>26.0</v>
      </c>
      <c r="J110" s="116">
        <v>24.0</v>
      </c>
      <c r="K110" s="116">
        <v>24.0</v>
      </c>
      <c r="L110" s="116">
        <v>27.0</v>
      </c>
      <c r="M110" s="116">
        <v>28.0</v>
      </c>
      <c r="N110" s="149">
        <f t="shared" ref="N110:N111" si="27">SUM(B110:M110)</f>
        <v>275</v>
      </c>
    </row>
    <row r="111" ht="13.5" customHeight="1">
      <c r="A111" s="35" t="s">
        <v>107</v>
      </c>
      <c r="B111" s="120">
        <v>45.0</v>
      </c>
      <c r="C111" s="120">
        <v>50.0</v>
      </c>
      <c r="D111" s="120">
        <v>52.0</v>
      </c>
      <c r="E111" s="120">
        <v>55.0</v>
      </c>
      <c r="F111" s="120">
        <v>58.0</v>
      </c>
      <c r="G111" s="120">
        <v>60.0</v>
      </c>
      <c r="H111" s="120">
        <v>63.0</v>
      </c>
      <c r="I111" s="120">
        <v>60.0</v>
      </c>
      <c r="J111" s="120">
        <v>57.0</v>
      </c>
      <c r="K111" s="120">
        <v>60.0</v>
      </c>
      <c r="L111" s="150">
        <v>60.0</v>
      </c>
      <c r="M111" s="150">
        <v>65.0</v>
      </c>
      <c r="N111" s="149">
        <f t="shared" si="27"/>
        <v>685</v>
      </c>
    </row>
    <row r="112" ht="13.5" customHeight="1">
      <c r="A112" s="91" t="s">
        <v>23</v>
      </c>
      <c r="B112" s="122">
        <f t="shared" ref="B112:N112" si="28">SUM(B110:B111)</f>
        <v>59</v>
      </c>
      <c r="C112" s="122">
        <f t="shared" si="28"/>
        <v>67</v>
      </c>
      <c r="D112" s="122">
        <f t="shared" si="28"/>
        <v>72</v>
      </c>
      <c r="E112" s="122">
        <f t="shared" si="28"/>
        <v>77</v>
      </c>
      <c r="F112" s="122">
        <f t="shared" si="28"/>
        <v>82</v>
      </c>
      <c r="G112" s="122">
        <f t="shared" si="28"/>
        <v>83</v>
      </c>
      <c r="H112" s="122">
        <f t="shared" si="28"/>
        <v>89</v>
      </c>
      <c r="I112" s="122">
        <f t="shared" si="28"/>
        <v>86</v>
      </c>
      <c r="J112" s="122">
        <f t="shared" si="28"/>
        <v>81</v>
      </c>
      <c r="K112" s="122">
        <f t="shared" si="28"/>
        <v>84</v>
      </c>
      <c r="L112" s="122">
        <f t="shared" si="28"/>
        <v>87</v>
      </c>
      <c r="M112" s="122">
        <f t="shared" si="28"/>
        <v>93</v>
      </c>
      <c r="N112" s="122">
        <f t="shared" si="28"/>
        <v>960</v>
      </c>
    </row>
    <row r="113" ht="13.5" customHeight="1">
      <c r="A113" s="126" t="s">
        <v>108</v>
      </c>
      <c r="B113" s="58">
        <f t="shared" ref="B113:N113" si="29">B109/B112</f>
        <v>554.1930508</v>
      </c>
      <c r="C113" s="58">
        <f t="shared" si="29"/>
        <v>496.7237313</v>
      </c>
      <c r="D113" s="58">
        <f t="shared" si="29"/>
        <v>470.6393056</v>
      </c>
      <c r="E113" s="58">
        <f t="shared" si="29"/>
        <v>412.6284416</v>
      </c>
      <c r="F113" s="58">
        <f t="shared" si="29"/>
        <v>413.5047561</v>
      </c>
      <c r="G113" s="58">
        <f t="shared" si="29"/>
        <v>402.2287952</v>
      </c>
      <c r="H113" s="58">
        <f t="shared" si="29"/>
        <v>360.6167416</v>
      </c>
      <c r="I113" s="58">
        <f t="shared" si="29"/>
        <v>404.2930581</v>
      </c>
      <c r="J113" s="58">
        <f t="shared" si="29"/>
        <v>414.5974074</v>
      </c>
      <c r="K113" s="58">
        <f t="shared" si="29"/>
        <v>394.1990476</v>
      </c>
      <c r="L113" s="58">
        <f t="shared" si="29"/>
        <v>370.9470115</v>
      </c>
      <c r="M113" s="58">
        <f t="shared" si="29"/>
        <v>347.0149462</v>
      </c>
      <c r="N113" s="57">
        <f t="shared" si="29"/>
        <v>413.5756906</v>
      </c>
    </row>
    <row r="114" ht="13.5" customHeight="1">
      <c r="A114" s="79" t="s">
        <v>109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</row>
    <row r="115" ht="13.5" customHeight="1">
      <c r="A115" s="59" t="s">
        <v>110</v>
      </c>
      <c r="B115" s="87">
        <v>1095.0</v>
      </c>
      <c r="C115" s="87">
        <v>1095.0</v>
      </c>
      <c r="D115" s="87">
        <v>1095.0</v>
      </c>
      <c r="E115" s="87">
        <v>1095.0</v>
      </c>
      <c r="F115" s="87">
        <v>1095.0</v>
      </c>
      <c r="G115" s="87">
        <v>1095.0</v>
      </c>
      <c r="H115" s="87">
        <v>1095.0</v>
      </c>
      <c r="I115" s="87">
        <v>1095.0</v>
      </c>
      <c r="J115" s="87">
        <v>1095.0</v>
      </c>
      <c r="K115" s="87">
        <v>1095.0</v>
      </c>
      <c r="L115" s="87">
        <v>1095.0</v>
      </c>
      <c r="M115" s="87">
        <v>1095.0</v>
      </c>
      <c r="N115" s="17">
        <f t="shared" ref="N115:N120" si="30">SUM(B115:M115)</f>
        <v>13140</v>
      </c>
    </row>
    <row r="116" ht="13.5" customHeight="1">
      <c r="A116" s="60" t="s">
        <v>111</v>
      </c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17">
        <f t="shared" si="30"/>
        <v>0</v>
      </c>
    </row>
    <row r="117" ht="13.5" customHeight="1">
      <c r="A117" s="59" t="s">
        <v>112</v>
      </c>
      <c r="B117" s="87">
        <v>2500.0</v>
      </c>
      <c r="C117" s="87">
        <v>2500.0</v>
      </c>
      <c r="D117" s="87">
        <v>2500.0</v>
      </c>
      <c r="E117" s="87">
        <v>2500.0</v>
      </c>
      <c r="F117" s="87">
        <v>2500.0</v>
      </c>
      <c r="G117" s="87">
        <v>2500.0</v>
      </c>
      <c r="H117" s="87">
        <v>2500.0</v>
      </c>
      <c r="I117" s="87">
        <v>2500.0</v>
      </c>
      <c r="J117" s="87">
        <v>2500.0</v>
      </c>
      <c r="K117" s="87">
        <v>2500.0</v>
      </c>
      <c r="L117" s="87">
        <v>2500.0</v>
      </c>
      <c r="M117" s="87">
        <v>2500.0</v>
      </c>
      <c r="N117" s="17">
        <f t="shared" si="30"/>
        <v>30000</v>
      </c>
    </row>
    <row r="118" ht="13.5" customHeight="1">
      <c r="A118" s="59" t="s">
        <v>80</v>
      </c>
      <c r="B118" s="87">
        <v>0.0</v>
      </c>
      <c r="C118" s="87">
        <v>0.0</v>
      </c>
      <c r="D118" s="87">
        <v>0.0</v>
      </c>
      <c r="E118" s="87">
        <v>0.0</v>
      </c>
      <c r="F118" s="87">
        <v>0.0</v>
      </c>
      <c r="G118" s="87">
        <v>0.0</v>
      </c>
      <c r="H118" s="87">
        <v>0.0</v>
      </c>
      <c r="I118" s="87">
        <v>0.0</v>
      </c>
      <c r="J118" s="87">
        <v>0.0</v>
      </c>
      <c r="K118" s="87">
        <v>0.0</v>
      </c>
      <c r="L118" s="87">
        <v>0.0</v>
      </c>
      <c r="M118" s="87">
        <v>0.0</v>
      </c>
      <c r="N118" s="17">
        <f t="shared" si="30"/>
        <v>0</v>
      </c>
    </row>
    <row r="119" ht="13.5" customHeight="1">
      <c r="A119" s="61" t="s">
        <v>113</v>
      </c>
      <c r="B119" s="87">
        <v>395.0</v>
      </c>
      <c r="C119" s="87">
        <v>395.0</v>
      </c>
      <c r="D119" s="87">
        <v>395.0</v>
      </c>
      <c r="E119" s="87">
        <v>395.0</v>
      </c>
      <c r="F119" s="87">
        <v>395.0</v>
      </c>
      <c r="G119" s="87">
        <v>395.0</v>
      </c>
      <c r="H119" s="87">
        <v>395.0</v>
      </c>
      <c r="I119" s="87">
        <v>395.0</v>
      </c>
      <c r="J119" s="87">
        <v>395.0</v>
      </c>
      <c r="K119" s="87">
        <v>395.0</v>
      </c>
      <c r="L119" s="87">
        <v>395.0</v>
      </c>
      <c r="M119" s="87">
        <v>395.0</v>
      </c>
      <c r="N119" s="17">
        <f t="shared" si="30"/>
        <v>4740</v>
      </c>
    </row>
    <row r="120" ht="13.5" customHeight="1">
      <c r="A120" s="132" t="s">
        <v>114</v>
      </c>
      <c r="B120" s="96">
        <v>1841.0</v>
      </c>
      <c r="C120" s="96">
        <v>1841.0</v>
      </c>
      <c r="D120" s="96">
        <v>1841.0</v>
      </c>
      <c r="E120" s="96">
        <v>1841.0</v>
      </c>
      <c r="F120" s="96">
        <v>1841.0</v>
      </c>
      <c r="G120" s="96">
        <v>1841.0</v>
      </c>
      <c r="H120" s="96">
        <v>1841.0</v>
      </c>
      <c r="I120" s="96">
        <v>1841.0</v>
      </c>
      <c r="J120" s="96">
        <v>1841.0</v>
      </c>
      <c r="K120" s="96">
        <v>1841.0</v>
      </c>
      <c r="L120" s="96">
        <v>1841.0</v>
      </c>
      <c r="M120" s="96">
        <v>1841.0</v>
      </c>
      <c r="N120" s="17">
        <f t="shared" si="30"/>
        <v>22092</v>
      </c>
    </row>
    <row r="121" ht="13.5" customHeight="1">
      <c r="A121" s="99" t="s">
        <v>23</v>
      </c>
      <c r="B121" s="63">
        <f t="shared" ref="B121:N121" si="31">SUM(B115:B120)</f>
        <v>5831</v>
      </c>
      <c r="C121" s="63">
        <f t="shared" si="31"/>
        <v>5831</v>
      </c>
      <c r="D121" s="63">
        <f t="shared" si="31"/>
        <v>5831</v>
      </c>
      <c r="E121" s="63">
        <f t="shared" si="31"/>
        <v>5831</v>
      </c>
      <c r="F121" s="63">
        <f t="shared" si="31"/>
        <v>5831</v>
      </c>
      <c r="G121" s="63">
        <f t="shared" si="31"/>
        <v>5831</v>
      </c>
      <c r="H121" s="63">
        <f t="shared" si="31"/>
        <v>5831</v>
      </c>
      <c r="I121" s="63">
        <f t="shared" si="31"/>
        <v>5831</v>
      </c>
      <c r="J121" s="63">
        <f t="shared" si="31"/>
        <v>5831</v>
      </c>
      <c r="K121" s="63">
        <f t="shared" si="31"/>
        <v>5831</v>
      </c>
      <c r="L121" s="63">
        <f t="shared" si="31"/>
        <v>5831</v>
      </c>
      <c r="M121" s="63">
        <f t="shared" si="31"/>
        <v>5831</v>
      </c>
      <c r="N121" s="63">
        <f t="shared" si="31"/>
        <v>69972</v>
      </c>
    </row>
    <row r="122" ht="13.5" customHeight="1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</row>
    <row r="123" ht="13.5" customHeight="1">
      <c r="A123" s="64" t="s">
        <v>115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</row>
    <row r="124" ht="13.5" customHeight="1">
      <c r="A124" s="64" t="s">
        <v>116</v>
      </c>
      <c r="B124" s="67">
        <f t="shared" ref="B124:N124" si="32">+B13*0.7+B21*0.7+B32*0.7+B52*0.6+B70+B107*0.6</f>
        <v>17766.834</v>
      </c>
      <c r="C124" s="67">
        <f t="shared" si="32"/>
        <v>18225.934</v>
      </c>
      <c r="D124" s="67">
        <f t="shared" si="32"/>
        <v>18480.018</v>
      </c>
      <c r="E124" s="67">
        <f t="shared" si="32"/>
        <v>17011.834</v>
      </c>
      <c r="F124" s="67">
        <f t="shared" si="32"/>
        <v>18492.834</v>
      </c>
      <c r="G124" s="67">
        <f t="shared" si="32"/>
        <v>18338.134</v>
      </c>
      <c r="H124" s="67">
        <f t="shared" si="32"/>
        <v>17254.834</v>
      </c>
      <c r="I124" s="67">
        <f t="shared" si="32"/>
        <v>19319.1618</v>
      </c>
      <c r="J124" s="67">
        <f t="shared" si="32"/>
        <v>18447.834</v>
      </c>
      <c r="K124" s="67">
        <f t="shared" si="32"/>
        <v>18125.272</v>
      </c>
      <c r="L124" s="67">
        <f t="shared" si="32"/>
        <v>17311.834</v>
      </c>
      <c r="M124" s="67">
        <f t="shared" si="32"/>
        <v>17311.834</v>
      </c>
      <c r="N124" s="67">
        <f t="shared" si="32"/>
        <v>216086.3578</v>
      </c>
    </row>
    <row r="125" ht="13.5" customHeight="1">
      <c r="A125" s="64" t="s">
        <v>117</v>
      </c>
      <c r="B125" s="67">
        <f t="shared" ref="B125:N125" si="33">+B13*0.3+B21*0.3+B32*0.3+B52*0.4+B82+B90+B107*0.4</f>
        <v>14930.556</v>
      </c>
      <c r="C125" s="67">
        <f t="shared" si="33"/>
        <v>15054.556</v>
      </c>
      <c r="D125" s="67">
        <f t="shared" si="33"/>
        <v>15406.012</v>
      </c>
      <c r="E125" s="67">
        <f t="shared" si="33"/>
        <v>14760.556</v>
      </c>
      <c r="F125" s="67">
        <f t="shared" si="33"/>
        <v>15414.556</v>
      </c>
      <c r="G125" s="67">
        <f t="shared" si="33"/>
        <v>15046.856</v>
      </c>
      <c r="H125" s="67">
        <f t="shared" si="33"/>
        <v>14840.056</v>
      </c>
      <c r="I125" s="67">
        <f t="shared" si="33"/>
        <v>15450.0412</v>
      </c>
      <c r="J125" s="67">
        <f t="shared" si="33"/>
        <v>15134.556</v>
      </c>
      <c r="K125" s="67">
        <f t="shared" si="33"/>
        <v>14987.448</v>
      </c>
      <c r="L125" s="67">
        <f t="shared" si="33"/>
        <v>14960.556</v>
      </c>
      <c r="M125" s="67">
        <f t="shared" si="33"/>
        <v>14960.556</v>
      </c>
      <c r="N125" s="67">
        <f t="shared" si="33"/>
        <v>180946.3052</v>
      </c>
    </row>
    <row r="126" ht="13.5" customHeight="1">
      <c r="A126" s="64" t="s">
        <v>23</v>
      </c>
      <c r="B126" s="67">
        <f t="shared" ref="B126:N126" si="34">SUM(B124:B125)</f>
        <v>32697.39</v>
      </c>
      <c r="C126" s="67">
        <f t="shared" si="34"/>
        <v>33280.49</v>
      </c>
      <c r="D126" s="67">
        <f t="shared" si="34"/>
        <v>33886.03</v>
      </c>
      <c r="E126" s="67">
        <f t="shared" si="34"/>
        <v>31772.39</v>
      </c>
      <c r="F126" s="67">
        <f t="shared" si="34"/>
        <v>33907.39</v>
      </c>
      <c r="G126" s="67">
        <f t="shared" si="34"/>
        <v>33384.99</v>
      </c>
      <c r="H126" s="67">
        <f t="shared" si="34"/>
        <v>32094.89</v>
      </c>
      <c r="I126" s="67">
        <f t="shared" si="34"/>
        <v>34769.203</v>
      </c>
      <c r="J126" s="67">
        <f t="shared" si="34"/>
        <v>33582.39</v>
      </c>
      <c r="K126" s="67">
        <f t="shared" si="34"/>
        <v>33112.72</v>
      </c>
      <c r="L126" s="67">
        <f t="shared" si="34"/>
        <v>32272.39</v>
      </c>
      <c r="M126" s="67">
        <f t="shared" si="34"/>
        <v>32272.39</v>
      </c>
      <c r="N126" s="67">
        <f t="shared" si="34"/>
        <v>397032.663</v>
      </c>
    </row>
    <row r="127" ht="13.5" customHeight="1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</row>
    <row r="128" ht="13.5" customHeight="1">
      <c r="A128" s="69" t="s">
        <v>118</v>
      </c>
      <c r="B128" s="70">
        <f t="shared" ref="B128:N128" si="35">+B109</f>
        <v>32697.39</v>
      </c>
      <c r="C128" s="70">
        <f t="shared" si="35"/>
        <v>33280.49</v>
      </c>
      <c r="D128" s="70">
        <f t="shared" si="35"/>
        <v>33886.03</v>
      </c>
      <c r="E128" s="70">
        <f t="shared" si="35"/>
        <v>31772.39</v>
      </c>
      <c r="F128" s="70">
        <f t="shared" si="35"/>
        <v>33907.39</v>
      </c>
      <c r="G128" s="70">
        <f t="shared" si="35"/>
        <v>33384.99</v>
      </c>
      <c r="H128" s="70">
        <f t="shared" si="35"/>
        <v>32094.89</v>
      </c>
      <c r="I128" s="70">
        <f t="shared" si="35"/>
        <v>34769.203</v>
      </c>
      <c r="J128" s="70">
        <f t="shared" si="35"/>
        <v>33582.39</v>
      </c>
      <c r="K128" s="70">
        <f t="shared" si="35"/>
        <v>33112.72</v>
      </c>
      <c r="L128" s="70">
        <f t="shared" si="35"/>
        <v>32272.39</v>
      </c>
      <c r="M128" s="70">
        <f t="shared" si="35"/>
        <v>32272.39</v>
      </c>
      <c r="N128" s="70">
        <f t="shared" si="35"/>
        <v>397032.663</v>
      </c>
    </row>
    <row r="129" ht="13.5" customHeight="1">
      <c r="A129" s="134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</row>
    <row r="130" ht="13.5" customHeight="1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</row>
    <row r="131" ht="13.5" customHeight="1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</row>
  </sheetData>
  <mergeCells count="1">
    <mergeCell ref="A1:N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1.75"/>
    <col customWidth="1" min="2" max="2" width="9.13"/>
    <col customWidth="1" min="3" max="6" width="9.25"/>
    <col customWidth="1" min="7" max="9" width="9.13"/>
    <col customWidth="1" min="10" max="10" width="9.63"/>
    <col customWidth="1" min="11" max="12" width="9.13"/>
    <col customWidth="1" min="13" max="13" width="9.25"/>
    <col customWidth="1" min="14" max="14" width="10.13"/>
  </cols>
  <sheetData>
    <row r="1" ht="13.5" customHeight="1">
      <c r="A1" s="76" t="s">
        <v>122</v>
      </c>
    </row>
    <row r="2" ht="13.5" customHeight="1">
      <c r="A2" s="7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ht="13.5" customHeight="1">
      <c r="A3" s="1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78" t="s">
        <v>12</v>
      </c>
      <c r="N3" s="10" t="s">
        <v>0</v>
      </c>
    </row>
    <row r="4" ht="13.5" customHeight="1">
      <c r="A4" s="79" t="s">
        <v>14</v>
      </c>
      <c r="B4" s="80"/>
      <c r="C4" s="80"/>
      <c r="D4" s="80"/>
      <c r="E4" s="80"/>
      <c r="F4" s="81"/>
      <c r="G4" s="81"/>
      <c r="H4" s="81"/>
      <c r="I4" s="81"/>
      <c r="J4" s="81"/>
      <c r="K4" s="81"/>
      <c r="L4" s="81"/>
      <c r="M4" s="82"/>
      <c r="N4" s="83"/>
    </row>
    <row r="5" ht="13.5" customHeight="1">
      <c r="A5" s="15" t="s">
        <v>15</v>
      </c>
      <c r="B5" s="84"/>
      <c r="C5" s="84"/>
      <c r="D5" s="84"/>
      <c r="E5" s="84"/>
      <c r="F5" s="84"/>
      <c r="G5" s="84"/>
      <c r="H5" s="85"/>
      <c r="I5" s="84"/>
      <c r="J5" s="84"/>
      <c r="K5" s="84"/>
      <c r="L5" s="84"/>
      <c r="M5" s="84"/>
      <c r="N5" s="17">
        <f t="shared" ref="N5:N12" si="1">SUM(B5:M5)</f>
        <v>0</v>
      </c>
    </row>
    <row r="6" ht="13.5" customHeight="1">
      <c r="A6" s="15" t="s">
        <v>123</v>
      </c>
      <c r="B6" s="46">
        <f>FORMULAS!S138</f>
        <v>7061.571429</v>
      </c>
      <c r="C6" s="46">
        <f>FORMULAS!W138</f>
        <v>7061.571429</v>
      </c>
      <c r="D6" s="46">
        <f>FORMULAS!AA138</f>
        <v>10087.71429</v>
      </c>
      <c r="E6" s="46">
        <f>FORMULAS!AE138</f>
        <v>10087.71429</v>
      </c>
      <c r="F6" s="46">
        <f>FORMULAS!AI138</f>
        <v>14526</v>
      </c>
      <c r="G6" s="46">
        <f>FORMULAS!AM138</f>
        <v>14526</v>
      </c>
      <c r="H6" s="46">
        <f>FORMULAS!AQ138</f>
        <v>7061.571429</v>
      </c>
      <c r="I6" s="46">
        <f>FORMULAS!AU138</f>
        <v>7061.571429</v>
      </c>
      <c r="J6" s="46">
        <f>FORMULAS!AY138</f>
        <v>10087.71429</v>
      </c>
      <c r="K6" s="46">
        <f>FORMULAS!BC138</f>
        <v>10087.71429</v>
      </c>
      <c r="L6" s="46">
        <f>FORMULAS!BG138</f>
        <v>10087.71429</v>
      </c>
      <c r="M6" s="46">
        <f>FORMULAS!BK138</f>
        <v>14526</v>
      </c>
      <c r="N6" s="17">
        <f t="shared" si="1"/>
        <v>122262.8571</v>
      </c>
    </row>
    <row r="7" ht="13.5" customHeight="1">
      <c r="A7" s="15" t="s">
        <v>17</v>
      </c>
      <c r="B7" s="86">
        <f>FORMULAS!S147</f>
        <v>5825.571429</v>
      </c>
      <c r="C7" s="86">
        <f>FORMULAS!W147</f>
        <v>5825.571429</v>
      </c>
      <c r="D7" s="86">
        <f>FORMULAS!AA147</f>
        <v>7743.428571</v>
      </c>
      <c r="E7" s="86">
        <f>FORMULAS!AE147</f>
        <v>7743.428571</v>
      </c>
      <c r="F7" s="86">
        <f>FORMULAS!AI147</f>
        <v>12057.85714</v>
      </c>
      <c r="G7" s="86">
        <f>FORMULAS!AM147</f>
        <v>12057.85714</v>
      </c>
      <c r="H7" s="86">
        <f>FORMULAS!AQ147</f>
        <v>5825.571429</v>
      </c>
      <c r="I7" s="86">
        <f>FORMULAS!AU147</f>
        <v>5825.571429</v>
      </c>
      <c r="J7" s="86">
        <f>FORMULAS!AY147</f>
        <v>7743.428571</v>
      </c>
      <c r="K7" s="46">
        <f>FORMULAS!BC147</f>
        <v>7743.428571</v>
      </c>
      <c r="L7" s="46">
        <f>FORMULAS!BG147</f>
        <v>7743.428571</v>
      </c>
      <c r="M7" s="46">
        <f>FORMULAS!BK147</f>
        <v>12057.85714</v>
      </c>
      <c r="N7" s="17">
        <f t="shared" si="1"/>
        <v>98193</v>
      </c>
    </row>
    <row r="8" ht="13.5" customHeight="1">
      <c r="A8" s="15" t="s">
        <v>18</v>
      </c>
      <c r="B8" s="46">
        <f>FORMULAS!S162+FORMULAS!S197</f>
        <v>0</v>
      </c>
      <c r="C8" s="46">
        <f>FORMULAS!W162+FORMULAS!W197</f>
        <v>0</v>
      </c>
      <c r="D8" s="46">
        <f>FORMULAS!AA162+FORMULAS!AA197</f>
        <v>0</v>
      </c>
      <c r="E8" s="46">
        <f>FORMULAS!AE162+FORMULAS!AE197</f>
        <v>0</v>
      </c>
      <c r="F8" s="46">
        <f>FORMULAS!AI162+FORMULAS!AI197</f>
        <v>0</v>
      </c>
      <c r="G8" s="46">
        <f>FORMULAS!AM162+FORMULAS!AM197</f>
        <v>0</v>
      </c>
      <c r="H8" s="46">
        <f>FORMULAS!AQ162+FORMULAS!AQ197</f>
        <v>0</v>
      </c>
      <c r="I8" s="46">
        <f>FORMULAS!AU162+FORMULAS!AU197</f>
        <v>0</v>
      </c>
      <c r="J8" s="46">
        <f>FORMULAS!AY162+FORMULAS!AY197</f>
        <v>0</v>
      </c>
      <c r="K8" s="46">
        <f>FORMULAS!BC162+FORMULAS!BC197</f>
        <v>0</v>
      </c>
      <c r="L8" s="46">
        <f>FORMULAS!BG162+FORMULAS!BG197</f>
        <v>0</v>
      </c>
      <c r="M8" s="46">
        <f>FORMULAS!BK162+FORMULAS!BK197</f>
        <v>0</v>
      </c>
      <c r="N8" s="17">
        <f t="shared" si="1"/>
        <v>0</v>
      </c>
    </row>
    <row r="9" ht="13.5" customHeight="1">
      <c r="A9" s="20" t="s">
        <v>124</v>
      </c>
      <c r="B9" s="86">
        <f>FORMULAS!S188</f>
        <v>5742.857143</v>
      </c>
      <c r="C9" s="86">
        <f>FORMULAS!W188</f>
        <v>5742.857143</v>
      </c>
      <c r="D9" s="86">
        <f>FORMULAS!AA188</f>
        <v>10200</v>
      </c>
      <c r="E9" s="86">
        <f>FORMULAS!AE188</f>
        <v>10200</v>
      </c>
      <c r="F9" s="86">
        <f>FORMULAS!AI188</f>
        <v>12205.71429</v>
      </c>
      <c r="G9" s="86">
        <f>FORMULAS!AM188</f>
        <v>12205.71429</v>
      </c>
      <c r="H9" s="86">
        <f>FORMULAS!AQ188</f>
        <v>5742.857143</v>
      </c>
      <c r="I9" s="86">
        <f>FORMULAS!AU188</f>
        <v>5742.857143</v>
      </c>
      <c r="J9" s="86">
        <f>FORMULAS!AY188</f>
        <v>10200</v>
      </c>
      <c r="K9" s="46">
        <f>FORMULAS!BC188</f>
        <v>10200</v>
      </c>
      <c r="L9" s="46">
        <f>FORMULAS!BG188</f>
        <v>10628.57143</v>
      </c>
      <c r="M9" s="46">
        <f>FORMULAS!BK188</f>
        <v>12205.71429</v>
      </c>
      <c r="N9" s="17">
        <f t="shared" si="1"/>
        <v>111017.1429</v>
      </c>
    </row>
    <row r="10" ht="13.5" customHeight="1">
      <c r="A10" s="20" t="s">
        <v>20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46"/>
      <c r="M10" s="46"/>
      <c r="N10" s="17">
        <f t="shared" si="1"/>
        <v>0</v>
      </c>
    </row>
    <row r="11" ht="13.5" customHeight="1">
      <c r="A11" s="15" t="s">
        <v>21</v>
      </c>
      <c r="B11" s="87">
        <v>388.0</v>
      </c>
      <c r="C11" s="87">
        <v>426.88</v>
      </c>
      <c r="D11" s="87">
        <v>388.0</v>
      </c>
      <c r="E11" s="87">
        <v>388.0</v>
      </c>
      <c r="F11" s="87">
        <v>388.0</v>
      </c>
      <c r="G11" s="87">
        <v>388.0</v>
      </c>
      <c r="H11" s="87">
        <v>388.0</v>
      </c>
      <c r="I11" s="87">
        <v>388.0</v>
      </c>
      <c r="J11" s="87">
        <v>388.0</v>
      </c>
      <c r="K11" s="87">
        <v>388.0</v>
      </c>
      <c r="L11" s="87">
        <v>388.0</v>
      </c>
      <c r="M11" s="87">
        <v>388.0</v>
      </c>
      <c r="N11" s="17">
        <f t="shared" si="1"/>
        <v>4694.88</v>
      </c>
    </row>
    <row r="12" ht="13.5" customHeight="1">
      <c r="A12" s="15" t="s">
        <v>22</v>
      </c>
      <c r="B12" s="87">
        <f>PRODUCTION!B3</f>
        <v>700</v>
      </c>
      <c r="C12" s="87">
        <f>PRODUCTION!B4</f>
        <v>1370.6</v>
      </c>
      <c r="D12" s="87">
        <f>PRODUCTION!B5</f>
        <v>1370.6</v>
      </c>
      <c r="E12" s="87">
        <f>PRODUCTION!B6</f>
        <v>1370.6</v>
      </c>
      <c r="F12" s="87">
        <f>PRODUCTION!B7</f>
        <v>1370.6</v>
      </c>
      <c r="G12" s="87">
        <f>PRODUCTION!B8</f>
        <v>1370.6</v>
      </c>
      <c r="H12" s="87">
        <f>PRODUCTION!B9</f>
        <v>1370.6</v>
      </c>
      <c r="I12" s="87">
        <f>PRODUCTION!B10</f>
        <v>1370.6</v>
      </c>
      <c r="J12" s="87">
        <f>PRODUCTION!B11</f>
        <v>1370.6</v>
      </c>
      <c r="K12" s="87">
        <f>PRODUCTION!B12</f>
        <v>1370.6</v>
      </c>
      <c r="L12" s="87">
        <f>PRODUCTION!B13</f>
        <v>1370.6</v>
      </c>
      <c r="M12" s="87">
        <f>PRODUCTION!B14</f>
        <v>1370.6</v>
      </c>
      <c r="N12" s="17">
        <f t="shared" si="1"/>
        <v>15776.6</v>
      </c>
    </row>
    <row r="13" ht="13.5" customHeight="1">
      <c r="A13" s="21" t="s">
        <v>23</v>
      </c>
      <c r="B13" s="22">
        <f t="shared" ref="B13:N13" si="2">SUM(B5:B12)</f>
        <v>19718</v>
      </c>
      <c r="C13" s="22">
        <f t="shared" si="2"/>
        <v>20427.48</v>
      </c>
      <c r="D13" s="22">
        <f t="shared" si="2"/>
        <v>29789.74286</v>
      </c>
      <c r="E13" s="22">
        <f t="shared" si="2"/>
        <v>29789.74286</v>
      </c>
      <c r="F13" s="22">
        <f t="shared" si="2"/>
        <v>40548.17143</v>
      </c>
      <c r="G13" s="22">
        <f t="shared" si="2"/>
        <v>40548.17143</v>
      </c>
      <c r="H13" s="22">
        <f t="shared" si="2"/>
        <v>20388.6</v>
      </c>
      <c r="I13" s="22">
        <f t="shared" si="2"/>
        <v>20388.6</v>
      </c>
      <c r="J13" s="22">
        <f t="shared" si="2"/>
        <v>29789.74286</v>
      </c>
      <c r="K13" s="22">
        <f t="shared" si="2"/>
        <v>29789.74286</v>
      </c>
      <c r="L13" s="22">
        <f t="shared" si="2"/>
        <v>30218.31429</v>
      </c>
      <c r="M13" s="88">
        <f t="shared" si="2"/>
        <v>40548.17143</v>
      </c>
      <c r="N13" s="88">
        <f t="shared" si="2"/>
        <v>351944.48</v>
      </c>
    </row>
    <row r="14" ht="13.5" customHeight="1">
      <c r="A14" s="89" t="s">
        <v>24</v>
      </c>
      <c r="B14" s="90"/>
      <c r="C14" s="90"/>
      <c r="D14" s="90"/>
      <c r="E14" s="90"/>
      <c r="F14" s="63"/>
      <c r="G14" s="63"/>
      <c r="H14" s="63"/>
      <c r="I14" s="63"/>
      <c r="J14" s="63"/>
      <c r="K14" s="63"/>
      <c r="L14" s="63"/>
      <c r="M14" s="63"/>
      <c r="N14" s="83"/>
    </row>
    <row r="15" ht="13.5" customHeight="1">
      <c r="A15" s="35" t="s">
        <v>125</v>
      </c>
      <c r="B15" s="46"/>
      <c r="C15" s="87"/>
      <c r="D15" s="87"/>
      <c r="E15" s="46"/>
      <c r="F15" s="87"/>
      <c r="G15" s="46"/>
      <c r="H15" s="87"/>
      <c r="I15" s="46"/>
      <c r="J15" s="87"/>
      <c r="K15" s="87"/>
      <c r="L15" s="87"/>
      <c r="M15" s="87"/>
      <c r="N15" s="17">
        <f t="shared" ref="N15:N20" si="3">SUM(B15:M15)</f>
        <v>0</v>
      </c>
    </row>
    <row r="16" ht="13.5" customHeight="1">
      <c r="A16" s="35" t="s">
        <v>26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17">
        <f t="shared" si="3"/>
        <v>0</v>
      </c>
    </row>
    <row r="17" ht="13.5" customHeight="1">
      <c r="A17" s="3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17">
        <f t="shared" si="3"/>
        <v>0</v>
      </c>
    </row>
    <row r="18" ht="13.5" customHeight="1">
      <c r="A18" s="3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17">
        <f t="shared" si="3"/>
        <v>0</v>
      </c>
    </row>
    <row r="19" ht="13.5" customHeight="1">
      <c r="A19" s="3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17">
        <f t="shared" si="3"/>
        <v>0</v>
      </c>
    </row>
    <row r="20" ht="13.5" customHeight="1">
      <c r="A20" s="3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17">
        <f t="shared" si="3"/>
        <v>0</v>
      </c>
    </row>
    <row r="21" ht="13.5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</row>
    <row r="22" ht="13.5" customHeight="1">
      <c r="A22" s="89" t="s">
        <v>126</v>
      </c>
      <c r="B22" s="90"/>
      <c r="C22" s="90"/>
      <c r="D22" s="90"/>
      <c r="E22" s="90"/>
      <c r="F22" s="63"/>
      <c r="G22" s="63"/>
      <c r="H22" s="63"/>
      <c r="I22" s="63"/>
      <c r="J22" s="63"/>
      <c r="K22" s="63"/>
      <c r="L22" s="63"/>
      <c r="M22" s="63"/>
      <c r="N22" s="83"/>
    </row>
    <row r="23" ht="13.5" customHeight="1">
      <c r="A23" s="26" t="s">
        <v>31</v>
      </c>
      <c r="B23" s="87">
        <v>0.0</v>
      </c>
      <c r="C23" s="87">
        <v>0.0</v>
      </c>
      <c r="D23" s="87">
        <v>5000.0</v>
      </c>
      <c r="E23" s="87">
        <v>0.0</v>
      </c>
      <c r="F23" s="87">
        <v>5000.0</v>
      </c>
      <c r="G23" s="87">
        <v>0.0</v>
      </c>
      <c r="H23" s="87">
        <v>0.0</v>
      </c>
      <c r="I23" s="87">
        <v>5000.0</v>
      </c>
      <c r="J23" s="87">
        <v>0.0</v>
      </c>
      <c r="K23" s="87">
        <v>0.0</v>
      </c>
      <c r="L23" s="87">
        <v>0.0</v>
      </c>
      <c r="M23" s="87">
        <v>0.0</v>
      </c>
      <c r="N23" s="17">
        <f t="shared" ref="N23:N31" si="5">SUM(B23:M23)</f>
        <v>15000</v>
      </c>
    </row>
    <row r="24" ht="13.5" customHeight="1">
      <c r="A24" s="32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17">
        <f t="shared" si="5"/>
        <v>0</v>
      </c>
    </row>
    <row r="25" ht="13.5" customHeight="1">
      <c r="A25" s="15" t="s">
        <v>127</v>
      </c>
      <c r="B25" s="46"/>
      <c r="C25" s="46"/>
      <c r="D25" s="46"/>
      <c r="E25" s="46"/>
      <c r="F25" s="46"/>
      <c r="G25" s="46"/>
      <c r="H25" s="46"/>
      <c r="I25" s="87"/>
      <c r="J25" s="46"/>
      <c r="K25" s="46"/>
      <c r="L25" s="46"/>
      <c r="M25" s="46"/>
      <c r="N25" s="17">
        <f t="shared" si="5"/>
        <v>0</v>
      </c>
    </row>
    <row r="26" ht="13.5" customHeight="1">
      <c r="A26" s="32"/>
      <c r="B26" s="46"/>
      <c r="C26" s="46"/>
      <c r="D26" s="46"/>
      <c r="E26" s="87"/>
      <c r="F26" s="87"/>
      <c r="G26" s="87"/>
      <c r="H26" s="87"/>
      <c r="I26" s="46"/>
      <c r="J26" s="46"/>
      <c r="K26" s="46"/>
      <c r="L26" s="46"/>
      <c r="M26" s="46"/>
      <c r="N26" s="17">
        <f t="shared" si="5"/>
        <v>0</v>
      </c>
    </row>
    <row r="27" ht="13.5" customHeight="1">
      <c r="A27" s="31" t="s">
        <v>34</v>
      </c>
      <c r="B27" s="46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17">
        <f t="shared" si="5"/>
        <v>0</v>
      </c>
    </row>
    <row r="28" ht="13.5" customHeight="1">
      <c r="A28" s="33" t="s">
        <v>35</v>
      </c>
      <c r="B28" s="46"/>
      <c r="C28" s="46"/>
      <c r="D28" s="46"/>
      <c r="E28" s="46"/>
      <c r="F28" s="87"/>
      <c r="G28" s="87"/>
      <c r="H28" s="46"/>
      <c r="I28" s="46"/>
      <c r="J28" s="46"/>
      <c r="K28" s="46"/>
      <c r="L28" s="46"/>
      <c r="M28" s="46"/>
      <c r="N28" s="17">
        <f t="shared" si="5"/>
        <v>0</v>
      </c>
    </row>
    <row r="29" ht="13.5" customHeight="1">
      <c r="A29" s="27"/>
      <c r="B29" s="46"/>
      <c r="C29" s="46"/>
      <c r="D29" s="46"/>
      <c r="E29" s="46"/>
      <c r="F29" s="46"/>
      <c r="G29" s="87"/>
      <c r="H29" s="46"/>
      <c r="I29" s="46"/>
      <c r="J29" s="46"/>
      <c r="K29" s="46"/>
      <c r="L29" s="46"/>
      <c r="M29" s="46"/>
      <c r="N29" s="17">
        <f t="shared" si="5"/>
        <v>0</v>
      </c>
    </row>
    <row r="30" ht="13.5" customHeight="1">
      <c r="A30" s="31" t="s">
        <v>37</v>
      </c>
      <c r="B30" s="46"/>
      <c r="C30" s="46"/>
      <c r="D30" s="46"/>
      <c r="E30" s="46"/>
      <c r="F30" s="46"/>
      <c r="G30" s="46"/>
      <c r="H30" s="46"/>
      <c r="I30" s="46"/>
      <c r="J30" s="87"/>
      <c r="K30" s="87"/>
      <c r="L30" s="87"/>
      <c r="M30" s="87"/>
      <c r="N30" s="17">
        <f t="shared" si="5"/>
        <v>0</v>
      </c>
    </row>
    <row r="31" ht="13.5" customHeight="1">
      <c r="A31" s="32"/>
      <c r="B31" s="92"/>
      <c r="C31" s="92"/>
      <c r="D31" s="92"/>
      <c r="E31" s="92"/>
      <c r="F31" s="28"/>
      <c r="G31" s="28"/>
      <c r="H31" s="28"/>
      <c r="I31" s="28"/>
      <c r="J31" s="28"/>
      <c r="K31" s="28"/>
      <c r="L31" s="28"/>
      <c r="M31" s="28"/>
      <c r="N31" s="17">
        <f t="shared" si="5"/>
        <v>0</v>
      </c>
    </row>
    <row r="32" ht="13.5" customHeight="1">
      <c r="A32" s="91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5000</v>
      </c>
      <c r="E32" s="28">
        <f t="shared" si="6"/>
        <v>0</v>
      </c>
      <c r="F32" s="28">
        <f t="shared" si="6"/>
        <v>5000</v>
      </c>
      <c r="G32" s="28">
        <f t="shared" si="6"/>
        <v>0</v>
      </c>
      <c r="H32" s="28">
        <f t="shared" si="6"/>
        <v>0</v>
      </c>
      <c r="I32" s="28">
        <f t="shared" si="6"/>
        <v>5000</v>
      </c>
      <c r="J32" s="28">
        <f t="shared" si="6"/>
        <v>0</v>
      </c>
      <c r="K32" s="28">
        <f t="shared" si="6"/>
        <v>0</v>
      </c>
      <c r="L32" s="28">
        <f t="shared" si="6"/>
        <v>0</v>
      </c>
      <c r="M32" s="28">
        <f t="shared" si="6"/>
        <v>0</v>
      </c>
      <c r="N32" s="28">
        <f t="shared" si="6"/>
        <v>15000</v>
      </c>
    </row>
    <row r="33" ht="13.5" customHeight="1">
      <c r="A33" s="79" t="s">
        <v>38</v>
      </c>
      <c r="B33" s="63"/>
      <c r="C33" s="63"/>
      <c r="D33" s="63"/>
      <c r="E33" s="63"/>
      <c r="F33" s="83"/>
      <c r="G33" s="83"/>
      <c r="H33" s="83"/>
      <c r="I33" s="83"/>
      <c r="J33" s="83"/>
      <c r="K33" s="83"/>
      <c r="L33" s="83"/>
      <c r="M33" s="83"/>
      <c r="N33" s="83"/>
    </row>
    <row r="34" ht="13.5" customHeight="1">
      <c r="A34" s="93" t="s">
        <v>39</v>
      </c>
      <c r="B34" s="94">
        <f t="shared" ref="B34:C34" si="7">1999+349+850+61.9</f>
        <v>3259.9</v>
      </c>
      <c r="C34" s="94">
        <f t="shared" si="7"/>
        <v>3259.9</v>
      </c>
      <c r="D34" s="94">
        <f t="shared" ref="D34:M34" si="8">1199+349+850+61.9</f>
        <v>2459.9</v>
      </c>
      <c r="E34" s="94">
        <f t="shared" si="8"/>
        <v>2459.9</v>
      </c>
      <c r="F34" s="94">
        <f t="shared" si="8"/>
        <v>2459.9</v>
      </c>
      <c r="G34" s="94">
        <f t="shared" si="8"/>
        <v>2459.9</v>
      </c>
      <c r="H34" s="94">
        <f t="shared" si="8"/>
        <v>2459.9</v>
      </c>
      <c r="I34" s="94">
        <f t="shared" si="8"/>
        <v>2459.9</v>
      </c>
      <c r="J34" s="94">
        <f t="shared" si="8"/>
        <v>2459.9</v>
      </c>
      <c r="K34" s="94">
        <f t="shared" si="8"/>
        <v>2459.9</v>
      </c>
      <c r="L34" s="94">
        <f t="shared" si="8"/>
        <v>2459.9</v>
      </c>
      <c r="M34" s="94">
        <f t="shared" si="8"/>
        <v>2459.9</v>
      </c>
      <c r="N34" s="95">
        <f t="shared" ref="N34:N51" si="9">SUM(B34:M34)</f>
        <v>31118.8</v>
      </c>
    </row>
    <row r="35" ht="13.5" customHeight="1">
      <c r="A35" s="31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17">
        <f t="shared" si="9"/>
        <v>0</v>
      </c>
    </row>
    <row r="36" ht="13.5" customHeight="1">
      <c r="A36" s="26" t="s">
        <v>41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17">
        <f t="shared" si="9"/>
        <v>0</v>
      </c>
    </row>
    <row r="37" ht="13.5" customHeight="1">
      <c r="A37" s="26" t="s">
        <v>42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17">
        <f t="shared" si="9"/>
        <v>0</v>
      </c>
    </row>
    <row r="38" ht="13.5" customHeight="1">
      <c r="A38" s="26" t="s">
        <v>43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17">
        <f t="shared" si="9"/>
        <v>0</v>
      </c>
    </row>
    <row r="39" ht="13.5" customHeight="1">
      <c r="A39" s="26" t="s">
        <v>44</v>
      </c>
      <c r="B39" s="46"/>
      <c r="C39" s="46"/>
      <c r="D39" s="46"/>
      <c r="E39" s="46"/>
      <c r="F39" s="46"/>
      <c r="G39" s="46"/>
      <c r="H39" s="46"/>
      <c r="I39" s="46"/>
      <c r="J39" s="46"/>
      <c r="L39" s="46"/>
      <c r="M39" s="46"/>
      <c r="N39" s="17">
        <f t="shared" si="9"/>
        <v>0</v>
      </c>
    </row>
    <row r="40" ht="13.5" customHeight="1">
      <c r="A40" s="26" t="s">
        <v>45</v>
      </c>
      <c r="B40" s="46"/>
      <c r="C40" s="46"/>
      <c r="D40" s="46"/>
      <c r="E40" s="46"/>
      <c r="F40" s="87"/>
      <c r="G40" s="46"/>
      <c r="H40" s="46"/>
      <c r="I40" s="46"/>
      <c r="J40" s="46"/>
      <c r="K40" s="46"/>
      <c r="L40" s="46"/>
      <c r="M40" s="46"/>
      <c r="N40" s="17">
        <f t="shared" si="9"/>
        <v>0</v>
      </c>
    </row>
    <row r="41" ht="13.5" customHeight="1">
      <c r="A41" s="26" t="s">
        <v>46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17">
        <f t="shared" si="9"/>
        <v>0</v>
      </c>
    </row>
    <row r="42" ht="13.5" customHeight="1">
      <c r="A42" s="31" t="s">
        <v>128</v>
      </c>
      <c r="B42" s="87">
        <v>365.0</v>
      </c>
      <c r="C42" s="87">
        <v>365.0</v>
      </c>
      <c r="D42" s="87">
        <v>365.0</v>
      </c>
      <c r="E42" s="87">
        <v>365.0</v>
      </c>
      <c r="F42" s="87">
        <v>365.0</v>
      </c>
      <c r="G42" s="87">
        <v>365.0</v>
      </c>
      <c r="H42" s="87">
        <v>365.0</v>
      </c>
      <c r="I42" s="87">
        <v>365.0</v>
      </c>
      <c r="J42" s="87">
        <v>365.0</v>
      </c>
      <c r="K42" s="87">
        <v>365.0</v>
      </c>
      <c r="L42" s="87">
        <v>365.0</v>
      </c>
      <c r="M42" s="87">
        <v>365.0</v>
      </c>
      <c r="N42" s="17">
        <f t="shared" si="9"/>
        <v>4380</v>
      </c>
    </row>
    <row r="43" ht="13.5" customHeight="1">
      <c r="A43" s="31" t="s">
        <v>129</v>
      </c>
      <c r="B43" s="87">
        <v>1449.0</v>
      </c>
      <c r="C43" s="87">
        <v>1449.0</v>
      </c>
      <c r="D43" s="87">
        <v>1449.0</v>
      </c>
      <c r="E43" s="87">
        <v>1449.0</v>
      </c>
      <c r="F43" s="87">
        <v>1449.0</v>
      </c>
      <c r="G43" s="87">
        <v>1449.0</v>
      </c>
      <c r="H43" s="87">
        <v>1449.0</v>
      </c>
      <c r="I43" s="87">
        <v>1449.0</v>
      </c>
      <c r="J43" s="87">
        <v>1449.0</v>
      </c>
      <c r="K43" s="87">
        <v>1449.0</v>
      </c>
      <c r="L43" s="87">
        <v>1449.0</v>
      </c>
      <c r="M43" s="87">
        <v>1449.0</v>
      </c>
      <c r="N43" s="17">
        <f t="shared" si="9"/>
        <v>17388</v>
      </c>
    </row>
    <row r="44" ht="13.5" customHeight="1">
      <c r="A44" s="31" t="s">
        <v>130</v>
      </c>
      <c r="B44" s="87">
        <v>259.0</v>
      </c>
      <c r="C44" s="87">
        <v>259.0</v>
      </c>
      <c r="D44" s="87">
        <v>259.0</v>
      </c>
      <c r="E44" s="87">
        <v>259.0</v>
      </c>
      <c r="F44" s="87">
        <v>259.0</v>
      </c>
      <c r="G44" s="87">
        <v>259.0</v>
      </c>
      <c r="H44" s="87">
        <v>259.0</v>
      </c>
      <c r="I44" s="87">
        <v>259.0</v>
      </c>
      <c r="J44" s="87">
        <v>259.0</v>
      </c>
      <c r="K44" s="87">
        <v>259.0</v>
      </c>
      <c r="L44" s="87">
        <v>259.0</v>
      </c>
      <c r="M44" s="87">
        <v>259.0</v>
      </c>
      <c r="N44" s="17">
        <f t="shared" si="9"/>
        <v>3108</v>
      </c>
    </row>
    <row r="45" ht="13.5" customHeight="1">
      <c r="A45" s="31" t="s">
        <v>50</v>
      </c>
      <c r="B45" s="46">
        <f t="shared" ref="B45:M45" si="10">45+97.5+399</f>
        <v>541.5</v>
      </c>
      <c r="C45" s="46">
        <f t="shared" si="10"/>
        <v>541.5</v>
      </c>
      <c r="D45" s="46">
        <f t="shared" si="10"/>
        <v>541.5</v>
      </c>
      <c r="E45" s="46">
        <f t="shared" si="10"/>
        <v>541.5</v>
      </c>
      <c r="F45" s="46">
        <f t="shared" si="10"/>
        <v>541.5</v>
      </c>
      <c r="G45" s="46">
        <f t="shared" si="10"/>
        <v>541.5</v>
      </c>
      <c r="H45" s="46">
        <f t="shared" si="10"/>
        <v>541.5</v>
      </c>
      <c r="I45" s="46">
        <f t="shared" si="10"/>
        <v>541.5</v>
      </c>
      <c r="J45" s="46">
        <f t="shared" si="10"/>
        <v>541.5</v>
      </c>
      <c r="K45" s="46">
        <f t="shared" si="10"/>
        <v>541.5</v>
      </c>
      <c r="L45" s="46">
        <f t="shared" si="10"/>
        <v>541.5</v>
      </c>
      <c r="M45" s="46">
        <f t="shared" si="10"/>
        <v>541.5</v>
      </c>
      <c r="N45" s="17">
        <f t="shared" si="9"/>
        <v>6498</v>
      </c>
    </row>
    <row r="46" ht="13.5" customHeight="1">
      <c r="A46" s="32" t="s">
        <v>51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17">
        <f t="shared" si="9"/>
        <v>0</v>
      </c>
    </row>
    <row r="47" ht="13.5" customHeight="1">
      <c r="A47" s="31" t="s">
        <v>52</v>
      </c>
      <c r="B47" s="87">
        <f t="shared" ref="B47:M47" si="11">850+30+1400+750+3000</f>
        <v>6030</v>
      </c>
      <c r="C47" s="87">
        <f t="shared" si="11"/>
        <v>6030</v>
      </c>
      <c r="D47" s="87">
        <f t="shared" si="11"/>
        <v>6030</v>
      </c>
      <c r="E47" s="87">
        <f t="shared" si="11"/>
        <v>6030</v>
      </c>
      <c r="F47" s="87">
        <f t="shared" si="11"/>
        <v>6030</v>
      </c>
      <c r="G47" s="87">
        <f t="shared" si="11"/>
        <v>6030</v>
      </c>
      <c r="H47" s="87">
        <f t="shared" si="11"/>
        <v>6030</v>
      </c>
      <c r="I47" s="87">
        <f t="shared" si="11"/>
        <v>6030</v>
      </c>
      <c r="J47" s="87">
        <f t="shared" si="11"/>
        <v>6030</v>
      </c>
      <c r="K47" s="87">
        <f t="shared" si="11"/>
        <v>6030</v>
      </c>
      <c r="L47" s="87">
        <f t="shared" si="11"/>
        <v>6030</v>
      </c>
      <c r="M47" s="87">
        <f t="shared" si="11"/>
        <v>6030</v>
      </c>
      <c r="N47" s="17">
        <f t="shared" si="9"/>
        <v>72360</v>
      </c>
    </row>
    <row r="48" ht="13.5" customHeight="1">
      <c r="A48" s="31" t="s">
        <v>131</v>
      </c>
      <c r="B48" s="87">
        <f t="shared" ref="B48:M48" si="12">350.33+55.66+80</f>
        <v>485.99</v>
      </c>
      <c r="C48" s="87">
        <f t="shared" si="12"/>
        <v>485.99</v>
      </c>
      <c r="D48" s="87">
        <f t="shared" si="12"/>
        <v>485.99</v>
      </c>
      <c r="E48" s="87">
        <f t="shared" si="12"/>
        <v>485.99</v>
      </c>
      <c r="F48" s="87">
        <f t="shared" si="12"/>
        <v>485.99</v>
      </c>
      <c r="G48" s="87">
        <f t="shared" si="12"/>
        <v>485.99</v>
      </c>
      <c r="H48" s="87">
        <f t="shared" si="12"/>
        <v>485.99</v>
      </c>
      <c r="I48" s="87">
        <f t="shared" si="12"/>
        <v>485.99</v>
      </c>
      <c r="J48" s="87">
        <f t="shared" si="12"/>
        <v>485.99</v>
      </c>
      <c r="K48" s="87">
        <f t="shared" si="12"/>
        <v>485.99</v>
      </c>
      <c r="L48" s="87">
        <f t="shared" si="12"/>
        <v>485.99</v>
      </c>
      <c r="M48" s="87">
        <f t="shared" si="12"/>
        <v>485.99</v>
      </c>
      <c r="N48" s="17">
        <f t="shared" si="9"/>
        <v>5831.88</v>
      </c>
    </row>
    <row r="49" ht="13.5" customHeight="1">
      <c r="A49" s="35" t="s">
        <v>54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17">
        <f t="shared" si="9"/>
        <v>0</v>
      </c>
    </row>
    <row r="50" ht="13.5" customHeight="1">
      <c r="A50" s="19" t="s">
        <v>132</v>
      </c>
      <c r="B50" s="96">
        <f>1600+995</f>
        <v>2595</v>
      </c>
      <c r="C50" s="96">
        <v>1600.0</v>
      </c>
      <c r="D50" s="96">
        <v>1600.0</v>
      </c>
      <c r="E50" s="96">
        <v>1600.0</v>
      </c>
      <c r="F50" s="96">
        <v>1600.0</v>
      </c>
      <c r="G50" s="96">
        <v>1600.0</v>
      </c>
      <c r="H50" s="96">
        <v>1600.0</v>
      </c>
      <c r="I50" s="96">
        <v>1600.0</v>
      </c>
      <c r="J50" s="96">
        <v>1600.0</v>
      </c>
      <c r="K50" s="96">
        <v>1600.0</v>
      </c>
      <c r="L50" s="96">
        <v>1600.0</v>
      </c>
      <c r="M50" s="96">
        <v>1600.0</v>
      </c>
      <c r="N50" s="17">
        <f t="shared" si="9"/>
        <v>20195</v>
      </c>
    </row>
    <row r="51" ht="13.5" customHeight="1">
      <c r="A51" s="15"/>
      <c r="B51" s="46"/>
      <c r="C51" s="46"/>
      <c r="D51" s="46"/>
      <c r="E51" s="46"/>
      <c r="F51" s="46"/>
      <c r="G51" s="46"/>
      <c r="H51" s="46"/>
      <c r="I51" s="46"/>
      <c r="J51" s="87"/>
      <c r="K51" s="46"/>
      <c r="L51" s="46"/>
      <c r="M51" s="46"/>
      <c r="N51" s="17">
        <f t="shared" si="9"/>
        <v>0</v>
      </c>
    </row>
    <row r="52" ht="13.5" customHeight="1">
      <c r="A52" s="91" t="s">
        <v>23</v>
      </c>
      <c r="B52" s="28">
        <f t="shared" ref="B52:N52" si="13">SUM(B34:B51)</f>
        <v>14985.39</v>
      </c>
      <c r="C52" s="28">
        <f t="shared" si="13"/>
        <v>13990.39</v>
      </c>
      <c r="D52" s="28">
        <f t="shared" si="13"/>
        <v>13190.39</v>
      </c>
      <c r="E52" s="28">
        <f t="shared" si="13"/>
        <v>13190.39</v>
      </c>
      <c r="F52" s="28">
        <f t="shared" si="13"/>
        <v>13190.39</v>
      </c>
      <c r="G52" s="28">
        <f t="shared" si="13"/>
        <v>13190.39</v>
      </c>
      <c r="H52" s="28">
        <f t="shared" si="13"/>
        <v>13190.39</v>
      </c>
      <c r="I52" s="28">
        <f t="shared" si="13"/>
        <v>13190.39</v>
      </c>
      <c r="J52" s="28">
        <f t="shared" si="13"/>
        <v>13190.39</v>
      </c>
      <c r="K52" s="28">
        <f t="shared" si="13"/>
        <v>13190.39</v>
      </c>
      <c r="L52" s="28">
        <f t="shared" si="13"/>
        <v>13190.39</v>
      </c>
      <c r="M52" s="28">
        <f t="shared" si="13"/>
        <v>13190.39</v>
      </c>
      <c r="N52" s="28">
        <f t="shared" si="13"/>
        <v>160879.68</v>
      </c>
    </row>
    <row r="53" ht="13.5" customHeight="1">
      <c r="A53" s="79" t="s">
        <v>56</v>
      </c>
      <c r="B53" s="63"/>
      <c r="C53" s="63"/>
      <c r="D53" s="63"/>
      <c r="E53" s="63"/>
      <c r="F53" s="83"/>
      <c r="G53" s="83"/>
      <c r="H53" s="83"/>
      <c r="I53" s="83"/>
      <c r="J53" s="83"/>
      <c r="K53" s="83"/>
      <c r="L53" s="83"/>
      <c r="M53" s="83"/>
      <c r="N53" s="83"/>
    </row>
    <row r="54" ht="13.5" customHeight="1">
      <c r="A54" s="32" t="s">
        <v>57</v>
      </c>
      <c r="B54" s="46">
        <v>2500.0</v>
      </c>
      <c r="C54" s="46">
        <v>2500.0</v>
      </c>
      <c r="D54" s="46">
        <v>2500.0</v>
      </c>
      <c r="E54" s="46">
        <v>2500.0</v>
      </c>
      <c r="F54" s="46">
        <v>2500.0</v>
      </c>
      <c r="G54" s="46">
        <v>2500.0</v>
      </c>
      <c r="H54" s="46">
        <v>2500.0</v>
      </c>
      <c r="I54" s="46">
        <v>2500.0</v>
      </c>
      <c r="J54" s="46">
        <v>2500.0</v>
      </c>
      <c r="K54" s="46">
        <v>2500.0</v>
      </c>
      <c r="L54" s="46">
        <v>2500.0</v>
      </c>
      <c r="M54" s="46">
        <v>2500.0</v>
      </c>
      <c r="N54" s="17">
        <f t="shared" ref="N54:N69" si="14">SUM(B54:M54)</f>
        <v>30000</v>
      </c>
    </row>
    <row r="55" ht="13.5" customHeight="1">
      <c r="A55" s="32" t="s">
        <v>58</v>
      </c>
      <c r="B55" s="87">
        <v>1650.0</v>
      </c>
      <c r="C55" s="87">
        <v>2000.0</v>
      </c>
      <c r="D55" s="87">
        <v>2000.0</v>
      </c>
      <c r="E55" s="87">
        <v>2000.0</v>
      </c>
      <c r="F55" s="87">
        <v>2000.0</v>
      </c>
      <c r="G55" s="87">
        <v>2000.0</v>
      </c>
      <c r="H55" s="87">
        <v>2000.0</v>
      </c>
      <c r="I55" s="87">
        <v>2000.0</v>
      </c>
      <c r="J55" s="87">
        <v>2000.0</v>
      </c>
      <c r="K55" s="87">
        <v>2000.0</v>
      </c>
      <c r="L55" s="87">
        <v>2000.0</v>
      </c>
      <c r="M55" s="87">
        <v>2000.0</v>
      </c>
      <c r="N55" s="17">
        <f t="shared" si="14"/>
        <v>23650</v>
      </c>
    </row>
    <row r="56" ht="13.5" customHeight="1">
      <c r="A56" s="31" t="s">
        <v>59</v>
      </c>
      <c r="B56" s="87">
        <f t="shared" ref="B56:M56" si="15">399+351+57</f>
        <v>807</v>
      </c>
      <c r="C56" s="87">
        <f t="shared" si="15"/>
        <v>807</v>
      </c>
      <c r="D56" s="87">
        <f t="shared" si="15"/>
        <v>807</v>
      </c>
      <c r="E56" s="87">
        <f t="shared" si="15"/>
        <v>807</v>
      </c>
      <c r="F56" s="87">
        <f t="shared" si="15"/>
        <v>807</v>
      </c>
      <c r="G56" s="87">
        <f t="shared" si="15"/>
        <v>807</v>
      </c>
      <c r="H56" s="87">
        <f t="shared" si="15"/>
        <v>807</v>
      </c>
      <c r="I56" s="87">
        <f t="shared" si="15"/>
        <v>807</v>
      </c>
      <c r="J56" s="87">
        <f t="shared" si="15"/>
        <v>807</v>
      </c>
      <c r="K56" s="87">
        <f t="shared" si="15"/>
        <v>807</v>
      </c>
      <c r="L56" s="87">
        <f t="shared" si="15"/>
        <v>807</v>
      </c>
      <c r="M56" s="87">
        <f t="shared" si="15"/>
        <v>807</v>
      </c>
      <c r="N56" s="17">
        <f t="shared" si="14"/>
        <v>9684</v>
      </c>
    </row>
    <row r="57" ht="13.5" customHeight="1">
      <c r="A57" s="31" t="s">
        <v>133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17">
        <f t="shared" si="14"/>
        <v>0</v>
      </c>
    </row>
    <row r="58" ht="13.5" customHeight="1">
      <c r="A58" s="31" t="s">
        <v>134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17">
        <f t="shared" si="14"/>
        <v>0</v>
      </c>
    </row>
    <row r="59" ht="13.5" customHeight="1">
      <c r="A59" s="31" t="s">
        <v>135</v>
      </c>
      <c r="B59" s="97">
        <v>1250.0</v>
      </c>
      <c r="C59" s="97">
        <v>1250.0</v>
      </c>
      <c r="D59" s="97">
        <v>1250.0</v>
      </c>
      <c r="E59" s="97">
        <v>1250.0</v>
      </c>
      <c r="F59" s="97">
        <v>1250.0</v>
      </c>
      <c r="G59" s="97">
        <v>1250.0</v>
      </c>
      <c r="H59" s="97">
        <v>1250.0</v>
      </c>
      <c r="I59" s="97">
        <v>1250.0</v>
      </c>
      <c r="J59" s="97">
        <v>1250.0</v>
      </c>
      <c r="K59" s="97">
        <v>1250.0</v>
      </c>
      <c r="L59" s="97">
        <v>1250.0</v>
      </c>
      <c r="M59" s="97">
        <v>1250.0</v>
      </c>
      <c r="N59" s="17">
        <f t="shared" si="14"/>
        <v>15000</v>
      </c>
    </row>
    <row r="60" ht="13.5" customHeight="1">
      <c r="A60" s="32" t="s">
        <v>136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17">
        <f t="shared" si="14"/>
        <v>0</v>
      </c>
    </row>
    <row r="61" ht="13.5" customHeight="1">
      <c r="A61" s="32" t="s">
        <v>137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17">
        <f t="shared" si="14"/>
        <v>0</v>
      </c>
    </row>
    <row r="62" ht="13.5" customHeight="1">
      <c r="A62" s="32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14"/>
        <v>0</v>
      </c>
    </row>
    <row r="63" ht="13.5" customHeight="1">
      <c r="A63" s="31" t="s">
        <v>64</v>
      </c>
      <c r="B63" s="87">
        <f t="shared" ref="B63:M63" si="16">8670.8+1030</f>
        <v>9700.8</v>
      </c>
      <c r="C63" s="87">
        <f t="shared" si="16"/>
        <v>9700.8</v>
      </c>
      <c r="D63" s="87">
        <f t="shared" si="16"/>
        <v>9700.8</v>
      </c>
      <c r="E63" s="87">
        <f t="shared" si="16"/>
        <v>9700.8</v>
      </c>
      <c r="F63" s="87">
        <f t="shared" si="16"/>
        <v>9700.8</v>
      </c>
      <c r="G63" s="87">
        <f t="shared" si="16"/>
        <v>9700.8</v>
      </c>
      <c r="H63" s="87">
        <f t="shared" si="16"/>
        <v>9700.8</v>
      </c>
      <c r="I63" s="87">
        <f t="shared" si="16"/>
        <v>9700.8</v>
      </c>
      <c r="J63" s="87">
        <f t="shared" si="16"/>
        <v>9700.8</v>
      </c>
      <c r="K63" s="87">
        <f t="shared" si="16"/>
        <v>9700.8</v>
      </c>
      <c r="L63" s="87">
        <f t="shared" si="16"/>
        <v>9700.8</v>
      </c>
      <c r="M63" s="87">
        <f t="shared" si="16"/>
        <v>9700.8</v>
      </c>
      <c r="N63" s="17">
        <f t="shared" si="14"/>
        <v>116409.6</v>
      </c>
    </row>
    <row r="64" ht="13.5" customHeight="1">
      <c r="A64" s="32" t="s">
        <v>65</v>
      </c>
      <c r="B64" s="87">
        <f t="shared" ref="B64:M64" si="17">744+1401</f>
        <v>2145</v>
      </c>
      <c r="C64" s="87">
        <f t="shared" si="17"/>
        <v>2145</v>
      </c>
      <c r="D64" s="87">
        <f t="shared" si="17"/>
        <v>2145</v>
      </c>
      <c r="E64" s="87">
        <f t="shared" si="17"/>
        <v>2145</v>
      </c>
      <c r="F64" s="87">
        <f t="shared" si="17"/>
        <v>2145</v>
      </c>
      <c r="G64" s="87">
        <f t="shared" si="17"/>
        <v>2145</v>
      </c>
      <c r="H64" s="87">
        <f t="shared" si="17"/>
        <v>2145</v>
      </c>
      <c r="I64" s="87">
        <f t="shared" si="17"/>
        <v>2145</v>
      </c>
      <c r="J64" s="87">
        <f t="shared" si="17"/>
        <v>2145</v>
      </c>
      <c r="K64" s="87">
        <f t="shared" si="17"/>
        <v>2145</v>
      </c>
      <c r="L64" s="87">
        <f t="shared" si="17"/>
        <v>2145</v>
      </c>
      <c r="M64" s="87">
        <f t="shared" si="17"/>
        <v>2145</v>
      </c>
      <c r="N64" s="17">
        <f t="shared" si="14"/>
        <v>25740</v>
      </c>
    </row>
    <row r="65" ht="13.5" customHeight="1">
      <c r="A65" s="31" t="s">
        <v>66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17">
        <f t="shared" si="14"/>
        <v>0</v>
      </c>
    </row>
    <row r="66" ht="13.5" customHeight="1">
      <c r="A66" s="31" t="s">
        <v>67</v>
      </c>
      <c r="B66" s="46"/>
      <c r="C66" s="46"/>
      <c r="D66" s="46"/>
      <c r="E66" s="46"/>
      <c r="F66" s="46"/>
      <c r="G66" s="46"/>
      <c r="H66" s="92"/>
      <c r="I66" s="46"/>
      <c r="J66" s="46"/>
      <c r="K66" s="46"/>
      <c r="L66" s="46"/>
      <c r="M66" s="46"/>
      <c r="N66" s="17">
        <f t="shared" si="14"/>
        <v>0</v>
      </c>
    </row>
    <row r="67" ht="13.5" customHeight="1">
      <c r="A67" s="25" t="s">
        <v>68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17">
        <f t="shared" si="14"/>
        <v>0</v>
      </c>
    </row>
    <row r="68" ht="13.5" customHeight="1">
      <c r="A68" s="25" t="s">
        <v>69</v>
      </c>
      <c r="B68" s="92"/>
      <c r="C68" s="92"/>
      <c r="D68" s="92"/>
      <c r="E68" s="92"/>
      <c r="F68" s="28"/>
      <c r="G68" s="28"/>
      <c r="H68" s="28"/>
      <c r="I68" s="28"/>
      <c r="J68" s="28"/>
      <c r="K68" s="28"/>
      <c r="L68" s="28"/>
      <c r="M68" s="28"/>
      <c r="N68" s="17">
        <f t="shared" si="14"/>
        <v>0</v>
      </c>
    </row>
    <row r="69" ht="13.5" customHeight="1">
      <c r="A69" s="39" t="s">
        <v>70</v>
      </c>
      <c r="B69" s="92"/>
      <c r="C69" s="92"/>
      <c r="D69" s="92"/>
      <c r="E69" s="92"/>
      <c r="F69" s="28"/>
      <c r="G69" s="28"/>
      <c r="H69" s="28"/>
      <c r="I69" s="28"/>
      <c r="J69" s="28"/>
      <c r="K69" s="28"/>
      <c r="L69" s="28"/>
      <c r="M69" s="28"/>
      <c r="N69" s="17">
        <f t="shared" si="14"/>
        <v>0</v>
      </c>
    </row>
    <row r="70" ht="13.5" customHeight="1">
      <c r="A70" s="91" t="s">
        <v>23</v>
      </c>
      <c r="B70" s="28">
        <f t="shared" ref="B70:N70" si="18">SUM(B54:B69)</f>
        <v>18052.8</v>
      </c>
      <c r="C70" s="28">
        <f t="shared" si="18"/>
        <v>18402.8</v>
      </c>
      <c r="D70" s="28">
        <f t="shared" si="18"/>
        <v>18402.8</v>
      </c>
      <c r="E70" s="28">
        <f t="shared" si="18"/>
        <v>18402.8</v>
      </c>
      <c r="F70" s="28">
        <f t="shared" si="18"/>
        <v>18402.8</v>
      </c>
      <c r="G70" s="28">
        <f t="shared" si="18"/>
        <v>18402.8</v>
      </c>
      <c r="H70" s="28">
        <f t="shared" si="18"/>
        <v>18402.8</v>
      </c>
      <c r="I70" s="28">
        <f t="shared" si="18"/>
        <v>18402.8</v>
      </c>
      <c r="J70" s="28">
        <f t="shared" si="18"/>
        <v>18402.8</v>
      </c>
      <c r="K70" s="28">
        <f t="shared" si="18"/>
        <v>18402.8</v>
      </c>
      <c r="L70" s="28">
        <f t="shared" si="18"/>
        <v>18402.8</v>
      </c>
      <c r="M70" s="28">
        <f t="shared" si="18"/>
        <v>18402.8</v>
      </c>
      <c r="N70" s="28">
        <f t="shared" si="18"/>
        <v>220483.6</v>
      </c>
    </row>
    <row r="71" ht="13.5" customHeight="1">
      <c r="A71" s="79" t="s">
        <v>71</v>
      </c>
      <c r="B71" s="63"/>
      <c r="C71" s="63"/>
      <c r="D71" s="63"/>
      <c r="E71" s="63"/>
      <c r="F71" s="83"/>
      <c r="G71" s="83"/>
      <c r="H71" s="83"/>
      <c r="I71" s="83"/>
      <c r="J71" s="83"/>
      <c r="K71" s="83"/>
      <c r="L71" s="83"/>
      <c r="M71" s="83"/>
      <c r="N71" s="83"/>
    </row>
    <row r="72" ht="13.5" customHeight="1">
      <c r="A72" s="32" t="s">
        <v>138</v>
      </c>
      <c r="B72" s="87">
        <v>0.0</v>
      </c>
      <c r="C72" s="87">
        <v>0.0</v>
      </c>
      <c r="D72" s="87">
        <v>0.0</v>
      </c>
      <c r="E72" s="87">
        <v>0.0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0.0</v>
      </c>
      <c r="L72" s="87">
        <v>0.0</v>
      </c>
      <c r="M72" s="87">
        <v>0.0</v>
      </c>
      <c r="N72" s="17">
        <f t="shared" ref="N72:N83" si="19">SUM(B72:M72)</f>
        <v>0</v>
      </c>
    </row>
    <row r="73" ht="13.5" customHeight="1">
      <c r="A73" s="31" t="s">
        <v>73</v>
      </c>
      <c r="B73" s="87">
        <v>0.0</v>
      </c>
      <c r="C73" s="87">
        <v>0.0</v>
      </c>
      <c r="D73" s="87">
        <v>0.0</v>
      </c>
      <c r="E73" s="87">
        <v>0.0</v>
      </c>
      <c r="F73" s="87">
        <v>0.0</v>
      </c>
      <c r="G73" s="87">
        <v>0.0</v>
      </c>
      <c r="H73" s="87">
        <v>0.0</v>
      </c>
      <c r="I73" s="87">
        <v>0.0</v>
      </c>
      <c r="J73" s="87">
        <v>0.0</v>
      </c>
      <c r="K73" s="87">
        <v>0.0</v>
      </c>
      <c r="L73" s="87">
        <v>0.0</v>
      </c>
      <c r="M73" s="87">
        <v>0.0</v>
      </c>
      <c r="N73" s="17">
        <f t="shared" si="19"/>
        <v>0</v>
      </c>
    </row>
    <row r="74" ht="13.5" customHeight="1">
      <c r="A74" s="32" t="s">
        <v>139</v>
      </c>
      <c r="B74" s="97">
        <v>1250.0</v>
      </c>
      <c r="C74" s="97">
        <v>1250.0</v>
      </c>
      <c r="D74" s="97">
        <v>1250.0</v>
      </c>
      <c r="E74" s="97">
        <v>1250.0</v>
      </c>
      <c r="F74" s="97">
        <v>1250.0</v>
      </c>
      <c r="G74" s="97">
        <v>1250.0</v>
      </c>
      <c r="H74" s="97">
        <v>1250.0</v>
      </c>
      <c r="I74" s="97">
        <v>1250.0</v>
      </c>
      <c r="J74" s="97">
        <v>1250.0</v>
      </c>
      <c r="K74" s="97">
        <v>1250.0</v>
      </c>
      <c r="L74" s="97">
        <v>1250.0</v>
      </c>
      <c r="M74" s="97">
        <v>1250.0</v>
      </c>
      <c r="N74" s="17">
        <f t="shared" si="19"/>
        <v>15000</v>
      </c>
    </row>
    <row r="75" ht="13.5" customHeight="1">
      <c r="A75" s="31" t="s">
        <v>137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17">
        <f t="shared" si="19"/>
        <v>0</v>
      </c>
    </row>
    <row r="76" ht="13.5" customHeight="1">
      <c r="A76" s="32" t="s">
        <v>136</v>
      </c>
      <c r="B76" s="46"/>
      <c r="C76" s="46"/>
      <c r="D76" s="46"/>
      <c r="E76" s="46"/>
      <c r="F76" s="87"/>
      <c r="G76" s="46"/>
      <c r="H76" s="46"/>
      <c r="I76" s="46"/>
      <c r="J76" s="46"/>
      <c r="K76" s="46"/>
      <c r="L76" s="46"/>
      <c r="M76" s="46"/>
      <c r="N76" s="17">
        <f t="shared" si="19"/>
        <v>0</v>
      </c>
    </row>
    <row r="77" ht="13.5" customHeight="1">
      <c r="A77" s="32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17">
        <f t="shared" si="19"/>
        <v>0</v>
      </c>
    </row>
    <row r="78" ht="13.5" customHeight="1">
      <c r="A78" s="31" t="s">
        <v>140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17">
        <f t="shared" si="19"/>
        <v>0</v>
      </c>
    </row>
    <row r="79" ht="13.5" customHeight="1">
      <c r="A79" s="27" t="s">
        <v>141</v>
      </c>
      <c r="B79" s="87">
        <v>4105.0</v>
      </c>
      <c r="C79" s="87">
        <v>4105.0</v>
      </c>
      <c r="D79" s="87">
        <v>4105.0</v>
      </c>
      <c r="E79" s="87">
        <v>4105.0</v>
      </c>
      <c r="F79" s="87">
        <v>4105.0</v>
      </c>
      <c r="G79" s="87">
        <v>4105.0</v>
      </c>
      <c r="H79" s="87">
        <v>4105.0</v>
      </c>
      <c r="I79" s="87">
        <v>4105.0</v>
      </c>
      <c r="J79" s="87">
        <v>4105.0</v>
      </c>
      <c r="K79" s="87">
        <v>4105.0</v>
      </c>
      <c r="L79" s="87">
        <v>4105.0</v>
      </c>
      <c r="M79" s="87">
        <v>4105.0</v>
      </c>
      <c r="N79" s="17">
        <f t="shared" si="19"/>
        <v>49260</v>
      </c>
    </row>
    <row r="80" ht="13.5" customHeight="1">
      <c r="A80" s="42" t="s">
        <v>79</v>
      </c>
      <c r="B80" s="98">
        <v>1750.0</v>
      </c>
      <c r="C80" s="98">
        <v>1750.0</v>
      </c>
      <c r="D80" s="98">
        <v>1750.0</v>
      </c>
      <c r="E80" s="98">
        <v>1750.0</v>
      </c>
      <c r="F80" s="98">
        <v>1750.0</v>
      </c>
      <c r="G80" s="98">
        <v>1750.0</v>
      </c>
      <c r="H80" s="98">
        <v>1750.0</v>
      </c>
      <c r="I80" s="98">
        <v>1750.0</v>
      </c>
      <c r="J80" s="98">
        <v>1750.0</v>
      </c>
      <c r="K80" s="98">
        <v>1750.0</v>
      </c>
      <c r="L80" s="98">
        <v>1750.0</v>
      </c>
      <c r="M80" s="98">
        <v>1750.0</v>
      </c>
      <c r="N80" s="17">
        <f t="shared" si="19"/>
        <v>21000</v>
      </c>
    </row>
    <row r="81" ht="13.5" customHeight="1">
      <c r="A81" s="43" t="s">
        <v>80</v>
      </c>
      <c r="B81" s="87">
        <v>0.0</v>
      </c>
      <c r="C81" s="87">
        <v>0.0</v>
      </c>
      <c r="D81" s="87">
        <v>0.0</v>
      </c>
      <c r="E81" s="87">
        <v>0.0</v>
      </c>
      <c r="F81" s="87">
        <v>0.0</v>
      </c>
      <c r="G81" s="87">
        <v>0.0</v>
      </c>
      <c r="H81" s="87">
        <v>0.0</v>
      </c>
      <c r="I81" s="87">
        <v>0.0</v>
      </c>
      <c r="J81" s="87">
        <v>0.0</v>
      </c>
      <c r="K81" s="87">
        <v>0.0</v>
      </c>
      <c r="L81" s="87">
        <v>0.0</v>
      </c>
      <c r="M81" s="87">
        <v>0.0</v>
      </c>
      <c r="N81" s="17">
        <f t="shared" si="19"/>
        <v>0</v>
      </c>
    </row>
    <row r="82" ht="13.5" customHeight="1">
      <c r="A82" s="91" t="s">
        <v>23</v>
      </c>
      <c r="B82" s="28">
        <f t="shared" ref="B82:M82" si="20">SUM(B72:B81)</f>
        <v>7105</v>
      </c>
      <c r="C82" s="28">
        <f t="shared" si="20"/>
        <v>7105</v>
      </c>
      <c r="D82" s="28">
        <f t="shared" si="20"/>
        <v>7105</v>
      </c>
      <c r="E82" s="28">
        <f t="shared" si="20"/>
        <v>7105</v>
      </c>
      <c r="F82" s="28">
        <f t="shared" si="20"/>
        <v>7105</v>
      </c>
      <c r="G82" s="28">
        <f t="shared" si="20"/>
        <v>7105</v>
      </c>
      <c r="H82" s="28">
        <f t="shared" si="20"/>
        <v>7105</v>
      </c>
      <c r="I82" s="28">
        <f t="shared" si="20"/>
        <v>7105</v>
      </c>
      <c r="J82" s="28">
        <f t="shared" si="20"/>
        <v>7105</v>
      </c>
      <c r="K82" s="28">
        <f t="shared" si="20"/>
        <v>7105</v>
      </c>
      <c r="L82" s="28">
        <f t="shared" si="20"/>
        <v>7105</v>
      </c>
      <c r="M82" s="28">
        <f t="shared" si="20"/>
        <v>7105</v>
      </c>
      <c r="N82" s="44">
        <f t="shared" si="19"/>
        <v>85260</v>
      </c>
    </row>
    <row r="83" ht="13.5" customHeight="1">
      <c r="A83" s="99" t="s">
        <v>81</v>
      </c>
      <c r="B83" s="28">
        <f t="shared" ref="B83:M83" si="21">B82+B70+B52</f>
        <v>40143.19</v>
      </c>
      <c r="C83" s="28">
        <f t="shared" si="21"/>
        <v>39498.19</v>
      </c>
      <c r="D83" s="28">
        <f t="shared" si="21"/>
        <v>38698.19</v>
      </c>
      <c r="E83" s="28">
        <f t="shared" si="21"/>
        <v>38698.19</v>
      </c>
      <c r="F83" s="28">
        <f t="shared" si="21"/>
        <v>38698.19</v>
      </c>
      <c r="G83" s="28">
        <f t="shared" si="21"/>
        <v>38698.19</v>
      </c>
      <c r="H83" s="28">
        <f t="shared" si="21"/>
        <v>38698.19</v>
      </c>
      <c r="I83" s="28">
        <f t="shared" si="21"/>
        <v>38698.19</v>
      </c>
      <c r="J83" s="28">
        <f t="shared" si="21"/>
        <v>38698.19</v>
      </c>
      <c r="K83" s="28">
        <f t="shared" si="21"/>
        <v>38698.19</v>
      </c>
      <c r="L83" s="28">
        <f t="shared" si="21"/>
        <v>38698.19</v>
      </c>
      <c r="M83" s="28">
        <f t="shared" si="21"/>
        <v>38698.19</v>
      </c>
      <c r="N83" s="44">
        <f t="shared" si="19"/>
        <v>466623.28</v>
      </c>
    </row>
    <row r="84" ht="13.5" customHeight="1">
      <c r="A84" s="99" t="s">
        <v>82</v>
      </c>
      <c r="B84" s="47">
        <f t="shared" ref="B84:N84" si="22">B83/B112</f>
        <v>286.7370714</v>
      </c>
      <c r="C84" s="46">
        <f t="shared" si="22"/>
        <v>290.4278676</v>
      </c>
      <c r="D84" s="46">
        <f t="shared" si="22"/>
        <v>210.31625</v>
      </c>
      <c r="E84" s="46">
        <f t="shared" si="22"/>
        <v>198.4522564</v>
      </c>
      <c r="F84" s="46">
        <f t="shared" si="22"/>
        <v>209.1794054</v>
      </c>
      <c r="G84" s="46">
        <f t="shared" si="22"/>
        <v>234.5344848</v>
      </c>
      <c r="H84" s="46">
        <f t="shared" si="22"/>
        <v>224.9894767</v>
      </c>
      <c r="I84" s="46">
        <f t="shared" si="22"/>
        <v>204.752328</v>
      </c>
      <c r="J84" s="46">
        <f t="shared" si="22"/>
        <v>261.4742568</v>
      </c>
      <c r="K84" s="46">
        <f t="shared" si="22"/>
        <v>231.7256886</v>
      </c>
      <c r="L84" s="46">
        <f t="shared" si="22"/>
        <v>254.5933553</v>
      </c>
      <c r="M84" s="47">
        <f t="shared" si="22"/>
        <v>204.752328</v>
      </c>
      <c r="N84" s="47">
        <f t="shared" si="22"/>
        <v>230.7731355</v>
      </c>
    </row>
    <row r="85" ht="13.5" customHeight="1">
      <c r="A85" s="79" t="s">
        <v>83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</row>
    <row r="86" ht="13.5" customHeight="1">
      <c r="A86" s="15" t="s">
        <v>84</v>
      </c>
      <c r="B86" s="87">
        <v>820.0</v>
      </c>
      <c r="C86" s="87">
        <v>820.0</v>
      </c>
      <c r="D86" s="87">
        <v>820.0</v>
      </c>
      <c r="E86" s="87">
        <v>820.0</v>
      </c>
      <c r="F86" s="87">
        <v>820.0</v>
      </c>
      <c r="G86" s="87">
        <v>820.0</v>
      </c>
      <c r="H86" s="87">
        <v>820.0</v>
      </c>
      <c r="I86" s="87">
        <v>820.0</v>
      </c>
      <c r="J86" s="87">
        <v>820.0</v>
      </c>
      <c r="K86" s="87">
        <v>820.0</v>
      </c>
      <c r="L86" s="87">
        <v>820.0</v>
      </c>
      <c r="M86" s="87">
        <v>820.0</v>
      </c>
      <c r="N86" s="17">
        <f t="shared" ref="N86:N89" si="23">SUM(B86:M86)</f>
        <v>9840</v>
      </c>
    </row>
    <row r="87" ht="13.5" customHeight="1">
      <c r="A87" s="15" t="s">
        <v>142</v>
      </c>
      <c r="B87" s="46"/>
      <c r="C87" s="46"/>
      <c r="D87" s="46"/>
      <c r="E87" s="46"/>
      <c r="F87" s="87"/>
      <c r="G87" s="46"/>
      <c r="H87" s="46"/>
      <c r="I87" s="46"/>
      <c r="J87" s="46"/>
      <c r="K87" s="46"/>
      <c r="L87" s="46"/>
      <c r="M87" s="46"/>
      <c r="N87" s="17">
        <f t="shared" si="23"/>
        <v>0</v>
      </c>
    </row>
    <row r="88" ht="13.5" customHeight="1">
      <c r="A88" s="91"/>
      <c r="B88" s="100"/>
      <c r="C88" s="100"/>
      <c r="D88" s="100"/>
      <c r="E88" s="100"/>
      <c r="F88" s="28"/>
      <c r="G88" s="28"/>
      <c r="H88" s="28"/>
      <c r="I88" s="28"/>
      <c r="J88" s="28"/>
      <c r="K88" s="28"/>
      <c r="L88" s="28"/>
      <c r="M88" s="28"/>
      <c r="N88" s="17">
        <f t="shared" si="23"/>
        <v>0</v>
      </c>
    </row>
    <row r="89" ht="13.5" customHeight="1">
      <c r="A89" s="91"/>
      <c r="B89" s="100"/>
      <c r="C89" s="100"/>
      <c r="D89" s="100"/>
      <c r="E89" s="100"/>
      <c r="F89" s="28"/>
      <c r="G89" s="28"/>
      <c r="H89" s="28"/>
      <c r="I89" s="28"/>
      <c r="J89" s="28"/>
      <c r="K89" s="28"/>
      <c r="L89" s="28"/>
      <c r="M89" s="28"/>
      <c r="N89" s="17">
        <f t="shared" si="23"/>
        <v>0</v>
      </c>
    </row>
    <row r="90" ht="13.5" customHeight="1">
      <c r="A90" s="91" t="s">
        <v>23</v>
      </c>
      <c r="B90" s="28">
        <f t="shared" ref="B90:N90" si="24">SUM(B86:B89)</f>
        <v>820</v>
      </c>
      <c r="C90" s="28">
        <f t="shared" si="24"/>
        <v>820</v>
      </c>
      <c r="D90" s="28">
        <f t="shared" si="24"/>
        <v>820</v>
      </c>
      <c r="E90" s="28">
        <f t="shared" si="24"/>
        <v>820</v>
      </c>
      <c r="F90" s="28">
        <f t="shared" si="24"/>
        <v>820</v>
      </c>
      <c r="G90" s="28">
        <f t="shared" si="24"/>
        <v>820</v>
      </c>
      <c r="H90" s="28">
        <f t="shared" si="24"/>
        <v>820</v>
      </c>
      <c r="I90" s="28">
        <f t="shared" si="24"/>
        <v>820</v>
      </c>
      <c r="J90" s="28">
        <f t="shared" si="24"/>
        <v>820</v>
      </c>
      <c r="K90" s="28">
        <f t="shared" si="24"/>
        <v>820</v>
      </c>
      <c r="L90" s="28">
        <f t="shared" si="24"/>
        <v>820</v>
      </c>
      <c r="M90" s="28">
        <f t="shared" si="24"/>
        <v>820</v>
      </c>
      <c r="N90" s="28">
        <f t="shared" si="24"/>
        <v>9840</v>
      </c>
    </row>
    <row r="91" ht="13.5" customHeight="1">
      <c r="A91" s="89" t="s">
        <v>88</v>
      </c>
      <c r="B91" s="90"/>
      <c r="C91" s="90"/>
      <c r="D91" s="90"/>
      <c r="E91" s="90"/>
      <c r="F91" s="83"/>
      <c r="G91" s="83"/>
      <c r="H91" s="83"/>
      <c r="I91" s="83"/>
      <c r="J91" s="83"/>
      <c r="K91" s="83"/>
      <c r="L91" s="83"/>
      <c r="M91" s="83"/>
      <c r="N91" s="83"/>
    </row>
    <row r="92" ht="13.5" customHeight="1">
      <c r="A92" s="31" t="s">
        <v>89</v>
      </c>
      <c r="B92" s="101">
        <f>PRODUCTION!B18</f>
        <v>750</v>
      </c>
      <c r="C92" s="102">
        <f>PRODUCTION!B19</f>
        <v>750</v>
      </c>
      <c r="D92" s="102">
        <f>PRODUCTION!B20</f>
        <v>750</v>
      </c>
      <c r="E92" s="102">
        <f>PRODUCTION!B21</f>
        <v>750</v>
      </c>
      <c r="F92" s="102">
        <f>PRODUCTION!B22</f>
        <v>750</v>
      </c>
      <c r="G92" s="102">
        <f>PRODUCTION!B23</f>
        <v>750</v>
      </c>
      <c r="H92" s="102">
        <f>PRODUCTION!B24</f>
        <v>750</v>
      </c>
      <c r="I92" s="102">
        <f>PRODUCTION!B25</f>
        <v>750</v>
      </c>
      <c r="J92" s="102">
        <f>PRODUCTION!B26</f>
        <v>750</v>
      </c>
      <c r="K92" s="102">
        <f>PRODUCTION!B27</f>
        <v>750</v>
      </c>
      <c r="L92" s="102">
        <f>PRODUCTION!B28</f>
        <v>750</v>
      </c>
      <c r="M92" s="102">
        <f>PRODUCTION!B29</f>
        <v>750</v>
      </c>
      <c r="N92" s="17">
        <f t="shared" ref="N92:N105" si="25">SUM(B92:M92)</f>
        <v>9000</v>
      </c>
    </row>
    <row r="93" ht="13.5" customHeight="1">
      <c r="A93" s="31" t="s">
        <v>90</v>
      </c>
      <c r="B93" s="46"/>
      <c r="C93" s="46"/>
      <c r="D93" s="46"/>
      <c r="E93" s="46"/>
      <c r="F93" s="103"/>
      <c r="G93" s="46"/>
      <c r="H93" s="87"/>
      <c r="I93" s="46"/>
      <c r="J93" s="87"/>
      <c r="K93" s="87"/>
      <c r="L93" s="46"/>
      <c r="M93" s="87"/>
      <c r="N93" s="17">
        <f t="shared" si="25"/>
        <v>0</v>
      </c>
    </row>
    <row r="94" ht="13.5" customHeight="1">
      <c r="A94" s="31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17">
        <f t="shared" si="25"/>
        <v>2360</v>
      </c>
    </row>
    <row r="95" ht="13.5" customHeight="1">
      <c r="A95" s="31" t="s">
        <v>92</v>
      </c>
      <c r="B95" s="87">
        <v>500.0</v>
      </c>
      <c r="C95" s="87">
        <v>500.0</v>
      </c>
      <c r="D95" s="87">
        <v>0.0</v>
      </c>
      <c r="E95" s="87">
        <v>0.0</v>
      </c>
      <c r="F95" s="104">
        <v>155.0</v>
      </c>
      <c r="G95" s="104">
        <f>350+167</f>
        <v>517</v>
      </c>
      <c r="H95" s="104">
        <v>0.0</v>
      </c>
      <c r="I95" s="105">
        <f>265+3.233</f>
        <v>268.233</v>
      </c>
      <c r="J95" s="87">
        <v>500.0</v>
      </c>
      <c r="K95" s="87">
        <v>456.78</v>
      </c>
      <c r="L95" s="87">
        <v>500.0</v>
      </c>
      <c r="M95" s="87">
        <v>500.0</v>
      </c>
      <c r="N95" s="17">
        <f t="shared" si="25"/>
        <v>3897.013</v>
      </c>
    </row>
    <row r="96" ht="13.5" customHeight="1">
      <c r="A96" s="32" t="s">
        <v>143</v>
      </c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17">
        <f t="shared" si="25"/>
        <v>0</v>
      </c>
    </row>
    <row r="97" ht="13.5" customHeight="1">
      <c r="A97" s="32" t="s">
        <v>94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17">
        <f t="shared" si="25"/>
        <v>0</v>
      </c>
    </row>
    <row r="98" ht="13.5" customHeight="1">
      <c r="A98" s="32" t="s">
        <v>95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17">
        <f t="shared" si="25"/>
        <v>0</v>
      </c>
    </row>
    <row r="99" ht="13.5" customHeight="1">
      <c r="A99" s="31" t="s">
        <v>96</v>
      </c>
      <c r="B99" s="46"/>
      <c r="C99" s="46"/>
      <c r="D99" s="46"/>
      <c r="E99" s="46"/>
      <c r="F99" s="46"/>
      <c r="G99" s="46"/>
      <c r="H99" s="46"/>
      <c r="I99" s="46"/>
      <c r="J99" s="46"/>
      <c r="K99" s="87"/>
      <c r="L99" s="87"/>
      <c r="M99" s="87"/>
      <c r="N99" s="17">
        <f t="shared" si="25"/>
        <v>0</v>
      </c>
    </row>
    <row r="100" ht="13.5" customHeight="1">
      <c r="A100" s="31" t="s">
        <v>97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17">
        <f t="shared" si="25"/>
        <v>0</v>
      </c>
    </row>
    <row r="101" ht="13.5" customHeight="1">
      <c r="A101" s="32" t="s">
        <v>98</v>
      </c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17">
        <f t="shared" si="25"/>
        <v>0</v>
      </c>
    </row>
    <row r="102" ht="13.5" customHeight="1">
      <c r="A102" s="31" t="s">
        <v>99</v>
      </c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17">
        <f t="shared" si="25"/>
        <v>0</v>
      </c>
    </row>
    <row r="103" ht="13.5" customHeight="1">
      <c r="A103" s="32" t="s">
        <v>100</v>
      </c>
      <c r="B103" s="87">
        <v>200.0</v>
      </c>
      <c r="C103" s="87">
        <v>435.0</v>
      </c>
      <c r="D103" s="87">
        <f>200+113.63</f>
        <v>313.63</v>
      </c>
      <c r="E103" s="87">
        <v>200.0</v>
      </c>
      <c r="F103" s="87">
        <v>200.0</v>
      </c>
      <c r="G103" s="87">
        <v>605.0</v>
      </c>
      <c r="H103" s="87">
        <v>605.0</v>
      </c>
      <c r="I103" s="87">
        <v>200.0</v>
      </c>
      <c r="J103" s="87">
        <f>435+200</f>
        <v>635</v>
      </c>
      <c r="K103" s="87">
        <v>200.0</v>
      </c>
      <c r="L103" s="87">
        <v>200.0</v>
      </c>
      <c r="M103" s="87">
        <v>200.0</v>
      </c>
      <c r="N103" s="17">
        <f t="shared" si="25"/>
        <v>3993.63</v>
      </c>
    </row>
    <row r="104" ht="13.5" customHeight="1">
      <c r="A104" s="27" t="s">
        <v>101</v>
      </c>
      <c r="B104" s="87">
        <v>300.0</v>
      </c>
      <c r="C104" s="87">
        <v>375.0</v>
      </c>
      <c r="D104" s="98">
        <v>375.0</v>
      </c>
      <c r="E104" s="98">
        <v>375.0</v>
      </c>
      <c r="F104" s="98">
        <v>375.0</v>
      </c>
      <c r="G104" s="98">
        <v>375.0</v>
      </c>
      <c r="H104" s="98">
        <v>375.0</v>
      </c>
      <c r="I104" s="98">
        <v>375.0</v>
      </c>
      <c r="J104" s="98">
        <v>375.0</v>
      </c>
      <c r="K104" s="98">
        <v>375.0</v>
      </c>
      <c r="L104" s="98">
        <v>375.0</v>
      </c>
      <c r="M104" s="98">
        <v>375.0</v>
      </c>
      <c r="N104" s="17">
        <f t="shared" si="25"/>
        <v>4425</v>
      </c>
    </row>
    <row r="105" ht="13.5" customHeight="1">
      <c r="A105" s="27" t="s">
        <v>102</v>
      </c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17">
        <f t="shared" si="25"/>
        <v>0</v>
      </c>
    </row>
    <row r="106" ht="13.5" customHeight="1">
      <c r="A106" s="9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ht="13.5" customHeight="1">
      <c r="A107" s="91" t="s">
        <v>23</v>
      </c>
      <c r="B107" s="28">
        <f t="shared" ref="B107:N107" si="26">SUM(B92:B105)</f>
        <v>1930</v>
      </c>
      <c r="C107" s="28">
        <f t="shared" si="26"/>
        <v>2240</v>
      </c>
      <c r="D107" s="28">
        <f t="shared" si="26"/>
        <v>1618.63</v>
      </c>
      <c r="E107" s="28">
        <f t="shared" si="26"/>
        <v>1505</v>
      </c>
      <c r="F107" s="28">
        <f t="shared" si="26"/>
        <v>1660</v>
      </c>
      <c r="G107" s="28">
        <f t="shared" si="26"/>
        <v>2427</v>
      </c>
      <c r="H107" s="28">
        <f t="shared" si="26"/>
        <v>1910</v>
      </c>
      <c r="I107" s="28">
        <f t="shared" si="26"/>
        <v>1773.233</v>
      </c>
      <c r="J107" s="28">
        <f t="shared" si="26"/>
        <v>2440</v>
      </c>
      <c r="K107" s="28">
        <f t="shared" si="26"/>
        <v>2161.78</v>
      </c>
      <c r="L107" s="28">
        <f t="shared" si="26"/>
        <v>2005</v>
      </c>
      <c r="M107" s="106">
        <f t="shared" si="26"/>
        <v>2005</v>
      </c>
      <c r="N107" s="28">
        <f t="shared" si="26"/>
        <v>23675.643</v>
      </c>
    </row>
    <row r="108" ht="13.5" customHeight="1">
      <c r="A108" s="91" t="s">
        <v>104</v>
      </c>
      <c r="B108" s="107">
        <v>-13554.15</v>
      </c>
      <c r="C108" s="108">
        <v>-16691.31</v>
      </c>
      <c r="D108" s="108">
        <v>-7916.0</v>
      </c>
      <c r="E108" s="108">
        <v>-14911.96</v>
      </c>
      <c r="F108" s="108">
        <v>-6636.04</v>
      </c>
      <c r="G108" s="108">
        <v>-5387.0</v>
      </c>
      <c r="H108" s="108">
        <v>-5856.0</v>
      </c>
      <c r="I108" s="108">
        <v>-8307.81</v>
      </c>
      <c r="J108" s="108">
        <v>-12344.19</v>
      </c>
      <c r="K108" s="109">
        <v>-17314.0</v>
      </c>
      <c r="L108" s="110">
        <v>-14364.0</v>
      </c>
      <c r="M108" s="110">
        <v>-14364.0</v>
      </c>
      <c r="N108" s="111">
        <f>SUM(B108:M108)</f>
        <v>-137646.46</v>
      </c>
    </row>
    <row r="109" ht="13.5" customHeight="1">
      <c r="A109" s="112" t="s">
        <v>105</v>
      </c>
      <c r="B109" s="113">
        <f t="shared" ref="B109:N109" si="27">B107+B90+B83+B32+B21+B13</f>
        <v>62611.19</v>
      </c>
      <c r="C109" s="113">
        <f t="shared" si="27"/>
        <v>62985.67</v>
      </c>
      <c r="D109" s="113">
        <f t="shared" si="27"/>
        <v>75926.56286</v>
      </c>
      <c r="E109" s="113">
        <f t="shared" si="27"/>
        <v>70812.93286</v>
      </c>
      <c r="F109" s="113">
        <f t="shared" si="27"/>
        <v>86726.36143</v>
      </c>
      <c r="G109" s="113">
        <f t="shared" si="27"/>
        <v>82493.36143</v>
      </c>
      <c r="H109" s="113">
        <f t="shared" si="27"/>
        <v>61816.79</v>
      </c>
      <c r="I109" s="113">
        <f t="shared" si="27"/>
        <v>66680.023</v>
      </c>
      <c r="J109" s="113">
        <f t="shared" si="27"/>
        <v>71747.93286</v>
      </c>
      <c r="K109" s="113">
        <f t="shared" si="27"/>
        <v>71469.71286</v>
      </c>
      <c r="L109" s="113">
        <f t="shared" si="27"/>
        <v>71741.50429</v>
      </c>
      <c r="M109" s="114">
        <f t="shared" si="27"/>
        <v>82071.36143</v>
      </c>
      <c r="N109" s="50">
        <f t="shared" si="27"/>
        <v>867083.403</v>
      </c>
    </row>
    <row r="110" ht="13.5" customHeight="1">
      <c r="A110" s="115" t="s">
        <v>106</v>
      </c>
      <c r="B110" s="116">
        <v>55.0</v>
      </c>
      <c r="C110" s="116">
        <v>56.0</v>
      </c>
      <c r="D110" s="116">
        <v>94.0</v>
      </c>
      <c r="E110" s="117">
        <v>98.0</v>
      </c>
      <c r="F110" s="116">
        <v>80.0</v>
      </c>
      <c r="G110" s="116">
        <v>75.0</v>
      </c>
      <c r="H110" s="116">
        <v>72.0</v>
      </c>
      <c r="I110" s="116">
        <v>79.0</v>
      </c>
      <c r="J110" s="116">
        <v>63.0</v>
      </c>
      <c r="K110" s="116">
        <v>72.0</v>
      </c>
      <c r="L110" s="118">
        <v>67.0</v>
      </c>
      <c r="M110" s="118">
        <v>84.0</v>
      </c>
      <c r="N110" s="119">
        <f t="shared" ref="N110:N112" si="28">SUM(B110:M110)</f>
        <v>895</v>
      </c>
    </row>
    <row r="111" ht="13.5" customHeight="1">
      <c r="A111" s="35" t="s">
        <v>107</v>
      </c>
      <c r="B111" s="120">
        <v>85.0</v>
      </c>
      <c r="C111" s="120">
        <v>80.0</v>
      </c>
      <c r="D111" s="120">
        <v>90.0</v>
      </c>
      <c r="E111" s="120">
        <v>97.0</v>
      </c>
      <c r="F111" s="120">
        <v>105.0</v>
      </c>
      <c r="G111" s="120">
        <v>90.0</v>
      </c>
      <c r="H111" s="120">
        <v>100.0</v>
      </c>
      <c r="I111" s="120">
        <v>110.0</v>
      </c>
      <c r="J111" s="120">
        <v>85.0</v>
      </c>
      <c r="K111" s="120">
        <v>95.0</v>
      </c>
      <c r="L111" s="121">
        <v>85.0</v>
      </c>
      <c r="M111" s="121">
        <v>105.0</v>
      </c>
      <c r="N111" s="119">
        <f t="shared" si="28"/>
        <v>1127</v>
      </c>
    </row>
    <row r="112" ht="13.5" customHeight="1">
      <c r="A112" s="91" t="s">
        <v>23</v>
      </c>
      <c r="B112" s="122">
        <f t="shared" ref="B112:M112" si="29">B110+B111</f>
        <v>140</v>
      </c>
      <c r="C112" s="122">
        <f t="shared" si="29"/>
        <v>136</v>
      </c>
      <c r="D112" s="122">
        <f t="shared" si="29"/>
        <v>184</v>
      </c>
      <c r="E112" s="122">
        <f t="shared" si="29"/>
        <v>195</v>
      </c>
      <c r="F112" s="123">
        <f t="shared" si="29"/>
        <v>185</v>
      </c>
      <c r="G112" s="123">
        <f t="shared" si="29"/>
        <v>165</v>
      </c>
      <c r="H112" s="123">
        <f t="shared" si="29"/>
        <v>172</v>
      </c>
      <c r="I112" s="123">
        <f t="shared" si="29"/>
        <v>189</v>
      </c>
      <c r="J112" s="123">
        <f t="shared" si="29"/>
        <v>148</v>
      </c>
      <c r="K112" s="123">
        <f t="shared" si="29"/>
        <v>167</v>
      </c>
      <c r="L112" s="123">
        <f t="shared" si="29"/>
        <v>152</v>
      </c>
      <c r="M112" s="124">
        <f t="shared" si="29"/>
        <v>189</v>
      </c>
      <c r="N112" s="125">
        <f t="shared" si="28"/>
        <v>2022</v>
      </c>
    </row>
    <row r="113" ht="13.5" customHeight="1">
      <c r="A113" s="126" t="s">
        <v>108</v>
      </c>
      <c r="B113" s="58">
        <f t="shared" ref="B113:N113" si="30">B109/B112</f>
        <v>447.2227857</v>
      </c>
      <c r="C113" s="58">
        <f t="shared" si="30"/>
        <v>463.1299265</v>
      </c>
      <c r="D113" s="58">
        <f t="shared" si="30"/>
        <v>412.6443634</v>
      </c>
      <c r="E113" s="58">
        <f t="shared" si="30"/>
        <v>363.1432454</v>
      </c>
      <c r="F113" s="58">
        <f t="shared" si="30"/>
        <v>468.7911429</v>
      </c>
      <c r="G113" s="58">
        <f t="shared" si="30"/>
        <v>499.9597662</v>
      </c>
      <c r="H113" s="58">
        <f t="shared" si="30"/>
        <v>359.3999419</v>
      </c>
      <c r="I113" s="58">
        <f t="shared" si="30"/>
        <v>352.8043545</v>
      </c>
      <c r="J113" s="58">
        <f t="shared" si="30"/>
        <v>484.7833301</v>
      </c>
      <c r="K113" s="58">
        <f t="shared" si="30"/>
        <v>427.9623524</v>
      </c>
      <c r="L113" s="58">
        <f t="shared" si="30"/>
        <v>471.9835808</v>
      </c>
      <c r="M113" s="127">
        <f t="shared" si="30"/>
        <v>434.2400076</v>
      </c>
      <c r="N113" s="57">
        <f t="shared" si="30"/>
        <v>428.8246306</v>
      </c>
    </row>
    <row r="114" ht="13.5" customHeight="1">
      <c r="A114" s="79" t="s">
        <v>109</v>
      </c>
      <c r="B114" s="63"/>
      <c r="C114" s="63"/>
      <c r="D114" s="63"/>
      <c r="E114" s="63"/>
      <c r="F114" s="83"/>
      <c r="G114" s="83"/>
      <c r="H114" s="83"/>
      <c r="I114" s="83"/>
      <c r="J114" s="83"/>
      <c r="K114" s="83"/>
      <c r="L114" s="83"/>
      <c r="M114" s="128"/>
      <c r="N114" s="83"/>
    </row>
    <row r="115" ht="13.5" customHeight="1">
      <c r="A115" s="59" t="s">
        <v>110</v>
      </c>
      <c r="B115" s="87">
        <f t="shared" ref="B115:M115" si="31">1095</f>
        <v>1095</v>
      </c>
      <c r="C115" s="87">
        <f t="shared" si="31"/>
        <v>1095</v>
      </c>
      <c r="D115" s="87">
        <f t="shared" si="31"/>
        <v>1095</v>
      </c>
      <c r="E115" s="87">
        <f t="shared" si="31"/>
        <v>1095</v>
      </c>
      <c r="F115" s="87">
        <f t="shared" si="31"/>
        <v>1095</v>
      </c>
      <c r="G115" s="87">
        <f t="shared" si="31"/>
        <v>1095</v>
      </c>
      <c r="H115" s="87">
        <f t="shared" si="31"/>
        <v>1095</v>
      </c>
      <c r="I115" s="87">
        <f t="shared" si="31"/>
        <v>1095</v>
      </c>
      <c r="J115" s="87">
        <f t="shared" si="31"/>
        <v>1095</v>
      </c>
      <c r="K115" s="87">
        <f t="shared" si="31"/>
        <v>1095</v>
      </c>
      <c r="L115" s="87">
        <f t="shared" si="31"/>
        <v>1095</v>
      </c>
      <c r="M115" s="87">
        <f t="shared" si="31"/>
        <v>1095</v>
      </c>
      <c r="N115" s="17">
        <f t="shared" ref="N115:N120" si="32">SUM(B115:M115)</f>
        <v>13140</v>
      </c>
    </row>
    <row r="116" ht="13.5" customHeight="1">
      <c r="A116" s="60" t="s">
        <v>111</v>
      </c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7">
        <f t="shared" si="32"/>
        <v>0</v>
      </c>
    </row>
    <row r="117" ht="13.5" customHeight="1">
      <c r="A117" s="59" t="s">
        <v>112</v>
      </c>
      <c r="B117" s="87">
        <f>1250+2266.1
</f>
        <v>3516.1</v>
      </c>
      <c r="C117" s="87">
        <f>1250</f>
        <v>1250</v>
      </c>
      <c r="D117" s="87">
        <v>1250.0</v>
      </c>
      <c r="E117" s="87">
        <f>1250+2266.1
</f>
        <v>3516.1</v>
      </c>
      <c r="F117" s="87">
        <v>1250.0</v>
      </c>
      <c r="G117" s="87">
        <v>1250.0</v>
      </c>
      <c r="H117" s="87">
        <f>1250+2266.1
</f>
        <v>3516.1</v>
      </c>
      <c r="I117" s="87">
        <v>1250.0</v>
      </c>
      <c r="J117" s="87">
        <v>1250.0</v>
      </c>
      <c r="K117" s="87">
        <f>1250+2274.16</f>
        <v>3524.16</v>
      </c>
      <c r="L117" s="87">
        <v>1250.0</v>
      </c>
      <c r="M117" s="87">
        <v>1250.0</v>
      </c>
      <c r="N117" s="17">
        <f t="shared" si="32"/>
        <v>24072.46</v>
      </c>
    </row>
    <row r="118" ht="13.5" customHeight="1">
      <c r="A118" s="59" t="s">
        <v>80</v>
      </c>
      <c r="B118" s="98">
        <v>450.8</v>
      </c>
      <c r="C118" s="98">
        <v>450.8</v>
      </c>
      <c r="D118" s="98">
        <v>450.8</v>
      </c>
      <c r="E118" s="98">
        <v>450.8</v>
      </c>
      <c r="F118" s="98">
        <v>450.8</v>
      </c>
      <c r="G118" s="98">
        <v>450.8</v>
      </c>
      <c r="H118" s="98">
        <v>450.8</v>
      </c>
      <c r="I118" s="98">
        <v>450.8</v>
      </c>
      <c r="J118" s="98">
        <v>450.8</v>
      </c>
      <c r="K118" s="98">
        <v>450.8</v>
      </c>
      <c r="L118" s="98">
        <v>450.8</v>
      </c>
      <c r="M118" s="98">
        <v>450.8</v>
      </c>
      <c r="N118" s="17">
        <f t="shared" si="32"/>
        <v>5409.6</v>
      </c>
    </row>
    <row r="119">
      <c r="A119" s="61" t="s">
        <v>113</v>
      </c>
      <c r="B119" s="130">
        <v>395.0</v>
      </c>
      <c r="C119" s="130">
        <v>395.0</v>
      </c>
      <c r="D119" s="130">
        <v>395.0</v>
      </c>
      <c r="E119" s="130">
        <v>395.0</v>
      </c>
      <c r="F119" s="130">
        <v>395.0</v>
      </c>
      <c r="G119" s="130">
        <v>395.0</v>
      </c>
      <c r="H119" s="130">
        <v>395.0</v>
      </c>
      <c r="I119" s="130">
        <v>395.0</v>
      </c>
      <c r="J119" s="130">
        <v>395.0</v>
      </c>
      <c r="K119" s="130">
        <v>395.0</v>
      </c>
      <c r="L119" s="130">
        <v>395.0</v>
      </c>
      <c r="M119" s="130">
        <v>395.0</v>
      </c>
      <c r="N119" s="131">
        <f t="shared" si="32"/>
        <v>4740</v>
      </c>
    </row>
    <row r="120" ht="13.5" customHeight="1">
      <c r="A120" s="132" t="s">
        <v>114</v>
      </c>
      <c r="B120" s="87">
        <v>1966.0</v>
      </c>
      <c r="C120" s="87">
        <v>1966.0</v>
      </c>
      <c r="D120" s="87">
        <v>1966.0</v>
      </c>
      <c r="E120" s="87">
        <v>1966.0</v>
      </c>
      <c r="F120" s="87">
        <v>1966.0</v>
      </c>
      <c r="G120" s="87">
        <v>1966.0</v>
      </c>
      <c r="H120" s="87">
        <v>1966.0</v>
      </c>
      <c r="I120" s="87">
        <v>1966.0</v>
      </c>
      <c r="J120" s="87">
        <v>1966.0</v>
      </c>
      <c r="K120" s="87">
        <v>1966.0</v>
      </c>
      <c r="L120" s="87">
        <v>1966.0</v>
      </c>
      <c r="M120" s="87">
        <v>1966.0</v>
      </c>
      <c r="N120" s="17">
        <f t="shared" si="32"/>
        <v>23592</v>
      </c>
    </row>
    <row r="121" ht="13.5" customHeight="1">
      <c r="A121" s="99" t="s">
        <v>23</v>
      </c>
      <c r="B121" s="63">
        <f t="shared" ref="B121:N121" si="33">SUM(B115:B120)</f>
        <v>7422.9</v>
      </c>
      <c r="C121" s="63">
        <f t="shared" si="33"/>
        <v>5156.8</v>
      </c>
      <c r="D121" s="63">
        <f t="shared" si="33"/>
        <v>5156.8</v>
      </c>
      <c r="E121" s="63">
        <f t="shared" si="33"/>
        <v>7422.9</v>
      </c>
      <c r="F121" s="63">
        <f t="shared" si="33"/>
        <v>5156.8</v>
      </c>
      <c r="G121" s="63">
        <f t="shared" si="33"/>
        <v>5156.8</v>
      </c>
      <c r="H121" s="63">
        <f t="shared" si="33"/>
        <v>7422.9</v>
      </c>
      <c r="I121" s="63">
        <f t="shared" si="33"/>
        <v>5156.8</v>
      </c>
      <c r="J121" s="63">
        <f t="shared" si="33"/>
        <v>5156.8</v>
      </c>
      <c r="K121" s="63">
        <f t="shared" si="33"/>
        <v>7430.96</v>
      </c>
      <c r="L121" s="63">
        <f t="shared" si="33"/>
        <v>5156.8</v>
      </c>
      <c r="M121" s="133">
        <f t="shared" si="33"/>
        <v>5156.8</v>
      </c>
      <c r="N121" s="63">
        <f t="shared" si="33"/>
        <v>70954.06</v>
      </c>
    </row>
    <row r="122" ht="13.5" customHeight="1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</row>
    <row r="123" ht="13.5" customHeight="1">
      <c r="A123" s="64" t="s">
        <v>115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</row>
    <row r="124" ht="13.5" customHeight="1">
      <c r="A124" s="64" t="s">
        <v>116</v>
      </c>
      <c r="B124" s="67">
        <f t="shared" ref="B124:N124" si="34">+B13*0.7+B21*0.7+B32*0.7+B52*0.6+B70+B107*0.6</f>
        <v>42004.634</v>
      </c>
      <c r="C124" s="67">
        <f t="shared" si="34"/>
        <v>42440.27</v>
      </c>
      <c r="D124" s="67">
        <f t="shared" si="34"/>
        <v>51641.032</v>
      </c>
      <c r="E124" s="67">
        <f t="shared" si="34"/>
        <v>48072.854</v>
      </c>
      <c r="F124" s="67">
        <f t="shared" si="34"/>
        <v>59196.754</v>
      </c>
      <c r="G124" s="67">
        <f t="shared" si="34"/>
        <v>56156.954</v>
      </c>
      <c r="H124" s="67">
        <f t="shared" si="34"/>
        <v>41735.054</v>
      </c>
      <c r="I124" s="67">
        <f t="shared" si="34"/>
        <v>45152.9938</v>
      </c>
      <c r="J124" s="67">
        <f t="shared" si="34"/>
        <v>48633.854</v>
      </c>
      <c r="K124" s="67">
        <f t="shared" si="34"/>
        <v>48466.922</v>
      </c>
      <c r="L124" s="67">
        <f t="shared" si="34"/>
        <v>48672.854</v>
      </c>
      <c r="M124" s="67">
        <f t="shared" si="34"/>
        <v>55903.754</v>
      </c>
      <c r="N124" s="67">
        <f t="shared" si="34"/>
        <v>588077.9298</v>
      </c>
    </row>
    <row r="125" ht="13.5" customHeight="1">
      <c r="A125" s="64" t="s">
        <v>117</v>
      </c>
      <c r="B125" s="67">
        <f t="shared" ref="B125:N125" si="35">+B13*0.3+B21*0.3+B32*0.3+B52*0.4+B82+B90+B107*0.4</f>
        <v>20606.556</v>
      </c>
      <c r="C125" s="67">
        <f t="shared" si="35"/>
        <v>20545.4</v>
      </c>
      <c r="D125" s="67">
        <f t="shared" si="35"/>
        <v>24285.53086</v>
      </c>
      <c r="E125" s="67">
        <f t="shared" si="35"/>
        <v>22740.07886</v>
      </c>
      <c r="F125" s="67">
        <f t="shared" si="35"/>
        <v>27529.60743</v>
      </c>
      <c r="G125" s="67">
        <f t="shared" si="35"/>
        <v>26336.40743</v>
      </c>
      <c r="H125" s="67">
        <f t="shared" si="35"/>
        <v>20081.736</v>
      </c>
      <c r="I125" s="67">
        <f t="shared" si="35"/>
        <v>21527.0292</v>
      </c>
      <c r="J125" s="67">
        <f t="shared" si="35"/>
        <v>23114.07886</v>
      </c>
      <c r="K125" s="67">
        <f t="shared" si="35"/>
        <v>23002.79086</v>
      </c>
      <c r="L125" s="67">
        <f t="shared" si="35"/>
        <v>23068.65029</v>
      </c>
      <c r="M125" s="67">
        <f t="shared" si="35"/>
        <v>26167.60743</v>
      </c>
      <c r="N125" s="67">
        <f t="shared" si="35"/>
        <v>279005.4732</v>
      </c>
    </row>
    <row r="126" ht="13.5" customHeight="1">
      <c r="A126" s="64" t="s">
        <v>23</v>
      </c>
      <c r="B126" s="67">
        <f t="shared" ref="B126:N126" si="36">SUM(B124:B125)</f>
        <v>62611.19</v>
      </c>
      <c r="C126" s="67">
        <f t="shared" si="36"/>
        <v>62985.67</v>
      </c>
      <c r="D126" s="67">
        <f t="shared" si="36"/>
        <v>75926.56286</v>
      </c>
      <c r="E126" s="67">
        <f t="shared" si="36"/>
        <v>70812.93286</v>
      </c>
      <c r="F126" s="67">
        <f t="shared" si="36"/>
        <v>86726.36143</v>
      </c>
      <c r="G126" s="67">
        <f t="shared" si="36"/>
        <v>82493.36143</v>
      </c>
      <c r="H126" s="67">
        <f t="shared" si="36"/>
        <v>61816.79</v>
      </c>
      <c r="I126" s="67">
        <f t="shared" si="36"/>
        <v>66680.023</v>
      </c>
      <c r="J126" s="67">
        <f t="shared" si="36"/>
        <v>71747.93286</v>
      </c>
      <c r="K126" s="67">
        <f t="shared" si="36"/>
        <v>71469.71286</v>
      </c>
      <c r="L126" s="67">
        <f t="shared" si="36"/>
        <v>71741.50429</v>
      </c>
      <c r="M126" s="67">
        <f t="shared" si="36"/>
        <v>82071.36143</v>
      </c>
      <c r="N126" s="67">
        <f t="shared" si="36"/>
        <v>867083.403</v>
      </c>
    </row>
    <row r="127" ht="13.5" customHeight="1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</row>
    <row r="128" ht="13.5" customHeight="1">
      <c r="A128" s="69" t="s">
        <v>118</v>
      </c>
      <c r="B128" s="70">
        <f t="shared" ref="B128:N128" si="37">+B109</f>
        <v>62611.19</v>
      </c>
      <c r="C128" s="70">
        <f t="shared" si="37"/>
        <v>62985.67</v>
      </c>
      <c r="D128" s="70">
        <f t="shared" si="37"/>
        <v>75926.56286</v>
      </c>
      <c r="E128" s="70">
        <f t="shared" si="37"/>
        <v>70812.93286</v>
      </c>
      <c r="F128" s="70">
        <f t="shared" si="37"/>
        <v>86726.36143</v>
      </c>
      <c r="G128" s="70">
        <f t="shared" si="37"/>
        <v>82493.36143</v>
      </c>
      <c r="H128" s="70">
        <f t="shared" si="37"/>
        <v>61816.79</v>
      </c>
      <c r="I128" s="70">
        <f t="shared" si="37"/>
        <v>66680.023</v>
      </c>
      <c r="J128" s="70">
        <f t="shared" si="37"/>
        <v>71747.93286</v>
      </c>
      <c r="K128" s="70">
        <f t="shared" si="37"/>
        <v>71469.71286</v>
      </c>
      <c r="L128" s="70">
        <f t="shared" si="37"/>
        <v>71741.50429</v>
      </c>
      <c r="M128" s="70">
        <f t="shared" si="37"/>
        <v>82071.36143</v>
      </c>
      <c r="N128" s="70">
        <f t="shared" si="37"/>
        <v>867083.403</v>
      </c>
    </row>
    <row r="129" ht="13.5" customHeight="1">
      <c r="A129" s="134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</row>
    <row r="130" ht="13.5" customHeight="1">
      <c r="A130" s="71" t="s">
        <v>119</v>
      </c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</row>
    <row r="131" ht="12.75" customHeight="1">
      <c r="A131" s="71" t="s">
        <v>120</v>
      </c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</row>
    <row r="132" ht="12.75" customHeight="1">
      <c r="A132" s="71" t="s">
        <v>121</v>
      </c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</row>
    <row r="133" ht="12.75" customHeight="1">
      <c r="A133" s="134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</row>
    <row r="134" ht="12.75" customHeight="1">
      <c r="A134" s="134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</row>
    <row r="135" ht="12.75" customHeight="1">
      <c r="A135" s="134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</row>
    <row r="136" ht="12.75" customHeight="1">
      <c r="A136" s="134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</row>
  </sheetData>
  <mergeCells count="1">
    <mergeCell ref="A1:N1"/>
  </mergeCells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5.13" defaultRowHeight="15.75"/>
  <cols>
    <col customWidth="1" min="1" max="1" width="34.88"/>
    <col customWidth="1" min="2" max="3" width="9.13"/>
    <col customWidth="1" min="4" max="4" width="9.5"/>
    <col customWidth="1" min="5" max="5" width="9.13"/>
    <col customWidth="1" min="6" max="6" width="10.13"/>
    <col customWidth="1" min="7" max="9" width="9.13"/>
    <col customWidth="1" min="10" max="10" width="9.63"/>
    <col customWidth="1" min="11" max="13" width="9.13"/>
    <col customWidth="1" min="14" max="14" width="10.63"/>
  </cols>
  <sheetData>
    <row r="1" ht="13.5" customHeight="1">
      <c r="A1" s="76" t="s">
        <v>262</v>
      </c>
    </row>
    <row r="2" ht="13.5" customHeight="1">
      <c r="A2" s="77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7"/>
    </row>
    <row r="3" ht="13.5" customHeight="1">
      <c r="A3" s="1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</row>
    <row r="4" ht="13.5" customHeight="1">
      <c r="A4" s="296" t="s">
        <v>14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</row>
    <row r="5" ht="13.5" customHeight="1">
      <c r="A5" s="15" t="s">
        <v>15</v>
      </c>
      <c r="B5" s="86">
        <f>FORMULAS!S51</f>
        <v>7212.698413</v>
      </c>
      <c r="C5" s="86">
        <f>FORMULAS!W51</f>
        <v>7212.698413</v>
      </c>
      <c r="D5" s="86">
        <f>FORMULAS!AA51</f>
        <v>7212.698413</v>
      </c>
      <c r="E5" s="86">
        <f>FORMULAS!AE51</f>
        <v>9690.174452</v>
      </c>
      <c r="F5" s="86">
        <f>FORMULAS!AI51</f>
        <v>13940.37007</v>
      </c>
      <c r="G5" s="86">
        <f>FORMULAS!AM51</f>
        <v>12644.04018</v>
      </c>
      <c r="H5" s="86">
        <f>FORMULAS!AQ51</f>
        <v>8579.884411</v>
      </c>
      <c r="I5" s="86">
        <f>FORMULAS!AU51</f>
        <v>8579.884411</v>
      </c>
      <c r="J5" s="86">
        <f>FORMULAS!AY51</f>
        <v>10837.74873</v>
      </c>
      <c r="K5" s="86">
        <f>FORMULAS!BC51</f>
        <v>10837.74873</v>
      </c>
      <c r="L5" s="86">
        <f>FORMULAS!BG51</f>
        <v>12644.04018</v>
      </c>
      <c r="M5" s="86">
        <f>FORMULAS!BK51</f>
        <v>12644.04018</v>
      </c>
      <c r="N5" s="17">
        <f t="shared" ref="N5:N12" si="1">SUM(B5:M5)</f>
        <v>122036.0266</v>
      </c>
    </row>
    <row r="6" ht="13.5" customHeight="1">
      <c r="A6" s="15" t="s">
        <v>123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7">
        <f t="shared" si="1"/>
        <v>0</v>
      </c>
    </row>
    <row r="7" ht="13.5" customHeight="1">
      <c r="A7" s="15" t="s">
        <v>17</v>
      </c>
      <c r="B7" s="136">
        <f>FORMULAS!S253</f>
        <v>5517.515924</v>
      </c>
      <c r="C7" s="136">
        <f>FORMULAS!W253</f>
        <v>5517.515924</v>
      </c>
      <c r="D7" s="136">
        <f>FORMULAS!AA253</f>
        <v>7090.007962</v>
      </c>
      <c r="E7" s="136">
        <f>FORMULAS!AE253</f>
        <v>8690.08758</v>
      </c>
      <c r="F7" s="136">
        <f>FORMULAS!AI253</f>
        <v>12414.41083</v>
      </c>
      <c r="G7" s="136">
        <f>FORMULAS!AM253</f>
        <v>12414.41083</v>
      </c>
      <c r="H7" s="136">
        <f>FORMULAS!AQ253</f>
        <v>7090.007962</v>
      </c>
      <c r="I7" s="136">
        <f>FORMULAS!AU253</f>
        <v>7090.007962</v>
      </c>
      <c r="J7" s="136">
        <f>FORMULAS!AY253</f>
        <v>8690.08758</v>
      </c>
      <c r="K7" s="136">
        <f>FORMULAS!BC253</f>
        <v>8690.08758</v>
      </c>
      <c r="L7" s="136">
        <f>FORMULAS!BG253</f>
        <v>12414.41083</v>
      </c>
      <c r="M7" s="136">
        <f>FORMULAS!BK253</f>
        <v>12414.41083</v>
      </c>
      <c r="N7" s="17">
        <f t="shared" si="1"/>
        <v>108032.9618</v>
      </c>
    </row>
    <row r="8" ht="13.5" customHeight="1">
      <c r="A8" s="15" t="s">
        <v>18</v>
      </c>
      <c r="B8" s="86">
        <f>FORMULAS!S261+FORMULAS!P317</f>
        <v>0</v>
      </c>
      <c r="C8" s="86">
        <f>FORMULAS!W261+FORMULAS!T317</f>
        <v>0</v>
      </c>
      <c r="D8" s="86">
        <f>FORMULAS!AA261+FORMULAS!X317</f>
        <v>0</v>
      </c>
      <c r="E8" s="86">
        <f>FORMULAS!AE261+FORMULAS!AB317</f>
        <v>0</v>
      </c>
      <c r="F8" s="86">
        <f>FORMULAS!AI261+FORMULAS!AF317</f>
        <v>551.7515924</v>
      </c>
      <c r="G8" s="86">
        <f>FORMULAS!AM261+FORMULAS!AJ317</f>
        <v>551.7515924</v>
      </c>
      <c r="H8" s="136">
        <f>FORMULAS!AQ261+FORMULAS!AN317</f>
        <v>0</v>
      </c>
      <c r="I8" s="86">
        <f>FORMULAS!AU261+FORMULAS!AR317</f>
        <v>0</v>
      </c>
      <c r="J8" s="86">
        <f>FORMULAS!AY261+FORMULAS!AV317</f>
        <v>0</v>
      </c>
      <c r="K8" s="136">
        <f>FORMULAS!BC261+FORMULAS!AZ317</f>
        <v>0</v>
      </c>
      <c r="L8" s="136">
        <f>FORMULAS!BG261+FORMULAS!BD317</f>
        <v>600</v>
      </c>
      <c r="M8" s="136">
        <f>FORMULAS!BK261+FORMULAS!BH317</f>
        <v>600</v>
      </c>
      <c r="N8" s="17">
        <f t="shared" si="1"/>
        <v>2303.503185</v>
      </c>
    </row>
    <row r="9" ht="13.5" customHeight="1">
      <c r="A9" s="20" t="s">
        <v>263</v>
      </c>
      <c r="B9" s="46">
        <f>FORMULAS!S99+FORMULAS!P307+FORMULAS!S269</f>
        <v>3402.748891</v>
      </c>
      <c r="C9" s="46">
        <f>FORMULAS!W99+FORMULAS!T307+FORMULAS!W269</f>
        <v>3402.748891</v>
      </c>
      <c r="D9" s="46">
        <f>FORMULAS!AA99+FORMULAS!X307+FORMULAS!AA269</f>
        <v>4782.127872</v>
      </c>
      <c r="E9" s="46">
        <f>FORMULAS!AE99+FORMULAS!AB307+FORMULAS!AE269</f>
        <v>9165.909919</v>
      </c>
      <c r="F9" s="46">
        <f>FORMULAS!AI99+FORMULAS!AF307+FORMULAS!AI269</f>
        <v>13253.70366</v>
      </c>
      <c r="G9" s="46">
        <f>FORMULAS!AM99+FORMULAS!AJ307+FORMULAS!AM269</f>
        <v>12662.57723</v>
      </c>
      <c r="H9" s="46">
        <f>FORMULAS!AQ99+FORMULAS!AN307+FORMULAS!AQ269</f>
        <v>7447.262888</v>
      </c>
      <c r="I9" s="46">
        <f>FORMULAS!AU99+FORMULAS!AR307+FORMULAS!AU269</f>
        <v>7447.262888</v>
      </c>
      <c r="J9" s="46">
        <f>FORMULAS!AY99+FORMULAS!AV307+FORMULAS!AY269</f>
        <v>10054.92006</v>
      </c>
      <c r="K9" s="46">
        <f>FORMULAS!BC99+FORMULAS!AZ307+FORMULAS!BC269</f>
        <v>10537.40413</v>
      </c>
      <c r="L9" s="46">
        <f>FORMULAS!BG99+FORMULAS!BD307+FORMULAS!BG269</f>
        <v>13265.68232</v>
      </c>
      <c r="M9" s="46">
        <f>FORMULAS!BK99+FORMULAS!BH307+FORMULAS!BK269</f>
        <v>13265.68232</v>
      </c>
      <c r="N9" s="17">
        <f t="shared" si="1"/>
        <v>108688.0311</v>
      </c>
    </row>
    <row r="10" ht="13.5" customHeight="1">
      <c r="A10" s="20" t="s">
        <v>235</v>
      </c>
      <c r="B10" s="46">
        <f>FORMULAS!S75</f>
        <v>2767.014361</v>
      </c>
      <c r="C10" s="46">
        <f>FORMULAS!W75</f>
        <v>2027.541043</v>
      </c>
      <c r="D10" s="46">
        <f>FORMULAS!AA75</f>
        <v>2934.537868</v>
      </c>
      <c r="E10" s="46">
        <f>FORMULAS!AE75</f>
        <v>2640.362812</v>
      </c>
      <c r="F10" s="86">
        <f>FORMULAS!AI75</f>
        <v>0</v>
      </c>
      <c r="G10" s="46">
        <f>FORMULAS!AM75</f>
        <v>0</v>
      </c>
      <c r="H10" s="46">
        <f>FORMULAS!AQ75</f>
        <v>0</v>
      </c>
      <c r="I10" s="46">
        <f>FORMULAS!AU75</f>
        <v>0</v>
      </c>
      <c r="J10" s="46">
        <f>FORMULAS!AU75</f>
        <v>0</v>
      </c>
      <c r="K10" s="46">
        <f>FORMULAS!BC75</f>
        <v>2528.808037</v>
      </c>
      <c r="L10" s="46">
        <f>FORMULAS!BG75</f>
        <v>2528.808037</v>
      </c>
      <c r="M10" s="46">
        <f>FORMULAS!BK75</f>
        <v>2528.808037</v>
      </c>
      <c r="N10" s="17">
        <f t="shared" si="1"/>
        <v>17955.8802</v>
      </c>
    </row>
    <row r="11" ht="13.5" customHeight="1">
      <c r="A11" s="15" t="s">
        <v>21</v>
      </c>
      <c r="B11" s="87">
        <v>388.0</v>
      </c>
      <c r="C11" s="87">
        <v>426.88</v>
      </c>
      <c r="D11" s="87">
        <v>388.0</v>
      </c>
      <c r="E11" s="87">
        <v>388.0</v>
      </c>
      <c r="F11" s="87">
        <v>388.0</v>
      </c>
      <c r="G11" s="87">
        <v>388.0</v>
      </c>
      <c r="H11" s="87">
        <v>388.0</v>
      </c>
      <c r="I11" s="87">
        <v>388.0</v>
      </c>
      <c r="J11" s="87">
        <v>388.0</v>
      </c>
      <c r="K11" s="87">
        <v>388.0</v>
      </c>
      <c r="L11" s="87">
        <v>388.0</v>
      </c>
      <c r="M11" s="87">
        <v>388.0</v>
      </c>
      <c r="N11" s="17">
        <f t="shared" si="1"/>
        <v>4694.88</v>
      </c>
    </row>
    <row r="12" ht="13.5" customHeight="1">
      <c r="A12" s="15" t="s">
        <v>22</v>
      </c>
      <c r="B12" s="46">
        <f>PRODUCTION!W3</f>
        <v>700</v>
      </c>
      <c r="C12" s="46">
        <f>PRODUCTION!W4</f>
        <v>1370.6</v>
      </c>
      <c r="D12" s="46">
        <f>PRODUCTION!W5</f>
        <v>1370.6</v>
      </c>
      <c r="E12" s="46">
        <f>PRODUCTION!W6</f>
        <v>1370.6</v>
      </c>
      <c r="F12" s="46">
        <f>PRODUCTION!W7</f>
        <v>1370.6</v>
      </c>
      <c r="G12" s="46">
        <f>PRODUCTION!W8</f>
        <v>1370.6</v>
      </c>
      <c r="H12" s="46">
        <f>PRODUCTION!W9</f>
        <v>1370.6</v>
      </c>
      <c r="I12" s="46">
        <f>PRODUCTION!W10</f>
        <v>1370.6</v>
      </c>
      <c r="J12" s="46">
        <f>PRODUCTION!W11</f>
        <v>1370.6</v>
      </c>
      <c r="K12" s="46">
        <f>PRODUCTION!W12</f>
        <v>1370.6</v>
      </c>
      <c r="L12" s="46">
        <f>PRODUCTION!W13</f>
        <v>1370.6</v>
      </c>
      <c r="M12" s="46">
        <f>PRODUCTION!W14</f>
        <v>1370.6</v>
      </c>
      <c r="N12" s="17">
        <f t="shared" si="1"/>
        <v>15776.6</v>
      </c>
    </row>
    <row r="13" ht="13.5" customHeight="1">
      <c r="A13" s="21" t="s">
        <v>23</v>
      </c>
      <c r="B13" s="22">
        <f t="shared" ref="B13:N13" si="2">SUM(B5:B12)</f>
        <v>19987.97759</v>
      </c>
      <c r="C13" s="22">
        <f t="shared" si="2"/>
        <v>19957.98427</v>
      </c>
      <c r="D13" s="22">
        <f t="shared" si="2"/>
        <v>23777.97212</v>
      </c>
      <c r="E13" s="22">
        <f t="shared" si="2"/>
        <v>31945.13476</v>
      </c>
      <c r="F13" s="22">
        <f t="shared" si="2"/>
        <v>41918.83614</v>
      </c>
      <c r="G13" s="22">
        <f t="shared" si="2"/>
        <v>40031.37983</v>
      </c>
      <c r="H13" s="22">
        <f t="shared" si="2"/>
        <v>24875.75526</v>
      </c>
      <c r="I13" s="22">
        <f t="shared" si="2"/>
        <v>24875.75526</v>
      </c>
      <c r="J13" s="22">
        <f t="shared" si="2"/>
        <v>31341.35637</v>
      </c>
      <c r="K13" s="22">
        <f t="shared" si="2"/>
        <v>34352.64848</v>
      </c>
      <c r="L13" s="22">
        <f t="shared" si="2"/>
        <v>43211.54137</v>
      </c>
      <c r="M13" s="22">
        <f t="shared" si="2"/>
        <v>43211.54137</v>
      </c>
      <c r="N13" s="22">
        <f t="shared" si="2"/>
        <v>379487.8828</v>
      </c>
    </row>
    <row r="14" ht="13.5" customHeight="1">
      <c r="A14" s="297" t="s">
        <v>24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83"/>
    </row>
    <row r="15" ht="13.5" customHeight="1">
      <c r="A15" s="39" t="s">
        <v>264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17">
        <f t="shared" ref="N15:N18" si="3">SUM(B15:M15)</f>
        <v>0</v>
      </c>
    </row>
    <row r="16" ht="13.5" customHeight="1">
      <c r="A16" s="39" t="s">
        <v>265</v>
      </c>
      <c r="B16" s="46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17">
        <f t="shared" si="3"/>
        <v>0</v>
      </c>
    </row>
    <row r="17" ht="13.5" customHeight="1">
      <c r="A17" s="39" t="s">
        <v>27</v>
      </c>
      <c r="B17" s="46"/>
      <c r="C17" s="46"/>
      <c r="D17" s="87"/>
      <c r="E17" s="87"/>
      <c r="F17" s="87"/>
      <c r="G17" s="87"/>
      <c r="H17" s="87"/>
      <c r="I17" s="87"/>
      <c r="J17" s="87"/>
      <c r="K17" s="46"/>
      <c r="L17" s="46"/>
      <c r="M17" s="46"/>
      <c r="N17" s="17">
        <f t="shared" si="3"/>
        <v>0</v>
      </c>
    </row>
    <row r="18" ht="13.5" customHeight="1">
      <c r="A18" s="3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17">
        <f t="shared" si="3"/>
        <v>0</v>
      </c>
    </row>
    <row r="19" ht="13.5" customHeight="1">
      <c r="A19" s="27" t="s">
        <v>29</v>
      </c>
      <c r="B19" s="103"/>
      <c r="C19" s="103"/>
      <c r="D19" s="46"/>
      <c r="E19" s="87"/>
      <c r="F19" s="46"/>
      <c r="G19" s="46"/>
      <c r="H19" s="46"/>
      <c r="I19" s="46"/>
      <c r="J19" s="46"/>
      <c r="K19" s="46"/>
      <c r="L19" s="46"/>
      <c r="M19" s="46"/>
      <c r="N19" s="17">
        <f>SUM(C19:M19)</f>
        <v>0</v>
      </c>
    </row>
    <row r="20" ht="13.5" customHeight="1">
      <c r="A20" s="3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17">
        <f>SUM(B20:M20)</f>
        <v>0</v>
      </c>
    </row>
    <row r="21" ht="13.5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</row>
    <row r="22" ht="13.5" customHeight="1">
      <c r="A22" s="89" t="s">
        <v>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3"/>
    </row>
    <row r="23" ht="13.5" customHeight="1">
      <c r="A23" s="26" t="s">
        <v>31</v>
      </c>
      <c r="B23" s="87">
        <v>0.0</v>
      </c>
      <c r="C23" s="87">
        <v>0.0</v>
      </c>
      <c r="D23" s="87">
        <v>0.0</v>
      </c>
      <c r="E23" s="87">
        <v>0.0</v>
      </c>
      <c r="F23" s="87">
        <v>0.0</v>
      </c>
      <c r="G23" s="87">
        <v>0.0</v>
      </c>
      <c r="H23" s="87">
        <v>0.0</v>
      </c>
      <c r="I23" s="87">
        <v>0.0</v>
      </c>
      <c r="J23" s="87">
        <v>0.0</v>
      </c>
      <c r="K23" s="87">
        <v>0.0</v>
      </c>
      <c r="L23" s="87">
        <v>0.0</v>
      </c>
      <c r="M23" s="87">
        <v>0.0</v>
      </c>
      <c r="N23" s="17">
        <f t="shared" ref="N23:N31" si="5">SUM(B23:M23)</f>
        <v>0</v>
      </c>
    </row>
    <row r="24" ht="13.5" customHeight="1">
      <c r="A24" s="31" t="s">
        <v>32</v>
      </c>
      <c r="B24" s="28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17">
        <f t="shared" si="5"/>
        <v>0</v>
      </c>
    </row>
    <row r="25" ht="13.5" customHeight="1">
      <c r="A25" s="1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17">
        <f t="shared" si="5"/>
        <v>0</v>
      </c>
    </row>
    <row r="26" ht="13.5" customHeight="1">
      <c r="A26" s="32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17">
        <f t="shared" si="5"/>
        <v>0</v>
      </c>
    </row>
    <row r="27" ht="13.5" customHeight="1">
      <c r="A27" s="31" t="s">
        <v>34</v>
      </c>
      <c r="B27" s="46"/>
      <c r="C27" s="139"/>
      <c r="D27" s="139"/>
      <c r="E27" s="140"/>
      <c r="F27" s="141"/>
      <c r="G27" s="141"/>
      <c r="H27" s="140"/>
      <c r="I27" s="141"/>
      <c r="J27" s="140"/>
      <c r="K27" s="141"/>
      <c r="L27" s="141"/>
      <c r="M27" s="141"/>
      <c r="N27" s="17">
        <f t="shared" si="5"/>
        <v>0</v>
      </c>
    </row>
    <row r="28" ht="13.5" customHeight="1">
      <c r="A28" s="33" t="s">
        <v>35</v>
      </c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147"/>
      <c r="N28" s="17">
        <f t="shared" si="5"/>
        <v>0</v>
      </c>
    </row>
    <row r="29" ht="13.5" customHeight="1">
      <c r="A29" s="27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17">
        <f t="shared" si="5"/>
        <v>0</v>
      </c>
    </row>
    <row r="30" ht="13.5" customHeight="1">
      <c r="A30" s="31" t="s">
        <v>37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17">
        <f t="shared" si="5"/>
        <v>0</v>
      </c>
    </row>
    <row r="31" ht="13.5" customHeight="1">
      <c r="A31" s="3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17">
        <f t="shared" si="5"/>
        <v>0</v>
      </c>
    </row>
    <row r="32" ht="13.5" customHeight="1">
      <c r="A32" s="91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0</v>
      </c>
      <c r="E32" s="28">
        <f t="shared" si="6"/>
        <v>0</v>
      </c>
      <c r="F32" s="28">
        <f t="shared" si="6"/>
        <v>0</v>
      </c>
      <c r="G32" s="28">
        <f t="shared" si="6"/>
        <v>0</v>
      </c>
      <c r="H32" s="28">
        <f t="shared" si="6"/>
        <v>0</v>
      </c>
      <c r="I32" s="28">
        <f t="shared" si="6"/>
        <v>0</v>
      </c>
      <c r="J32" s="28">
        <f t="shared" si="6"/>
        <v>0</v>
      </c>
      <c r="K32" s="28">
        <f t="shared" si="6"/>
        <v>0</v>
      </c>
      <c r="L32" s="28">
        <f t="shared" si="6"/>
        <v>0</v>
      </c>
      <c r="M32" s="28">
        <f t="shared" si="6"/>
        <v>0</v>
      </c>
      <c r="N32" s="28">
        <f t="shared" si="6"/>
        <v>0</v>
      </c>
    </row>
    <row r="33" ht="13.5" customHeight="1">
      <c r="A33" s="79" t="s">
        <v>38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</row>
    <row r="34" ht="13.5" customHeight="1">
      <c r="A34" s="15" t="s">
        <v>39</v>
      </c>
      <c r="B34" s="87">
        <f t="shared" ref="B34:M34" si="7">1899+61.9+499+850</f>
        <v>3309.9</v>
      </c>
      <c r="C34" s="87">
        <f t="shared" si="7"/>
        <v>3309.9</v>
      </c>
      <c r="D34" s="87">
        <f t="shared" si="7"/>
        <v>3309.9</v>
      </c>
      <c r="E34" s="87">
        <f t="shared" si="7"/>
        <v>3309.9</v>
      </c>
      <c r="F34" s="87">
        <f t="shared" si="7"/>
        <v>3309.9</v>
      </c>
      <c r="G34" s="87">
        <f t="shared" si="7"/>
        <v>3309.9</v>
      </c>
      <c r="H34" s="87">
        <f t="shared" si="7"/>
        <v>3309.9</v>
      </c>
      <c r="I34" s="87">
        <f t="shared" si="7"/>
        <v>3309.9</v>
      </c>
      <c r="J34" s="87">
        <f t="shared" si="7"/>
        <v>3309.9</v>
      </c>
      <c r="K34" s="87">
        <f t="shared" si="7"/>
        <v>3309.9</v>
      </c>
      <c r="L34" s="87">
        <f t="shared" si="7"/>
        <v>3309.9</v>
      </c>
      <c r="M34" s="87">
        <f t="shared" si="7"/>
        <v>3309.9</v>
      </c>
      <c r="N34" s="17">
        <f t="shared" ref="N34:N51" si="8">SUM(B34:M34)</f>
        <v>39718.8</v>
      </c>
    </row>
    <row r="35" ht="13.5" customHeight="1">
      <c r="A35" s="19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17">
        <f t="shared" si="8"/>
        <v>0</v>
      </c>
    </row>
    <row r="36" ht="13.5" customHeight="1">
      <c r="A36" s="35" t="s">
        <v>41</v>
      </c>
      <c r="B36" s="87">
        <f t="shared" ref="B36:M36" si="9">395+75</f>
        <v>470</v>
      </c>
      <c r="C36" s="87">
        <f t="shared" si="9"/>
        <v>470</v>
      </c>
      <c r="D36" s="87">
        <f t="shared" si="9"/>
        <v>470</v>
      </c>
      <c r="E36" s="87">
        <f t="shared" si="9"/>
        <v>470</v>
      </c>
      <c r="F36" s="87">
        <f t="shared" si="9"/>
        <v>470</v>
      </c>
      <c r="G36" s="87">
        <f t="shared" si="9"/>
        <v>470</v>
      </c>
      <c r="H36" s="87">
        <f t="shared" si="9"/>
        <v>470</v>
      </c>
      <c r="I36" s="87">
        <f t="shared" si="9"/>
        <v>470</v>
      </c>
      <c r="J36" s="87">
        <f t="shared" si="9"/>
        <v>470</v>
      </c>
      <c r="K36" s="87">
        <f t="shared" si="9"/>
        <v>470</v>
      </c>
      <c r="L36" s="87">
        <f t="shared" si="9"/>
        <v>470</v>
      </c>
      <c r="M36" s="87">
        <f t="shared" si="9"/>
        <v>470</v>
      </c>
      <c r="N36" s="17">
        <f t="shared" si="8"/>
        <v>5640</v>
      </c>
    </row>
    <row r="37" ht="13.5" customHeight="1">
      <c r="A37" s="35" t="s">
        <v>42</v>
      </c>
      <c r="B37" s="87">
        <v>759.0</v>
      </c>
      <c r="C37" s="87">
        <v>759.0</v>
      </c>
      <c r="D37" s="87">
        <v>759.0</v>
      </c>
      <c r="E37" s="87">
        <v>759.0</v>
      </c>
      <c r="F37" s="87">
        <v>759.0</v>
      </c>
      <c r="G37" s="87">
        <v>759.0</v>
      </c>
      <c r="H37" s="87">
        <v>759.0</v>
      </c>
      <c r="I37" s="87">
        <v>759.0</v>
      </c>
      <c r="J37" s="87">
        <v>759.0</v>
      </c>
      <c r="K37" s="87">
        <v>759.0</v>
      </c>
      <c r="L37" s="87">
        <v>759.0</v>
      </c>
      <c r="M37" s="87">
        <v>759.0</v>
      </c>
      <c r="N37" s="17">
        <f t="shared" si="8"/>
        <v>9108</v>
      </c>
    </row>
    <row r="38" ht="13.5" customHeight="1">
      <c r="A38" s="35" t="s">
        <v>43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17">
        <f t="shared" si="8"/>
        <v>0</v>
      </c>
    </row>
    <row r="39" ht="13.5" customHeight="1">
      <c r="A39" s="35" t="s">
        <v>44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17">
        <f t="shared" si="8"/>
        <v>0</v>
      </c>
    </row>
    <row r="40" ht="13.5" customHeight="1">
      <c r="A40" s="35" t="s">
        <v>45</v>
      </c>
      <c r="B40" s="46"/>
      <c r="C40" s="87"/>
      <c r="D40" s="46"/>
      <c r="E40" s="87"/>
      <c r="F40" s="87"/>
      <c r="G40" s="46"/>
      <c r="H40" s="46"/>
      <c r="I40" s="87"/>
      <c r="J40" s="87"/>
      <c r="K40" s="46"/>
      <c r="L40" s="46"/>
      <c r="M40" s="46"/>
      <c r="N40" s="17">
        <f t="shared" si="8"/>
        <v>0</v>
      </c>
    </row>
    <row r="41" ht="13.5" customHeight="1">
      <c r="A41" s="39" t="s">
        <v>170</v>
      </c>
      <c r="B41" s="87">
        <v>6510.0</v>
      </c>
      <c r="C41" s="87">
        <v>6510.0</v>
      </c>
      <c r="D41" s="87">
        <v>10290.0</v>
      </c>
      <c r="E41" s="87">
        <v>10290.0</v>
      </c>
      <c r="F41" s="87">
        <v>10290.0</v>
      </c>
      <c r="G41" s="87">
        <v>10290.0</v>
      </c>
      <c r="H41" s="87">
        <v>10290.0</v>
      </c>
      <c r="I41" s="87">
        <v>10290.0</v>
      </c>
      <c r="J41" s="87">
        <v>10290.0</v>
      </c>
      <c r="K41" s="87">
        <v>10290.0</v>
      </c>
      <c r="L41" s="87">
        <v>10290.0</v>
      </c>
      <c r="M41" s="87">
        <v>10290.0</v>
      </c>
      <c r="N41" s="17">
        <f t="shared" si="8"/>
        <v>115920</v>
      </c>
    </row>
    <row r="42" ht="13.5" customHeight="1">
      <c r="A42" s="19" t="s">
        <v>146</v>
      </c>
      <c r="B42" s="87">
        <v>365.0</v>
      </c>
      <c r="C42" s="87">
        <v>365.0</v>
      </c>
      <c r="D42" s="87">
        <v>365.0</v>
      </c>
      <c r="E42" s="87">
        <v>365.0</v>
      </c>
      <c r="F42" s="87">
        <v>365.0</v>
      </c>
      <c r="G42" s="87">
        <v>365.0</v>
      </c>
      <c r="H42" s="87">
        <v>365.0</v>
      </c>
      <c r="I42" s="87">
        <v>365.0</v>
      </c>
      <c r="J42" s="87">
        <v>365.0</v>
      </c>
      <c r="K42" s="87">
        <v>365.0</v>
      </c>
      <c r="L42" s="87">
        <v>365.0</v>
      </c>
      <c r="M42" s="87">
        <v>365.0</v>
      </c>
      <c r="N42" s="17">
        <f t="shared" si="8"/>
        <v>4380</v>
      </c>
    </row>
    <row r="43" ht="13.5" customHeight="1">
      <c r="A43" s="19" t="s">
        <v>129</v>
      </c>
      <c r="B43" s="87">
        <v>1949.0</v>
      </c>
      <c r="C43" s="87">
        <v>1949.0</v>
      </c>
      <c r="D43" s="87">
        <v>1949.0</v>
      </c>
      <c r="E43" s="87">
        <v>1949.0</v>
      </c>
      <c r="F43" s="87">
        <v>1949.0</v>
      </c>
      <c r="G43" s="87">
        <v>1949.0</v>
      </c>
      <c r="H43" s="87">
        <v>1949.0</v>
      </c>
      <c r="I43" s="87">
        <v>1949.0</v>
      </c>
      <c r="J43" s="87">
        <v>1949.0</v>
      </c>
      <c r="K43" s="87">
        <v>1949.0</v>
      </c>
      <c r="L43" s="87">
        <v>1949.0</v>
      </c>
      <c r="M43" s="87">
        <v>1949.0</v>
      </c>
      <c r="N43" s="17">
        <f t="shared" si="8"/>
        <v>23388</v>
      </c>
    </row>
    <row r="44" ht="13.5" customHeight="1">
      <c r="A44" s="31" t="s">
        <v>130</v>
      </c>
      <c r="B44" s="87">
        <v>299.0</v>
      </c>
      <c r="C44" s="87">
        <v>299.0</v>
      </c>
      <c r="D44" s="87">
        <v>299.0</v>
      </c>
      <c r="E44" s="87">
        <v>299.0</v>
      </c>
      <c r="F44" s="87">
        <v>299.0</v>
      </c>
      <c r="G44" s="87">
        <v>299.0</v>
      </c>
      <c r="H44" s="87">
        <v>299.0</v>
      </c>
      <c r="I44" s="87">
        <v>299.0</v>
      </c>
      <c r="J44" s="87">
        <v>299.0</v>
      </c>
      <c r="K44" s="87">
        <v>299.0</v>
      </c>
      <c r="L44" s="87">
        <v>299.0</v>
      </c>
      <c r="M44" s="87">
        <v>299.0</v>
      </c>
      <c r="N44" s="17">
        <f t="shared" si="8"/>
        <v>3588</v>
      </c>
    </row>
    <row r="45" ht="13.5" customHeight="1">
      <c r="A45" s="156" t="s">
        <v>50</v>
      </c>
      <c r="B45" s="46">
        <f t="shared" ref="B45:M45" si="10">45+97.5+448</f>
        <v>590.5</v>
      </c>
      <c r="C45" s="46">
        <f t="shared" si="10"/>
        <v>590.5</v>
      </c>
      <c r="D45" s="46">
        <f t="shared" si="10"/>
        <v>590.5</v>
      </c>
      <c r="E45" s="46">
        <f t="shared" si="10"/>
        <v>590.5</v>
      </c>
      <c r="F45" s="46">
        <f t="shared" si="10"/>
        <v>590.5</v>
      </c>
      <c r="G45" s="46">
        <f t="shared" si="10"/>
        <v>590.5</v>
      </c>
      <c r="H45" s="46">
        <f t="shared" si="10"/>
        <v>590.5</v>
      </c>
      <c r="I45" s="46">
        <f t="shared" si="10"/>
        <v>590.5</v>
      </c>
      <c r="J45" s="46">
        <f t="shared" si="10"/>
        <v>590.5</v>
      </c>
      <c r="K45" s="46">
        <f t="shared" si="10"/>
        <v>590.5</v>
      </c>
      <c r="L45" s="46">
        <f t="shared" si="10"/>
        <v>590.5</v>
      </c>
      <c r="M45" s="46">
        <f t="shared" si="10"/>
        <v>590.5</v>
      </c>
      <c r="N45" s="17">
        <f t="shared" si="8"/>
        <v>7086</v>
      </c>
    </row>
    <row r="46" ht="13.5" customHeight="1">
      <c r="A46" s="15" t="s">
        <v>51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17">
        <f t="shared" si="8"/>
        <v>0</v>
      </c>
    </row>
    <row r="47" ht="13.5" customHeight="1">
      <c r="A47" s="19" t="s">
        <v>52</v>
      </c>
      <c r="B47" s="87">
        <f t="shared" ref="B47:M47" si="11">850+30+2750+750</f>
        <v>4380</v>
      </c>
      <c r="C47" s="87">
        <f t="shared" si="11"/>
        <v>4380</v>
      </c>
      <c r="D47" s="87">
        <f t="shared" si="11"/>
        <v>4380</v>
      </c>
      <c r="E47" s="87">
        <f t="shared" si="11"/>
        <v>4380</v>
      </c>
      <c r="F47" s="87">
        <f t="shared" si="11"/>
        <v>4380</v>
      </c>
      <c r="G47" s="87">
        <f t="shared" si="11"/>
        <v>4380</v>
      </c>
      <c r="H47" s="87">
        <f t="shared" si="11"/>
        <v>4380</v>
      </c>
      <c r="I47" s="87">
        <f t="shared" si="11"/>
        <v>4380</v>
      </c>
      <c r="J47" s="87">
        <f t="shared" si="11"/>
        <v>4380</v>
      </c>
      <c r="K47" s="87">
        <f t="shared" si="11"/>
        <v>4380</v>
      </c>
      <c r="L47" s="87">
        <f t="shared" si="11"/>
        <v>4380</v>
      </c>
      <c r="M47" s="87">
        <f t="shared" si="11"/>
        <v>4380</v>
      </c>
      <c r="N47" s="17">
        <f t="shared" si="8"/>
        <v>52560</v>
      </c>
    </row>
    <row r="48" ht="13.5" customHeight="1">
      <c r="A48" s="15" t="s">
        <v>53</v>
      </c>
      <c r="B48" s="87">
        <f t="shared" ref="B48:M48" si="12">350.33+55.66+80</f>
        <v>485.99</v>
      </c>
      <c r="C48" s="87">
        <f t="shared" si="12"/>
        <v>485.99</v>
      </c>
      <c r="D48" s="87">
        <f t="shared" si="12"/>
        <v>485.99</v>
      </c>
      <c r="E48" s="87">
        <f t="shared" si="12"/>
        <v>485.99</v>
      </c>
      <c r="F48" s="87">
        <f t="shared" si="12"/>
        <v>485.99</v>
      </c>
      <c r="G48" s="87">
        <f t="shared" si="12"/>
        <v>485.99</v>
      </c>
      <c r="H48" s="87">
        <f t="shared" si="12"/>
        <v>485.99</v>
      </c>
      <c r="I48" s="87">
        <f t="shared" si="12"/>
        <v>485.99</v>
      </c>
      <c r="J48" s="87">
        <f t="shared" si="12"/>
        <v>485.99</v>
      </c>
      <c r="K48" s="87">
        <f t="shared" si="12"/>
        <v>485.99</v>
      </c>
      <c r="L48" s="87">
        <f t="shared" si="12"/>
        <v>485.99</v>
      </c>
      <c r="M48" s="87">
        <f t="shared" si="12"/>
        <v>485.99</v>
      </c>
      <c r="N48" s="17">
        <f t="shared" si="8"/>
        <v>5831.88</v>
      </c>
    </row>
    <row r="49" ht="13.5" customHeight="1">
      <c r="A49" s="35" t="s">
        <v>54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17">
        <f t="shared" si="8"/>
        <v>0</v>
      </c>
    </row>
    <row r="50" ht="13.5" customHeight="1">
      <c r="A50" s="19" t="s">
        <v>132</v>
      </c>
      <c r="B50" s="87">
        <v>1600.0</v>
      </c>
      <c r="C50" s="87">
        <v>1600.0</v>
      </c>
      <c r="D50" s="87">
        <v>1600.0</v>
      </c>
      <c r="E50" s="87">
        <v>1600.0</v>
      </c>
      <c r="F50" s="87">
        <v>1600.0</v>
      </c>
      <c r="G50" s="87">
        <v>1600.0</v>
      </c>
      <c r="H50" s="87">
        <v>1600.0</v>
      </c>
      <c r="I50" s="87">
        <v>1600.0</v>
      </c>
      <c r="J50" s="87">
        <v>1600.0</v>
      </c>
      <c r="K50" s="87">
        <v>1600.0</v>
      </c>
      <c r="L50" s="87">
        <v>1600.0</v>
      </c>
      <c r="M50" s="87">
        <v>1600.0</v>
      </c>
      <c r="N50" s="17">
        <f t="shared" si="8"/>
        <v>19200</v>
      </c>
    </row>
    <row r="51" ht="13.5" customHeight="1">
      <c r="A51" s="1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17">
        <f t="shared" si="8"/>
        <v>0</v>
      </c>
    </row>
    <row r="52" ht="13.5" customHeight="1">
      <c r="A52" s="91" t="s">
        <v>23</v>
      </c>
      <c r="B52" s="28">
        <f t="shared" ref="B52:N52" si="13">SUM(B34:B51)</f>
        <v>20718.39</v>
      </c>
      <c r="C52" s="28">
        <f t="shared" si="13"/>
        <v>20718.39</v>
      </c>
      <c r="D52" s="28">
        <f t="shared" si="13"/>
        <v>24498.39</v>
      </c>
      <c r="E52" s="28">
        <f t="shared" si="13"/>
        <v>24498.39</v>
      </c>
      <c r="F52" s="28">
        <f t="shared" si="13"/>
        <v>24498.39</v>
      </c>
      <c r="G52" s="28">
        <f t="shared" si="13"/>
        <v>24498.39</v>
      </c>
      <c r="H52" s="28">
        <f t="shared" si="13"/>
        <v>24498.39</v>
      </c>
      <c r="I52" s="28">
        <f t="shared" si="13"/>
        <v>24498.39</v>
      </c>
      <c r="J52" s="28">
        <f t="shared" si="13"/>
        <v>24498.39</v>
      </c>
      <c r="K52" s="28">
        <f t="shared" si="13"/>
        <v>24498.39</v>
      </c>
      <c r="L52" s="28">
        <f t="shared" si="13"/>
        <v>24498.39</v>
      </c>
      <c r="M52" s="28">
        <f t="shared" si="13"/>
        <v>24498.39</v>
      </c>
      <c r="N52" s="28">
        <f t="shared" si="13"/>
        <v>286420.68</v>
      </c>
    </row>
    <row r="53" ht="13.5" customHeight="1">
      <c r="A53" s="79" t="s">
        <v>56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</row>
    <row r="54" ht="13.5" customHeight="1">
      <c r="A54" s="32" t="s">
        <v>57</v>
      </c>
      <c r="B54" s="87">
        <v>1340.0</v>
      </c>
      <c r="C54" s="87">
        <v>1340.0</v>
      </c>
      <c r="D54" s="87">
        <v>1340.0</v>
      </c>
      <c r="E54" s="87">
        <v>1340.0</v>
      </c>
      <c r="F54" s="87">
        <v>1340.0</v>
      </c>
      <c r="G54" s="87">
        <v>1340.0</v>
      </c>
      <c r="H54" s="87">
        <v>1340.0</v>
      </c>
      <c r="I54" s="87">
        <v>1340.0</v>
      </c>
      <c r="J54" s="87">
        <v>1340.0</v>
      </c>
      <c r="K54" s="87">
        <v>1340.0</v>
      </c>
      <c r="L54" s="87">
        <v>1340.0</v>
      </c>
      <c r="M54" s="87">
        <v>1340.0</v>
      </c>
      <c r="N54" s="17">
        <f t="shared" ref="N54:N69" si="14">SUM(B54:M54)</f>
        <v>16080</v>
      </c>
    </row>
    <row r="55" ht="13.5" customHeight="1">
      <c r="A55" s="32" t="s">
        <v>58</v>
      </c>
      <c r="B55" s="87">
        <v>4600.0</v>
      </c>
      <c r="C55" s="87">
        <v>5550.0</v>
      </c>
      <c r="D55" s="87">
        <v>5550.0</v>
      </c>
      <c r="E55" s="87">
        <v>5550.0</v>
      </c>
      <c r="F55" s="87">
        <v>5550.0</v>
      </c>
      <c r="G55" s="87">
        <v>5550.0</v>
      </c>
      <c r="H55" s="87">
        <v>5550.0</v>
      </c>
      <c r="I55" s="87">
        <v>5550.0</v>
      </c>
      <c r="J55" s="87">
        <v>5550.0</v>
      </c>
      <c r="K55" s="87">
        <v>5550.0</v>
      </c>
      <c r="L55" s="87">
        <v>5550.0</v>
      </c>
      <c r="M55" s="87">
        <v>5550.0</v>
      </c>
      <c r="N55" s="17">
        <f t="shared" si="14"/>
        <v>65650</v>
      </c>
    </row>
    <row r="56" ht="13.5" customHeight="1">
      <c r="A56" s="31" t="s">
        <v>59</v>
      </c>
      <c r="B56" s="87">
        <f t="shared" ref="B56:M56" si="15">399+351+57</f>
        <v>807</v>
      </c>
      <c r="C56" s="87">
        <f t="shared" si="15"/>
        <v>807</v>
      </c>
      <c r="D56" s="87">
        <f t="shared" si="15"/>
        <v>807</v>
      </c>
      <c r="E56" s="87">
        <f t="shared" si="15"/>
        <v>807</v>
      </c>
      <c r="F56" s="87">
        <f t="shared" si="15"/>
        <v>807</v>
      </c>
      <c r="G56" s="87">
        <f t="shared" si="15"/>
        <v>807</v>
      </c>
      <c r="H56" s="87">
        <f t="shared" si="15"/>
        <v>807</v>
      </c>
      <c r="I56" s="87">
        <f t="shared" si="15"/>
        <v>807</v>
      </c>
      <c r="J56" s="87">
        <f t="shared" si="15"/>
        <v>807</v>
      </c>
      <c r="K56" s="87">
        <f t="shared" si="15"/>
        <v>807</v>
      </c>
      <c r="L56" s="87">
        <f t="shared" si="15"/>
        <v>807</v>
      </c>
      <c r="M56" s="87">
        <f t="shared" si="15"/>
        <v>807</v>
      </c>
      <c r="N56" s="17">
        <f t="shared" si="14"/>
        <v>9684</v>
      </c>
    </row>
    <row r="57" ht="13.5" customHeight="1">
      <c r="A57" s="31" t="s">
        <v>133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17">
        <f t="shared" si="14"/>
        <v>0</v>
      </c>
    </row>
    <row r="58" ht="13.5" customHeight="1">
      <c r="A58" s="31" t="s">
        <v>134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17">
        <f t="shared" si="14"/>
        <v>0</v>
      </c>
    </row>
    <row r="59" ht="13.5" customHeight="1">
      <c r="A59" s="31" t="s">
        <v>135</v>
      </c>
      <c r="B59" s="87">
        <v>1250.0</v>
      </c>
      <c r="C59" s="87">
        <v>1250.0</v>
      </c>
      <c r="D59" s="87">
        <v>1250.0</v>
      </c>
      <c r="E59" s="87">
        <v>1250.0</v>
      </c>
      <c r="F59" s="87">
        <v>1250.0</v>
      </c>
      <c r="G59" s="87">
        <v>1250.0</v>
      </c>
      <c r="H59" s="87">
        <v>1250.0</v>
      </c>
      <c r="I59" s="87">
        <v>1250.0</v>
      </c>
      <c r="J59" s="87">
        <v>1250.0</v>
      </c>
      <c r="K59" s="87">
        <v>1250.0</v>
      </c>
      <c r="L59" s="87">
        <v>1250.0</v>
      </c>
      <c r="M59" s="87">
        <v>1250.0</v>
      </c>
      <c r="N59" s="17">
        <f t="shared" si="14"/>
        <v>15000</v>
      </c>
    </row>
    <row r="60" ht="13.5" customHeight="1">
      <c r="A60" s="32" t="s">
        <v>136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17">
        <f t="shared" si="14"/>
        <v>0</v>
      </c>
    </row>
    <row r="61" ht="13.5" customHeight="1">
      <c r="A61" s="32" t="s">
        <v>137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17">
        <f t="shared" si="14"/>
        <v>0</v>
      </c>
    </row>
    <row r="62" ht="13.5" customHeight="1">
      <c r="A62" s="32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14"/>
        <v>0</v>
      </c>
    </row>
    <row r="63" ht="13.5" customHeight="1">
      <c r="A63" s="31" t="s">
        <v>64</v>
      </c>
      <c r="B63" s="87">
        <v>6942.0</v>
      </c>
      <c r="C63" s="87">
        <v>6942.0</v>
      </c>
      <c r="D63" s="87">
        <v>6942.0</v>
      </c>
      <c r="E63" s="87">
        <v>6942.0</v>
      </c>
      <c r="F63" s="87">
        <v>6942.0</v>
      </c>
      <c r="G63" s="87">
        <v>6942.0</v>
      </c>
      <c r="H63" s="87">
        <v>6942.0</v>
      </c>
      <c r="I63" s="87">
        <v>6942.0</v>
      </c>
      <c r="J63" s="87">
        <v>6942.0</v>
      </c>
      <c r="K63" s="87">
        <v>6942.0</v>
      </c>
      <c r="L63" s="87">
        <v>6942.0</v>
      </c>
      <c r="M63" s="87">
        <v>6942.0</v>
      </c>
      <c r="N63" s="17">
        <f t="shared" si="14"/>
        <v>83304</v>
      </c>
    </row>
    <row r="64" ht="13.5" customHeight="1">
      <c r="A64" s="32" t="s">
        <v>65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17">
        <f t="shared" si="14"/>
        <v>0</v>
      </c>
    </row>
    <row r="65" ht="13.5" customHeight="1">
      <c r="A65" s="31" t="s">
        <v>66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17">
        <f t="shared" si="14"/>
        <v>0</v>
      </c>
    </row>
    <row r="66" ht="13.5" customHeight="1">
      <c r="A66" s="31" t="s">
        <v>67</v>
      </c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17">
        <f t="shared" si="14"/>
        <v>0</v>
      </c>
    </row>
    <row r="67" ht="13.5" customHeight="1">
      <c r="A67" s="25" t="s">
        <v>68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17">
        <f t="shared" si="14"/>
        <v>0</v>
      </c>
    </row>
    <row r="68" ht="13.5" customHeight="1">
      <c r="A68" s="25" t="s">
        <v>69</v>
      </c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17">
        <f t="shared" si="14"/>
        <v>0</v>
      </c>
    </row>
    <row r="69" ht="13.5" customHeight="1">
      <c r="A69" s="39" t="s">
        <v>70</v>
      </c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17">
        <f t="shared" si="14"/>
        <v>0</v>
      </c>
    </row>
    <row r="70" ht="13.5" customHeight="1">
      <c r="A70" s="91" t="s">
        <v>23</v>
      </c>
      <c r="B70" s="28">
        <f t="shared" ref="B70:M70" si="16">SUM(B54:B69)</f>
        <v>14939</v>
      </c>
      <c r="C70" s="28">
        <f t="shared" si="16"/>
        <v>15889</v>
      </c>
      <c r="D70" s="28">
        <f t="shared" si="16"/>
        <v>15889</v>
      </c>
      <c r="E70" s="28">
        <f t="shared" si="16"/>
        <v>15889</v>
      </c>
      <c r="F70" s="28">
        <f t="shared" si="16"/>
        <v>15889</v>
      </c>
      <c r="G70" s="28">
        <f t="shared" si="16"/>
        <v>15889</v>
      </c>
      <c r="H70" s="28">
        <f t="shared" si="16"/>
        <v>15889</v>
      </c>
      <c r="I70" s="28">
        <f t="shared" si="16"/>
        <v>15889</v>
      </c>
      <c r="J70" s="28">
        <f t="shared" si="16"/>
        <v>15889</v>
      </c>
      <c r="K70" s="28">
        <f t="shared" si="16"/>
        <v>15889</v>
      </c>
      <c r="L70" s="28">
        <f t="shared" si="16"/>
        <v>15889</v>
      </c>
      <c r="M70" s="28">
        <f t="shared" si="16"/>
        <v>15889</v>
      </c>
      <c r="N70" s="28">
        <f>SUM(N54:N66)</f>
        <v>189718</v>
      </c>
    </row>
    <row r="71" ht="13.5" customHeight="1">
      <c r="A71" s="79" t="s">
        <v>71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</row>
    <row r="72" ht="13.5" customHeight="1">
      <c r="A72" s="32" t="s">
        <v>138</v>
      </c>
      <c r="B72" s="87">
        <v>0.0</v>
      </c>
      <c r="C72" s="87">
        <v>0.0</v>
      </c>
      <c r="D72" s="87">
        <v>0.0</v>
      </c>
      <c r="E72" s="87">
        <v>0.0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0.0</v>
      </c>
      <c r="L72" s="87">
        <v>0.0</v>
      </c>
      <c r="M72" s="87">
        <v>0.0</v>
      </c>
      <c r="N72" s="17">
        <f t="shared" ref="N72:N83" si="17">SUM(B72:M72)</f>
        <v>0</v>
      </c>
    </row>
    <row r="73" ht="13.5" customHeight="1">
      <c r="A73" s="31" t="s">
        <v>73</v>
      </c>
      <c r="B73" s="87">
        <v>0.0</v>
      </c>
      <c r="C73" s="87">
        <v>0.0</v>
      </c>
      <c r="D73" s="87">
        <v>0.0</v>
      </c>
      <c r="E73" s="87">
        <v>0.0</v>
      </c>
      <c r="F73" s="87">
        <v>0.0</v>
      </c>
      <c r="G73" s="87">
        <v>0.0</v>
      </c>
      <c r="H73" s="87">
        <v>0.0</v>
      </c>
      <c r="I73" s="87">
        <v>0.0</v>
      </c>
      <c r="J73" s="87">
        <v>0.0</v>
      </c>
      <c r="K73" s="87">
        <v>0.0</v>
      </c>
      <c r="L73" s="87">
        <v>0.0</v>
      </c>
      <c r="M73" s="87">
        <v>0.0</v>
      </c>
      <c r="N73" s="17">
        <f t="shared" si="17"/>
        <v>0</v>
      </c>
    </row>
    <row r="74" ht="13.5" customHeight="1">
      <c r="A74" s="32" t="s">
        <v>139</v>
      </c>
      <c r="B74" s="87">
        <v>1250.0</v>
      </c>
      <c r="C74" s="87">
        <v>1250.0</v>
      </c>
      <c r="D74" s="87">
        <v>1250.0</v>
      </c>
      <c r="E74" s="87">
        <v>1250.0</v>
      </c>
      <c r="F74" s="87">
        <v>1250.0</v>
      </c>
      <c r="G74" s="87">
        <v>1250.0</v>
      </c>
      <c r="H74" s="87">
        <v>1250.0</v>
      </c>
      <c r="I74" s="87">
        <v>1250.0</v>
      </c>
      <c r="J74" s="87">
        <v>1250.0</v>
      </c>
      <c r="K74" s="87">
        <v>1250.0</v>
      </c>
      <c r="L74" s="87">
        <v>1250.0</v>
      </c>
      <c r="M74" s="87">
        <v>1250.0</v>
      </c>
      <c r="N74" s="17">
        <f t="shared" si="17"/>
        <v>15000</v>
      </c>
    </row>
    <row r="75" ht="13.5" customHeight="1">
      <c r="A75" s="31" t="s">
        <v>137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17">
        <f t="shared" si="17"/>
        <v>0</v>
      </c>
    </row>
    <row r="76" ht="13.5" customHeight="1">
      <c r="A76" s="32" t="s">
        <v>136</v>
      </c>
      <c r="B76" s="46"/>
      <c r="C76" s="46"/>
      <c r="D76" s="46"/>
      <c r="E76" s="46"/>
      <c r="F76" s="87"/>
      <c r="G76" s="46"/>
      <c r="H76" s="46"/>
      <c r="I76" s="46"/>
      <c r="J76" s="46"/>
      <c r="K76" s="46"/>
      <c r="L76" s="46"/>
      <c r="M76" s="46"/>
      <c r="N76" s="17">
        <f t="shared" si="17"/>
        <v>0</v>
      </c>
    </row>
    <row r="77" ht="13.5" customHeight="1">
      <c r="A77" s="32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17">
        <f t="shared" si="17"/>
        <v>0</v>
      </c>
    </row>
    <row r="78" ht="13.5" customHeight="1">
      <c r="A78" s="31" t="s">
        <v>140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17">
        <f t="shared" si="17"/>
        <v>0</v>
      </c>
    </row>
    <row r="79" ht="13.5" customHeight="1">
      <c r="A79" s="27" t="s">
        <v>141</v>
      </c>
      <c r="B79" s="87">
        <v>4105.0</v>
      </c>
      <c r="C79" s="87">
        <v>4105.0</v>
      </c>
      <c r="D79" s="87">
        <v>4105.0</v>
      </c>
      <c r="E79" s="87">
        <v>4105.0</v>
      </c>
      <c r="F79" s="87">
        <v>4105.0</v>
      </c>
      <c r="G79" s="87">
        <v>4105.0</v>
      </c>
      <c r="H79" s="87">
        <v>4105.0</v>
      </c>
      <c r="I79" s="87">
        <v>4105.0</v>
      </c>
      <c r="J79" s="87">
        <v>4105.0</v>
      </c>
      <c r="K79" s="87">
        <v>4105.0</v>
      </c>
      <c r="L79" s="87">
        <v>4105.0</v>
      </c>
      <c r="M79" s="87">
        <v>4105.0</v>
      </c>
      <c r="N79" s="17">
        <f t="shared" si="17"/>
        <v>49260</v>
      </c>
    </row>
    <row r="80" ht="13.5" customHeight="1">
      <c r="A80" s="42" t="s">
        <v>79</v>
      </c>
      <c r="B80" s="87">
        <v>2050.0</v>
      </c>
      <c r="C80" s="87">
        <v>2050.0</v>
      </c>
      <c r="D80" s="87">
        <v>2050.0</v>
      </c>
      <c r="E80" s="87">
        <v>2050.0</v>
      </c>
      <c r="F80" s="87">
        <v>2050.0</v>
      </c>
      <c r="G80" s="87">
        <v>2050.0</v>
      </c>
      <c r="H80" s="87">
        <v>2050.0</v>
      </c>
      <c r="I80" s="87">
        <v>2050.0</v>
      </c>
      <c r="J80" s="87">
        <v>2050.0</v>
      </c>
      <c r="K80" s="87">
        <v>2050.0</v>
      </c>
      <c r="L80" s="87">
        <v>2050.0</v>
      </c>
      <c r="M80" s="87">
        <v>2050.0</v>
      </c>
      <c r="N80" s="17">
        <f t="shared" si="17"/>
        <v>24600</v>
      </c>
    </row>
    <row r="81" ht="13.5" customHeight="1">
      <c r="A81" s="43" t="s">
        <v>80</v>
      </c>
      <c r="B81" s="87">
        <v>500.0</v>
      </c>
      <c r="C81" s="87">
        <v>500.0</v>
      </c>
      <c r="D81" s="87">
        <v>500.0</v>
      </c>
      <c r="E81" s="87">
        <v>500.0</v>
      </c>
      <c r="F81" s="87">
        <v>500.0</v>
      </c>
      <c r="G81" s="87">
        <v>500.0</v>
      </c>
      <c r="H81" s="87">
        <v>500.0</v>
      </c>
      <c r="I81" s="87">
        <v>500.0</v>
      </c>
      <c r="J81" s="87">
        <v>500.0</v>
      </c>
      <c r="K81" s="87">
        <v>500.0</v>
      </c>
      <c r="L81" s="87">
        <v>500.0</v>
      </c>
      <c r="M81" s="87">
        <v>500.0</v>
      </c>
      <c r="N81" s="17">
        <f t="shared" si="17"/>
        <v>6000</v>
      </c>
    </row>
    <row r="82" ht="13.5" customHeight="1">
      <c r="A82" s="91" t="s">
        <v>23</v>
      </c>
      <c r="B82" s="28">
        <f t="shared" ref="B82:M82" si="18">SUM(B72:B81)</f>
        <v>7905</v>
      </c>
      <c r="C82" s="28">
        <f t="shared" si="18"/>
        <v>7905</v>
      </c>
      <c r="D82" s="28">
        <f t="shared" si="18"/>
        <v>7905</v>
      </c>
      <c r="E82" s="28">
        <f t="shared" si="18"/>
        <v>7905</v>
      </c>
      <c r="F82" s="28">
        <f t="shared" si="18"/>
        <v>7905</v>
      </c>
      <c r="G82" s="28">
        <f t="shared" si="18"/>
        <v>7905</v>
      </c>
      <c r="H82" s="28">
        <f t="shared" si="18"/>
        <v>7905</v>
      </c>
      <c r="I82" s="28">
        <f t="shared" si="18"/>
        <v>7905</v>
      </c>
      <c r="J82" s="28">
        <f t="shared" si="18"/>
        <v>7905</v>
      </c>
      <c r="K82" s="28">
        <f t="shared" si="18"/>
        <v>7905</v>
      </c>
      <c r="L82" s="28">
        <f t="shared" si="18"/>
        <v>7905</v>
      </c>
      <c r="M82" s="28">
        <f t="shared" si="18"/>
        <v>7905</v>
      </c>
      <c r="N82" s="44">
        <f t="shared" si="17"/>
        <v>94860</v>
      </c>
    </row>
    <row r="83" ht="13.5" customHeight="1">
      <c r="A83" s="99" t="s">
        <v>81</v>
      </c>
      <c r="B83" s="28">
        <f t="shared" ref="B83:M83" si="19">B52+B70+B82</f>
        <v>43562.39</v>
      </c>
      <c r="C83" s="28">
        <f t="shared" si="19"/>
        <v>44512.39</v>
      </c>
      <c r="D83" s="28">
        <f t="shared" si="19"/>
        <v>48292.39</v>
      </c>
      <c r="E83" s="28">
        <f t="shared" si="19"/>
        <v>48292.39</v>
      </c>
      <c r="F83" s="28">
        <f t="shared" si="19"/>
        <v>48292.39</v>
      </c>
      <c r="G83" s="28">
        <f t="shared" si="19"/>
        <v>48292.39</v>
      </c>
      <c r="H83" s="28">
        <f t="shared" si="19"/>
        <v>48292.39</v>
      </c>
      <c r="I83" s="28">
        <f t="shared" si="19"/>
        <v>48292.39</v>
      </c>
      <c r="J83" s="28">
        <f t="shared" si="19"/>
        <v>48292.39</v>
      </c>
      <c r="K83" s="28">
        <f t="shared" si="19"/>
        <v>48292.39</v>
      </c>
      <c r="L83" s="28">
        <f t="shared" si="19"/>
        <v>48292.39</v>
      </c>
      <c r="M83" s="28">
        <f t="shared" si="19"/>
        <v>48292.39</v>
      </c>
      <c r="N83" s="44">
        <f t="shared" si="17"/>
        <v>570998.68</v>
      </c>
    </row>
    <row r="84" ht="13.5" customHeight="1">
      <c r="A84" s="99" t="s">
        <v>82</v>
      </c>
      <c r="B84" s="46">
        <f t="shared" ref="B84:N84" si="20">B83/B112</f>
        <v>167.5476538</v>
      </c>
      <c r="C84" s="46">
        <f t="shared" si="20"/>
        <v>171.2015</v>
      </c>
      <c r="D84" s="46">
        <f t="shared" si="20"/>
        <v>175.6086909</v>
      </c>
      <c r="E84" s="46">
        <f t="shared" si="20"/>
        <v>175.6086909</v>
      </c>
      <c r="F84" s="46">
        <f t="shared" si="20"/>
        <v>166.5254828</v>
      </c>
      <c r="G84" s="46">
        <f t="shared" si="20"/>
        <v>182.235434</v>
      </c>
      <c r="H84" s="46">
        <f t="shared" si="20"/>
        <v>158.3357049</v>
      </c>
      <c r="I84" s="46">
        <f t="shared" si="20"/>
        <v>155.7819032</v>
      </c>
      <c r="J84" s="46">
        <f t="shared" si="20"/>
        <v>172.4728214</v>
      </c>
      <c r="K84" s="46">
        <f t="shared" si="20"/>
        <v>163.7030169</v>
      </c>
      <c r="L84" s="46">
        <f t="shared" si="20"/>
        <v>172.4728214</v>
      </c>
      <c r="M84" s="46">
        <f t="shared" si="20"/>
        <v>160.9746333</v>
      </c>
      <c r="N84" s="307">
        <f t="shared" si="20"/>
        <v>168.1881237</v>
      </c>
    </row>
    <row r="85" ht="13.5" customHeight="1">
      <c r="A85" s="79" t="s">
        <v>83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</row>
    <row r="86" ht="13.5" customHeight="1">
      <c r="A86" s="15" t="s">
        <v>84</v>
      </c>
      <c r="B86" s="87">
        <v>820.0</v>
      </c>
      <c r="C86" s="87">
        <v>820.0</v>
      </c>
      <c r="D86" s="87">
        <v>820.0</v>
      </c>
      <c r="E86" s="87">
        <v>820.0</v>
      </c>
      <c r="F86" s="87">
        <v>820.0</v>
      </c>
      <c r="G86" s="87">
        <v>820.0</v>
      </c>
      <c r="H86" s="87">
        <v>820.0</v>
      </c>
      <c r="I86" s="87">
        <v>820.0</v>
      </c>
      <c r="J86" s="87">
        <v>820.0</v>
      </c>
      <c r="K86" s="87">
        <v>820.0</v>
      </c>
      <c r="L86" s="87">
        <v>820.0</v>
      </c>
      <c r="M86" s="87">
        <v>820.0</v>
      </c>
      <c r="N86" s="17">
        <f t="shared" ref="N86:N89" si="21">SUM(B86:M86)</f>
        <v>9840</v>
      </c>
    </row>
    <row r="87" ht="13.5" customHeight="1">
      <c r="A87" s="15" t="s">
        <v>142</v>
      </c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17">
        <f t="shared" si="21"/>
        <v>0</v>
      </c>
    </row>
    <row r="88" ht="13.5" customHeight="1">
      <c r="A88" s="9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17">
        <f t="shared" si="21"/>
        <v>0</v>
      </c>
    </row>
    <row r="89" ht="13.5" customHeight="1">
      <c r="A89" s="9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17">
        <f t="shared" si="21"/>
        <v>0</v>
      </c>
    </row>
    <row r="90" ht="13.5" customHeight="1">
      <c r="A90" s="91" t="s">
        <v>23</v>
      </c>
      <c r="B90" s="28">
        <f t="shared" ref="B90:N90" si="22">SUM(B86:B89)</f>
        <v>820</v>
      </c>
      <c r="C90" s="28">
        <f t="shared" si="22"/>
        <v>820</v>
      </c>
      <c r="D90" s="28">
        <f t="shared" si="22"/>
        <v>820</v>
      </c>
      <c r="E90" s="28">
        <f t="shared" si="22"/>
        <v>820</v>
      </c>
      <c r="F90" s="28">
        <f t="shared" si="22"/>
        <v>820</v>
      </c>
      <c r="G90" s="28">
        <f t="shared" si="22"/>
        <v>820</v>
      </c>
      <c r="H90" s="28">
        <f t="shared" si="22"/>
        <v>820</v>
      </c>
      <c r="I90" s="28">
        <f t="shared" si="22"/>
        <v>820</v>
      </c>
      <c r="J90" s="28">
        <f t="shared" si="22"/>
        <v>820</v>
      </c>
      <c r="K90" s="28">
        <f t="shared" si="22"/>
        <v>820</v>
      </c>
      <c r="L90" s="28">
        <f t="shared" si="22"/>
        <v>820</v>
      </c>
      <c r="M90" s="28">
        <f t="shared" si="22"/>
        <v>820</v>
      </c>
      <c r="N90" s="28">
        <f t="shared" si="22"/>
        <v>9840</v>
      </c>
    </row>
    <row r="91" ht="13.5" customHeight="1">
      <c r="A91" s="89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</row>
    <row r="92" ht="13.5" customHeight="1">
      <c r="A92" s="31" t="s">
        <v>89</v>
      </c>
      <c r="B92" s="101">
        <f>PRODUCTION!W18</f>
        <v>750</v>
      </c>
      <c r="C92" s="102">
        <f>PRODUCTION!W19</f>
        <v>750</v>
      </c>
      <c r="D92" s="102">
        <f>PRODUCTION!W20</f>
        <v>750</v>
      </c>
      <c r="E92" s="102">
        <f>PRODUCTION!W21</f>
        <v>750</v>
      </c>
      <c r="F92" s="102">
        <f>PRODUCTION!W22</f>
        <v>750</v>
      </c>
      <c r="G92" s="102">
        <f>PRODUCTION!W23</f>
        <v>750</v>
      </c>
      <c r="H92" s="102">
        <f>PRODUCTION!W24</f>
        <v>750</v>
      </c>
      <c r="I92" s="102">
        <f>PRODUCTION!W25</f>
        <v>750</v>
      </c>
      <c r="J92" s="102">
        <f>PRODUCTION!W26</f>
        <v>750</v>
      </c>
      <c r="K92" s="102">
        <f>PRODUCTION!W27</f>
        <v>750</v>
      </c>
      <c r="L92" s="102">
        <f>PRODUCTION!W28</f>
        <v>750</v>
      </c>
      <c r="M92" s="102">
        <f>PRODUCTION!W29</f>
        <v>750</v>
      </c>
      <c r="N92" s="17">
        <f t="shared" ref="N92:N105" si="23">SUM(B92:M92)</f>
        <v>9000</v>
      </c>
    </row>
    <row r="93" ht="13.5" customHeight="1">
      <c r="A93" s="31" t="s">
        <v>90</v>
      </c>
      <c r="B93" s="87">
        <v>900.0</v>
      </c>
      <c r="C93" s="87"/>
      <c r="D93" s="87"/>
      <c r="E93" s="87"/>
      <c r="F93" s="87"/>
      <c r="G93" s="46"/>
      <c r="H93" s="46"/>
      <c r="I93" s="46"/>
      <c r="J93" s="46"/>
      <c r="K93" s="87"/>
      <c r="L93" s="46"/>
      <c r="M93" s="87"/>
      <c r="N93" s="17">
        <f t="shared" si="23"/>
        <v>900</v>
      </c>
    </row>
    <row r="94" ht="13.5" customHeight="1">
      <c r="A94" s="31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17">
        <f t="shared" si="23"/>
        <v>2360</v>
      </c>
    </row>
    <row r="95" ht="13.5" customHeight="1">
      <c r="A95" s="31" t="s">
        <v>92</v>
      </c>
      <c r="B95" s="146">
        <v>500.0</v>
      </c>
      <c r="C95" s="105">
        <v>500.0</v>
      </c>
      <c r="D95" s="105">
        <v>0.0</v>
      </c>
      <c r="E95" s="105">
        <v>0.0</v>
      </c>
      <c r="F95" s="104">
        <v>155.0</v>
      </c>
      <c r="G95" s="104">
        <v>350.0</v>
      </c>
      <c r="H95" s="104">
        <v>0.0</v>
      </c>
      <c r="I95" s="105">
        <f>265+3.233</f>
        <v>268.233</v>
      </c>
      <c r="J95" s="105">
        <v>500.0</v>
      </c>
      <c r="K95" s="87">
        <v>456.78</v>
      </c>
      <c r="L95" s="105">
        <v>500.0</v>
      </c>
      <c r="M95" s="105">
        <v>500.0</v>
      </c>
      <c r="N95" s="17">
        <f t="shared" si="23"/>
        <v>3730.013</v>
      </c>
    </row>
    <row r="96" ht="13.5" customHeight="1">
      <c r="A96" s="32" t="s">
        <v>143</v>
      </c>
      <c r="B96" s="87">
        <f t="shared" ref="B96:M96" si="24">900+500</f>
        <v>1400</v>
      </c>
      <c r="C96" s="87">
        <f t="shared" si="24"/>
        <v>1400</v>
      </c>
      <c r="D96" s="87">
        <f t="shared" si="24"/>
        <v>1400</v>
      </c>
      <c r="E96" s="87">
        <f t="shared" si="24"/>
        <v>1400</v>
      </c>
      <c r="F96" s="87">
        <f t="shared" si="24"/>
        <v>1400</v>
      </c>
      <c r="G96" s="87">
        <f t="shared" si="24"/>
        <v>1400</v>
      </c>
      <c r="H96" s="87">
        <f t="shared" si="24"/>
        <v>1400</v>
      </c>
      <c r="I96" s="87">
        <f t="shared" si="24"/>
        <v>1400</v>
      </c>
      <c r="J96" s="87">
        <f t="shared" si="24"/>
        <v>1400</v>
      </c>
      <c r="K96" s="87">
        <f t="shared" si="24"/>
        <v>1400</v>
      </c>
      <c r="L96" s="87">
        <f t="shared" si="24"/>
        <v>1400</v>
      </c>
      <c r="M96" s="87">
        <f t="shared" si="24"/>
        <v>1400</v>
      </c>
      <c r="N96" s="17">
        <f t="shared" si="23"/>
        <v>16800</v>
      </c>
    </row>
    <row r="97" ht="13.5" customHeight="1">
      <c r="A97" s="32" t="s">
        <v>94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17">
        <f t="shared" si="23"/>
        <v>0</v>
      </c>
    </row>
    <row r="98" ht="13.5" customHeight="1">
      <c r="A98" s="32" t="s">
        <v>95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17">
        <f t="shared" si="23"/>
        <v>0</v>
      </c>
    </row>
    <row r="99" ht="13.5" customHeight="1">
      <c r="A99" s="31" t="s">
        <v>96</v>
      </c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7">
        <f t="shared" si="23"/>
        <v>0</v>
      </c>
    </row>
    <row r="100" ht="13.5" customHeight="1">
      <c r="A100" s="31" t="s">
        <v>97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17">
        <f t="shared" si="23"/>
        <v>0</v>
      </c>
    </row>
    <row r="101" ht="13.5" customHeight="1">
      <c r="A101" s="32" t="s">
        <v>98</v>
      </c>
      <c r="B101" s="87">
        <v>0.0</v>
      </c>
      <c r="C101" s="87">
        <v>0.0</v>
      </c>
      <c r="D101" s="87">
        <v>0.0</v>
      </c>
      <c r="E101" s="87">
        <v>0.0</v>
      </c>
      <c r="F101" s="87">
        <v>0.0</v>
      </c>
      <c r="G101" s="87">
        <v>0.0</v>
      </c>
      <c r="H101" s="87">
        <v>0.0</v>
      </c>
      <c r="I101" s="87">
        <v>0.0</v>
      </c>
      <c r="J101" s="87">
        <v>0.0</v>
      </c>
      <c r="K101" s="87">
        <v>0.0</v>
      </c>
      <c r="L101" s="87">
        <v>0.0</v>
      </c>
      <c r="M101" s="87">
        <v>0.0</v>
      </c>
      <c r="N101" s="17">
        <f t="shared" si="23"/>
        <v>0</v>
      </c>
    </row>
    <row r="102" ht="13.5" customHeight="1">
      <c r="A102" s="31" t="s">
        <v>99</v>
      </c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7">
        <f t="shared" si="23"/>
        <v>0</v>
      </c>
    </row>
    <row r="103" ht="13.5" customHeight="1">
      <c r="A103" s="32" t="s">
        <v>100</v>
      </c>
      <c r="B103" s="87">
        <v>200.0</v>
      </c>
      <c r="C103" s="87">
        <v>435.0</v>
      </c>
      <c r="D103" s="87">
        <f>200+113.64</f>
        <v>313.64</v>
      </c>
      <c r="E103" s="87">
        <v>200.0</v>
      </c>
      <c r="F103" s="87">
        <v>200.0</v>
      </c>
      <c r="G103" s="87">
        <v>605.0</v>
      </c>
      <c r="H103" s="87">
        <v>605.0</v>
      </c>
      <c r="I103" s="87">
        <v>200.0</v>
      </c>
      <c r="J103" s="87">
        <f>435+200</f>
        <v>635</v>
      </c>
      <c r="K103" s="87">
        <v>200.0</v>
      </c>
      <c r="L103" s="87">
        <v>200.0</v>
      </c>
      <c r="M103" s="87">
        <v>200.0</v>
      </c>
      <c r="N103" s="17">
        <f t="shared" si="23"/>
        <v>3993.64</v>
      </c>
    </row>
    <row r="104" ht="13.5" customHeight="1">
      <c r="A104" s="27" t="s">
        <v>101</v>
      </c>
      <c r="B104" s="87">
        <v>400.0</v>
      </c>
      <c r="C104" s="87">
        <v>475.0</v>
      </c>
      <c r="D104" s="87">
        <v>475.0</v>
      </c>
      <c r="E104" s="87">
        <v>475.0</v>
      </c>
      <c r="F104" s="87">
        <v>475.0</v>
      </c>
      <c r="G104" s="87">
        <v>475.0</v>
      </c>
      <c r="H104" s="87">
        <v>475.0</v>
      </c>
      <c r="I104" s="87">
        <v>475.0</v>
      </c>
      <c r="J104" s="87">
        <v>475.0</v>
      </c>
      <c r="K104" s="87">
        <v>475.0</v>
      </c>
      <c r="L104" s="87">
        <v>475.0</v>
      </c>
      <c r="M104" s="87">
        <v>475.0</v>
      </c>
      <c r="N104" s="17">
        <f t="shared" si="23"/>
        <v>5625</v>
      </c>
    </row>
    <row r="105" ht="13.5" customHeight="1">
      <c r="A105" s="27" t="s">
        <v>266</v>
      </c>
      <c r="B105" s="28"/>
      <c r="C105" s="28"/>
      <c r="D105" s="28"/>
      <c r="E105" s="28"/>
      <c r="F105" s="28"/>
      <c r="G105" s="28"/>
      <c r="H105" s="28"/>
      <c r="I105" s="147"/>
      <c r="J105" s="28"/>
      <c r="K105" s="28"/>
      <c r="L105" s="28"/>
      <c r="M105" s="28"/>
      <c r="N105" s="17">
        <f t="shared" si="23"/>
        <v>0</v>
      </c>
    </row>
    <row r="106" ht="13.5" customHeight="1">
      <c r="A106" s="9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ht="13.5" customHeight="1">
      <c r="A107" s="91" t="s">
        <v>23</v>
      </c>
      <c r="B107" s="28">
        <f t="shared" ref="B107:N107" si="25">SUM(B92:B105)</f>
        <v>4330</v>
      </c>
      <c r="C107" s="28">
        <f t="shared" si="25"/>
        <v>3740</v>
      </c>
      <c r="D107" s="28">
        <f t="shared" si="25"/>
        <v>3118.64</v>
      </c>
      <c r="E107" s="28">
        <f t="shared" si="25"/>
        <v>3005</v>
      </c>
      <c r="F107" s="28">
        <f t="shared" si="25"/>
        <v>3160</v>
      </c>
      <c r="G107" s="28">
        <f t="shared" si="25"/>
        <v>3760</v>
      </c>
      <c r="H107" s="28">
        <f t="shared" si="25"/>
        <v>3410</v>
      </c>
      <c r="I107" s="28">
        <f t="shared" si="25"/>
        <v>3273.233</v>
      </c>
      <c r="J107" s="28">
        <f t="shared" si="25"/>
        <v>3940</v>
      </c>
      <c r="K107" s="28">
        <f t="shared" si="25"/>
        <v>3661.78</v>
      </c>
      <c r="L107" s="28">
        <f t="shared" si="25"/>
        <v>3505</v>
      </c>
      <c r="M107" s="28">
        <f t="shared" si="25"/>
        <v>3505</v>
      </c>
      <c r="N107" s="28">
        <f t="shared" si="25"/>
        <v>42408.653</v>
      </c>
    </row>
    <row r="108" ht="13.5" customHeight="1">
      <c r="A108" s="91" t="s">
        <v>104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44">
        <f>SUM(B108:M108)</f>
        <v>0</v>
      </c>
    </row>
    <row r="109" ht="13.5" customHeight="1">
      <c r="A109" s="112" t="s">
        <v>105</v>
      </c>
      <c r="B109" s="50">
        <f t="shared" ref="B109:N109" si="26">B107+B90+B83+B32+B21+B13</f>
        <v>68700.36759</v>
      </c>
      <c r="C109" s="50">
        <f t="shared" si="26"/>
        <v>69030.37427</v>
      </c>
      <c r="D109" s="50">
        <f t="shared" si="26"/>
        <v>76009.00212</v>
      </c>
      <c r="E109" s="50">
        <f t="shared" si="26"/>
        <v>84062.52476</v>
      </c>
      <c r="F109" s="50">
        <f t="shared" si="26"/>
        <v>94191.22614</v>
      </c>
      <c r="G109" s="50">
        <f t="shared" si="26"/>
        <v>92903.76983</v>
      </c>
      <c r="H109" s="50">
        <f t="shared" si="26"/>
        <v>77398.14526</v>
      </c>
      <c r="I109" s="50">
        <f t="shared" si="26"/>
        <v>77261.37826</v>
      </c>
      <c r="J109" s="50">
        <f t="shared" si="26"/>
        <v>84393.74637</v>
      </c>
      <c r="K109" s="50">
        <f t="shared" si="26"/>
        <v>87126.81848</v>
      </c>
      <c r="L109" s="50">
        <f t="shared" si="26"/>
        <v>95828.93137</v>
      </c>
      <c r="M109" s="50">
        <f t="shared" si="26"/>
        <v>95828.93137</v>
      </c>
      <c r="N109" s="308">
        <f t="shared" si="26"/>
        <v>1002735.216</v>
      </c>
    </row>
    <row r="110" ht="13.5" customHeight="1">
      <c r="A110" s="35" t="s">
        <v>106</v>
      </c>
      <c r="B110" s="148">
        <v>140.0</v>
      </c>
      <c r="C110" s="116">
        <v>140.0</v>
      </c>
      <c r="D110" s="116">
        <v>150.0</v>
      </c>
      <c r="E110" s="116">
        <v>145.0</v>
      </c>
      <c r="F110" s="116">
        <v>160.0</v>
      </c>
      <c r="G110" s="116">
        <v>140.0</v>
      </c>
      <c r="H110" s="116">
        <v>175.0</v>
      </c>
      <c r="I110" s="116">
        <v>175.0</v>
      </c>
      <c r="J110" s="116">
        <v>160.0</v>
      </c>
      <c r="K110" s="116">
        <v>170.0</v>
      </c>
      <c r="L110" s="116">
        <v>160.0</v>
      </c>
      <c r="M110" s="118">
        <v>180.0</v>
      </c>
      <c r="N110" s="149">
        <f t="shared" ref="N110:N112" si="27">SUM(B110:M110)</f>
        <v>1895</v>
      </c>
    </row>
    <row r="111" ht="13.5" customHeight="1">
      <c r="A111" s="35" t="s">
        <v>107</v>
      </c>
      <c r="B111" s="120">
        <v>120.0</v>
      </c>
      <c r="C111" s="150">
        <v>120.0</v>
      </c>
      <c r="D111" s="120">
        <v>125.0</v>
      </c>
      <c r="E111" s="120">
        <v>130.0</v>
      </c>
      <c r="F111" s="120">
        <v>130.0</v>
      </c>
      <c r="G111" s="120">
        <v>125.0</v>
      </c>
      <c r="H111" s="120">
        <v>130.0</v>
      </c>
      <c r="I111" s="120">
        <v>135.0</v>
      </c>
      <c r="J111" s="120">
        <v>120.0</v>
      </c>
      <c r="K111" s="120">
        <v>125.0</v>
      </c>
      <c r="L111" s="120">
        <v>120.0</v>
      </c>
      <c r="M111" s="121">
        <v>120.0</v>
      </c>
      <c r="N111" s="149">
        <f t="shared" si="27"/>
        <v>1500</v>
      </c>
    </row>
    <row r="112" ht="13.5" customHeight="1">
      <c r="A112" s="91" t="s">
        <v>23</v>
      </c>
      <c r="B112" s="122">
        <f t="shared" ref="B112:M112" si="28">B110+B111</f>
        <v>260</v>
      </c>
      <c r="C112" s="122">
        <f t="shared" si="28"/>
        <v>260</v>
      </c>
      <c r="D112" s="122">
        <f t="shared" si="28"/>
        <v>275</v>
      </c>
      <c r="E112" s="122">
        <f t="shared" si="28"/>
        <v>275</v>
      </c>
      <c r="F112" s="123">
        <f t="shared" si="28"/>
        <v>290</v>
      </c>
      <c r="G112" s="123">
        <f t="shared" si="28"/>
        <v>265</v>
      </c>
      <c r="H112" s="123">
        <f t="shared" si="28"/>
        <v>305</v>
      </c>
      <c r="I112" s="123">
        <f t="shared" si="28"/>
        <v>310</v>
      </c>
      <c r="J112" s="123">
        <f t="shared" si="28"/>
        <v>280</v>
      </c>
      <c r="K112" s="123">
        <f t="shared" si="28"/>
        <v>295</v>
      </c>
      <c r="L112" s="123">
        <f t="shared" si="28"/>
        <v>280</v>
      </c>
      <c r="M112" s="124">
        <f t="shared" si="28"/>
        <v>300</v>
      </c>
      <c r="N112" s="125">
        <f t="shared" si="27"/>
        <v>3395</v>
      </c>
    </row>
    <row r="113" ht="13.5" customHeight="1">
      <c r="A113" s="126" t="s">
        <v>108</v>
      </c>
      <c r="B113" s="58">
        <f t="shared" ref="B113:N113" si="29">B109/B112</f>
        <v>264.232183</v>
      </c>
      <c r="C113" s="58">
        <f t="shared" si="29"/>
        <v>265.5014395</v>
      </c>
      <c r="D113" s="58">
        <f t="shared" si="29"/>
        <v>276.3963713</v>
      </c>
      <c r="E113" s="58">
        <f t="shared" si="29"/>
        <v>305.6819082</v>
      </c>
      <c r="F113" s="58">
        <f t="shared" si="29"/>
        <v>324.7973315</v>
      </c>
      <c r="G113" s="58">
        <f t="shared" si="29"/>
        <v>350.5802635</v>
      </c>
      <c r="H113" s="58">
        <f t="shared" si="29"/>
        <v>253.7644107</v>
      </c>
      <c r="I113" s="58">
        <f t="shared" si="29"/>
        <v>249.2302525</v>
      </c>
      <c r="J113" s="58">
        <f t="shared" si="29"/>
        <v>301.406237</v>
      </c>
      <c r="K113" s="58">
        <f t="shared" si="29"/>
        <v>295.3451474</v>
      </c>
      <c r="L113" s="58">
        <f t="shared" si="29"/>
        <v>342.2461835</v>
      </c>
      <c r="M113" s="58">
        <f t="shared" si="29"/>
        <v>319.4297712</v>
      </c>
      <c r="N113" s="179">
        <f t="shared" si="29"/>
        <v>295.3564701</v>
      </c>
    </row>
    <row r="114" ht="13.5" customHeight="1">
      <c r="A114" s="79" t="s">
        <v>109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</row>
    <row r="115" ht="13.5" customHeight="1">
      <c r="A115" s="59" t="s">
        <v>110</v>
      </c>
      <c r="B115" s="87">
        <v>1495.0</v>
      </c>
      <c r="C115" s="87">
        <v>1495.0</v>
      </c>
      <c r="D115" s="87">
        <v>1495.0</v>
      </c>
      <c r="E115" s="87">
        <v>1495.0</v>
      </c>
      <c r="F115" s="87">
        <v>1495.0</v>
      </c>
      <c r="G115" s="87">
        <v>1495.0</v>
      </c>
      <c r="H115" s="87">
        <v>1495.0</v>
      </c>
      <c r="I115" s="87">
        <v>1495.0</v>
      </c>
      <c r="J115" s="87">
        <v>1495.0</v>
      </c>
      <c r="K115" s="87">
        <v>1495.0</v>
      </c>
      <c r="L115" s="87">
        <v>1495.0</v>
      </c>
      <c r="M115" s="87">
        <v>1495.0</v>
      </c>
      <c r="N115" s="17">
        <f t="shared" ref="N115:N120" si="30">SUM(B115:M115)</f>
        <v>17940</v>
      </c>
    </row>
    <row r="116" ht="13.5" customHeight="1">
      <c r="A116" s="60" t="s">
        <v>111</v>
      </c>
      <c r="B116" s="87">
        <v>540.0</v>
      </c>
      <c r="C116" s="87">
        <v>540.0</v>
      </c>
      <c r="D116" s="87">
        <v>540.0</v>
      </c>
      <c r="E116" s="87">
        <v>540.0</v>
      </c>
      <c r="F116" s="87">
        <v>540.0</v>
      </c>
      <c r="G116" s="87">
        <v>540.0</v>
      </c>
      <c r="H116" s="87">
        <v>540.0</v>
      </c>
      <c r="I116" s="87">
        <v>540.0</v>
      </c>
      <c r="J116" s="87">
        <v>540.0</v>
      </c>
      <c r="K116" s="87">
        <v>540.0</v>
      </c>
      <c r="L116" s="87">
        <v>540.0</v>
      </c>
      <c r="M116" s="87">
        <v>540.0</v>
      </c>
      <c r="N116" s="17">
        <f t="shared" si="30"/>
        <v>6480</v>
      </c>
    </row>
    <row r="117" ht="13.5" customHeight="1">
      <c r="A117" s="59" t="s">
        <v>112</v>
      </c>
      <c r="B117" s="309">
        <f>4135.24
</f>
        <v>4135.24</v>
      </c>
      <c r="C117" s="87">
        <v>0.0</v>
      </c>
      <c r="D117" s="87">
        <v>0.0</v>
      </c>
      <c r="E117" s="309">
        <f>4135.24
</f>
        <v>4135.24</v>
      </c>
      <c r="F117" s="87">
        <v>0.0</v>
      </c>
      <c r="G117" s="87">
        <v>0.0</v>
      </c>
      <c r="H117" s="309">
        <f>4135.24
</f>
        <v>4135.24</v>
      </c>
      <c r="I117" s="87">
        <v>0.0</v>
      </c>
      <c r="J117" s="87">
        <v>0.0</v>
      </c>
      <c r="K117" s="87">
        <v>4182.81</v>
      </c>
      <c r="L117" s="87">
        <v>0.0</v>
      </c>
      <c r="M117" s="87">
        <v>0.0</v>
      </c>
      <c r="N117" s="17">
        <f t="shared" si="30"/>
        <v>16588.53</v>
      </c>
    </row>
    <row r="118" ht="13.5" customHeight="1">
      <c r="A118" s="59" t="s">
        <v>80</v>
      </c>
      <c r="B118" s="87">
        <v>700.0</v>
      </c>
      <c r="C118" s="87">
        <v>700.0</v>
      </c>
      <c r="D118" s="87">
        <v>700.0</v>
      </c>
      <c r="E118" s="87">
        <v>700.0</v>
      </c>
      <c r="F118" s="87">
        <v>700.0</v>
      </c>
      <c r="G118" s="87">
        <v>700.0</v>
      </c>
      <c r="H118" s="87">
        <v>700.0</v>
      </c>
      <c r="I118" s="87">
        <v>700.0</v>
      </c>
      <c r="J118" s="87">
        <v>700.0</v>
      </c>
      <c r="K118" s="87">
        <v>700.0</v>
      </c>
      <c r="L118" s="87">
        <v>700.0</v>
      </c>
      <c r="M118" s="87">
        <v>700.0</v>
      </c>
      <c r="N118" s="17">
        <f t="shared" si="30"/>
        <v>8400</v>
      </c>
    </row>
    <row r="119" ht="13.5" customHeight="1">
      <c r="A119" s="61" t="s">
        <v>113</v>
      </c>
      <c r="B119" s="87">
        <v>395.0</v>
      </c>
      <c r="C119" s="87">
        <v>395.0</v>
      </c>
      <c r="D119" s="87">
        <v>395.0</v>
      </c>
      <c r="E119" s="87">
        <v>395.0</v>
      </c>
      <c r="F119" s="87">
        <v>395.0</v>
      </c>
      <c r="G119" s="87">
        <v>395.0</v>
      </c>
      <c r="H119" s="87">
        <v>395.0</v>
      </c>
      <c r="I119" s="87">
        <v>395.0</v>
      </c>
      <c r="J119" s="87">
        <v>395.0</v>
      </c>
      <c r="K119" s="87">
        <v>395.0</v>
      </c>
      <c r="L119" s="87">
        <v>395.0</v>
      </c>
      <c r="M119" s="87">
        <v>395.0</v>
      </c>
      <c r="N119" s="17">
        <f t="shared" si="30"/>
        <v>4740</v>
      </c>
    </row>
    <row r="120" ht="13.5" customHeight="1">
      <c r="A120" s="132" t="s">
        <v>114</v>
      </c>
      <c r="B120" s="87">
        <v>1834.0</v>
      </c>
      <c r="C120" s="87">
        <v>1834.0</v>
      </c>
      <c r="D120" s="87">
        <v>1834.0</v>
      </c>
      <c r="E120" s="87">
        <v>1834.0</v>
      </c>
      <c r="F120" s="87">
        <v>1834.0</v>
      </c>
      <c r="G120" s="87">
        <v>1834.0</v>
      </c>
      <c r="H120" s="87">
        <v>1834.0</v>
      </c>
      <c r="I120" s="87">
        <v>1834.0</v>
      </c>
      <c r="J120" s="87">
        <v>1834.0</v>
      </c>
      <c r="K120" s="87">
        <v>1834.0</v>
      </c>
      <c r="L120" s="87">
        <v>1834.0</v>
      </c>
      <c r="M120" s="87">
        <v>1834.0</v>
      </c>
      <c r="N120" s="17">
        <f t="shared" si="30"/>
        <v>22008</v>
      </c>
    </row>
    <row r="121" ht="13.5" customHeight="1">
      <c r="A121" s="99" t="s">
        <v>23</v>
      </c>
      <c r="B121" s="63">
        <f t="shared" ref="B121:N121" si="31">SUM(B115:B120)</f>
        <v>9099.24</v>
      </c>
      <c r="C121" s="63">
        <f t="shared" si="31"/>
        <v>4964</v>
      </c>
      <c r="D121" s="63">
        <f t="shared" si="31"/>
        <v>4964</v>
      </c>
      <c r="E121" s="63">
        <f t="shared" si="31"/>
        <v>9099.24</v>
      </c>
      <c r="F121" s="63">
        <f t="shared" si="31"/>
        <v>4964</v>
      </c>
      <c r="G121" s="63">
        <f t="shared" si="31"/>
        <v>4964</v>
      </c>
      <c r="H121" s="63">
        <f t="shared" si="31"/>
        <v>9099.24</v>
      </c>
      <c r="I121" s="63">
        <f t="shared" si="31"/>
        <v>4964</v>
      </c>
      <c r="J121" s="63">
        <f t="shared" si="31"/>
        <v>4964</v>
      </c>
      <c r="K121" s="63">
        <f t="shared" si="31"/>
        <v>9146.81</v>
      </c>
      <c r="L121" s="63">
        <f t="shared" si="31"/>
        <v>4964</v>
      </c>
      <c r="M121" s="63">
        <f t="shared" si="31"/>
        <v>4964</v>
      </c>
      <c r="N121" s="63">
        <f t="shared" si="31"/>
        <v>76156.53</v>
      </c>
    </row>
    <row r="122" ht="13.5" customHeight="1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</row>
    <row r="123" ht="13.5" customHeight="1">
      <c r="A123" s="134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</row>
    <row r="124" ht="13.5" customHeight="1">
      <c r="A124" s="64" t="s">
        <v>115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</row>
    <row r="125" ht="13.5" customHeight="1">
      <c r="A125" s="64" t="s">
        <v>116</v>
      </c>
      <c r="B125" s="67">
        <f t="shared" ref="B125:M125" si="32">+B13*0.7+B21*0.7+B32*0.7+B52*0.6+B70+B107*0.6</f>
        <v>43959.61831</v>
      </c>
      <c r="C125" s="67">
        <f t="shared" si="32"/>
        <v>44534.62299</v>
      </c>
      <c r="D125" s="67">
        <f t="shared" si="32"/>
        <v>49103.79848</v>
      </c>
      <c r="E125" s="67">
        <f t="shared" si="32"/>
        <v>54752.62833</v>
      </c>
      <c r="F125" s="67">
        <f t="shared" si="32"/>
        <v>61827.2193</v>
      </c>
      <c r="G125" s="67">
        <f t="shared" si="32"/>
        <v>60865.99988</v>
      </c>
      <c r="H125" s="67">
        <f t="shared" si="32"/>
        <v>50047.06268</v>
      </c>
      <c r="I125" s="67">
        <f t="shared" si="32"/>
        <v>49965.00248</v>
      </c>
      <c r="J125" s="67">
        <f t="shared" si="32"/>
        <v>54890.98346</v>
      </c>
      <c r="K125" s="67">
        <f t="shared" si="32"/>
        <v>56831.95594</v>
      </c>
      <c r="L125" s="67">
        <f t="shared" si="32"/>
        <v>62939.11296</v>
      </c>
      <c r="M125" s="67">
        <f t="shared" si="32"/>
        <v>62939.11296</v>
      </c>
      <c r="N125" s="67">
        <f t="shared" ref="N125:N126" si="34">SUM(B125:M125)</f>
        <v>652657.1178</v>
      </c>
    </row>
    <row r="126" ht="13.5" customHeight="1">
      <c r="A126" s="64" t="s">
        <v>117</v>
      </c>
      <c r="B126" s="67">
        <f t="shared" ref="B126:M126" si="33">+B13*0.3+B21*0.3+B32*0.3+B52*0.4+B82+B90+B107*0.4</f>
        <v>24740.74928</v>
      </c>
      <c r="C126" s="67">
        <f t="shared" si="33"/>
        <v>24495.75128</v>
      </c>
      <c r="D126" s="67">
        <f t="shared" si="33"/>
        <v>26905.20363</v>
      </c>
      <c r="E126" s="67">
        <f t="shared" si="33"/>
        <v>29309.89643</v>
      </c>
      <c r="F126" s="67">
        <f t="shared" si="33"/>
        <v>32364.00684</v>
      </c>
      <c r="G126" s="67">
        <f t="shared" si="33"/>
        <v>32037.76995</v>
      </c>
      <c r="H126" s="67">
        <f t="shared" si="33"/>
        <v>27351.08258</v>
      </c>
      <c r="I126" s="67">
        <f t="shared" si="33"/>
        <v>27296.37578</v>
      </c>
      <c r="J126" s="67">
        <f t="shared" si="33"/>
        <v>29502.76291</v>
      </c>
      <c r="K126" s="67">
        <f t="shared" si="33"/>
        <v>30294.86254</v>
      </c>
      <c r="L126" s="67">
        <f t="shared" si="33"/>
        <v>32889.81841</v>
      </c>
      <c r="M126" s="67">
        <f t="shared" si="33"/>
        <v>32889.81841</v>
      </c>
      <c r="N126" s="67">
        <f t="shared" si="34"/>
        <v>350078.0981</v>
      </c>
    </row>
    <row r="127" ht="13.5" customHeight="1">
      <c r="A127" s="64" t="s">
        <v>23</v>
      </c>
      <c r="B127" s="67">
        <f t="shared" ref="B127:N127" si="35">SUM(B125:B126)</f>
        <v>68700.36759</v>
      </c>
      <c r="C127" s="67">
        <f t="shared" si="35"/>
        <v>69030.37427</v>
      </c>
      <c r="D127" s="67">
        <f t="shared" si="35"/>
        <v>76009.00212</v>
      </c>
      <c r="E127" s="67">
        <f t="shared" si="35"/>
        <v>84062.52476</v>
      </c>
      <c r="F127" s="67">
        <f t="shared" si="35"/>
        <v>94191.22614</v>
      </c>
      <c r="G127" s="67">
        <f t="shared" si="35"/>
        <v>92903.76983</v>
      </c>
      <c r="H127" s="67">
        <f t="shared" si="35"/>
        <v>77398.14526</v>
      </c>
      <c r="I127" s="67">
        <f t="shared" si="35"/>
        <v>77261.37826</v>
      </c>
      <c r="J127" s="67">
        <f t="shared" si="35"/>
        <v>84393.74637</v>
      </c>
      <c r="K127" s="67">
        <f t="shared" si="35"/>
        <v>87126.81848</v>
      </c>
      <c r="L127" s="67">
        <f t="shared" si="35"/>
        <v>95828.93137</v>
      </c>
      <c r="M127" s="67">
        <f t="shared" si="35"/>
        <v>95828.93137</v>
      </c>
      <c r="N127" s="67">
        <f t="shared" si="35"/>
        <v>1002735.216</v>
      </c>
    </row>
    <row r="128" ht="13.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</row>
    <row r="129" ht="13.5" customHeight="1">
      <c r="A129" s="69" t="s">
        <v>118</v>
      </c>
      <c r="B129" s="70">
        <f t="shared" ref="B129:N129" si="36">+B109</f>
        <v>68700.36759</v>
      </c>
      <c r="C129" s="70">
        <f t="shared" si="36"/>
        <v>69030.37427</v>
      </c>
      <c r="D129" s="70">
        <f t="shared" si="36"/>
        <v>76009.00212</v>
      </c>
      <c r="E129" s="70">
        <f t="shared" si="36"/>
        <v>84062.52476</v>
      </c>
      <c r="F129" s="70">
        <f t="shared" si="36"/>
        <v>94191.22614</v>
      </c>
      <c r="G129" s="70">
        <f t="shared" si="36"/>
        <v>92903.76983</v>
      </c>
      <c r="H129" s="70">
        <f t="shared" si="36"/>
        <v>77398.14526</v>
      </c>
      <c r="I129" s="70">
        <f t="shared" si="36"/>
        <v>77261.37826</v>
      </c>
      <c r="J129" s="70">
        <f t="shared" si="36"/>
        <v>84393.74637</v>
      </c>
      <c r="K129" s="70">
        <f t="shared" si="36"/>
        <v>87126.81848</v>
      </c>
      <c r="L129" s="70">
        <f t="shared" si="36"/>
        <v>95828.93137</v>
      </c>
      <c r="M129" s="70">
        <f t="shared" si="36"/>
        <v>95828.93137</v>
      </c>
      <c r="N129" s="70">
        <f t="shared" si="36"/>
        <v>1002735.216</v>
      </c>
    </row>
    <row r="130" ht="13.5" customHeight="1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</row>
    <row r="131" ht="13.5" customHeight="1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</row>
  </sheetData>
  <mergeCells count="1">
    <mergeCell ref="A1:N1"/>
  </mergeCells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1.38"/>
    <col customWidth="1" min="2" max="5" width="9.25"/>
    <col customWidth="1" min="6" max="6" width="9.13"/>
    <col customWidth="1" min="7" max="8" width="9.25"/>
    <col customWidth="1" min="9" max="9" width="9.13"/>
    <col customWidth="1" min="10" max="10" width="9.63"/>
    <col customWidth="1" min="11" max="13" width="9.13"/>
    <col customWidth="1" min="14" max="14" width="10.63"/>
  </cols>
  <sheetData>
    <row r="1" ht="13.5" customHeight="1">
      <c r="A1" s="76" t="s">
        <v>267</v>
      </c>
    </row>
    <row r="2" ht="13.5" customHeight="1">
      <c r="A2" s="7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ht="13.5" customHeight="1">
      <c r="A3" s="1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</row>
    <row r="4" ht="13.5" customHeight="1">
      <c r="A4" s="296" t="s">
        <v>14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</row>
    <row r="5" ht="13.5" customHeight="1">
      <c r="A5" s="142" t="s">
        <v>15</v>
      </c>
      <c r="B5" s="86">
        <f>FORMULAS!S52</f>
        <v>5561.904762</v>
      </c>
      <c r="C5" s="86">
        <f>FORMULAS!W52</f>
        <v>5561.904762</v>
      </c>
      <c r="D5" s="86">
        <f>FORMULAS!AA52</f>
        <v>5561.904762</v>
      </c>
      <c r="E5" s="86">
        <f>FORMULAS!AE52</f>
        <v>7472.352834</v>
      </c>
      <c r="F5" s="86">
        <f>FORMULAS!AI52</f>
        <v>10636.28535</v>
      </c>
      <c r="G5" s="86">
        <f>FORMULAS!AM52</f>
        <v>9679.065979</v>
      </c>
      <c r="H5" s="86">
        <f>FORMULAS!AQ52</f>
        <v>6567.937628</v>
      </c>
      <c r="I5" s="86">
        <f>FORMULAS!AU52</f>
        <v>6567.937628</v>
      </c>
      <c r="J5" s="86">
        <f>FORMULAS!AY52</f>
        <v>8296.342268</v>
      </c>
      <c r="K5" s="86">
        <f>FORMULAS!BC52</f>
        <v>8296.342268</v>
      </c>
      <c r="L5" s="86">
        <f>FORMULAS!BG52</f>
        <v>9679.065979</v>
      </c>
      <c r="M5" s="86">
        <f>FORMULAS!BK52</f>
        <v>9679.065979</v>
      </c>
      <c r="N5" s="95">
        <f t="shared" ref="N5:N12" si="1">SUM(B5:M5)</f>
        <v>93560.1102</v>
      </c>
    </row>
    <row r="6" ht="13.5" customHeight="1">
      <c r="A6" s="15" t="s">
        <v>123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17">
        <f t="shared" si="1"/>
        <v>0</v>
      </c>
    </row>
    <row r="7" ht="13.5" customHeight="1">
      <c r="A7" s="15" t="s">
        <v>17</v>
      </c>
      <c r="B7" s="46">
        <f>FORMULAS!S252</f>
        <v>4482.484076</v>
      </c>
      <c r="C7" s="46">
        <f>FORMULAS!W252</f>
        <v>4482.484076</v>
      </c>
      <c r="D7" s="46">
        <f>FORMULAS!AA252</f>
        <v>5759.992038</v>
      </c>
      <c r="E7" s="46">
        <f>FORMULAS!AE252</f>
        <v>7059.91242</v>
      </c>
      <c r="F7" s="46">
        <f>FORMULAS!AI252</f>
        <v>10085.58917</v>
      </c>
      <c r="G7" s="46">
        <f>FORMULAS!AM252</f>
        <v>10085.58917</v>
      </c>
      <c r="H7" s="46">
        <f>FORMULAS!AQ252</f>
        <v>5759.992038</v>
      </c>
      <c r="I7" s="46">
        <f>FORMULAS!AU252</f>
        <v>5759.992038</v>
      </c>
      <c r="J7" s="46">
        <f>FORMULAS!AY252</f>
        <v>7059.91242</v>
      </c>
      <c r="K7" s="46">
        <f>FORMULAS!BC252</f>
        <v>7059.91242</v>
      </c>
      <c r="L7" s="46">
        <f>FORMULAS!BG252</f>
        <v>10085.58917</v>
      </c>
      <c r="M7" s="46">
        <f>FORMULAS!BK252</f>
        <v>10085.58917</v>
      </c>
      <c r="N7" s="17">
        <f t="shared" si="1"/>
        <v>87767.03822</v>
      </c>
    </row>
    <row r="8" ht="13.5" customHeight="1">
      <c r="A8" s="15" t="s">
        <v>18</v>
      </c>
      <c r="B8" s="46">
        <f>FORMULAS!S260</f>
        <v>0</v>
      </c>
      <c r="C8" s="46">
        <f>FORMULAS!W260</f>
        <v>0</v>
      </c>
      <c r="D8" s="46">
        <f>FORMULAS!AA260</f>
        <v>0</v>
      </c>
      <c r="E8" s="46">
        <f>FORMULAS!AE260</f>
        <v>0</v>
      </c>
      <c r="F8" s="46">
        <f>FORMULAS!AI260</f>
        <v>448.2484076</v>
      </c>
      <c r="G8" s="46">
        <f>FORMULAS!AM260</f>
        <v>448.2484076</v>
      </c>
      <c r="H8" s="46">
        <f>FORMULAS!AQ260</f>
        <v>0</v>
      </c>
      <c r="I8" s="46">
        <f>FORMULAS!AU260</f>
        <v>0</v>
      </c>
      <c r="J8" s="46">
        <f>FORMULAS!AY260</f>
        <v>0</v>
      </c>
      <c r="K8" s="46">
        <f>FORMULAS!BC260</f>
        <v>0</v>
      </c>
      <c r="L8" s="46">
        <f>FORMULAS!BG260</f>
        <v>400</v>
      </c>
      <c r="M8" s="46">
        <f>FORMULAS!BK260</f>
        <v>400</v>
      </c>
      <c r="N8" s="17">
        <f t="shared" si="1"/>
        <v>1696.496815</v>
      </c>
    </row>
    <row r="9" ht="13.5" customHeight="1">
      <c r="A9" s="20" t="s">
        <v>168</v>
      </c>
      <c r="B9" s="86">
        <f>FORMULAS!S100+FORMULAS!S268</f>
        <v>2737.840678</v>
      </c>
      <c r="C9" s="86">
        <f>FORMULAS!W100+FORMULAS!W268</f>
        <v>2737.840678</v>
      </c>
      <c r="D9" s="86">
        <f>FORMULAS!AA100+FORMULAS!AA268</f>
        <v>3858.461697</v>
      </c>
      <c r="E9" s="86">
        <f>FORMULAS!AE100+FORMULAS!AE268</f>
        <v>7266.151899</v>
      </c>
      <c r="F9" s="86">
        <f>FORMULAS!AI100+FORMULAS!AI268</f>
        <v>10453.25121</v>
      </c>
      <c r="G9" s="86">
        <f>FORMULAS!AM100+FORMULAS!AM268</f>
        <v>10016.75918</v>
      </c>
      <c r="H9" s="86">
        <f>FORMULAS!AQ100+FORMULAS!AQ268</f>
        <v>5895.012896</v>
      </c>
      <c r="I9" s="86">
        <f>FORMULAS!AU100+FORMULAS!AU268</f>
        <v>5895.012896</v>
      </c>
      <c r="J9" s="86">
        <f>FORMULAS!AY100+FORMULAS!AY268</f>
        <v>7955.886039</v>
      </c>
      <c r="K9" s="86">
        <f>FORMULAS!BC100+FORMULAS!BC268</f>
        <v>7473.401963</v>
      </c>
      <c r="L9" s="86">
        <f>FORMULAS!BG100+FORMULAS!BG268</f>
        <v>9413.654086</v>
      </c>
      <c r="M9" s="86">
        <f>FORMULAS!BK100+FORMULAS!BK268</f>
        <v>9413.654086</v>
      </c>
      <c r="N9" s="17">
        <f t="shared" si="1"/>
        <v>83116.92731</v>
      </c>
    </row>
    <row r="10" ht="13.5" customHeight="1">
      <c r="A10" s="20" t="s">
        <v>235</v>
      </c>
      <c r="B10" s="46">
        <f>FORMULAS!S76</f>
        <v>2133.718821</v>
      </c>
      <c r="C10" s="46">
        <f>FORMULAS!W76</f>
        <v>1563.491156</v>
      </c>
      <c r="D10" s="46">
        <f>FORMULAS!AA76</f>
        <v>2262.90068</v>
      </c>
      <c r="E10" s="46">
        <f>FORMULAS!AE76</f>
        <v>2036.054422</v>
      </c>
      <c r="F10" s="86">
        <f>FORMULAS!AI76</f>
        <v>0</v>
      </c>
      <c r="G10" s="46">
        <f>FORMULAS!AM76</f>
        <v>0</v>
      </c>
      <c r="H10" s="46">
        <f>FORMULAS!AQ76</f>
        <v>0</v>
      </c>
      <c r="I10" s="46">
        <f>FORMULAS!AU76</f>
        <v>0</v>
      </c>
      <c r="J10" s="46">
        <f>FORMULAS!AY76</f>
        <v>0</v>
      </c>
      <c r="K10" s="46">
        <f>FORMULAS!BC76</f>
        <v>1935.813196</v>
      </c>
      <c r="L10" s="46">
        <f>FORMULAS!BG76</f>
        <v>1935.813196</v>
      </c>
      <c r="M10" s="46">
        <f>FORMULAS!BK76</f>
        <v>1935.813196</v>
      </c>
      <c r="N10" s="17">
        <f t="shared" si="1"/>
        <v>13803.60467</v>
      </c>
    </row>
    <row r="11" ht="13.5" customHeight="1">
      <c r="A11" s="15" t="s">
        <v>21</v>
      </c>
      <c r="B11" s="87">
        <v>388.0</v>
      </c>
      <c r="C11" s="87">
        <v>426.88</v>
      </c>
      <c r="D11" s="87">
        <v>388.0</v>
      </c>
      <c r="E11" s="87">
        <v>388.0</v>
      </c>
      <c r="F11" s="87">
        <v>388.0</v>
      </c>
      <c r="G11" s="87">
        <v>388.0</v>
      </c>
      <c r="H11" s="87">
        <v>388.0</v>
      </c>
      <c r="I11" s="87">
        <v>388.0</v>
      </c>
      <c r="J11" s="87">
        <v>388.0</v>
      </c>
      <c r="K11" s="87">
        <v>388.0</v>
      </c>
      <c r="L11" s="87">
        <v>388.0</v>
      </c>
      <c r="M11" s="87">
        <v>388.0</v>
      </c>
      <c r="N11" s="17">
        <f t="shared" si="1"/>
        <v>4694.88</v>
      </c>
    </row>
    <row r="12" ht="13.5" customHeight="1">
      <c r="A12" s="15" t="s">
        <v>22</v>
      </c>
      <c r="B12" s="46">
        <f>PRODUCTION!X3</f>
        <v>700</v>
      </c>
      <c r="C12" s="46">
        <f>PRODUCTION!X4</f>
        <v>1370.6</v>
      </c>
      <c r="D12" s="46">
        <f>PRODUCTION!X5</f>
        <v>1370.6</v>
      </c>
      <c r="E12" s="46">
        <f>PRODUCTION!X6</f>
        <v>1370.6</v>
      </c>
      <c r="F12" s="46">
        <f>PRODUCTION!X7</f>
        <v>1370.6</v>
      </c>
      <c r="G12" s="46">
        <f>PRODUCTION!X8</f>
        <v>1370.6</v>
      </c>
      <c r="H12" s="46">
        <f>PRODUCTION!X9</f>
        <v>1370.6</v>
      </c>
      <c r="I12" s="46">
        <f>PRODUCTION!X10</f>
        <v>1370.6</v>
      </c>
      <c r="J12" s="46">
        <f>PRODUCTION!X11</f>
        <v>1370.6</v>
      </c>
      <c r="K12" s="46">
        <f>PRODUCTION!X12</f>
        <v>1370.6</v>
      </c>
      <c r="L12" s="46">
        <f>PRODUCTION!X13</f>
        <v>1370.6</v>
      </c>
      <c r="M12" s="46">
        <f>PRODUCTION!X14</f>
        <v>1370.6</v>
      </c>
      <c r="N12" s="17">
        <f t="shared" si="1"/>
        <v>15776.6</v>
      </c>
    </row>
    <row r="13" ht="13.5" customHeight="1">
      <c r="A13" s="21" t="s">
        <v>23</v>
      </c>
      <c r="B13" s="22">
        <f t="shared" ref="B13:N13" si="2">SUM(B5:B12)</f>
        <v>16003.94834</v>
      </c>
      <c r="C13" s="22">
        <f t="shared" si="2"/>
        <v>16143.20067</v>
      </c>
      <c r="D13" s="22">
        <f t="shared" si="2"/>
        <v>19201.85918</v>
      </c>
      <c r="E13" s="22">
        <f t="shared" si="2"/>
        <v>25593.07158</v>
      </c>
      <c r="F13" s="22">
        <f t="shared" si="2"/>
        <v>33381.97414</v>
      </c>
      <c r="G13" s="22">
        <f t="shared" si="2"/>
        <v>31988.26274</v>
      </c>
      <c r="H13" s="22">
        <f t="shared" si="2"/>
        <v>19981.54256</v>
      </c>
      <c r="I13" s="22">
        <f t="shared" si="2"/>
        <v>19981.54256</v>
      </c>
      <c r="J13" s="22">
        <f t="shared" si="2"/>
        <v>25070.74073</v>
      </c>
      <c r="K13" s="22">
        <f t="shared" si="2"/>
        <v>26524.06985</v>
      </c>
      <c r="L13" s="22">
        <f t="shared" si="2"/>
        <v>33272.72243</v>
      </c>
      <c r="M13" s="22">
        <f t="shared" si="2"/>
        <v>33272.72243</v>
      </c>
      <c r="N13" s="22">
        <f t="shared" si="2"/>
        <v>300415.6572</v>
      </c>
    </row>
    <row r="14" ht="13.5" customHeight="1">
      <c r="A14" s="297" t="s">
        <v>24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83"/>
    </row>
    <row r="15" ht="13.5" customHeight="1">
      <c r="A15" s="39" t="s">
        <v>264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17">
        <f t="shared" ref="N15:N18" si="3">SUM(B15:M15)</f>
        <v>0</v>
      </c>
    </row>
    <row r="16" ht="13.5" customHeight="1">
      <c r="A16" s="35" t="s">
        <v>26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17">
        <f t="shared" si="3"/>
        <v>0</v>
      </c>
    </row>
    <row r="17" ht="13.5" customHeight="1">
      <c r="A17" s="39" t="s">
        <v>27</v>
      </c>
      <c r="B17" s="46"/>
      <c r="C17" s="46"/>
      <c r="D17" s="46"/>
      <c r="E17" s="46"/>
      <c r="F17" s="46"/>
      <c r="G17" s="46"/>
      <c r="H17" s="46"/>
      <c r="I17" s="46"/>
      <c r="J17" s="87"/>
      <c r="K17" s="46"/>
      <c r="L17" s="46"/>
      <c r="M17" s="46"/>
      <c r="N17" s="17">
        <f t="shared" si="3"/>
        <v>0</v>
      </c>
    </row>
    <row r="18" ht="13.5" customHeight="1">
      <c r="A18" s="3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17">
        <f t="shared" si="3"/>
        <v>0</v>
      </c>
    </row>
    <row r="19" ht="13.5" customHeight="1">
      <c r="A19" s="27" t="s">
        <v>29</v>
      </c>
      <c r="B19" s="103"/>
      <c r="C19" s="103"/>
      <c r="D19" s="46"/>
      <c r="E19" s="87"/>
      <c r="F19" s="46"/>
      <c r="G19" s="46"/>
      <c r="H19" s="46"/>
      <c r="I19" s="46"/>
      <c r="J19" s="46"/>
      <c r="K19" s="46"/>
      <c r="L19" s="46"/>
      <c r="M19" s="46"/>
      <c r="N19" s="17">
        <f>SUM(C19:M19)</f>
        <v>0</v>
      </c>
    </row>
    <row r="20" ht="13.5" customHeight="1">
      <c r="A20" s="3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17">
        <f>SUM(B20:M20)</f>
        <v>0</v>
      </c>
    </row>
    <row r="21" ht="13.5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</row>
    <row r="22" ht="13.5" customHeight="1">
      <c r="A22" s="89" t="s">
        <v>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3"/>
    </row>
    <row r="23" ht="13.5" customHeight="1">
      <c r="A23" s="26" t="s">
        <v>31</v>
      </c>
      <c r="B23" s="87">
        <v>0.0</v>
      </c>
      <c r="C23" s="87">
        <v>0.0</v>
      </c>
      <c r="D23" s="87">
        <v>0.0</v>
      </c>
      <c r="E23" s="87">
        <v>0.0</v>
      </c>
      <c r="F23" s="87">
        <v>0.0</v>
      </c>
      <c r="G23" s="87">
        <v>0.0</v>
      </c>
      <c r="H23" s="87">
        <v>0.0</v>
      </c>
      <c r="I23" s="87">
        <v>0.0</v>
      </c>
      <c r="J23" s="87">
        <v>0.0</v>
      </c>
      <c r="K23" s="87">
        <v>0.0</v>
      </c>
      <c r="L23" s="87">
        <v>0.0</v>
      </c>
      <c r="M23" s="87">
        <v>0.0</v>
      </c>
      <c r="N23" s="17">
        <f t="shared" ref="N23:N31" si="5">SUM(B23:M23)</f>
        <v>0</v>
      </c>
    </row>
    <row r="24" ht="13.5" customHeight="1">
      <c r="A24" s="32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17">
        <f t="shared" si="5"/>
        <v>0</v>
      </c>
    </row>
    <row r="25" ht="13.5" customHeight="1">
      <c r="A25" s="1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17">
        <f t="shared" si="5"/>
        <v>0</v>
      </c>
    </row>
    <row r="26" ht="13.5" customHeight="1">
      <c r="A26" s="32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17">
        <f t="shared" si="5"/>
        <v>0</v>
      </c>
    </row>
    <row r="27" ht="13.5" customHeight="1">
      <c r="A27" s="31" t="s">
        <v>34</v>
      </c>
      <c r="B27" s="46"/>
      <c r="C27" s="87"/>
      <c r="D27" s="139"/>
      <c r="E27" s="140"/>
      <c r="F27" s="141"/>
      <c r="G27" s="141"/>
      <c r="H27" s="140"/>
      <c r="I27" s="141"/>
      <c r="J27" s="140"/>
      <c r="K27" s="141"/>
      <c r="L27" s="141"/>
      <c r="M27" s="141"/>
      <c r="N27" s="17">
        <f t="shared" si="5"/>
        <v>0</v>
      </c>
    </row>
    <row r="28" ht="13.5" customHeight="1">
      <c r="A28" s="33" t="s">
        <v>35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17">
        <f t="shared" si="5"/>
        <v>0</v>
      </c>
    </row>
    <row r="29" ht="13.5" customHeight="1">
      <c r="A29" s="27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17">
        <f t="shared" si="5"/>
        <v>0</v>
      </c>
    </row>
    <row r="30" ht="13.5" customHeight="1">
      <c r="A30" s="31" t="s">
        <v>268</v>
      </c>
      <c r="B30" s="46"/>
      <c r="C30" s="46"/>
      <c r="D30" s="46"/>
      <c r="E30" s="46"/>
      <c r="F30" s="46"/>
      <c r="G30" s="46"/>
      <c r="H30" s="46"/>
      <c r="I30" s="217"/>
      <c r="J30" s="46"/>
      <c r="K30" s="46"/>
      <c r="L30" s="46"/>
      <c r="M30" s="46"/>
      <c r="N30" s="17">
        <f t="shared" si="5"/>
        <v>0</v>
      </c>
    </row>
    <row r="31" ht="13.5" customHeight="1">
      <c r="A31" s="3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17">
        <f t="shared" si="5"/>
        <v>0</v>
      </c>
    </row>
    <row r="32" ht="13.5" customHeight="1">
      <c r="A32" s="91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0</v>
      </c>
      <c r="E32" s="28">
        <f t="shared" si="6"/>
        <v>0</v>
      </c>
      <c r="F32" s="28">
        <f t="shared" si="6"/>
        <v>0</v>
      </c>
      <c r="G32" s="28">
        <f t="shared" si="6"/>
        <v>0</v>
      </c>
      <c r="H32" s="28">
        <f t="shared" si="6"/>
        <v>0</v>
      </c>
      <c r="I32" s="28">
        <f t="shared" si="6"/>
        <v>0</v>
      </c>
      <c r="J32" s="28">
        <f t="shared" si="6"/>
        <v>0</v>
      </c>
      <c r="K32" s="28">
        <f t="shared" si="6"/>
        <v>0</v>
      </c>
      <c r="L32" s="28">
        <f t="shared" si="6"/>
        <v>0</v>
      </c>
      <c r="M32" s="28">
        <f t="shared" si="6"/>
        <v>0</v>
      </c>
      <c r="N32" s="28">
        <f t="shared" si="6"/>
        <v>0</v>
      </c>
    </row>
    <row r="33" ht="13.5" customHeight="1">
      <c r="A33" s="79" t="s">
        <v>38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</row>
    <row r="34" ht="13.5" customHeight="1">
      <c r="A34" s="15" t="s">
        <v>39</v>
      </c>
      <c r="B34" s="87">
        <f t="shared" ref="B34:M34" si="7">1899+61.9+850</f>
        <v>2810.9</v>
      </c>
      <c r="C34" s="87">
        <f t="shared" si="7"/>
        <v>2810.9</v>
      </c>
      <c r="D34" s="87">
        <f t="shared" si="7"/>
        <v>2810.9</v>
      </c>
      <c r="E34" s="87">
        <f t="shared" si="7"/>
        <v>2810.9</v>
      </c>
      <c r="F34" s="87">
        <f t="shared" si="7"/>
        <v>2810.9</v>
      </c>
      <c r="G34" s="87">
        <f t="shared" si="7"/>
        <v>2810.9</v>
      </c>
      <c r="H34" s="87">
        <f t="shared" si="7"/>
        <v>2810.9</v>
      </c>
      <c r="I34" s="87">
        <f t="shared" si="7"/>
        <v>2810.9</v>
      </c>
      <c r="J34" s="87">
        <f t="shared" si="7"/>
        <v>2810.9</v>
      </c>
      <c r="K34" s="87">
        <f t="shared" si="7"/>
        <v>2810.9</v>
      </c>
      <c r="L34" s="87">
        <f t="shared" si="7"/>
        <v>2810.9</v>
      </c>
      <c r="M34" s="87">
        <f t="shared" si="7"/>
        <v>2810.9</v>
      </c>
      <c r="N34" s="17">
        <f t="shared" ref="N34:N51" si="8">SUM(B34:M34)</f>
        <v>33730.8</v>
      </c>
    </row>
    <row r="35" ht="13.5" customHeight="1">
      <c r="A35" s="19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17">
        <f t="shared" si="8"/>
        <v>0</v>
      </c>
    </row>
    <row r="36" ht="13.5" customHeight="1">
      <c r="A36" s="35" t="s">
        <v>41</v>
      </c>
      <c r="B36" s="87">
        <f t="shared" ref="B36:M36" si="9">395+75</f>
        <v>470</v>
      </c>
      <c r="C36" s="87">
        <f t="shared" si="9"/>
        <v>470</v>
      </c>
      <c r="D36" s="87">
        <f t="shared" si="9"/>
        <v>470</v>
      </c>
      <c r="E36" s="87">
        <f t="shared" si="9"/>
        <v>470</v>
      </c>
      <c r="F36" s="87">
        <f t="shared" si="9"/>
        <v>470</v>
      </c>
      <c r="G36" s="87">
        <f t="shared" si="9"/>
        <v>470</v>
      </c>
      <c r="H36" s="87">
        <f t="shared" si="9"/>
        <v>470</v>
      </c>
      <c r="I36" s="87">
        <f t="shared" si="9"/>
        <v>470</v>
      </c>
      <c r="J36" s="87">
        <f t="shared" si="9"/>
        <v>470</v>
      </c>
      <c r="K36" s="87">
        <f t="shared" si="9"/>
        <v>470</v>
      </c>
      <c r="L36" s="87">
        <f t="shared" si="9"/>
        <v>470</v>
      </c>
      <c r="M36" s="87">
        <f t="shared" si="9"/>
        <v>470</v>
      </c>
      <c r="N36" s="17">
        <f t="shared" si="8"/>
        <v>5640</v>
      </c>
    </row>
    <row r="37" ht="13.5" customHeight="1">
      <c r="A37" s="35" t="s">
        <v>42</v>
      </c>
      <c r="B37" s="87">
        <v>759.0</v>
      </c>
      <c r="C37" s="87">
        <v>759.0</v>
      </c>
      <c r="D37" s="87">
        <v>759.0</v>
      </c>
      <c r="E37" s="87">
        <v>759.0</v>
      </c>
      <c r="F37" s="87">
        <v>759.0</v>
      </c>
      <c r="G37" s="87">
        <v>759.0</v>
      </c>
      <c r="H37" s="87">
        <v>759.0</v>
      </c>
      <c r="I37" s="87">
        <v>759.0</v>
      </c>
      <c r="J37" s="87">
        <v>759.0</v>
      </c>
      <c r="K37" s="87">
        <v>759.0</v>
      </c>
      <c r="L37" s="87">
        <v>759.0</v>
      </c>
      <c r="M37" s="87">
        <v>759.0</v>
      </c>
      <c r="N37" s="17">
        <f t="shared" si="8"/>
        <v>9108</v>
      </c>
    </row>
    <row r="38" ht="13.5" customHeight="1">
      <c r="A38" s="35" t="s">
        <v>43</v>
      </c>
      <c r="B38" s="46"/>
      <c r="C38" s="46"/>
      <c r="D38" s="46"/>
      <c r="F38" s="46"/>
      <c r="G38" s="46"/>
      <c r="H38" s="46"/>
      <c r="I38" s="46"/>
      <c r="J38" s="46"/>
      <c r="K38" s="46"/>
      <c r="L38" s="46"/>
      <c r="M38" s="46"/>
      <c r="N38" s="17">
        <f t="shared" si="8"/>
        <v>0</v>
      </c>
    </row>
    <row r="39" ht="13.5" customHeight="1">
      <c r="A39" s="35" t="s">
        <v>44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17">
        <f t="shared" si="8"/>
        <v>0</v>
      </c>
    </row>
    <row r="40" ht="13.5" customHeight="1">
      <c r="A40" s="35" t="s">
        <v>45</v>
      </c>
      <c r="B40" s="46"/>
      <c r="C40" s="87"/>
      <c r="D40" s="87"/>
      <c r="E40" s="87"/>
      <c r="F40" s="46"/>
      <c r="G40" s="46"/>
      <c r="H40" s="46"/>
      <c r="I40" s="46"/>
      <c r="J40" s="87"/>
      <c r="K40" s="46"/>
      <c r="L40" s="46"/>
      <c r="M40" s="46"/>
      <c r="N40" s="17">
        <f t="shared" si="8"/>
        <v>0</v>
      </c>
    </row>
    <row r="41" ht="13.5" customHeight="1">
      <c r="A41" s="39" t="s">
        <v>269</v>
      </c>
      <c r="B41" s="87">
        <v>4865.0</v>
      </c>
      <c r="C41" s="87">
        <v>4865.0</v>
      </c>
      <c r="D41" s="87">
        <v>9030.0</v>
      </c>
      <c r="E41" s="87">
        <v>9030.0</v>
      </c>
      <c r="F41" s="87">
        <v>9030.0</v>
      </c>
      <c r="G41" s="87">
        <v>9030.0</v>
      </c>
      <c r="H41" s="87">
        <v>9030.0</v>
      </c>
      <c r="I41" s="87">
        <v>9030.0</v>
      </c>
      <c r="J41" s="87">
        <v>9030.0</v>
      </c>
      <c r="K41" s="87">
        <v>9030.0</v>
      </c>
      <c r="L41" s="87">
        <v>9030.0</v>
      </c>
      <c r="M41" s="87">
        <v>9030.0</v>
      </c>
      <c r="N41" s="17">
        <f t="shared" si="8"/>
        <v>100030</v>
      </c>
    </row>
    <row r="42" ht="13.5" customHeight="1">
      <c r="A42" s="19" t="s">
        <v>146</v>
      </c>
      <c r="B42" s="87">
        <v>365.0</v>
      </c>
      <c r="C42" s="87">
        <v>365.0</v>
      </c>
      <c r="D42" s="87">
        <v>365.0</v>
      </c>
      <c r="E42" s="87">
        <v>365.0</v>
      </c>
      <c r="F42" s="87">
        <v>365.0</v>
      </c>
      <c r="G42" s="87">
        <v>365.0</v>
      </c>
      <c r="H42" s="87">
        <v>365.0</v>
      </c>
      <c r="I42" s="87">
        <v>365.0</v>
      </c>
      <c r="J42" s="87">
        <v>365.0</v>
      </c>
      <c r="K42" s="87">
        <v>365.0</v>
      </c>
      <c r="L42" s="87">
        <v>365.0</v>
      </c>
      <c r="M42" s="87">
        <v>365.0</v>
      </c>
      <c r="N42" s="17">
        <f t="shared" si="8"/>
        <v>4380</v>
      </c>
    </row>
    <row r="43" ht="13.5" customHeight="1">
      <c r="A43" s="19" t="s">
        <v>48</v>
      </c>
      <c r="B43" s="87">
        <v>1999.0</v>
      </c>
      <c r="C43" s="87">
        <v>1999.0</v>
      </c>
      <c r="D43" s="87">
        <v>1999.0</v>
      </c>
      <c r="E43" s="87">
        <v>1999.0</v>
      </c>
      <c r="F43" s="87">
        <v>1999.0</v>
      </c>
      <c r="G43" s="87">
        <v>1999.0</v>
      </c>
      <c r="H43" s="87">
        <v>1999.0</v>
      </c>
      <c r="I43" s="87">
        <v>1999.0</v>
      </c>
      <c r="J43" s="87">
        <v>1999.0</v>
      </c>
      <c r="K43" s="87">
        <v>1999.0</v>
      </c>
      <c r="L43" s="87">
        <v>1999.0</v>
      </c>
      <c r="M43" s="87">
        <v>1999.0</v>
      </c>
      <c r="N43" s="17">
        <f t="shared" si="8"/>
        <v>23988</v>
      </c>
    </row>
    <row r="44" ht="13.5" customHeight="1">
      <c r="A44" s="31" t="s">
        <v>130</v>
      </c>
      <c r="B44" s="87">
        <v>299.0</v>
      </c>
      <c r="C44" s="87">
        <v>299.0</v>
      </c>
      <c r="D44" s="87">
        <v>299.0</v>
      </c>
      <c r="E44" s="87">
        <v>299.0</v>
      </c>
      <c r="F44" s="87">
        <v>299.0</v>
      </c>
      <c r="G44" s="87">
        <v>299.0</v>
      </c>
      <c r="H44" s="87">
        <v>299.0</v>
      </c>
      <c r="I44" s="87">
        <v>299.0</v>
      </c>
      <c r="J44" s="87">
        <v>299.0</v>
      </c>
      <c r="K44" s="87">
        <v>299.0</v>
      </c>
      <c r="L44" s="87">
        <v>299.0</v>
      </c>
      <c r="M44" s="87">
        <v>299.0</v>
      </c>
      <c r="N44" s="17">
        <f t="shared" si="8"/>
        <v>3588</v>
      </c>
    </row>
    <row r="45" ht="13.5" customHeight="1">
      <c r="A45" s="156" t="s">
        <v>50</v>
      </c>
      <c r="B45" s="46">
        <f t="shared" ref="B45:M45" si="10">45+448+97.5</f>
        <v>590.5</v>
      </c>
      <c r="C45" s="46">
        <f t="shared" si="10"/>
        <v>590.5</v>
      </c>
      <c r="D45" s="46">
        <f t="shared" si="10"/>
        <v>590.5</v>
      </c>
      <c r="E45" s="46">
        <f t="shared" si="10"/>
        <v>590.5</v>
      </c>
      <c r="F45" s="46">
        <f t="shared" si="10"/>
        <v>590.5</v>
      </c>
      <c r="G45" s="46">
        <f t="shared" si="10"/>
        <v>590.5</v>
      </c>
      <c r="H45" s="46">
        <f t="shared" si="10"/>
        <v>590.5</v>
      </c>
      <c r="I45" s="46">
        <f t="shared" si="10"/>
        <v>590.5</v>
      </c>
      <c r="J45" s="46">
        <f t="shared" si="10"/>
        <v>590.5</v>
      </c>
      <c r="K45" s="46">
        <f t="shared" si="10"/>
        <v>590.5</v>
      </c>
      <c r="L45" s="46">
        <f t="shared" si="10"/>
        <v>590.5</v>
      </c>
      <c r="M45" s="46">
        <f t="shared" si="10"/>
        <v>590.5</v>
      </c>
      <c r="N45" s="17">
        <f t="shared" si="8"/>
        <v>7086</v>
      </c>
    </row>
    <row r="46" ht="13.5" customHeight="1">
      <c r="A46" s="15" t="s">
        <v>51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17">
        <f t="shared" si="8"/>
        <v>0</v>
      </c>
    </row>
    <row r="47" ht="13.5" customHeight="1">
      <c r="A47" s="19" t="s">
        <v>52</v>
      </c>
      <c r="B47" s="310">
        <f t="shared" ref="B47:C47" si="11">850+30+2250+750+1000</f>
        <v>4880</v>
      </c>
      <c r="C47" s="310">
        <f t="shared" si="11"/>
        <v>4880</v>
      </c>
      <c r="D47" s="310">
        <f t="shared" ref="D47:M47" si="12">850+30+2250+750</f>
        <v>3880</v>
      </c>
      <c r="E47" s="310">
        <f t="shared" si="12"/>
        <v>3880</v>
      </c>
      <c r="F47" s="310">
        <f t="shared" si="12"/>
        <v>3880</v>
      </c>
      <c r="G47" s="310">
        <f t="shared" si="12"/>
        <v>3880</v>
      </c>
      <c r="H47" s="310">
        <f t="shared" si="12"/>
        <v>3880</v>
      </c>
      <c r="I47" s="310">
        <f t="shared" si="12"/>
        <v>3880</v>
      </c>
      <c r="J47" s="310">
        <f t="shared" si="12"/>
        <v>3880</v>
      </c>
      <c r="K47" s="310">
        <f t="shared" si="12"/>
        <v>3880</v>
      </c>
      <c r="L47" s="310">
        <f t="shared" si="12"/>
        <v>3880</v>
      </c>
      <c r="M47" s="310">
        <f t="shared" si="12"/>
        <v>3880</v>
      </c>
      <c r="N47" s="17">
        <f t="shared" si="8"/>
        <v>48560</v>
      </c>
    </row>
    <row r="48" ht="13.5" customHeight="1">
      <c r="A48" s="15" t="s">
        <v>53</v>
      </c>
      <c r="B48" s="87">
        <f t="shared" ref="B48:M48" si="13">350.33+55.66+80</f>
        <v>485.99</v>
      </c>
      <c r="C48" s="87">
        <f t="shared" si="13"/>
        <v>485.99</v>
      </c>
      <c r="D48" s="87">
        <f t="shared" si="13"/>
        <v>485.99</v>
      </c>
      <c r="E48" s="87">
        <f t="shared" si="13"/>
        <v>485.99</v>
      </c>
      <c r="F48" s="87">
        <f t="shared" si="13"/>
        <v>485.99</v>
      </c>
      <c r="G48" s="87">
        <f t="shared" si="13"/>
        <v>485.99</v>
      </c>
      <c r="H48" s="87">
        <f t="shared" si="13"/>
        <v>485.99</v>
      </c>
      <c r="I48" s="87">
        <f t="shared" si="13"/>
        <v>485.99</v>
      </c>
      <c r="J48" s="87">
        <f t="shared" si="13"/>
        <v>485.99</v>
      </c>
      <c r="K48" s="87">
        <f t="shared" si="13"/>
        <v>485.99</v>
      </c>
      <c r="L48" s="87">
        <f t="shared" si="13"/>
        <v>485.99</v>
      </c>
      <c r="M48" s="87">
        <f t="shared" si="13"/>
        <v>485.99</v>
      </c>
      <c r="N48" s="17">
        <f t="shared" si="8"/>
        <v>5831.88</v>
      </c>
    </row>
    <row r="49" ht="13.5" customHeight="1">
      <c r="A49" s="35" t="s">
        <v>54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17">
        <f t="shared" si="8"/>
        <v>0</v>
      </c>
    </row>
    <row r="50" ht="13.5" customHeight="1">
      <c r="A50" s="19" t="s">
        <v>132</v>
      </c>
      <c r="B50" s="311">
        <v>1600.0</v>
      </c>
      <c r="C50" s="311">
        <v>1600.0</v>
      </c>
      <c r="D50" s="311">
        <v>1600.0</v>
      </c>
      <c r="E50" s="311">
        <v>1600.0</v>
      </c>
      <c r="F50" s="311">
        <v>1600.0</v>
      </c>
      <c r="G50" s="311">
        <v>1600.0</v>
      </c>
      <c r="H50" s="311">
        <v>1600.0</v>
      </c>
      <c r="I50" s="311">
        <v>1600.0</v>
      </c>
      <c r="J50" s="311">
        <v>1600.0</v>
      </c>
      <c r="K50" s="311">
        <v>1600.0</v>
      </c>
      <c r="L50" s="311">
        <v>1600.0</v>
      </c>
      <c r="M50" s="311">
        <v>1600.0</v>
      </c>
      <c r="N50" s="17">
        <f t="shared" si="8"/>
        <v>19200</v>
      </c>
    </row>
    <row r="51" ht="13.5" customHeight="1">
      <c r="A51" s="1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17">
        <f t="shared" si="8"/>
        <v>0</v>
      </c>
    </row>
    <row r="52" ht="13.5" customHeight="1">
      <c r="A52" s="91" t="s">
        <v>23</v>
      </c>
      <c r="B52" s="28">
        <f t="shared" ref="B52:N52" si="14">SUM(B34:B51)</f>
        <v>19124.39</v>
      </c>
      <c r="C52" s="28">
        <f t="shared" si="14"/>
        <v>19124.39</v>
      </c>
      <c r="D52" s="28">
        <f t="shared" si="14"/>
        <v>22289.39</v>
      </c>
      <c r="E52" s="28">
        <f t="shared" si="14"/>
        <v>22289.39</v>
      </c>
      <c r="F52" s="28">
        <f t="shared" si="14"/>
        <v>22289.39</v>
      </c>
      <c r="G52" s="28">
        <f t="shared" si="14"/>
        <v>22289.39</v>
      </c>
      <c r="H52" s="28">
        <f t="shared" si="14"/>
        <v>22289.39</v>
      </c>
      <c r="I52" s="28">
        <f t="shared" si="14"/>
        <v>22289.39</v>
      </c>
      <c r="J52" s="28">
        <f t="shared" si="14"/>
        <v>22289.39</v>
      </c>
      <c r="K52" s="28">
        <f t="shared" si="14"/>
        <v>22289.39</v>
      </c>
      <c r="L52" s="28">
        <f t="shared" si="14"/>
        <v>22289.39</v>
      </c>
      <c r="M52" s="28">
        <f t="shared" si="14"/>
        <v>22289.39</v>
      </c>
      <c r="N52" s="28">
        <f t="shared" si="14"/>
        <v>261142.68</v>
      </c>
    </row>
    <row r="53" ht="13.5" customHeight="1">
      <c r="A53" s="79" t="s">
        <v>56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</row>
    <row r="54" ht="13.5" customHeight="1">
      <c r="A54" s="32" t="s">
        <v>57</v>
      </c>
      <c r="B54" s="87">
        <v>1340.0</v>
      </c>
      <c r="C54" s="87">
        <v>1340.0</v>
      </c>
      <c r="D54" s="87">
        <v>1340.0</v>
      </c>
      <c r="E54" s="87">
        <v>1340.0</v>
      </c>
      <c r="F54" s="87">
        <v>1340.0</v>
      </c>
      <c r="G54" s="87">
        <v>1340.0</v>
      </c>
      <c r="H54" s="87">
        <v>1340.0</v>
      </c>
      <c r="I54" s="87">
        <v>1340.0</v>
      </c>
      <c r="J54" s="87">
        <v>1340.0</v>
      </c>
      <c r="K54" s="87">
        <v>1340.0</v>
      </c>
      <c r="L54" s="87">
        <v>1340.0</v>
      </c>
      <c r="M54" s="87">
        <v>1340.0</v>
      </c>
      <c r="N54" s="17">
        <f>SUM(B54:M54)</f>
        <v>16080</v>
      </c>
    </row>
    <row r="55" ht="13.5" customHeight="1">
      <c r="A55" s="32" t="s">
        <v>58</v>
      </c>
      <c r="B55" s="87">
        <v>4500.0</v>
      </c>
      <c r="C55" s="87">
        <f t="shared" ref="C55:G55" si="15">6000+149</f>
        <v>6149</v>
      </c>
      <c r="D55" s="87">
        <f t="shared" si="15"/>
        <v>6149</v>
      </c>
      <c r="E55" s="87">
        <f t="shared" si="15"/>
        <v>6149</v>
      </c>
      <c r="F55" s="87">
        <f t="shared" si="15"/>
        <v>6149</v>
      </c>
      <c r="G55" s="87">
        <f t="shared" si="15"/>
        <v>6149</v>
      </c>
      <c r="H55" s="87">
        <v>5500.0</v>
      </c>
      <c r="I55" s="87">
        <v>5600.0</v>
      </c>
      <c r="J55" s="87">
        <v>4650.0</v>
      </c>
      <c r="K55" s="87">
        <v>4650.0</v>
      </c>
      <c r="L55" s="87">
        <v>4650.0</v>
      </c>
      <c r="M55" s="87">
        <v>4650.0</v>
      </c>
      <c r="N55" s="17">
        <f>SUM(B55:L55)</f>
        <v>60295</v>
      </c>
    </row>
    <row r="56" ht="13.5" customHeight="1">
      <c r="A56" s="31" t="s">
        <v>59</v>
      </c>
      <c r="B56" s="87">
        <f t="shared" ref="B56:M56" si="16">399+351+57</f>
        <v>807</v>
      </c>
      <c r="C56" s="87">
        <f t="shared" si="16"/>
        <v>807</v>
      </c>
      <c r="D56" s="87">
        <f t="shared" si="16"/>
        <v>807</v>
      </c>
      <c r="E56" s="87">
        <f t="shared" si="16"/>
        <v>807</v>
      </c>
      <c r="F56" s="87">
        <f t="shared" si="16"/>
        <v>807</v>
      </c>
      <c r="G56" s="87">
        <f t="shared" si="16"/>
        <v>807</v>
      </c>
      <c r="H56" s="87">
        <f t="shared" si="16"/>
        <v>807</v>
      </c>
      <c r="I56" s="87">
        <f t="shared" si="16"/>
        <v>807</v>
      </c>
      <c r="J56" s="87">
        <f t="shared" si="16"/>
        <v>807</v>
      </c>
      <c r="K56" s="87">
        <f t="shared" si="16"/>
        <v>807</v>
      </c>
      <c r="L56" s="87">
        <f t="shared" si="16"/>
        <v>807</v>
      </c>
      <c r="M56" s="87">
        <f t="shared" si="16"/>
        <v>807</v>
      </c>
      <c r="N56" s="17">
        <f t="shared" ref="N56:N69" si="17">SUM(B56:M56)</f>
        <v>9684</v>
      </c>
    </row>
    <row r="57" ht="13.5" customHeight="1">
      <c r="A57" s="31" t="s">
        <v>133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17">
        <f t="shared" si="17"/>
        <v>0</v>
      </c>
    </row>
    <row r="58" ht="13.5" customHeight="1">
      <c r="A58" s="31" t="s">
        <v>134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17">
        <f t="shared" si="17"/>
        <v>0</v>
      </c>
    </row>
    <row r="59" ht="13.5" customHeight="1">
      <c r="A59" s="31" t="s">
        <v>135</v>
      </c>
      <c r="B59" s="87">
        <v>1250.0</v>
      </c>
      <c r="C59" s="87">
        <v>1250.0</v>
      </c>
      <c r="D59" s="87">
        <v>1250.0</v>
      </c>
      <c r="E59" s="87">
        <v>1250.0</v>
      </c>
      <c r="F59" s="87">
        <v>1250.0</v>
      </c>
      <c r="G59" s="87">
        <v>1250.0</v>
      </c>
      <c r="H59" s="87">
        <v>1250.0</v>
      </c>
      <c r="I59" s="87">
        <v>1250.0</v>
      </c>
      <c r="J59" s="87">
        <v>1250.0</v>
      </c>
      <c r="K59" s="87">
        <v>1250.0</v>
      </c>
      <c r="L59" s="87">
        <v>1250.0</v>
      </c>
      <c r="M59" s="87">
        <v>1250.0</v>
      </c>
      <c r="N59" s="17">
        <f t="shared" si="17"/>
        <v>15000</v>
      </c>
    </row>
    <row r="60" ht="13.5" customHeight="1">
      <c r="A60" s="32" t="s">
        <v>136</v>
      </c>
      <c r="B60" s="87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17">
        <f t="shared" si="17"/>
        <v>0</v>
      </c>
    </row>
    <row r="61" ht="13.5" customHeight="1">
      <c r="A61" s="32" t="s">
        <v>137</v>
      </c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17">
        <f t="shared" si="17"/>
        <v>0</v>
      </c>
    </row>
    <row r="62" ht="13.5" customHeight="1">
      <c r="A62" s="32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17"/>
        <v>0</v>
      </c>
    </row>
    <row r="63" ht="13.5" customHeight="1">
      <c r="A63" s="31" t="s">
        <v>64</v>
      </c>
      <c r="B63" s="87">
        <v>6425.0</v>
      </c>
      <c r="C63" s="87">
        <v>6425.0</v>
      </c>
      <c r="D63" s="87">
        <v>6425.0</v>
      </c>
      <c r="E63" s="87">
        <v>6425.0</v>
      </c>
      <c r="F63" s="87">
        <v>6425.0</v>
      </c>
      <c r="G63" s="87">
        <v>6425.0</v>
      </c>
      <c r="H63" s="87">
        <v>6425.0</v>
      </c>
      <c r="I63" s="87">
        <v>6425.0</v>
      </c>
      <c r="J63" s="87">
        <v>6425.0</v>
      </c>
      <c r="K63" s="87">
        <v>6425.0</v>
      </c>
      <c r="L63" s="87">
        <v>6425.0</v>
      </c>
      <c r="M63" s="87">
        <v>6425.0</v>
      </c>
      <c r="N63" s="17">
        <f t="shared" si="17"/>
        <v>77100</v>
      </c>
    </row>
    <row r="64" ht="13.5" customHeight="1">
      <c r="A64" s="32" t="s">
        <v>65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17">
        <f t="shared" si="17"/>
        <v>0</v>
      </c>
    </row>
    <row r="65" ht="13.5" customHeight="1">
      <c r="A65" s="31" t="s">
        <v>66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17">
        <f t="shared" si="17"/>
        <v>0</v>
      </c>
    </row>
    <row r="66" ht="13.5" customHeight="1">
      <c r="A66" s="31" t="s">
        <v>67</v>
      </c>
      <c r="B66" s="46"/>
      <c r="C66" s="46"/>
      <c r="D66" s="46"/>
      <c r="E66" s="46"/>
      <c r="F66" s="46"/>
      <c r="G66" s="87"/>
      <c r="H66" s="46"/>
      <c r="I66" s="46"/>
      <c r="J66" s="46"/>
      <c r="K66" s="46"/>
      <c r="L66" s="46"/>
      <c r="M66" s="46"/>
      <c r="N66" s="17">
        <f t="shared" si="17"/>
        <v>0</v>
      </c>
    </row>
    <row r="67" ht="13.5" customHeight="1">
      <c r="A67" s="25" t="s">
        <v>68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17">
        <f t="shared" si="17"/>
        <v>0</v>
      </c>
    </row>
    <row r="68" ht="13.5" customHeight="1">
      <c r="A68" s="25" t="s">
        <v>69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17">
        <f t="shared" si="17"/>
        <v>0</v>
      </c>
    </row>
    <row r="69" ht="13.5" customHeight="1">
      <c r="A69" s="39" t="s">
        <v>70</v>
      </c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17">
        <f t="shared" si="17"/>
        <v>0</v>
      </c>
    </row>
    <row r="70" ht="13.5" customHeight="1">
      <c r="A70" s="91" t="s">
        <v>23</v>
      </c>
      <c r="B70" s="28">
        <f t="shared" ref="B70:M70" si="18">SUM(B54:B69)</f>
        <v>14322</v>
      </c>
      <c r="C70" s="28">
        <f t="shared" si="18"/>
        <v>15971</v>
      </c>
      <c r="D70" s="28">
        <f t="shared" si="18"/>
        <v>15971</v>
      </c>
      <c r="E70" s="28">
        <f t="shared" si="18"/>
        <v>15971</v>
      </c>
      <c r="F70" s="28">
        <f t="shared" si="18"/>
        <v>15971</v>
      </c>
      <c r="G70" s="28">
        <f t="shared" si="18"/>
        <v>15971</v>
      </c>
      <c r="H70" s="28">
        <f t="shared" si="18"/>
        <v>15322</v>
      </c>
      <c r="I70" s="28">
        <f t="shared" si="18"/>
        <v>15422</v>
      </c>
      <c r="J70" s="28">
        <f t="shared" si="18"/>
        <v>14472</v>
      </c>
      <c r="K70" s="28">
        <f t="shared" si="18"/>
        <v>14472</v>
      </c>
      <c r="L70" s="28">
        <f t="shared" si="18"/>
        <v>14472</v>
      </c>
      <c r="M70" s="28">
        <f t="shared" si="18"/>
        <v>14472</v>
      </c>
      <c r="N70" s="28">
        <f>SUM(N54:N66)</f>
        <v>178159</v>
      </c>
    </row>
    <row r="71" ht="13.5" customHeight="1">
      <c r="A71" s="79" t="s">
        <v>71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</row>
    <row r="72" ht="13.5" customHeight="1">
      <c r="A72" s="32" t="s">
        <v>138</v>
      </c>
      <c r="B72" s="87">
        <v>0.0</v>
      </c>
      <c r="C72" s="87">
        <v>0.0</v>
      </c>
      <c r="D72" s="87">
        <v>0.0</v>
      </c>
      <c r="E72" s="87">
        <v>0.0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0.0</v>
      </c>
      <c r="L72" s="87">
        <v>0.0</v>
      </c>
      <c r="M72" s="87">
        <v>0.0</v>
      </c>
      <c r="N72" s="17">
        <f t="shared" ref="N72:N83" si="19">SUM(B72:M72)</f>
        <v>0</v>
      </c>
    </row>
    <row r="73" ht="13.5" customHeight="1">
      <c r="A73" s="31" t="s">
        <v>73</v>
      </c>
      <c r="B73" s="87">
        <v>0.0</v>
      </c>
      <c r="C73" s="87">
        <v>0.0</v>
      </c>
      <c r="D73" s="87">
        <v>0.0</v>
      </c>
      <c r="E73" s="87">
        <v>0.0</v>
      </c>
      <c r="F73" s="87">
        <v>0.0</v>
      </c>
      <c r="G73" s="87">
        <v>0.0</v>
      </c>
      <c r="H73" s="87">
        <v>0.0</v>
      </c>
      <c r="I73" s="87">
        <v>0.0</v>
      </c>
      <c r="J73" s="87">
        <v>0.0</v>
      </c>
      <c r="K73" s="87">
        <v>0.0</v>
      </c>
      <c r="L73" s="87">
        <v>0.0</v>
      </c>
      <c r="M73" s="87">
        <v>0.0</v>
      </c>
      <c r="N73" s="17">
        <f t="shared" si="19"/>
        <v>0</v>
      </c>
    </row>
    <row r="74" ht="13.5" customHeight="1">
      <c r="A74" s="32" t="s">
        <v>139</v>
      </c>
      <c r="B74" s="87">
        <v>1250.0</v>
      </c>
      <c r="C74" s="87">
        <v>1250.0</v>
      </c>
      <c r="D74" s="87">
        <v>1250.0</v>
      </c>
      <c r="E74" s="87">
        <v>1250.0</v>
      </c>
      <c r="F74" s="87">
        <v>1250.0</v>
      </c>
      <c r="G74" s="87">
        <v>1250.0</v>
      </c>
      <c r="H74" s="87">
        <v>1250.0</v>
      </c>
      <c r="I74" s="87">
        <v>1250.0</v>
      </c>
      <c r="J74" s="87">
        <v>1250.0</v>
      </c>
      <c r="K74" s="87">
        <v>1250.0</v>
      </c>
      <c r="L74" s="87">
        <v>1250.0</v>
      </c>
      <c r="M74" s="87">
        <v>1250.0</v>
      </c>
      <c r="N74" s="17">
        <f t="shared" si="19"/>
        <v>15000</v>
      </c>
    </row>
    <row r="75" ht="13.5" customHeight="1">
      <c r="A75" s="31" t="s">
        <v>137</v>
      </c>
      <c r="B75" s="87"/>
      <c r="C75" s="87"/>
      <c r="D75" s="87"/>
      <c r="F75" s="87"/>
      <c r="G75" s="87"/>
      <c r="H75" s="87"/>
      <c r="I75" s="87"/>
      <c r="J75" s="87"/>
      <c r="K75" s="87"/>
      <c r="L75" s="87"/>
      <c r="M75" s="87"/>
      <c r="N75" s="17">
        <f t="shared" si="19"/>
        <v>0</v>
      </c>
    </row>
    <row r="76" ht="13.5" customHeight="1">
      <c r="A76" s="32" t="s">
        <v>136</v>
      </c>
      <c r="B76" s="87"/>
      <c r="C76" s="46"/>
      <c r="D76" s="46"/>
      <c r="E76" s="46"/>
      <c r="F76" s="87"/>
      <c r="G76" s="46"/>
      <c r="H76" s="46"/>
      <c r="I76" s="46"/>
      <c r="J76" s="46"/>
      <c r="K76" s="46"/>
      <c r="L76" s="46"/>
      <c r="M76" s="46"/>
      <c r="N76" s="17">
        <f t="shared" si="19"/>
        <v>0</v>
      </c>
    </row>
    <row r="77" ht="13.5" customHeight="1">
      <c r="A77" s="32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17">
        <f t="shared" si="19"/>
        <v>0</v>
      </c>
    </row>
    <row r="78" ht="13.5" customHeight="1">
      <c r="A78" s="31" t="s">
        <v>140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17">
        <f t="shared" si="19"/>
        <v>0</v>
      </c>
    </row>
    <row r="79" ht="13.5" customHeight="1">
      <c r="A79" s="27" t="s">
        <v>141</v>
      </c>
      <c r="B79" s="87">
        <v>4105.0</v>
      </c>
      <c r="C79" s="87">
        <v>4105.0</v>
      </c>
      <c r="D79" s="87">
        <v>4105.0</v>
      </c>
      <c r="E79" s="87">
        <v>4105.0</v>
      </c>
      <c r="F79" s="87">
        <v>4105.0</v>
      </c>
      <c r="G79" s="87">
        <v>4105.0</v>
      </c>
      <c r="H79" s="87">
        <v>4105.0</v>
      </c>
      <c r="I79" s="87">
        <v>4105.0</v>
      </c>
      <c r="J79" s="87">
        <v>4105.0</v>
      </c>
      <c r="K79" s="87">
        <v>4105.0</v>
      </c>
      <c r="L79" s="87">
        <v>4105.0</v>
      </c>
      <c r="M79" s="87">
        <v>4105.0</v>
      </c>
      <c r="N79" s="17">
        <f t="shared" si="19"/>
        <v>49260</v>
      </c>
    </row>
    <row r="80" ht="13.5" customHeight="1">
      <c r="A80" s="145" t="s">
        <v>79</v>
      </c>
      <c r="B80" s="87">
        <v>2050.0</v>
      </c>
      <c r="C80" s="87">
        <v>2050.0</v>
      </c>
      <c r="D80" s="87">
        <v>2050.0</v>
      </c>
      <c r="E80" s="87">
        <v>2050.0</v>
      </c>
      <c r="F80" s="87">
        <v>2050.0</v>
      </c>
      <c r="G80" s="87">
        <v>2050.0</v>
      </c>
      <c r="H80" s="87">
        <v>2050.0</v>
      </c>
      <c r="I80" s="87">
        <v>2050.0</v>
      </c>
      <c r="J80" s="87">
        <v>2050.0</v>
      </c>
      <c r="K80" s="87">
        <v>2050.0</v>
      </c>
      <c r="L80" s="87">
        <v>2050.0</v>
      </c>
      <c r="M80" s="87">
        <v>2050.0</v>
      </c>
      <c r="N80" s="17">
        <f t="shared" si="19"/>
        <v>24600</v>
      </c>
    </row>
    <row r="81" ht="13.5" customHeight="1">
      <c r="A81" s="43" t="s">
        <v>80</v>
      </c>
      <c r="B81" s="87">
        <v>375.0</v>
      </c>
      <c r="C81" s="87">
        <v>375.0</v>
      </c>
      <c r="D81" s="87">
        <v>375.0</v>
      </c>
      <c r="E81" s="87">
        <v>375.0</v>
      </c>
      <c r="F81" s="87">
        <v>375.0</v>
      </c>
      <c r="G81" s="87">
        <v>375.0</v>
      </c>
      <c r="H81" s="87">
        <v>375.0</v>
      </c>
      <c r="I81" s="87">
        <v>375.0</v>
      </c>
      <c r="J81" s="87">
        <v>375.0</v>
      </c>
      <c r="K81" s="87">
        <v>375.0</v>
      </c>
      <c r="L81" s="87">
        <v>375.0</v>
      </c>
      <c r="M81" s="87">
        <v>375.0</v>
      </c>
      <c r="N81" s="17">
        <f t="shared" si="19"/>
        <v>4500</v>
      </c>
    </row>
    <row r="82" ht="13.5" customHeight="1">
      <c r="A82" s="91" t="s">
        <v>23</v>
      </c>
      <c r="B82" s="28">
        <f t="shared" ref="B82:M82" si="20">SUM(B72:B81)</f>
        <v>7780</v>
      </c>
      <c r="C82" s="28">
        <f t="shared" si="20"/>
        <v>7780</v>
      </c>
      <c r="D82" s="28">
        <f t="shared" si="20"/>
        <v>7780</v>
      </c>
      <c r="E82" s="28">
        <f t="shared" si="20"/>
        <v>7780</v>
      </c>
      <c r="F82" s="28">
        <f t="shared" si="20"/>
        <v>7780</v>
      </c>
      <c r="G82" s="28">
        <f t="shared" si="20"/>
        <v>7780</v>
      </c>
      <c r="H82" s="28">
        <f t="shared" si="20"/>
        <v>7780</v>
      </c>
      <c r="I82" s="28">
        <f t="shared" si="20"/>
        <v>7780</v>
      </c>
      <c r="J82" s="28">
        <f t="shared" si="20"/>
        <v>7780</v>
      </c>
      <c r="K82" s="28">
        <f t="shared" si="20"/>
        <v>7780</v>
      </c>
      <c r="L82" s="28">
        <f t="shared" si="20"/>
        <v>7780</v>
      </c>
      <c r="M82" s="28">
        <f t="shared" si="20"/>
        <v>7780</v>
      </c>
      <c r="N82" s="44">
        <f t="shared" si="19"/>
        <v>93360</v>
      </c>
    </row>
    <row r="83" ht="13.5" customHeight="1">
      <c r="A83" s="99" t="s">
        <v>81</v>
      </c>
      <c r="B83" s="28">
        <f t="shared" ref="B83:M83" si="21">B52+B70+B82</f>
        <v>41226.39</v>
      </c>
      <c r="C83" s="28">
        <f t="shared" si="21"/>
        <v>42875.39</v>
      </c>
      <c r="D83" s="28">
        <f t="shared" si="21"/>
        <v>46040.39</v>
      </c>
      <c r="E83" s="28">
        <f t="shared" si="21"/>
        <v>46040.39</v>
      </c>
      <c r="F83" s="28">
        <f t="shared" si="21"/>
        <v>46040.39</v>
      </c>
      <c r="G83" s="28">
        <f t="shared" si="21"/>
        <v>46040.39</v>
      </c>
      <c r="H83" s="28">
        <f t="shared" si="21"/>
        <v>45391.39</v>
      </c>
      <c r="I83" s="28">
        <f t="shared" si="21"/>
        <v>45491.39</v>
      </c>
      <c r="J83" s="28">
        <f t="shared" si="21"/>
        <v>44541.39</v>
      </c>
      <c r="K83" s="28">
        <f t="shared" si="21"/>
        <v>44541.39</v>
      </c>
      <c r="L83" s="28">
        <f t="shared" si="21"/>
        <v>44541.39</v>
      </c>
      <c r="M83" s="28">
        <f t="shared" si="21"/>
        <v>44541.39</v>
      </c>
      <c r="N83" s="44">
        <f t="shared" si="19"/>
        <v>537311.68</v>
      </c>
    </row>
    <row r="84" ht="13.5" customHeight="1">
      <c r="A84" s="99" t="s">
        <v>82</v>
      </c>
      <c r="B84" s="46">
        <f t="shared" ref="B84:N84" si="22">B83/B112</f>
        <v>265.9767097</v>
      </c>
      <c r="C84" s="46">
        <f t="shared" si="22"/>
        <v>276.6154194</v>
      </c>
      <c r="D84" s="46">
        <f t="shared" si="22"/>
        <v>279.0326667</v>
      </c>
      <c r="E84" s="46">
        <f t="shared" si="22"/>
        <v>270.8258235</v>
      </c>
      <c r="F84" s="46">
        <f t="shared" si="22"/>
        <v>263.0879429</v>
      </c>
      <c r="G84" s="46">
        <f t="shared" si="22"/>
        <v>255.7799444</v>
      </c>
      <c r="H84" s="46">
        <f t="shared" si="22"/>
        <v>211.1227442</v>
      </c>
      <c r="I84" s="46">
        <f t="shared" si="22"/>
        <v>193.580383</v>
      </c>
      <c r="J84" s="46">
        <f t="shared" si="22"/>
        <v>197.9617333</v>
      </c>
      <c r="K84" s="46">
        <f t="shared" si="22"/>
        <v>202.4608636</v>
      </c>
      <c r="L84" s="46">
        <f t="shared" si="22"/>
        <v>217.2750732</v>
      </c>
      <c r="M84" s="46">
        <f t="shared" si="22"/>
        <v>202.4608636</v>
      </c>
      <c r="N84" s="15">
        <f t="shared" si="22"/>
        <v>231.5998621</v>
      </c>
    </row>
    <row r="85" ht="13.5" customHeight="1">
      <c r="A85" s="79" t="s">
        <v>83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</row>
    <row r="86" ht="13.5" customHeight="1">
      <c r="A86" s="15" t="s">
        <v>84</v>
      </c>
      <c r="B86" s="87">
        <v>820.0</v>
      </c>
      <c r="C86" s="87">
        <v>820.0</v>
      </c>
      <c r="D86" s="87">
        <v>820.0</v>
      </c>
      <c r="E86" s="87">
        <v>820.0</v>
      </c>
      <c r="F86" s="87">
        <v>820.0</v>
      </c>
      <c r="G86" s="87">
        <v>820.0</v>
      </c>
      <c r="H86" s="87">
        <v>820.0</v>
      </c>
      <c r="I86" s="87">
        <v>820.0</v>
      </c>
      <c r="J86" s="87">
        <v>820.0</v>
      </c>
      <c r="K86" s="87">
        <v>820.0</v>
      </c>
      <c r="L86" s="87">
        <v>820.0</v>
      </c>
      <c r="M86" s="87">
        <v>820.0</v>
      </c>
      <c r="N86" s="17">
        <f t="shared" ref="N86:N89" si="23">SUM(B86:M86)</f>
        <v>9840</v>
      </c>
    </row>
    <row r="87" ht="13.5" customHeight="1">
      <c r="A87" s="15" t="s">
        <v>142</v>
      </c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17">
        <f t="shared" si="23"/>
        <v>0</v>
      </c>
    </row>
    <row r="88" ht="13.5" customHeight="1">
      <c r="A88" s="9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17">
        <f t="shared" si="23"/>
        <v>0</v>
      </c>
    </row>
    <row r="89" ht="13.5" customHeight="1">
      <c r="A89" s="9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17">
        <f t="shared" si="23"/>
        <v>0</v>
      </c>
    </row>
    <row r="90" ht="13.5" customHeight="1">
      <c r="A90" s="91" t="s">
        <v>23</v>
      </c>
      <c r="B90" s="28">
        <f t="shared" ref="B90:N90" si="24">SUM(B86:B89)</f>
        <v>820</v>
      </c>
      <c r="C90" s="28">
        <f t="shared" si="24"/>
        <v>820</v>
      </c>
      <c r="D90" s="28">
        <f t="shared" si="24"/>
        <v>820</v>
      </c>
      <c r="E90" s="28">
        <f t="shared" si="24"/>
        <v>820</v>
      </c>
      <c r="F90" s="28">
        <f t="shared" si="24"/>
        <v>820</v>
      </c>
      <c r="G90" s="28">
        <f t="shared" si="24"/>
        <v>820</v>
      </c>
      <c r="H90" s="28">
        <f t="shared" si="24"/>
        <v>820</v>
      </c>
      <c r="I90" s="28">
        <f t="shared" si="24"/>
        <v>820</v>
      </c>
      <c r="J90" s="28">
        <f t="shared" si="24"/>
        <v>820</v>
      </c>
      <c r="K90" s="28">
        <f t="shared" si="24"/>
        <v>820</v>
      </c>
      <c r="L90" s="28">
        <f t="shared" si="24"/>
        <v>820</v>
      </c>
      <c r="M90" s="28">
        <f t="shared" si="24"/>
        <v>820</v>
      </c>
      <c r="N90" s="28">
        <f t="shared" si="24"/>
        <v>9840</v>
      </c>
    </row>
    <row r="91" ht="13.5" customHeight="1">
      <c r="A91" s="89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</row>
    <row r="92" ht="13.5" customHeight="1">
      <c r="A92" s="312" t="s">
        <v>89</v>
      </c>
      <c r="B92" s="101">
        <f>PRODUCTION!X18</f>
        <v>750</v>
      </c>
      <c r="C92" s="102">
        <f>PRODUCTION!X19</f>
        <v>750</v>
      </c>
      <c r="D92" s="102">
        <f>PRODUCTION!X20</f>
        <v>750</v>
      </c>
      <c r="E92" s="102">
        <f>PRODUCTION!X21</f>
        <v>750</v>
      </c>
      <c r="F92" s="102">
        <f>PRODUCTION!X22</f>
        <v>750</v>
      </c>
      <c r="G92" s="102">
        <f>PRODUCTION!X23</f>
        <v>750</v>
      </c>
      <c r="H92" s="102">
        <f>PRODUCTION!X24</f>
        <v>750</v>
      </c>
      <c r="I92" s="102">
        <f>PRODUCTION!X25</f>
        <v>750</v>
      </c>
      <c r="J92" s="102">
        <f>PRODUCTION!X26</f>
        <v>750</v>
      </c>
      <c r="K92" s="102">
        <f>PRODUCTION!X27</f>
        <v>750</v>
      </c>
      <c r="L92" s="102">
        <f>PRODUCTION!X28</f>
        <v>750</v>
      </c>
      <c r="M92" s="102">
        <f>PRODUCTION!X29</f>
        <v>750</v>
      </c>
      <c r="N92" s="95">
        <f t="shared" ref="N92:N105" si="25">SUM(B92:M92)</f>
        <v>9000</v>
      </c>
    </row>
    <row r="93" ht="13.5" customHeight="1">
      <c r="A93" s="31" t="s">
        <v>90</v>
      </c>
      <c r="B93" s="46"/>
      <c r="C93" s="87"/>
      <c r="D93" s="87"/>
      <c r="E93" s="87"/>
      <c r="F93" s="87"/>
      <c r="G93" s="46"/>
      <c r="H93" s="46"/>
      <c r="I93" s="46"/>
      <c r="J93" s="46"/>
      <c r="K93" s="87"/>
      <c r="L93" s="46"/>
      <c r="M93" s="87"/>
      <c r="N93" s="17">
        <f t="shared" si="25"/>
        <v>0</v>
      </c>
    </row>
    <row r="94" ht="13.5" customHeight="1">
      <c r="A94" s="31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17">
        <f t="shared" si="25"/>
        <v>2360</v>
      </c>
    </row>
    <row r="95" ht="13.5" customHeight="1">
      <c r="A95" s="31" t="s">
        <v>92</v>
      </c>
      <c r="B95" s="146">
        <v>500.0</v>
      </c>
      <c r="C95" s="105">
        <v>500.0</v>
      </c>
      <c r="D95" s="105">
        <v>0.0</v>
      </c>
      <c r="E95" s="105">
        <v>0.0</v>
      </c>
      <c r="F95" s="104">
        <v>155.0</v>
      </c>
      <c r="G95" s="104">
        <f>350+167</f>
        <v>517</v>
      </c>
      <c r="H95" s="104">
        <v>0.0</v>
      </c>
      <c r="I95" s="105">
        <f>265+3.233</f>
        <v>268.233</v>
      </c>
      <c r="J95" s="105">
        <v>500.0</v>
      </c>
      <c r="K95" s="87">
        <v>456.78</v>
      </c>
      <c r="L95" s="105">
        <v>500.0</v>
      </c>
      <c r="M95" s="105">
        <v>500.0</v>
      </c>
      <c r="N95" s="17">
        <f t="shared" si="25"/>
        <v>3897.013</v>
      </c>
    </row>
    <row r="96" ht="13.5" customHeight="1">
      <c r="A96" s="32" t="s">
        <v>143</v>
      </c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>
        <v>500.0</v>
      </c>
      <c r="N96" s="17">
        <f t="shared" si="25"/>
        <v>500</v>
      </c>
    </row>
    <row r="97" ht="13.5" customHeight="1">
      <c r="A97" s="32" t="s">
        <v>94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17">
        <f t="shared" si="25"/>
        <v>0</v>
      </c>
    </row>
    <row r="98" ht="13.5" customHeight="1">
      <c r="A98" s="32" t="s">
        <v>95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17">
        <f t="shared" si="25"/>
        <v>0</v>
      </c>
    </row>
    <row r="99" ht="13.5" customHeight="1">
      <c r="A99" s="31" t="s">
        <v>96</v>
      </c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17">
        <f t="shared" si="25"/>
        <v>0</v>
      </c>
    </row>
    <row r="100" ht="13.5" customHeight="1">
      <c r="A100" s="31" t="s">
        <v>97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17">
        <f t="shared" si="25"/>
        <v>0</v>
      </c>
    </row>
    <row r="101" ht="13.5" customHeight="1">
      <c r="A101" s="32" t="s">
        <v>98</v>
      </c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17">
        <f t="shared" si="25"/>
        <v>0</v>
      </c>
    </row>
    <row r="102" ht="13.5" customHeight="1">
      <c r="A102" s="31" t="s">
        <v>270</v>
      </c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17">
        <f t="shared" si="25"/>
        <v>0</v>
      </c>
    </row>
    <row r="103" ht="13.5" customHeight="1">
      <c r="A103" s="32" t="s">
        <v>100</v>
      </c>
      <c r="B103" s="87">
        <v>200.0</v>
      </c>
      <c r="C103" s="87">
        <v>435.0</v>
      </c>
      <c r="D103" s="87">
        <f>200+113.64</f>
        <v>313.64</v>
      </c>
      <c r="E103" s="87">
        <v>200.0</v>
      </c>
      <c r="F103" s="87">
        <v>200.0</v>
      </c>
      <c r="G103" s="87">
        <v>605.0</v>
      </c>
      <c r="H103" s="87">
        <v>605.0</v>
      </c>
      <c r="I103" s="87">
        <v>200.0</v>
      </c>
      <c r="J103" s="87">
        <f>435+200</f>
        <v>635</v>
      </c>
      <c r="K103" s="87">
        <v>200.0</v>
      </c>
      <c r="L103" s="87">
        <v>200.0</v>
      </c>
      <c r="M103" s="87">
        <v>200.0</v>
      </c>
      <c r="N103" s="17">
        <f t="shared" si="25"/>
        <v>3993.64</v>
      </c>
    </row>
    <row r="104" ht="13.5" customHeight="1">
      <c r="A104" s="27" t="s">
        <v>101</v>
      </c>
      <c r="B104" s="87">
        <v>300.0</v>
      </c>
      <c r="C104" s="87">
        <v>375.0</v>
      </c>
      <c r="D104" s="87">
        <v>375.0</v>
      </c>
      <c r="E104" s="87">
        <v>375.0</v>
      </c>
      <c r="F104" s="87">
        <v>375.0</v>
      </c>
      <c r="G104" s="87">
        <v>375.0</v>
      </c>
      <c r="H104" s="87">
        <v>375.0</v>
      </c>
      <c r="I104" s="87">
        <v>375.0</v>
      </c>
      <c r="J104" s="87">
        <v>375.0</v>
      </c>
      <c r="K104" s="87">
        <v>375.0</v>
      </c>
      <c r="L104" s="87">
        <v>375.0</v>
      </c>
      <c r="M104" s="87">
        <v>375.0</v>
      </c>
      <c r="N104" s="17">
        <f t="shared" si="25"/>
        <v>4425</v>
      </c>
    </row>
    <row r="105" ht="13.5" customHeight="1">
      <c r="A105" s="27" t="s">
        <v>102</v>
      </c>
      <c r="B105" s="28"/>
      <c r="C105" s="28"/>
      <c r="D105" s="28"/>
      <c r="E105" s="147"/>
      <c r="F105" s="28"/>
      <c r="G105" s="28"/>
      <c r="H105" s="28"/>
      <c r="I105" s="28"/>
      <c r="J105" s="28"/>
      <c r="K105" s="28"/>
      <c r="L105" s="28"/>
      <c r="M105" s="28"/>
      <c r="N105" s="17">
        <f t="shared" si="25"/>
        <v>0</v>
      </c>
    </row>
    <row r="106" ht="13.5" customHeight="1">
      <c r="A106" s="9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ht="13.5" customHeight="1">
      <c r="A107" s="91" t="s">
        <v>23</v>
      </c>
      <c r="B107" s="28">
        <f t="shared" ref="B107:N107" si="26">SUM(B92:B105)</f>
        <v>1930</v>
      </c>
      <c r="C107" s="28">
        <f t="shared" si="26"/>
        <v>2240</v>
      </c>
      <c r="D107" s="28">
        <f t="shared" si="26"/>
        <v>1618.64</v>
      </c>
      <c r="E107" s="28">
        <f t="shared" si="26"/>
        <v>1505</v>
      </c>
      <c r="F107" s="28">
        <f t="shared" si="26"/>
        <v>1660</v>
      </c>
      <c r="G107" s="28">
        <f t="shared" si="26"/>
        <v>2427</v>
      </c>
      <c r="H107" s="28">
        <f t="shared" si="26"/>
        <v>1910</v>
      </c>
      <c r="I107" s="28">
        <f t="shared" si="26"/>
        <v>1773.233</v>
      </c>
      <c r="J107" s="28">
        <f t="shared" si="26"/>
        <v>2440</v>
      </c>
      <c r="K107" s="28">
        <f t="shared" si="26"/>
        <v>2161.78</v>
      </c>
      <c r="L107" s="28">
        <f t="shared" si="26"/>
        <v>2005</v>
      </c>
      <c r="M107" s="28">
        <f t="shared" si="26"/>
        <v>2505</v>
      </c>
      <c r="N107" s="28">
        <f t="shared" si="26"/>
        <v>24175.653</v>
      </c>
    </row>
    <row r="108" ht="13.5" customHeight="1">
      <c r="A108" s="91" t="s">
        <v>104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44">
        <f>SUM(B108:M108)</f>
        <v>0</v>
      </c>
    </row>
    <row r="109" ht="13.5" customHeight="1">
      <c r="A109" s="112" t="s">
        <v>105</v>
      </c>
      <c r="B109" s="50">
        <f t="shared" ref="B109:N109" si="27">B107+B90+B83+B32+B21+B13</f>
        <v>59980.33834</v>
      </c>
      <c r="C109" s="50">
        <f t="shared" si="27"/>
        <v>62078.59067</v>
      </c>
      <c r="D109" s="50">
        <f t="shared" si="27"/>
        <v>67680.88918</v>
      </c>
      <c r="E109" s="50">
        <f t="shared" si="27"/>
        <v>73958.46158</v>
      </c>
      <c r="F109" s="50">
        <f t="shared" si="27"/>
        <v>81902.36414</v>
      </c>
      <c r="G109" s="50">
        <f t="shared" si="27"/>
        <v>81275.65274</v>
      </c>
      <c r="H109" s="50">
        <f t="shared" si="27"/>
        <v>68102.93256</v>
      </c>
      <c r="I109" s="50">
        <f t="shared" si="27"/>
        <v>68066.16556</v>
      </c>
      <c r="J109" s="50">
        <f t="shared" si="27"/>
        <v>72872.13073</v>
      </c>
      <c r="K109" s="50">
        <f t="shared" si="27"/>
        <v>74047.23985</v>
      </c>
      <c r="L109" s="50">
        <f t="shared" si="27"/>
        <v>80639.11243</v>
      </c>
      <c r="M109" s="50">
        <f t="shared" si="27"/>
        <v>81139.11243</v>
      </c>
      <c r="N109" s="50">
        <f t="shared" si="27"/>
        <v>871742.9902</v>
      </c>
    </row>
    <row r="110" ht="13.5" customHeight="1">
      <c r="A110" s="35" t="s">
        <v>106</v>
      </c>
      <c r="B110" s="148">
        <v>75.0</v>
      </c>
      <c r="C110" s="116">
        <v>75.0</v>
      </c>
      <c r="D110" s="116">
        <v>80.0</v>
      </c>
      <c r="E110" s="116">
        <v>80.0</v>
      </c>
      <c r="F110" s="116">
        <v>85.0</v>
      </c>
      <c r="G110" s="116">
        <v>90.0</v>
      </c>
      <c r="H110" s="116">
        <v>120.0</v>
      </c>
      <c r="I110" s="116">
        <v>135.0</v>
      </c>
      <c r="J110" s="116">
        <v>130.0</v>
      </c>
      <c r="K110" s="116">
        <v>130.0</v>
      </c>
      <c r="L110" s="116">
        <v>115.0</v>
      </c>
      <c r="M110" s="118">
        <v>130.0</v>
      </c>
      <c r="N110" s="149">
        <f t="shared" ref="N110:N112" si="28">SUM(B110:M110)</f>
        <v>1245</v>
      </c>
    </row>
    <row r="111" ht="13.5" customHeight="1">
      <c r="A111" s="35" t="s">
        <v>107</v>
      </c>
      <c r="B111" s="120">
        <v>80.0</v>
      </c>
      <c r="C111" s="120">
        <v>80.0</v>
      </c>
      <c r="D111" s="120">
        <v>85.0</v>
      </c>
      <c r="E111" s="120">
        <v>90.0</v>
      </c>
      <c r="F111" s="120">
        <v>90.0</v>
      </c>
      <c r="G111" s="120">
        <v>90.0</v>
      </c>
      <c r="H111" s="120">
        <v>95.0</v>
      </c>
      <c r="I111" s="120">
        <v>100.0</v>
      </c>
      <c r="J111" s="120">
        <v>95.0</v>
      </c>
      <c r="K111" s="120">
        <v>90.0</v>
      </c>
      <c r="L111" s="120">
        <v>90.0</v>
      </c>
      <c r="M111" s="121">
        <v>90.0</v>
      </c>
      <c r="N111" s="149">
        <f t="shared" si="28"/>
        <v>1075</v>
      </c>
    </row>
    <row r="112" ht="13.5" customHeight="1">
      <c r="A112" s="91" t="s">
        <v>23</v>
      </c>
      <c r="B112" s="122">
        <f t="shared" ref="B112:M112" si="29">B110+B111</f>
        <v>155</v>
      </c>
      <c r="C112" s="122">
        <f t="shared" si="29"/>
        <v>155</v>
      </c>
      <c r="D112" s="122">
        <f t="shared" si="29"/>
        <v>165</v>
      </c>
      <c r="E112" s="122">
        <f t="shared" si="29"/>
        <v>170</v>
      </c>
      <c r="F112" s="123">
        <f t="shared" si="29"/>
        <v>175</v>
      </c>
      <c r="G112" s="123">
        <f t="shared" si="29"/>
        <v>180</v>
      </c>
      <c r="H112" s="123">
        <f t="shared" si="29"/>
        <v>215</v>
      </c>
      <c r="I112" s="123">
        <f t="shared" si="29"/>
        <v>235</v>
      </c>
      <c r="J112" s="123">
        <f t="shared" si="29"/>
        <v>225</v>
      </c>
      <c r="K112" s="123">
        <f t="shared" si="29"/>
        <v>220</v>
      </c>
      <c r="L112" s="123">
        <f t="shared" si="29"/>
        <v>205</v>
      </c>
      <c r="M112" s="124">
        <f t="shared" si="29"/>
        <v>220</v>
      </c>
      <c r="N112" s="125">
        <f t="shared" si="28"/>
        <v>2320</v>
      </c>
    </row>
    <row r="113" ht="13.5" customHeight="1">
      <c r="A113" s="126" t="s">
        <v>108</v>
      </c>
      <c r="B113" s="58">
        <f t="shared" ref="B113:N113" si="30">B109/B112</f>
        <v>386.9699248</v>
      </c>
      <c r="C113" s="58">
        <f t="shared" si="30"/>
        <v>400.5070366</v>
      </c>
      <c r="D113" s="58">
        <f t="shared" si="30"/>
        <v>410.1872071</v>
      </c>
      <c r="E113" s="58">
        <f t="shared" si="30"/>
        <v>435.049774</v>
      </c>
      <c r="F113" s="58">
        <f t="shared" si="30"/>
        <v>468.0135094</v>
      </c>
      <c r="G113" s="58">
        <f t="shared" si="30"/>
        <v>451.5314041</v>
      </c>
      <c r="H113" s="58">
        <f t="shared" si="30"/>
        <v>316.7578259</v>
      </c>
      <c r="I113" s="58">
        <f t="shared" si="30"/>
        <v>289.6432577</v>
      </c>
      <c r="J113" s="58">
        <f t="shared" si="30"/>
        <v>323.8761366</v>
      </c>
      <c r="K113" s="58">
        <f t="shared" si="30"/>
        <v>336.5783629</v>
      </c>
      <c r="L113" s="58">
        <f t="shared" si="30"/>
        <v>393.3615241</v>
      </c>
      <c r="M113" s="58">
        <f t="shared" si="30"/>
        <v>368.8141474</v>
      </c>
      <c r="N113" s="179">
        <f t="shared" si="30"/>
        <v>375.7512889</v>
      </c>
    </row>
    <row r="114" ht="13.5" customHeight="1">
      <c r="A114" s="79" t="s">
        <v>109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</row>
    <row r="115" ht="13.5" customHeight="1">
      <c r="A115" s="59" t="s">
        <v>110</v>
      </c>
      <c r="B115" s="313">
        <f t="shared" ref="B115:M115" si="31">1495</f>
        <v>1495</v>
      </c>
      <c r="C115" s="313">
        <f t="shared" si="31"/>
        <v>1495</v>
      </c>
      <c r="D115" s="313">
        <f t="shared" si="31"/>
        <v>1495</v>
      </c>
      <c r="E115" s="313">
        <f t="shared" si="31"/>
        <v>1495</v>
      </c>
      <c r="F115" s="313">
        <f t="shared" si="31"/>
        <v>1495</v>
      </c>
      <c r="G115" s="313">
        <f t="shared" si="31"/>
        <v>1495</v>
      </c>
      <c r="H115" s="313">
        <f t="shared" si="31"/>
        <v>1495</v>
      </c>
      <c r="I115" s="313">
        <f t="shared" si="31"/>
        <v>1495</v>
      </c>
      <c r="J115" s="313">
        <f t="shared" si="31"/>
        <v>1495</v>
      </c>
      <c r="K115" s="313">
        <f t="shared" si="31"/>
        <v>1495</v>
      </c>
      <c r="L115" s="313">
        <f t="shared" si="31"/>
        <v>1495</v>
      </c>
      <c r="M115" s="313">
        <f t="shared" si="31"/>
        <v>1495</v>
      </c>
      <c r="N115" s="17">
        <f t="shared" ref="N115:N120" si="33">SUM(B115:M115)</f>
        <v>17940</v>
      </c>
    </row>
    <row r="116" ht="13.5" customHeight="1">
      <c r="A116" s="60" t="s">
        <v>111</v>
      </c>
      <c r="B116" s="144">
        <f t="shared" ref="B116:M116" si="32">139+240</f>
        <v>379</v>
      </c>
      <c r="C116" s="144">
        <f t="shared" si="32"/>
        <v>379</v>
      </c>
      <c r="D116" s="144">
        <f t="shared" si="32"/>
        <v>379</v>
      </c>
      <c r="E116" s="144">
        <f t="shared" si="32"/>
        <v>379</v>
      </c>
      <c r="F116" s="144">
        <f t="shared" si="32"/>
        <v>379</v>
      </c>
      <c r="G116" s="144">
        <f t="shared" si="32"/>
        <v>379</v>
      </c>
      <c r="H116" s="144">
        <f t="shared" si="32"/>
        <v>379</v>
      </c>
      <c r="I116" s="144">
        <f t="shared" si="32"/>
        <v>379</v>
      </c>
      <c r="J116" s="144">
        <f t="shared" si="32"/>
        <v>379</v>
      </c>
      <c r="K116" s="144">
        <f t="shared" si="32"/>
        <v>379</v>
      </c>
      <c r="L116" s="144">
        <f t="shared" si="32"/>
        <v>379</v>
      </c>
      <c r="M116" s="144">
        <f t="shared" si="32"/>
        <v>379</v>
      </c>
      <c r="N116" s="17">
        <f t="shared" si="33"/>
        <v>4548</v>
      </c>
    </row>
    <row r="117" ht="13.5" customHeight="1">
      <c r="A117" s="59" t="s">
        <v>112</v>
      </c>
      <c r="B117" s="87">
        <f>500+2476.32
</f>
        <v>2976.32</v>
      </c>
      <c r="C117" s="87">
        <v>500.0</v>
      </c>
      <c r="D117" s="87">
        <v>500.0</v>
      </c>
      <c r="E117" s="87">
        <f>500+2476.32
</f>
        <v>2976.32</v>
      </c>
      <c r="F117" s="87">
        <v>500.0</v>
      </c>
      <c r="G117" s="87">
        <v>500.0</v>
      </c>
      <c r="H117" s="87">
        <f>500+2476.32
</f>
        <v>2976.32</v>
      </c>
      <c r="I117" s="87">
        <v>500.0</v>
      </c>
      <c r="J117" s="87">
        <v>500.0</v>
      </c>
      <c r="K117" s="87">
        <f>500+2598.26</f>
        <v>3098.26</v>
      </c>
      <c r="L117" s="87">
        <v>500.0</v>
      </c>
      <c r="M117" s="87">
        <v>500.0</v>
      </c>
      <c r="N117" s="17">
        <f t="shared" si="33"/>
        <v>16027.22</v>
      </c>
    </row>
    <row r="118" ht="13.5" customHeight="1">
      <c r="A118" s="59" t="s">
        <v>80</v>
      </c>
      <c r="B118" s="205">
        <v>0.0</v>
      </c>
      <c r="C118" s="205">
        <v>0.0</v>
      </c>
      <c r="D118" s="205">
        <v>0.0</v>
      </c>
      <c r="E118" s="205">
        <v>0.0</v>
      </c>
      <c r="F118" s="205">
        <v>0.0</v>
      </c>
      <c r="G118" s="205">
        <v>0.0</v>
      </c>
      <c r="H118" s="205">
        <v>0.0</v>
      </c>
      <c r="I118" s="205">
        <v>0.0</v>
      </c>
      <c r="J118" s="205">
        <v>0.0</v>
      </c>
      <c r="K118" s="205">
        <v>0.0</v>
      </c>
      <c r="L118" s="205">
        <v>0.0</v>
      </c>
      <c r="M118" s="205">
        <v>0.0</v>
      </c>
      <c r="N118" s="17">
        <f t="shared" si="33"/>
        <v>0</v>
      </c>
    </row>
    <row r="119" ht="13.5" customHeight="1">
      <c r="A119" s="61" t="s">
        <v>113</v>
      </c>
      <c r="B119" s="87">
        <v>395.0</v>
      </c>
      <c r="C119" s="87">
        <v>395.0</v>
      </c>
      <c r="D119" s="87">
        <v>395.0</v>
      </c>
      <c r="E119" s="87">
        <v>395.0</v>
      </c>
      <c r="F119" s="87">
        <v>395.0</v>
      </c>
      <c r="G119" s="87">
        <v>395.0</v>
      </c>
      <c r="H119" s="87">
        <v>395.0</v>
      </c>
      <c r="I119" s="87">
        <v>395.0</v>
      </c>
      <c r="J119" s="87">
        <v>395.0</v>
      </c>
      <c r="K119" s="87">
        <v>395.0</v>
      </c>
      <c r="L119" s="87">
        <v>395.0</v>
      </c>
      <c r="M119" s="87">
        <v>395.0</v>
      </c>
      <c r="N119" s="17">
        <f t="shared" si="33"/>
        <v>4740</v>
      </c>
    </row>
    <row r="120" ht="13.5" customHeight="1">
      <c r="A120" s="132" t="s">
        <v>114</v>
      </c>
      <c r="B120" s="87">
        <v>1834.0</v>
      </c>
      <c r="C120" s="87">
        <v>1834.0</v>
      </c>
      <c r="D120" s="87">
        <v>1834.0</v>
      </c>
      <c r="E120" s="87">
        <v>1834.0</v>
      </c>
      <c r="F120" s="87">
        <v>1834.0</v>
      </c>
      <c r="G120" s="87">
        <v>1834.0</v>
      </c>
      <c r="H120" s="87">
        <v>1834.0</v>
      </c>
      <c r="I120" s="87">
        <v>1834.0</v>
      </c>
      <c r="J120" s="87">
        <v>1834.0</v>
      </c>
      <c r="K120" s="87">
        <v>1834.0</v>
      </c>
      <c r="L120" s="87">
        <v>1834.0</v>
      </c>
      <c r="M120" s="87">
        <v>1834.0</v>
      </c>
      <c r="N120" s="17">
        <f t="shared" si="33"/>
        <v>22008</v>
      </c>
    </row>
    <row r="121" ht="13.5" customHeight="1">
      <c r="A121" s="99" t="s">
        <v>23</v>
      </c>
      <c r="B121" s="63">
        <f>SUM(B115:B120)</f>
        <v>7079.32</v>
      </c>
      <c r="C121" s="63">
        <f>SUM(C116:C120)</f>
        <v>3108</v>
      </c>
      <c r="D121" s="63">
        <f t="shared" ref="D121:N121" si="34">SUM(D115:D120)</f>
        <v>4603</v>
      </c>
      <c r="E121" s="63">
        <f t="shared" si="34"/>
        <v>7079.32</v>
      </c>
      <c r="F121" s="63">
        <f t="shared" si="34"/>
        <v>4603</v>
      </c>
      <c r="G121" s="63">
        <f t="shared" si="34"/>
        <v>4603</v>
      </c>
      <c r="H121" s="63">
        <f t="shared" si="34"/>
        <v>7079.32</v>
      </c>
      <c r="I121" s="63">
        <f t="shared" si="34"/>
        <v>4603</v>
      </c>
      <c r="J121" s="63">
        <f t="shared" si="34"/>
        <v>4603</v>
      </c>
      <c r="K121" s="63">
        <f t="shared" si="34"/>
        <v>7201.26</v>
      </c>
      <c r="L121" s="63">
        <f t="shared" si="34"/>
        <v>4603</v>
      </c>
      <c r="M121" s="63">
        <f t="shared" si="34"/>
        <v>4603</v>
      </c>
      <c r="N121" s="63">
        <f t="shared" si="34"/>
        <v>65263.22</v>
      </c>
    </row>
    <row r="122" ht="13.5" customHeight="1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</row>
    <row r="123" ht="13.5" customHeight="1">
      <c r="A123" s="64" t="s">
        <v>115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</row>
    <row r="124" ht="13.5" customHeight="1">
      <c r="A124" s="64" t="s">
        <v>116</v>
      </c>
      <c r="B124" s="67">
        <f t="shared" ref="B124:M124" si="35">+B13*0.7+B21*0.7+B32*0.7+B52*0.6+B70+B107*0.6</f>
        <v>38157.39784</v>
      </c>
      <c r="C124" s="67">
        <f t="shared" si="35"/>
        <v>40089.87447</v>
      </c>
      <c r="D124" s="67">
        <f t="shared" si="35"/>
        <v>43757.11942</v>
      </c>
      <c r="E124" s="67">
        <f t="shared" si="35"/>
        <v>48162.7841</v>
      </c>
      <c r="F124" s="67">
        <f t="shared" si="35"/>
        <v>53708.0159</v>
      </c>
      <c r="G124" s="67">
        <f t="shared" si="35"/>
        <v>53192.61792</v>
      </c>
      <c r="H124" s="67">
        <f t="shared" si="35"/>
        <v>43828.71379</v>
      </c>
      <c r="I124" s="67">
        <f t="shared" si="35"/>
        <v>43846.65359</v>
      </c>
      <c r="J124" s="67">
        <f t="shared" si="35"/>
        <v>46859.15251</v>
      </c>
      <c r="K124" s="67">
        <f t="shared" si="35"/>
        <v>47709.55089</v>
      </c>
      <c r="L124" s="67">
        <f t="shared" si="35"/>
        <v>52339.5397</v>
      </c>
      <c r="M124" s="67">
        <f t="shared" si="35"/>
        <v>52639.5397</v>
      </c>
      <c r="N124" s="67">
        <f t="shared" ref="N124:N125" si="37">SUM(B124:M124)</f>
        <v>564290.9598</v>
      </c>
    </row>
    <row r="125" ht="13.5" customHeight="1">
      <c r="A125" s="64" t="s">
        <v>117</v>
      </c>
      <c r="B125" s="67">
        <f t="shared" ref="B125:M125" si="36">+B13*0.3+B21*0.3+B32*0.3+B52*0.4+B82+B90+B107*0.4</f>
        <v>21822.9405</v>
      </c>
      <c r="C125" s="67">
        <f t="shared" si="36"/>
        <v>21988.7162</v>
      </c>
      <c r="D125" s="67">
        <f t="shared" si="36"/>
        <v>23923.76975</v>
      </c>
      <c r="E125" s="67">
        <f t="shared" si="36"/>
        <v>25795.67747</v>
      </c>
      <c r="F125" s="67">
        <f t="shared" si="36"/>
        <v>28194.34824</v>
      </c>
      <c r="G125" s="67">
        <f t="shared" si="36"/>
        <v>28083.03482</v>
      </c>
      <c r="H125" s="67">
        <f t="shared" si="36"/>
        <v>24274.21877</v>
      </c>
      <c r="I125" s="67">
        <f t="shared" si="36"/>
        <v>24219.51197</v>
      </c>
      <c r="J125" s="67">
        <f t="shared" si="36"/>
        <v>26012.97822</v>
      </c>
      <c r="K125" s="67">
        <f t="shared" si="36"/>
        <v>26337.68895</v>
      </c>
      <c r="L125" s="67">
        <f t="shared" si="36"/>
        <v>28299.57273</v>
      </c>
      <c r="M125" s="67">
        <f t="shared" si="36"/>
        <v>28499.57273</v>
      </c>
      <c r="N125" s="67">
        <f t="shared" si="37"/>
        <v>307452.0304</v>
      </c>
    </row>
    <row r="126" ht="13.5" customHeight="1">
      <c r="A126" s="64" t="s">
        <v>23</v>
      </c>
      <c r="B126" s="67">
        <f t="shared" ref="B126:N126" si="38">SUM(B124:B125)</f>
        <v>59980.33834</v>
      </c>
      <c r="C126" s="67">
        <f t="shared" si="38"/>
        <v>62078.59067</v>
      </c>
      <c r="D126" s="67">
        <f t="shared" si="38"/>
        <v>67680.88918</v>
      </c>
      <c r="E126" s="67">
        <f t="shared" si="38"/>
        <v>73958.46158</v>
      </c>
      <c r="F126" s="67">
        <f t="shared" si="38"/>
        <v>81902.36414</v>
      </c>
      <c r="G126" s="67">
        <f t="shared" si="38"/>
        <v>81275.65274</v>
      </c>
      <c r="H126" s="67">
        <f t="shared" si="38"/>
        <v>68102.93256</v>
      </c>
      <c r="I126" s="67">
        <f t="shared" si="38"/>
        <v>68066.16556</v>
      </c>
      <c r="J126" s="67">
        <f t="shared" si="38"/>
        <v>72872.13073</v>
      </c>
      <c r="K126" s="67">
        <f t="shared" si="38"/>
        <v>74047.23985</v>
      </c>
      <c r="L126" s="67">
        <f t="shared" si="38"/>
        <v>80639.11243</v>
      </c>
      <c r="M126" s="67">
        <f t="shared" si="38"/>
        <v>81139.11243</v>
      </c>
      <c r="N126" s="67">
        <f t="shared" si="38"/>
        <v>871742.9902</v>
      </c>
    </row>
    <row r="127" ht="13.5" customHeight="1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</row>
    <row r="128" ht="13.5" customHeight="1">
      <c r="A128" s="69" t="s">
        <v>118</v>
      </c>
      <c r="B128" s="70">
        <f t="shared" ref="B128:N128" si="39">+B109</f>
        <v>59980.33834</v>
      </c>
      <c r="C128" s="70">
        <f t="shared" si="39"/>
        <v>62078.59067</v>
      </c>
      <c r="D128" s="70">
        <f t="shared" si="39"/>
        <v>67680.88918</v>
      </c>
      <c r="E128" s="70">
        <f t="shared" si="39"/>
        <v>73958.46158</v>
      </c>
      <c r="F128" s="70">
        <f t="shared" si="39"/>
        <v>81902.36414</v>
      </c>
      <c r="G128" s="70">
        <f t="shared" si="39"/>
        <v>81275.65274</v>
      </c>
      <c r="H128" s="70">
        <f t="shared" si="39"/>
        <v>68102.93256</v>
      </c>
      <c r="I128" s="70">
        <f t="shared" si="39"/>
        <v>68066.16556</v>
      </c>
      <c r="J128" s="70">
        <f t="shared" si="39"/>
        <v>72872.13073</v>
      </c>
      <c r="K128" s="70">
        <f t="shared" si="39"/>
        <v>74047.23985</v>
      </c>
      <c r="L128" s="70">
        <f t="shared" si="39"/>
        <v>80639.11243</v>
      </c>
      <c r="M128" s="70">
        <f t="shared" si="39"/>
        <v>81139.11243</v>
      </c>
      <c r="N128" s="70">
        <f t="shared" si="39"/>
        <v>871742.9902</v>
      </c>
    </row>
    <row r="129" ht="13.5" customHeight="1">
      <c r="A129" s="134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</row>
    <row r="130" ht="13.5" customHeight="1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</row>
    <row r="131" ht="13.5" customHeight="1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</row>
  </sheetData>
  <mergeCells count="1">
    <mergeCell ref="A1:N1"/>
  </mergeCells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27.5"/>
    <col customWidth="1" min="2" max="13" width="11.25"/>
    <col customWidth="1" min="14" max="14" width="12.63"/>
  </cols>
  <sheetData>
    <row r="1">
      <c r="A1" s="314" t="s">
        <v>271</v>
      </c>
    </row>
    <row r="2">
      <c r="A2" s="182"/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182"/>
    </row>
    <row r="3">
      <c r="A3" s="182"/>
      <c r="B3" s="183" t="s">
        <v>1</v>
      </c>
      <c r="C3" s="183" t="s">
        <v>2</v>
      </c>
      <c r="D3" s="183" t="s">
        <v>3</v>
      </c>
      <c r="E3" s="183" t="s">
        <v>4</v>
      </c>
      <c r="F3" s="183" t="s">
        <v>5</v>
      </c>
      <c r="G3" s="183" t="s">
        <v>6</v>
      </c>
      <c r="H3" s="183" t="s">
        <v>7</v>
      </c>
      <c r="I3" s="183" t="s">
        <v>8</v>
      </c>
      <c r="J3" s="183" t="s">
        <v>9</v>
      </c>
      <c r="K3" s="183" t="s">
        <v>10</v>
      </c>
      <c r="L3" s="183" t="s">
        <v>11</v>
      </c>
      <c r="M3" s="183" t="s">
        <v>12</v>
      </c>
      <c r="N3" s="316" t="s">
        <v>0</v>
      </c>
    </row>
    <row r="4">
      <c r="A4" s="317" t="s">
        <v>14</v>
      </c>
      <c r="B4" s="318"/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/>
    </row>
    <row r="5">
      <c r="A5" s="319" t="s">
        <v>15</v>
      </c>
      <c r="B5" s="143">
        <f>FORMULAS!S41</f>
        <v>12507.93651</v>
      </c>
      <c r="C5" s="143">
        <f>FORMULAS!W41</f>
        <v>12507.93651</v>
      </c>
      <c r="D5" s="143">
        <f>FORMULAS!AA41</f>
        <v>12507.93651</v>
      </c>
      <c r="E5" s="143">
        <f>FORMULAS!AE41</f>
        <v>16804.26379</v>
      </c>
      <c r="F5" s="143">
        <f>FORMULAS!AI41</f>
        <v>3354.916793</v>
      </c>
      <c r="G5" s="143">
        <f>FORMULAS!AM41</f>
        <v>15631.82188</v>
      </c>
      <c r="H5" s="143">
        <f>FORMULAS!AQ41</f>
        <v>10607.30771</v>
      </c>
      <c r="I5" s="143">
        <f>FORMULAS!AU41</f>
        <v>10607.30771</v>
      </c>
      <c r="J5" s="143">
        <f>FORMULAS!AY41</f>
        <v>13398.70447</v>
      </c>
      <c r="K5" s="143">
        <f>FORMULAS!BC41</f>
        <v>13398.70447</v>
      </c>
      <c r="L5" s="143">
        <f>FORMULAS!BG41</f>
        <v>15631.82188</v>
      </c>
      <c r="M5" s="143">
        <f>FORMULAS!BK41</f>
        <v>15631.82188</v>
      </c>
      <c r="N5" s="320">
        <f t="shared" ref="N5:N12" si="1">SUM(B5:M5)</f>
        <v>152590.4801</v>
      </c>
    </row>
    <row r="6">
      <c r="A6" s="182" t="s">
        <v>123</v>
      </c>
      <c r="B6" s="315"/>
      <c r="C6" s="315"/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7">
        <f t="shared" si="1"/>
        <v>0</v>
      </c>
    </row>
    <row r="7">
      <c r="A7" s="182" t="s">
        <v>17</v>
      </c>
      <c r="B7" s="218">
        <f>FORMULAS!P316</f>
        <v>12500</v>
      </c>
      <c r="C7" s="218">
        <f>FORMULAS!T316</f>
        <v>12500</v>
      </c>
      <c r="D7" s="218">
        <f>FORMULAS!X316</f>
        <v>15000</v>
      </c>
      <c r="E7" s="218">
        <f>FORMULAS!AB316</f>
        <v>17500</v>
      </c>
      <c r="F7" s="218">
        <f>FORMULAS!AF316</f>
        <v>20000</v>
      </c>
      <c r="G7" s="218">
        <f>FORMULAS!AJ316</f>
        <v>20000</v>
      </c>
      <c r="H7" s="218">
        <f>FORMULAS!AN316</f>
        <v>15000</v>
      </c>
      <c r="I7" s="218">
        <f>FORMULAS!AR316</f>
        <v>15000</v>
      </c>
      <c r="J7" s="218">
        <f>FORMULAS!AV316</f>
        <v>17500</v>
      </c>
      <c r="K7" s="218">
        <f>FORMULAS!AZ316</f>
        <v>17500</v>
      </c>
      <c r="L7" s="218">
        <f>FORMULAS!BD316</f>
        <v>17500</v>
      </c>
      <c r="M7" s="218">
        <f>FORMULAS!BH316</f>
        <v>20000</v>
      </c>
      <c r="N7" s="37">
        <f t="shared" si="1"/>
        <v>200000</v>
      </c>
    </row>
    <row r="8">
      <c r="A8" s="182" t="s">
        <v>18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37">
        <f t="shared" si="1"/>
        <v>0</v>
      </c>
    </row>
    <row r="9">
      <c r="A9" s="319" t="s">
        <v>168</v>
      </c>
      <c r="B9" s="218">
        <f>FORMULAS!P315+FORMULAS!S89</f>
        <v>7116.780045</v>
      </c>
      <c r="C9" s="218">
        <f>FORMULAS!T315+FORMULAS!W89</f>
        <v>7116.780045</v>
      </c>
      <c r="D9" s="218">
        <f>FORMULAS!X315+FORMULAS!AA89</f>
        <v>7116.780045</v>
      </c>
      <c r="E9" s="218">
        <f>FORMULAS!AB315+FORMULAS!AE89</f>
        <v>9878.029652</v>
      </c>
      <c r="F9" s="218">
        <f>FORMULAS!AF315+FORMULAS!AI89</f>
        <v>13529.84206</v>
      </c>
      <c r="G9" s="218">
        <f>FORMULAS!AJ315+FORMULAS!AM89</f>
        <v>19128.11078</v>
      </c>
      <c r="H9" s="218">
        <f>FORMULAS!AN315++FORMULAS!AQ89</f>
        <v>10091.0711</v>
      </c>
      <c r="I9" s="218">
        <f>FORMULAS!AR315+FORMULAS!AU89</f>
        <v>10091.0711</v>
      </c>
      <c r="J9" s="218">
        <f>FORMULAS!AV315+FORMULAS!AY89</f>
        <v>14609.59094</v>
      </c>
      <c r="K9" s="218">
        <f>FORMULAS!AZ315+FORMULAS!BC89</f>
        <v>14609.59094</v>
      </c>
      <c r="L9" s="218">
        <f>FORMULAS!BD315+FORMULAS!BG89</f>
        <v>16128.11078</v>
      </c>
      <c r="M9" s="218">
        <f>FORMULAS!BH315+FORMULAS!BK89</f>
        <v>19128.11078</v>
      </c>
      <c r="N9" s="37">
        <f t="shared" si="1"/>
        <v>148543.8683</v>
      </c>
    </row>
    <row r="10">
      <c r="A10" s="321" t="s">
        <v>272</v>
      </c>
      <c r="B10" s="218">
        <f>FORMULAS!S65</f>
        <v>4798.431595</v>
      </c>
      <c r="C10" s="322">
        <f>FORMULAS!W65</f>
        <v>3516.070295</v>
      </c>
      <c r="D10" s="218">
        <f>FORMULAS!AA65</f>
        <v>5088.943311</v>
      </c>
      <c r="E10" s="322">
        <f>FORMULAS!AE65</f>
        <v>4578.798186</v>
      </c>
      <c r="F10" s="322">
        <f>FORMULAS!AI65</f>
        <v>0</v>
      </c>
      <c r="G10" s="143">
        <f>FORMULAS!AM65</f>
        <v>0</v>
      </c>
      <c r="H10" s="143">
        <f>FORMULAS!AQ65</f>
        <v>0</v>
      </c>
      <c r="I10" s="143">
        <f>FORMULAS!AU65</f>
        <v>0</v>
      </c>
      <c r="J10" s="143">
        <f>FORMULAS!AY65</f>
        <v>0</v>
      </c>
      <c r="K10" s="143">
        <f>FORMULAS!BC65</f>
        <v>3126.364377</v>
      </c>
      <c r="L10" s="143">
        <f>FORMULAS!BG65</f>
        <v>3126.364377</v>
      </c>
      <c r="M10" s="143">
        <f>FORMULAS!BK65</f>
        <v>3126.364377</v>
      </c>
      <c r="N10" s="37">
        <f t="shared" si="1"/>
        <v>27361.33652</v>
      </c>
    </row>
    <row r="11">
      <c r="A11" s="182" t="s">
        <v>21</v>
      </c>
      <c r="B11" s="87">
        <v>388.0</v>
      </c>
      <c r="C11" s="87">
        <v>426.88</v>
      </c>
      <c r="D11" s="87">
        <v>388.0</v>
      </c>
      <c r="E11" s="87">
        <v>388.0</v>
      </c>
      <c r="F11" s="87">
        <v>388.0</v>
      </c>
      <c r="G11" s="87">
        <v>388.0</v>
      </c>
      <c r="H11" s="87">
        <v>388.0</v>
      </c>
      <c r="I11" s="87">
        <v>388.0</v>
      </c>
      <c r="J11" s="87">
        <v>388.0</v>
      </c>
      <c r="K11" s="87">
        <v>388.0</v>
      </c>
      <c r="L11" s="87">
        <v>388.0</v>
      </c>
      <c r="M11" s="87">
        <v>388.0</v>
      </c>
      <c r="N11" s="37">
        <f t="shared" si="1"/>
        <v>4694.88</v>
      </c>
    </row>
    <row r="12">
      <c r="A12" s="182" t="s">
        <v>22</v>
      </c>
      <c r="B12" s="218">
        <f>PRODUCTION!D3</f>
        <v>700</v>
      </c>
      <c r="C12" s="218">
        <f>PRODUCTION!D4</f>
        <v>1370.6</v>
      </c>
      <c r="D12" s="218">
        <f>PRODUCTION!D5</f>
        <v>1370.6</v>
      </c>
      <c r="E12" s="218">
        <f>PRODUCTION!D6</f>
        <v>1370.6</v>
      </c>
      <c r="F12" s="218">
        <f>PRODUCTION!D7</f>
        <v>1370.6</v>
      </c>
      <c r="G12" s="218">
        <f>PRODUCTION!D8</f>
        <v>1370.6</v>
      </c>
      <c r="H12" s="218">
        <f>PRODUCTION!D9</f>
        <v>1370.6</v>
      </c>
      <c r="I12" s="218">
        <f>PRODUCTION!D10</f>
        <v>1370.6</v>
      </c>
      <c r="J12" s="218">
        <f>PRODUCTION!D11</f>
        <v>1370.6</v>
      </c>
      <c r="K12" s="218">
        <f>PRODUCTION!D12</f>
        <v>1370.6</v>
      </c>
      <c r="L12" s="218">
        <f>PRODUCTION!D13</f>
        <v>1370.6</v>
      </c>
      <c r="M12" s="218">
        <f>PRODUCTION!D14</f>
        <v>1370.6</v>
      </c>
      <c r="N12" s="37">
        <f t="shared" si="1"/>
        <v>15776.6</v>
      </c>
    </row>
    <row r="13">
      <c r="A13" s="323" t="s">
        <v>23</v>
      </c>
      <c r="B13" s="111">
        <f t="shared" ref="B13:N13" si="2">SUM(B5:B12)</f>
        <v>38011.14815</v>
      </c>
      <c r="C13" s="111">
        <f t="shared" si="2"/>
        <v>37438.26685</v>
      </c>
      <c r="D13" s="111">
        <f t="shared" si="2"/>
        <v>41472.25986</v>
      </c>
      <c r="E13" s="111">
        <f t="shared" si="2"/>
        <v>50519.69163</v>
      </c>
      <c r="F13" s="111">
        <f t="shared" si="2"/>
        <v>38643.35885</v>
      </c>
      <c r="G13" s="111">
        <f t="shared" si="2"/>
        <v>56518.53266</v>
      </c>
      <c r="H13" s="111">
        <f t="shared" si="2"/>
        <v>37456.97881</v>
      </c>
      <c r="I13" s="111">
        <f t="shared" si="2"/>
        <v>37456.97881</v>
      </c>
      <c r="J13" s="111">
        <f t="shared" si="2"/>
        <v>47266.89541</v>
      </c>
      <c r="K13" s="111">
        <f t="shared" si="2"/>
        <v>50393.25979</v>
      </c>
      <c r="L13" s="111">
        <f t="shared" si="2"/>
        <v>54144.89704</v>
      </c>
      <c r="M13" s="111">
        <f t="shared" si="2"/>
        <v>59644.89704</v>
      </c>
      <c r="N13" s="111">
        <f t="shared" si="2"/>
        <v>548967.1649</v>
      </c>
    </row>
    <row r="14">
      <c r="A14" s="317" t="s">
        <v>24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318"/>
    </row>
    <row r="15">
      <c r="A15" s="324" t="s">
        <v>264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5"/>
      <c r="N15" s="37">
        <f t="shared" ref="N15:N18" si="3">SUM(B15:M15)</f>
        <v>0</v>
      </c>
    </row>
    <row r="16">
      <c r="A16" s="324" t="s">
        <v>26</v>
      </c>
      <c r="B16" s="315"/>
      <c r="C16" s="315"/>
      <c r="D16" s="315"/>
      <c r="E16" s="315"/>
      <c r="F16" s="315"/>
      <c r="G16" s="315"/>
      <c r="H16" s="315"/>
      <c r="I16" s="315"/>
      <c r="J16" s="315"/>
      <c r="K16" s="315"/>
      <c r="L16" s="315"/>
      <c r="M16" s="315"/>
      <c r="N16" s="37">
        <f t="shared" si="3"/>
        <v>0</v>
      </c>
    </row>
    <row r="17">
      <c r="A17" s="324"/>
      <c r="B17" s="315"/>
      <c r="C17" s="315"/>
      <c r="D17" s="315"/>
      <c r="E17" s="315"/>
      <c r="F17" s="315"/>
      <c r="G17" s="315"/>
      <c r="H17" s="315"/>
      <c r="I17" s="315"/>
      <c r="J17" s="315"/>
      <c r="K17" s="315"/>
      <c r="L17" s="315"/>
      <c r="M17" s="315"/>
      <c r="N17" s="37">
        <f t="shared" si="3"/>
        <v>0</v>
      </c>
    </row>
    <row r="18">
      <c r="A18" s="324"/>
      <c r="B18" s="315"/>
      <c r="C18" s="315"/>
      <c r="D18" s="315"/>
      <c r="E18" s="315"/>
      <c r="F18" s="315"/>
      <c r="G18" s="315"/>
      <c r="H18" s="315"/>
      <c r="I18" s="315"/>
      <c r="J18" s="315"/>
      <c r="K18" s="315"/>
      <c r="L18" s="315"/>
      <c r="M18" s="315"/>
      <c r="N18" s="37">
        <f t="shared" si="3"/>
        <v>0</v>
      </c>
    </row>
    <row r="19">
      <c r="A19" s="325" t="s">
        <v>29</v>
      </c>
      <c r="B19" s="326"/>
      <c r="C19" s="326"/>
      <c r="D19" s="315"/>
      <c r="E19" s="315"/>
      <c r="F19" s="315"/>
      <c r="G19" s="315"/>
      <c r="H19" s="315"/>
      <c r="I19" s="315"/>
      <c r="J19" s="315"/>
      <c r="K19" s="315"/>
      <c r="L19" s="315"/>
      <c r="M19" s="315"/>
      <c r="N19" s="37">
        <f>SUM(C19:M19)</f>
        <v>0</v>
      </c>
    </row>
    <row r="20">
      <c r="A20" s="324"/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7">
        <f>SUM(B20:M20)</f>
        <v>0</v>
      </c>
    </row>
    <row r="21">
      <c r="A21" s="327" t="s">
        <v>23</v>
      </c>
      <c r="B21" s="110">
        <f t="shared" ref="B21:N21" si="4">SUM(B15:B20)</f>
        <v>0</v>
      </c>
      <c r="C21" s="110">
        <f t="shared" si="4"/>
        <v>0</v>
      </c>
      <c r="D21" s="110">
        <f t="shared" si="4"/>
        <v>0</v>
      </c>
      <c r="E21" s="110">
        <f t="shared" si="4"/>
        <v>0</v>
      </c>
      <c r="F21" s="110">
        <f t="shared" si="4"/>
        <v>0</v>
      </c>
      <c r="G21" s="110">
        <f t="shared" si="4"/>
        <v>0</v>
      </c>
      <c r="H21" s="110">
        <f t="shared" si="4"/>
        <v>0</v>
      </c>
      <c r="I21" s="110">
        <f t="shared" si="4"/>
        <v>0</v>
      </c>
      <c r="J21" s="110">
        <f t="shared" si="4"/>
        <v>0</v>
      </c>
      <c r="K21" s="110">
        <f t="shared" si="4"/>
        <v>0</v>
      </c>
      <c r="L21" s="110">
        <f t="shared" si="4"/>
        <v>0</v>
      </c>
      <c r="M21" s="110">
        <f t="shared" si="4"/>
        <v>0</v>
      </c>
      <c r="N21" s="110">
        <f t="shared" si="4"/>
        <v>0</v>
      </c>
    </row>
    <row r="22">
      <c r="A22" s="317" t="s">
        <v>126</v>
      </c>
      <c r="B22" s="318"/>
      <c r="C22" s="318"/>
      <c r="D22" s="318"/>
      <c r="E22" s="318"/>
      <c r="F22" s="318"/>
      <c r="G22" s="318"/>
      <c r="H22" s="318"/>
      <c r="I22" s="318"/>
      <c r="J22" s="318"/>
      <c r="K22" s="318"/>
      <c r="L22" s="318"/>
      <c r="M22" s="318"/>
      <c r="N22" s="318"/>
    </row>
    <row r="23">
      <c r="A23" s="325" t="s">
        <v>31</v>
      </c>
      <c r="B23" s="209">
        <v>0.0</v>
      </c>
      <c r="C23" s="209">
        <v>0.0</v>
      </c>
      <c r="D23" s="209">
        <v>5000.0</v>
      </c>
      <c r="E23" s="218">
        <v>0.0</v>
      </c>
      <c r="F23" s="209">
        <v>5000.0</v>
      </c>
      <c r="G23" s="218">
        <v>0.0</v>
      </c>
      <c r="H23" s="218">
        <v>0.0</v>
      </c>
      <c r="I23" s="209">
        <v>5000.0</v>
      </c>
      <c r="J23" s="218">
        <v>0.0</v>
      </c>
      <c r="K23" s="218">
        <v>0.0</v>
      </c>
      <c r="L23" s="218">
        <v>0.0</v>
      </c>
      <c r="M23" s="218">
        <v>0.0</v>
      </c>
      <c r="N23" s="37">
        <f t="shared" ref="N23:N31" si="5">SUM(B23:M23)</f>
        <v>15000</v>
      </c>
    </row>
    <row r="24">
      <c r="A24" s="182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7">
        <f t="shared" si="5"/>
        <v>0</v>
      </c>
    </row>
    <row r="25">
      <c r="A25" s="182"/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7">
        <f t="shared" si="5"/>
        <v>0</v>
      </c>
    </row>
    <row r="26">
      <c r="A26" s="182"/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7">
        <f t="shared" si="5"/>
        <v>0</v>
      </c>
    </row>
    <row r="27">
      <c r="A27" s="325" t="s">
        <v>34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7">
        <f t="shared" si="5"/>
        <v>0</v>
      </c>
    </row>
    <row r="28">
      <c r="A28" s="325" t="s">
        <v>35</v>
      </c>
      <c r="B28" s="315"/>
      <c r="C28" s="315"/>
      <c r="D28" s="315"/>
      <c r="E28" s="315"/>
      <c r="F28" s="315"/>
      <c r="G28" s="315"/>
      <c r="H28" s="315"/>
      <c r="I28" s="315"/>
      <c r="J28" s="315"/>
      <c r="K28" s="315"/>
      <c r="L28" s="315"/>
      <c r="M28" s="315"/>
      <c r="N28" s="37">
        <f t="shared" si="5"/>
        <v>0</v>
      </c>
    </row>
    <row r="29">
      <c r="A29" s="325"/>
      <c r="B29" s="315"/>
      <c r="C29" s="315"/>
      <c r="D29" s="315"/>
      <c r="E29" s="315"/>
      <c r="F29" s="315"/>
      <c r="G29" s="315"/>
      <c r="H29" s="315"/>
      <c r="I29" s="315"/>
      <c r="J29" s="315"/>
      <c r="K29" s="315"/>
      <c r="L29" s="315"/>
      <c r="M29" s="315"/>
      <c r="N29" s="37">
        <f t="shared" si="5"/>
        <v>0</v>
      </c>
    </row>
    <row r="30">
      <c r="A30" s="325" t="s">
        <v>268</v>
      </c>
      <c r="B30" s="315"/>
      <c r="C30" s="315"/>
      <c r="D30" s="315"/>
      <c r="E30" s="315"/>
      <c r="F30" s="315"/>
      <c r="G30" s="315"/>
      <c r="H30" s="315"/>
      <c r="I30" s="315"/>
      <c r="J30" s="315"/>
      <c r="K30" s="315"/>
      <c r="L30" s="315"/>
      <c r="M30" s="315"/>
      <c r="N30" s="37">
        <f t="shared" si="5"/>
        <v>0</v>
      </c>
    </row>
    <row r="31">
      <c r="A31" s="182"/>
      <c r="B31" s="315"/>
      <c r="C31" s="315"/>
      <c r="D31" s="315"/>
      <c r="E31" s="315"/>
      <c r="F31" s="315"/>
      <c r="G31" s="315"/>
      <c r="H31" s="315"/>
      <c r="I31" s="315"/>
      <c r="J31" s="315"/>
      <c r="K31" s="315"/>
      <c r="L31" s="315"/>
      <c r="M31" s="315"/>
      <c r="N31" s="37">
        <f t="shared" si="5"/>
        <v>0</v>
      </c>
    </row>
    <row r="32">
      <c r="A32" s="327" t="s">
        <v>23</v>
      </c>
      <c r="B32" s="110">
        <f t="shared" ref="B32:N32" si="6">SUM(B23:B31)</f>
        <v>0</v>
      </c>
      <c r="C32" s="110">
        <f t="shared" si="6"/>
        <v>0</v>
      </c>
      <c r="D32" s="110">
        <f t="shared" si="6"/>
        <v>5000</v>
      </c>
      <c r="E32" s="110">
        <f t="shared" si="6"/>
        <v>0</v>
      </c>
      <c r="F32" s="110">
        <f t="shared" si="6"/>
        <v>5000</v>
      </c>
      <c r="G32" s="110">
        <f t="shared" si="6"/>
        <v>0</v>
      </c>
      <c r="H32" s="110">
        <f t="shared" si="6"/>
        <v>0</v>
      </c>
      <c r="I32" s="110">
        <f t="shared" si="6"/>
        <v>5000</v>
      </c>
      <c r="J32" s="110">
        <f t="shared" si="6"/>
        <v>0</v>
      </c>
      <c r="K32" s="110">
        <f t="shared" si="6"/>
        <v>0</v>
      </c>
      <c r="L32" s="110">
        <f t="shared" si="6"/>
        <v>0</v>
      </c>
      <c r="M32" s="110">
        <f t="shared" si="6"/>
        <v>0</v>
      </c>
      <c r="N32" s="110">
        <f t="shared" si="6"/>
        <v>15000</v>
      </c>
    </row>
    <row r="33">
      <c r="A33" s="317" t="s">
        <v>38</v>
      </c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</row>
    <row r="34">
      <c r="A34" s="182" t="s">
        <v>39</v>
      </c>
      <c r="B34" s="218">
        <f t="shared" ref="B34:M34" si="7">1899+161.57+850</f>
        <v>2910.57</v>
      </c>
      <c r="C34" s="218">
        <f t="shared" si="7"/>
        <v>2910.57</v>
      </c>
      <c r="D34" s="218">
        <f t="shared" si="7"/>
        <v>2910.57</v>
      </c>
      <c r="E34" s="218">
        <f t="shared" si="7"/>
        <v>2910.57</v>
      </c>
      <c r="F34" s="218">
        <f t="shared" si="7"/>
        <v>2910.57</v>
      </c>
      <c r="G34" s="218">
        <f t="shared" si="7"/>
        <v>2910.57</v>
      </c>
      <c r="H34" s="218">
        <f t="shared" si="7"/>
        <v>2910.57</v>
      </c>
      <c r="I34" s="218">
        <f t="shared" si="7"/>
        <v>2910.57</v>
      </c>
      <c r="J34" s="218">
        <f t="shared" si="7"/>
        <v>2910.57</v>
      </c>
      <c r="K34" s="218">
        <f t="shared" si="7"/>
        <v>2910.57</v>
      </c>
      <c r="L34" s="218">
        <f t="shared" si="7"/>
        <v>2910.57</v>
      </c>
      <c r="M34" s="218">
        <f t="shared" si="7"/>
        <v>2910.57</v>
      </c>
      <c r="N34" s="37">
        <f t="shared" ref="N34:N51" si="8">SUM(B34:M34)</f>
        <v>34926.84</v>
      </c>
    </row>
    <row r="35">
      <c r="A35" s="182"/>
      <c r="B35" s="315"/>
      <c r="C35" s="315"/>
      <c r="D35" s="315"/>
      <c r="E35" s="315"/>
      <c r="F35" s="315"/>
      <c r="G35" s="315"/>
      <c r="H35" s="315"/>
      <c r="I35" s="315"/>
      <c r="J35" s="315"/>
      <c r="K35" s="315"/>
      <c r="L35" s="315"/>
      <c r="M35" s="315"/>
      <c r="N35" s="37">
        <f t="shared" si="8"/>
        <v>0</v>
      </c>
    </row>
    <row r="36">
      <c r="A36" s="324" t="s">
        <v>41</v>
      </c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15"/>
      <c r="N36" s="37">
        <f t="shared" si="8"/>
        <v>0</v>
      </c>
    </row>
    <row r="37">
      <c r="A37" s="324" t="s">
        <v>42</v>
      </c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37">
        <f t="shared" si="8"/>
        <v>0</v>
      </c>
    </row>
    <row r="38">
      <c r="A38" s="324" t="s">
        <v>43</v>
      </c>
      <c r="B38" s="315"/>
      <c r="C38" s="315"/>
      <c r="D38" s="315"/>
      <c r="E38" s="182"/>
      <c r="F38" s="315"/>
      <c r="G38" s="315"/>
      <c r="H38" s="315"/>
      <c r="I38" s="315"/>
      <c r="J38" s="315"/>
      <c r="K38" s="315"/>
      <c r="L38" s="315"/>
      <c r="M38" s="315"/>
      <c r="N38" s="37">
        <f t="shared" si="8"/>
        <v>0</v>
      </c>
    </row>
    <row r="39">
      <c r="A39" s="324" t="s">
        <v>44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7">
        <f t="shared" si="8"/>
        <v>0</v>
      </c>
    </row>
    <row r="40">
      <c r="A40" s="324" t="s">
        <v>45</v>
      </c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15"/>
      <c r="N40" s="37">
        <f t="shared" si="8"/>
        <v>0</v>
      </c>
    </row>
    <row r="41">
      <c r="A41" s="328" t="s">
        <v>273</v>
      </c>
      <c r="B41" s="209">
        <v>4000.0</v>
      </c>
      <c r="C41" s="209">
        <v>4000.0</v>
      </c>
      <c r="D41" s="209">
        <v>4000.0</v>
      </c>
      <c r="E41" s="209">
        <v>4000.0</v>
      </c>
      <c r="F41" s="209">
        <v>4000.0</v>
      </c>
      <c r="G41" s="209">
        <v>4000.0</v>
      </c>
      <c r="H41" s="209">
        <v>4000.0</v>
      </c>
      <c r="I41" s="209">
        <v>4000.0</v>
      </c>
      <c r="J41" s="209">
        <v>4000.0</v>
      </c>
      <c r="K41" s="209">
        <v>4000.0</v>
      </c>
      <c r="L41" s="209">
        <v>4000.0</v>
      </c>
      <c r="M41" s="209">
        <v>4000.0</v>
      </c>
      <c r="N41" s="37">
        <f t="shared" si="8"/>
        <v>48000</v>
      </c>
    </row>
    <row r="42">
      <c r="A42" s="329" t="s">
        <v>274</v>
      </c>
      <c r="B42" s="218">
        <v>365.0</v>
      </c>
      <c r="C42" s="218">
        <v>365.0</v>
      </c>
      <c r="D42" s="218">
        <v>365.0</v>
      </c>
      <c r="E42" s="218">
        <v>365.0</v>
      </c>
      <c r="F42" s="218">
        <v>365.0</v>
      </c>
      <c r="G42" s="218">
        <v>365.0</v>
      </c>
      <c r="H42" s="218">
        <v>365.0</v>
      </c>
      <c r="I42" s="218">
        <v>365.0</v>
      </c>
      <c r="J42" s="218">
        <v>365.0</v>
      </c>
      <c r="K42" s="218">
        <v>365.0</v>
      </c>
      <c r="L42" s="218">
        <v>365.0</v>
      </c>
      <c r="M42" s="218">
        <v>365.0</v>
      </c>
      <c r="N42" s="37">
        <f t="shared" si="8"/>
        <v>4380</v>
      </c>
    </row>
    <row r="43">
      <c r="A43" s="182" t="s">
        <v>48</v>
      </c>
      <c r="B43" s="209">
        <v>1535.94</v>
      </c>
      <c r="C43" s="209">
        <v>1535.94</v>
      </c>
      <c r="D43" s="209">
        <v>1535.94</v>
      </c>
      <c r="E43" s="209">
        <v>1535.94</v>
      </c>
      <c r="F43" s="209">
        <v>1535.94</v>
      </c>
      <c r="G43" s="209">
        <v>1535.94</v>
      </c>
      <c r="H43" s="209">
        <v>1535.94</v>
      </c>
      <c r="I43" s="209">
        <v>1535.94</v>
      </c>
      <c r="J43" s="209">
        <v>1535.94</v>
      </c>
      <c r="K43" s="209">
        <v>1535.94</v>
      </c>
      <c r="L43" s="209">
        <v>1535.94</v>
      </c>
      <c r="M43" s="209">
        <v>1535.94</v>
      </c>
      <c r="N43" s="37">
        <f t="shared" si="8"/>
        <v>18431.28</v>
      </c>
    </row>
    <row r="44">
      <c r="A44" s="325" t="s">
        <v>130</v>
      </c>
      <c r="B44" s="218">
        <v>299.0</v>
      </c>
      <c r="C44" s="218">
        <v>299.0</v>
      </c>
      <c r="D44" s="218">
        <v>299.0</v>
      </c>
      <c r="E44" s="218">
        <v>299.0</v>
      </c>
      <c r="F44" s="218">
        <v>299.0</v>
      </c>
      <c r="G44" s="218">
        <v>299.0</v>
      </c>
      <c r="H44" s="218">
        <v>299.0</v>
      </c>
      <c r="I44" s="218">
        <v>299.0</v>
      </c>
      <c r="J44" s="218">
        <v>299.0</v>
      </c>
      <c r="K44" s="218">
        <v>299.0</v>
      </c>
      <c r="L44" s="218">
        <v>299.0</v>
      </c>
      <c r="M44" s="218">
        <v>299.0</v>
      </c>
      <c r="N44" s="37">
        <f t="shared" si="8"/>
        <v>3588</v>
      </c>
    </row>
    <row r="45">
      <c r="A45" s="330" t="s">
        <v>50</v>
      </c>
      <c r="B45" s="218">
        <f t="shared" ref="B45:M45" si="9">45+97.5</f>
        <v>142.5</v>
      </c>
      <c r="C45" s="218">
        <f t="shared" si="9"/>
        <v>142.5</v>
      </c>
      <c r="D45" s="218">
        <f t="shared" si="9"/>
        <v>142.5</v>
      </c>
      <c r="E45" s="218">
        <f t="shared" si="9"/>
        <v>142.5</v>
      </c>
      <c r="F45" s="218">
        <f t="shared" si="9"/>
        <v>142.5</v>
      </c>
      <c r="G45" s="218">
        <f t="shared" si="9"/>
        <v>142.5</v>
      </c>
      <c r="H45" s="218">
        <f t="shared" si="9"/>
        <v>142.5</v>
      </c>
      <c r="I45" s="218">
        <f t="shared" si="9"/>
        <v>142.5</v>
      </c>
      <c r="J45" s="218">
        <f t="shared" si="9"/>
        <v>142.5</v>
      </c>
      <c r="K45" s="218">
        <f t="shared" si="9"/>
        <v>142.5</v>
      </c>
      <c r="L45" s="218">
        <f t="shared" si="9"/>
        <v>142.5</v>
      </c>
      <c r="M45" s="218">
        <f t="shared" si="9"/>
        <v>142.5</v>
      </c>
      <c r="N45" s="37">
        <f t="shared" si="8"/>
        <v>1710</v>
      </c>
    </row>
    <row r="46">
      <c r="A46" s="182" t="s">
        <v>51</v>
      </c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7">
        <f t="shared" si="8"/>
        <v>0</v>
      </c>
    </row>
    <row r="47">
      <c r="A47" s="182" t="s">
        <v>52</v>
      </c>
      <c r="B47" s="331">
        <f t="shared" ref="B47:M47" si="10">850+30+2000+750</f>
        <v>3630</v>
      </c>
      <c r="C47" s="331">
        <f t="shared" si="10"/>
        <v>3630</v>
      </c>
      <c r="D47" s="331">
        <f t="shared" si="10"/>
        <v>3630</v>
      </c>
      <c r="E47" s="331">
        <f t="shared" si="10"/>
        <v>3630</v>
      </c>
      <c r="F47" s="331">
        <f t="shared" si="10"/>
        <v>3630</v>
      </c>
      <c r="G47" s="331">
        <f t="shared" si="10"/>
        <v>3630</v>
      </c>
      <c r="H47" s="331">
        <f t="shared" si="10"/>
        <v>3630</v>
      </c>
      <c r="I47" s="331">
        <f t="shared" si="10"/>
        <v>3630</v>
      </c>
      <c r="J47" s="331">
        <f t="shared" si="10"/>
        <v>3630</v>
      </c>
      <c r="K47" s="331">
        <f t="shared" si="10"/>
        <v>3630</v>
      </c>
      <c r="L47" s="331">
        <f t="shared" si="10"/>
        <v>3630</v>
      </c>
      <c r="M47" s="331">
        <f t="shared" si="10"/>
        <v>3630</v>
      </c>
      <c r="N47" s="37">
        <f t="shared" si="8"/>
        <v>43560</v>
      </c>
    </row>
    <row r="48">
      <c r="A48" s="182" t="s">
        <v>53</v>
      </c>
      <c r="B48" s="87">
        <f t="shared" ref="B48:M48" si="11">350.33+55.66+80</f>
        <v>485.99</v>
      </c>
      <c r="C48" s="87">
        <f t="shared" si="11"/>
        <v>485.99</v>
      </c>
      <c r="D48" s="87">
        <f t="shared" si="11"/>
        <v>485.99</v>
      </c>
      <c r="E48" s="87">
        <f t="shared" si="11"/>
        <v>485.99</v>
      </c>
      <c r="F48" s="87">
        <f t="shared" si="11"/>
        <v>485.99</v>
      </c>
      <c r="G48" s="87">
        <f t="shared" si="11"/>
        <v>485.99</v>
      </c>
      <c r="H48" s="87">
        <f t="shared" si="11"/>
        <v>485.99</v>
      </c>
      <c r="I48" s="87">
        <f t="shared" si="11"/>
        <v>485.99</v>
      </c>
      <c r="J48" s="87">
        <f t="shared" si="11"/>
        <v>485.99</v>
      </c>
      <c r="K48" s="87">
        <f t="shared" si="11"/>
        <v>485.99</v>
      </c>
      <c r="L48" s="87">
        <f t="shared" si="11"/>
        <v>485.99</v>
      </c>
      <c r="M48" s="87">
        <f t="shared" si="11"/>
        <v>485.99</v>
      </c>
      <c r="N48" s="37">
        <f t="shared" si="8"/>
        <v>5831.88</v>
      </c>
    </row>
    <row r="49">
      <c r="A49" s="324" t="s">
        <v>54</v>
      </c>
      <c r="B49" s="315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7">
        <f t="shared" si="8"/>
        <v>0</v>
      </c>
    </row>
    <row r="50">
      <c r="A50" s="329" t="s">
        <v>132</v>
      </c>
      <c r="B50" s="311">
        <v>1600.0</v>
      </c>
      <c r="C50" s="311">
        <v>1600.0</v>
      </c>
      <c r="D50" s="311">
        <v>1600.0</v>
      </c>
      <c r="E50" s="311">
        <v>1600.0</v>
      </c>
      <c r="F50" s="311">
        <v>1600.0</v>
      </c>
      <c r="G50" s="311">
        <v>1600.0</v>
      </c>
      <c r="H50" s="311">
        <v>1600.0</v>
      </c>
      <c r="I50" s="311">
        <v>1600.0</v>
      </c>
      <c r="J50" s="311">
        <v>1600.0</v>
      </c>
      <c r="K50" s="311">
        <v>1600.0</v>
      </c>
      <c r="L50" s="311">
        <v>1600.0</v>
      </c>
      <c r="M50" s="311">
        <v>1600.0</v>
      </c>
      <c r="N50" s="37">
        <f t="shared" si="8"/>
        <v>19200</v>
      </c>
    </row>
    <row r="51">
      <c r="A51" s="182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15"/>
      <c r="N51" s="37">
        <f t="shared" si="8"/>
        <v>0</v>
      </c>
    </row>
    <row r="52">
      <c r="A52" s="327" t="s">
        <v>23</v>
      </c>
      <c r="B52" s="110">
        <f t="shared" ref="B52:N52" si="12">SUM(B34:B51)</f>
        <v>14969</v>
      </c>
      <c r="C52" s="110">
        <f t="shared" si="12"/>
        <v>14969</v>
      </c>
      <c r="D52" s="110">
        <f t="shared" si="12"/>
        <v>14969</v>
      </c>
      <c r="E52" s="110">
        <f t="shared" si="12"/>
        <v>14969</v>
      </c>
      <c r="F52" s="110">
        <f t="shared" si="12"/>
        <v>14969</v>
      </c>
      <c r="G52" s="110">
        <f t="shared" si="12"/>
        <v>14969</v>
      </c>
      <c r="H52" s="110">
        <f t="shared" si="12"/>
        <v>14969</v>
      </c>
      <c r="I52" s="110">
        <f t="shared" si="12"/>
        <v>14969</v>
      </c>
      <c r="J52" s="110">
        <f t="shared" si="12"/>
        <v>14969</v>
      </c>
      <c r="K52" s="110">
        <f t="shared" si="12"/>
        <v>14969</v>
      </c>
      <c r="L52" s="110">
        <f t="shared" si="12"/>
        <v>14969</v>
      </c>
      <c r="M52" s="110">
        <f t="shared" si="12"/>
        <v>14969</v>
      </c>
      <c r="N52" s="110">
        <f t="shared" si="12"/>
        <v>179628</v>
      </c>
    </row>
    <row r="53">
      <c r="A53" s="317" t="s">
        <v>56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</row>
    <row r="54">
      <c r="A54" s="182" t="s">
        <v>57</v>
      </c>
      <c r="B54" s="218">
        <v>1340.0</v>
      </c>
      <c r="C54" s="218">
        <v>1340.0</v>
      </c>
      <c r="D54" s="218">
        <v>1340.0</v>
      </c>
      <c r="E54" s="218">
        <v>1340.0</v>
      </c>
      <c r="F54" s="218">
        <v>1340.0</v>
      </c>
      <c r="G54" s="218">
        <v>1340.0</v>
      </c>
      <c r="H54" s="218">
        <v>1340.0</v>
      </c>
      <c r="I54" s="218">
        <v>1340.0</v>
      </c>
      <c r="J54" s="218">
        <v>1340.0</v>
      </c>
      <c r="K54" s="218">
        <v>1340.0</v>
      </c>
      <c r="L54" s="218">
        <v>1340.0</v>
      </c>
      <c r="M54" s="218">
        <v>1340.0</v>
      </c>
      <c r="N54" s="37">
        <f>SUM(B54:M54)</f>
        <v>16080</v>
      </c>
    </row>
    <row r="55">
      <c r="A55" s="182" t="s">
        <v>58</v>
      </c>
      <c r="B55" s="311">
        <v>12250.0</v>
      </c>
      <c r="C55" s="311">
        <v>11000.0</v>
      </c>
      <c r="D55" s="311">
        <v>11000.0</v>
      </c>
      <c r="E55" s="311">
        <v>11000.0</v>
      </c>
      <c r="F55" s="311">
        <v>11000.0</v>
      </c>
      <c r="G55" s="311">
        <v>11000.0</v>
      </c>
      <c r="H55" s="311">
        <v>11000.0</v>
      </c>
      <c r="I55" s="311">
        <v>11000.0</v>
      </c>
      <c r="J55" s="311">
        <v>11000.0</v>
      </c>
      <c r="K55" s="311">
        <v>11000.0</v>
      </c>
      <c r="L55" s="311">
        <v>11000.0</v>
      </c>
      <c r="M55" s="311">
        <v>11000.0</v>
      </c>
      <c r="N55" s="37">
        <f>SUM(B55:L55)</f>
        <v>122250</v>
      </c>
    </row>
    <row r="56">
      <c r="A56" s="325" t="s">
        <v>59</v>
      </c>
      <c r="B56" s="218">
        <f t="shared" ref="B56:M56" si="13">399+351+57</f>
        <v>807</v>
      </c>
      <c r="C56" s="218">
        <f t="shared" si="13"/>
        <v>807</v>
      </c>
      <c r="D56" s="218">
        <f t="shared" si="13"/>
        <v>807</v>
      </c>
      <c r="E56" s="218">
        <f t="shared" si="13"/>
        <v>807</v>
      </c>
      <c r="F56" s="218">
        <f t="shared" si="13"/>
        <v>807</v>
      </c>
      <c r="G56" s="218">
        <f t="shared" si="13"/>
        <v>807</v>
      </c>
      <c r="H56" s="218">
        <f t="shared" si="13"/>
        <v>807</v>
      </c>
      <c r="I56" s="218">
        <f t="shared" si="13"/>
        <v>807</v>
      </c>
      <c r="J56" s="218">
        <f t="shared" si="13"/>
        <v>807</v>
      </c>
      <c r="K56" s="218">
        <f t="shared" si="13"/>
        <v>807</v>
      </c>
      <c r="L56" s="218">
        <f t="shared" si="13"/>
        <v>807</v>
      </c>
      <c r="M56" s="218">
        <f t="shared" si="13"/>
        <v>807</v>
      </c>
      <c r="N56" s="37">
        <f t="shared" ref="N56:N69" si="14">SUM(B56:M56)</f>
        <v>9684</v>
      </c>
    </row>
    <row r="57">
      <c r="A57" s="325" t="s">
        <v>133</v>
      </c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37">
        <f t="shared" si="14"/>
        <v>0</v>
      </c>
    </row>
    <row r="58">
      <c r="A58" s="325" t="s">
        <v>134</v>
      </c>
      <c r="B58" s="315"/>
      <c r="C58" s="315"/>
      <c r="D58" s="315"/>
      <c r="E58" s="315"/>
      <c r="F58" s="315"/>
      <c r="G58" s="315"/>
      <c r="H58" s="315"/>
      <c r="I58" s="315"/>
      <c r="J58" s="315"/>
      <c r="K58" s="315"/>
      <c r="L58" s="315"/>
      <c r="M58" s="315"/>
      <c r="N58" s="37">
        <f t="shared" si="14"/>
        <v>0</v>
      </c>
    </row>
    <row r="59">
      <c r="A59" s="325" t="s">
        <v>135</v>
      </c>
      <c r="B59" s="311">
        <f t="shared" ref="B59:M59" si="15">2716/2</f>
        <v>1358</v>
      </c>
      <c r="C59" s="311">
        <f t="shared" si="15"/>
        <v>1358</v>
      </c>
      <c r="D59" s="311">
        <f t="shared" si="15"/>
        <v>1358</v>
      </c>
      <c r="E59" s="311">
        <f t="shared" si="15"/>
        <v>1358</v>
      </c>
      <c r="F59" s="311">
        <f t="shared" si="15"/>
        <v>1358</v>
      </c>
      <c r="G59" s="311">
        <f t="shared" si="15"/>
        <v>1358</v>
      </c>
      <c r="H59" s="311">
        <f t="shared" si="15"/>
        <v>1358</v>
      </c>
      <c r="I59" s="311">
        <f t="shared" si="15"/>
        <v>1358</v>
      </c>
      <c r="J59" s="311">
        <f t="shared" si="15"/>
        <v>1358</v>
      </c>
      <c r="K59" s="311">
        <f t="shared" si="15"/>
        <v>1358</v>
      </c>
      <c r="L59" s="311">
        <f t="shared" si="15"/>
        <v>1358</v>
      </c>
      <c r="M59" s="311">
        <f t="shared" si="15"/>
        <v>1358</v>
      </c>
      <c r="N59" s="37">
        <f t="shared" si="14"/>
        <v>16296</v>
      </c>
    </row>
    <row r="60">
      <c r="A60" s="182" t="s">
        <v>136</v>
      </c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7">
        <f t="shared" si="14"/>
        <v>0</v>
      </c>
    </row>
    <row r="61">
      <c r="A61" s="182" t="s">
        <v>137</v>
      </c>
      <c r="B61" s="182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7">
        <f t="shared" si="14"/>
        <v>0</v>
      </c>
    </row>
    <row r="62">
      <c r="A62" s="182" t="s">
        <v>63</v>
      </c>
      <c r="B62" s="218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37">
        <f t="shared" si="14"/>
        <v>0</v>
      </c>
    </row>
    <row r="63">
      <c r="A63" s="325" t="s">
        <v>64</v>
      </c>
      <c r="B63" s="311">
        <v>15000.0</v>
      </c>
      <c r="C63" s="311">
        <v>15000.0</v>
      </c>
      <c r="D63" s="311">
        <v>15000.0</v>
      </c>
      <c r="E63" s="311">
        <v>15000.0</v>
      </c>
      <c r="F63" s="311">
        <v>15000.0</v>
      </c>
      <c r="G63" s="311">
        <v>15000.0</v>
      </c>
      <c r="H63" s="311">
        <v>15000.0</v>
      </c>
      <c r="I63" s="311">
        <v>15000.0</v>
      </c>
      <c r="J63" s="311">
        <v>15000.0</v>
      </c>
      <c r="K63" s="311">
        <v>15000.0</v>
      </c>
      <c r="L63" s="311">
        <v>15000.0</v>
      </c>
      <c r="M63" s="311">
        <v>15000.0</v>
      </c>
      <c r="N63" s="37">
        <f t="shared" si="14"/>
        <v>180000</v>
      </c>
    </row>
    <row r="64">
      <c r="A64" s="182" t="s">
        <v>65</v>
      </c>
      <c r="B64" s="315"/>
      <c r="C64" s="315"/>
      <c r="D64" s="315"/>
      <c r="E64" s="315"/>
      <c r="F64" s="315"/>
      <c r="G64" s="315"/>
      <c r="H64" s="315"/>
      <c r="I64" s="315"/>
      <c r="J64" s="315"/>
      <c r="K64" s="315"/>
      <c r="L64" s="315"/>
      <c r="M64" s="315"/>
      <c r="N64" s="37">
        <f t="shared" si="14"/>
        <v>0</v>
      </c>
    </row>
    <row r="65">
      <c r="A65" s="325" t="s">
        <v>66</v>
      </c>
      <c r="B65" s="315"/>
      <c r="C65" s="315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7">
        <f t="shared" si="14"/>
        <v>0</v>
      </c>
    </row>
    <row r="66">
      <c r="A66" s="332" t="s">
        <v>67</v>
      </c>
      <c r="B66" s="315"/>
      <c r="C66" s="315"/>
      <c r="D66" s="315"/>
      <c r="E66" s="315"/>
      <c r="F66" s="315"/>
      <c r="G66" s="315"/>
      <c r="H66" s="315"/>
      <c r="I66" s="315"/>
      <c r="J66" s="315"/>
      <c r="K66" s="315"/>
      <c r="L66" s="315"/>
      <c r="M66" s="315"/>
      <c r="N66" s="37">
        <f t="shared" si="14"/>
        <v>0</v>
      </c>
    </row>
    <row r="67">
      <c r="A67" s="325" t="s">
        <v>68</v>
      </c>
      <c r="B67" s="315"/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7">
        <f t="shared" si="14"/>
        <v>0</v>
      </c>
    </row>
    <row r="68">
      <c r="A68" s="325" t="s">
        <v>69</v>
      </c>
      <c r="B68" s="315"/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7">
        <f t="shared" si="14"/>
        <v>0</v>
      </c>
    </row>
    <row r="69">
      <c r="A69" s="324" t="s">
        <v>70</v>
      </c>
      <c r="B69" s="315"/>
      <c r="C69" s="315"/>
      <c r="D69" s="315"/>
      <c r="E69" s="315"/>
      <c r="F69" s="315"/>
      <c r="G69" s="315"/>
      <c r="H69" s="315"/>
      <c r="I69" s="315"/>
      <c r="J69" s="315"/>
      <c r="K69" s="315"/>
      <c r="L69" s="315"/>
      <c r="M69" s="315"/>
      <c r="N69" s="37">
        <f t="shared" si="14"/>
        <v>0</v>
      </c>
    </row>
    <row r="70">
      <c r="A70" s="327" t="s">
        <v>23</v>
      </c>
      <c r="B70" s="110">
        <f t="shared" ref="B70:M70" si="16">SUM(B54:B69)</f>
        <v>30755</v>
      </c>
      <c r="C70" s="110">
        <f t="shared" si="16"/>
        <v>29505</v>
      </c>
      <c r="D70" s="110">
        <f t="shared" si="16"/>
        <v>29505</v>
      </c>
      <c r="E70" s="110">
        <f t="shared" si="16"/>
        <v>29505</v>
      </c>
      <c r="F70" s="110">
        <f t="shared" si="16"/>
        <v>29505</v>
      </c>
      <c r="G70" s="110">
        <f t="shared" si="16"/>
        <v>29505</v>
      </c>
      <c r="H70" s="110">
        <f t="shared" si="16"/>
        <v>29505</v>
      </c>
      <c r="I70" s="110">
        <f t="shared" si="16"/>
        <v>29505</v>
      </c>
      <c r="J70" s="110">
        <f t="shared" si="16"/>
        <v>29505</v>
      </c>
      <c r="K70" s="110">
        <f t="shared" si="16"/>
        <v>29505</v>
      </c>
      <c r="L70" s="110">
        <f t="shared" si="16"/>
        <v>29505</v>
      </c>
      <c r="M70" s="110">
        <f t="shared" si="16"/>
        <v>29505</v>
      </c>
      <c r="N70" s="110">
        <f>SUM(N54:N66)</f>
        <v>344310</v>
      </c>
    </row>
    <row r="71">
      <c r="A71" s="317" t="s">
        <v>71</v>
      </c>
      <c r="B71" s="318"/>
      <c r="C71" s="318"/>
      <c r="D71" s="318"/>
      <c r="E71" s="318"/>
      <c r="F71" s="318"/>
      <c r="G71" s="318"/>
      <c r="H71" s="318"/>
      <c r="I71" s="318"/>
      <c r="J71" s="318"/>
      <c r="K71" s="318"/>
      <c r="L71" s="318"/>
      <c r="M71" s="318"/>
      <c r="N71" s="318"/>
    </row>
    <row r="72">
      <c r="A72" s="182" t="s">
        <v>138</v>
      </c>
      <c r="B72" s="315"/>
      <c r="C72" s="315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7">
        <f t="shared" ref="N72:N83" si="17">SUM(B72:M72)</f>
        <v>0</v>
      </c>
    </row>
    <row r="73">
      <c r="A73" s="325" t="s">
        <v>73</v>
      </c>
      <c r="B73" s="315"/>
      <c r="C73" s="315"/>
      <c r="D73" s="315"/>
      <c r="E73" s="315"/>
      <c r="F73" s="315"/>
      <c r="G73" s="315"/>
      <c r="H73" s="315"/>
      <c r="I73" s="315"/>
      <c r="J73" s="315"/>
      <c r="K73" s="315"/>
      <c r="L73" s="315"/>
      <c r="M73" s="315"/>
      <c r="N73" s="37">
        <f t="shared" si="17"/>
        <v>0</v>
      </c>
    </row>
    <row r="74">
      <c r="A74" s="182" t="s">
        <v>139</v>
      </c>
      <c r="B74" s="311">
        <f t="shared" ref="B74:M74" si="18">2716/2</f>
        <v>1358</v>
      </c>
      <c r="C74" s="311">
        <f t="shared" si="18"/>
        <v>1358</v>
      </c>
      <c r="D74" s="311">
        <f t="shared" si="18"/>
        <v>1358</v>
      </c>
      <c r="E74" s="311">
        <f t="shared" si="18"/>
        <v>1358</v>
      </c>
      <c r="F74" s="311">
        <f t="shared" si="18"/>
        <v>1358</v>
      </c>
      <c r="G74" s="311">
        <f t="shared" si="18"/>
        <v>1358</v>
      </c>
      <c r="H74" s="311">
        <f t="shared" si="18"/>
        <v>1358</v>
      </c>
      <c r="I74" s="311">
        <f t="shared" si="18"/>
        <v>1358</v>
      </c>
      <c r="J74" s="311">
        <f t="shared" si="18"/>
        <v>1358</v>
      </c>
      <c r="K74" s="311">
        <f t="shared" si="18"/>
        <v>1358</v>
      </c>
      <c r="L74" s="311">
        <f t="shared" si="18"/>
        <v>1358</v>
      </c>
      <c r="M74" s="311">
        <f t="shared" si="18"/>
        <v>1358</v>
      </c>
      <c r="N74" s="37">
        <f t="shared" si="17"/>
        <v>16296</v>
      </c>
    </row>
    <row r="75">
      <c r="A75" s="325" t="s">
        <v>137</v>
      </c>
      <c r="B75" s="315"/>
      <c r="C75" s="315"/>
      <c r="D75" s="315"/>
      <c r="E75" s="182"/>
      <c r="F75" s="315"/>
      <c r="G75" s="315"/>
      <c r="H75" s="315"/>
      <c r="I75" s="315"/>
      <c r="J75" s="315"/>
      <c r="K75" s="315"/>
      <c r="L75" s="315"/>
      <c r="M75" s="315"/>
      <c r="N75" s="37">
        <f t="shared" si="17"/>
        <v>0</v>
      </c>
    </row>
    <row r="76">
      <c r="A76" s="329" t="s">
        <v>275</v>
      </c>
      <c r="B76" s="315">
        <f t="shared" ref="B76:M76" si="19">799+199</f>
        <v>998</v>
      </c>
      <c r="C76" s="315">
        <f t="shared" si="19"/>
        <v>998</v>
      </c>
      <c r="D76" s="315">
        <f t="shared" si="19"/>
        <v>998</v>
      </c>
      <c r="E76" s="315">
        <f t="shared" si="19"/>
        <v>998</v>
      </c>
      <c r="F76" s="315">
        <f t="shared" si="19"/>
        <v>998</v>
      </c>
      <c r="G76" s="315">
        <f t="shared" si="19"/>
        <v>998</v>
      </c>
      <c r="H76" s="315">
        <f t="shared" si="19"/>
        <v>998</v>
      </c>
      <c r="I76" s="315">
        <f t="shared" si="19"/>
        <v>998</v>
      </c>
      <c r="J76" s="315">
        <f t="shared" si="19"/>
        <v>998</v>
      </c>
      <c r="K76" s="315">
        <f t="shared" si="19"/>
        <v>998</v>
      </c>
      <c r="L76" s="315">
        <f t="shared" si="19"/>
        <v>998</v>
      </c>
      <c r="M76" s="315">
        <f t="shared" si="19"/>
        <v>998</v>
      </c>
      <c r="N76" s="37">
        <f t="shared" si="17"/>
        <v>11976</v>
      </c>
    </row>
    <row r="77">
      <c r="A77" s="182" t="s">
        <v>63</v>
      </c>
      <c r="B77" s="218"/>
      <c r="C77" s="218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37">
        <f t="shared" si="17"/>
        <v>0</v>
      </c>
    </row>
    <row r="78">
      <c r="A78" s="333" t="s">
        <v>276</v>
      </c>
      <c r="B78" s="218"/>
      <c r="C78" s="218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37">
        <f t="shared" si="17"/>
        <v>0</v>
      </c>
    </row>
    <row r="79">
      <c r="A79" s="325" t="s">
        <v>141</v>
      </c>
      <c r="B79" s="96">
        <v>4351.3</v>
      </c>
      <c r="C79" s="96">
        <v>4351.3</v>
      </c>
      <c r="D79" s="96">
        <v>4351.3</v>
      </c>
      <c r="E79" s="96">
        <v>4351.3</v>
      </c>
      <c r="F79" s="96">
        <v>4351.3</v>
      </c>
      <c r="G79" s="96">
        <v>4351.3</v>
      </c>
      <c r="H79" s="96">
        <v>4351.3</v>
      </c>
      <c r="I79" s="96">
        <v>4351.3</v>
      </c>
      <c r="J79" s="96">
        <v>4351.3</v>
      </c>
      <c r="K79" s="96">
        <v>4351.3</v>
      </c>
      <c r="L79" s="96">
        <v>4351.3</v>
      </c>
      <c r="M79" s="96">
        <v>4351.3</v>
      </c>
      <c r="N79" s="37">
        <f t="shared" si="17"/>
        <v>52215.6</v>
      </c>
    </row>
    <row r="80">
      <c r="A80" s="182" t="s">
        <v>79</v>
      </c>
      <c r="B80" s="209">
        <v>3000.0</v>
      </c>
      <c r="C80" s="209">
        <v>3000.0</v>
      </c>
      <c r="D80" s="209">
        <v>3000.0</v>
      </c>
      <c r="E80" s="209">
        <v>3000.0</v>
      </c>
      <c r="F80" s="209">
        <v>3000.0</v>
      </c>
      <c r="G80" s="209">
        <v>3000.0</v>
      </c>
      <c r="H80" s="209">
        <v>3000.0</v>
      </c>
      <c r="I80" s="209">
        <v>3000.0</v>
      </c>
      <c r="J80" s="209">
        <v>3000.0</v>
      </c>
      <c r="K80" s="209">
        <v>3000.0</v>
      </c>
      <c r="L80" s="209">
        <v>3000.0</v>
      </c>
      <c r="M80" s="209">
        <v>3000.0</v>
      </c>
      <c r="N80" s="37">
        <f t="shared" si="17"/>
        <v>36000</v>
      </c>
    </row>
    <row r="81">
      <c r="A81" s="325" t="s">
        <v>80</v>
      </c>
      <c r="B81" s="209"/>
      <c r="C81" s="209"/>
      <c r="D81" s="209"/>
      <c r="E81" s="209"/>
      <c r="F81" s="209"/>
      <c r="G81" s="209"/>
      <c r="H81" s="209"/>
      <c r="I81" s="209"/>
      <c r="J81" s="209"/>
      <c r="K81" s="209"/>
      <c r="L81" s="209"/>
      <c r="M81" s="209"/>
      <c r="N81" s="37">
        <f t="shared" si="17"/>
        <v>0</v>
      </c>
    </row>
    <row r="82">
      <c r="A82" s="327" t="s">
        <v>23</v>
      </c>
      <c r="B82" s="110">
        <f t="shared" ref="B82:M82" si="20">SUM(B72:B81)</f>
        <v>9707.3</v>
      </c>
      <c r="C82" s="110">
        <f t="shared" si="20"/>
        <v>9707.3</v>
      </c>
      <c r="D82" s="110">
        <f t="shared" si="20"/>
        <v>9707.3</v>
      </c>
      <c r="E82" s="110">
        <f t="shared" si="20"/>
        <v>9707.3</v>
      </c>
      <c r="F82" s="110">
        <f t="shared" si="20"/>
        <v>9707.3</v>
      </c>
      <c r="G82" s="110">
        <f t="shared" si="20"/>
        <v>9707.3</v>
      </c>
      <c r="H82" s="110">
        <f t="shared" si="20"/>
        <v>9707.3</v>
      </c>
      <c r="I82" s="110">
        <f t="shared" si="20"/>
        <v>9707.3</v>
      </c>
      <c r="J82" s="110">
        <f t="shared" si="20"/>
        <v>9707.3</v>
      </c>
      <c r="K82" s="110">
        <f t="shared" si="20"/>
        <v>9707.3</v>
      </c>
      <c r="L82" s="110">
        <f t="shared" si="20"/>
        <v>9707.3</v>
      </c>
      <c r="M82" s="110">
        <f t="shared" si="20"/>
        <v>9707.3</v>
      </c>
      <c r="N82" s="111">
        <f t="shared" si="17"/>
        <v>116487.6</v>
      </c>
    </row>
    <row r="83">
      <c r="A83" s="334" t="s">
        <v>81</v>
      </c>
      <c r="B83" s="110">
        <f t="shared" ref="B83:M83" si="21">B52+B70+B82</f>
        <v>55431.3</v>
      </c>
      <c r="C83" s="110">
        <f t="shared" si="21"/>
        <v>54181.3</v>
      </c>
      <c r="D83" s="110">
        <f t="shared" si="21"/>
        <v>54181.3</v>
      </c>
      <c r="E83" s="110">
        <f t="shared" si="21"/>
        <v>54181.3</v>
      </c>
      <c r="F83" s="110">
        <f t="shared" si="21"/>
        <v>54181.3</v>
      </c>
      <c r="G83" s="110">
        <f t="shared" si="21"/>
        <v>54181.3</v>
      </c>
      <c r="H83" s="110">
        <f t="shared" si="21"/>
        <v>54181.3</v>
      </c>
      <c r="I83" s="110">
        <f t="shared" si="21"/>
        <v>54181.3</v>
      </c>
      <c r="J83" s="110">
        <f t="shared" si="21"/>
        <v>54181.3</v>
      </c>
      <c r="K83" s="110">
        <f t="shared" si="21"/>
        <v>54181.3</v>
      </c>
      <c r="L83" s="110">
        <f t="shared" si="21"/>
        <v>54181.3</v>
      </c>
      <c r="M83" s="110">
        <f t="shared" si="21"/>
        <v>54181.3</v>
      </c>
      <c r="N83" s="111">
        <f t="shared" si="17"/>
        <v>651425.6</v>
      </c>
    </row>
    <row r="84">
      <c r="A84" s="334" t="s">
        <v>82</v>
      </c>
      <c r="B84" s="218">
        <f t="shared" ref="B84:N84" si="22">B83/B112</f>
        <v>145.8718421</v>
      </c>
      <c r="C84" s="218">
        <f t="shared" si="22"/>
        <v>130.5573494</v>
      </c>
      <c r="D84" s="218">
        <f t="shared" si="22"/>
        <v>108.3626</v>
      </c>
      <c r="E84" s="218">
        <f t="shared" si="22"/>
        <v>107.289703</v>
      </c>
      <c r="F84" s="218">
        <f t="shared" si="22"/>
        <v>107.289703</v>
      </c>
      <c r="G84" s="218">
        <f t="shared" si="22"/>
        <v>98.51145455</v>
      </c>
      <c r="H84" s="218">
        <f t="shared" si="22"/>
        <v>94.22834783</v>
      </c>
      <c r="I84" s="218">
        <f t="shared" si="22"/>
        <v>94.22834783</v>
      </c>
      <c r="J84" s="218">
        <f t="shared" si="22"/>
        <v>98.51145455</v>
      </c>
      <c r="K84" s="218">
        <f t="shared" si="22"/>
        <v>103.2024762</v>
      </c>
      <c r="L84" s="218">
        <f t="shared" si="22"/>
        <v>98.51145455</v>
      </c>
      <c r="M84" s="218">
        <f t="shared" si="22"/>
        <v>86.69008</v>
      </c>
      <c r="N84" s="335">
        <f t="shared" si="22"/>
        <v>104.1447802</v>
      </c>
    </row>
    <row r="85">
      <c r="A85" s="317" t="s">
        <v>83</v>
      </c>
      <c r="B85" s="318"/>
      <c r="C85" s="318"/>
      <c r="D85" s="318"/>
      <c r="E85" s="318"/>
      <c r="F85" s="318"/>
      <c r="G85" s="318"/>
      <c r="H85" s="318"/>
      <c r="I85" s="318"/>
      <c r="J85" s="318"/>
      <c r="K85" s="318"/>
      <c r="L85" s="318"/>
      <c r="M85" s="318"/>
      <c r="N85" s="318"/>
    </row>
    <row r="86">
      <c r="A86" s="182" t="s">
        <v>84</v>
      </c>
      <c r="B86" s="87">
        <v>820.0</v>
      </c>
      <c r="C86" s="87">
        <v>820.0</v>
      </c>
      <c r="D86" s="87">
        <v>820.0</v>
      </c>
      <c r="E86" s="87">
        <v>820.0</v>
      </c>
      <c r="F86" s="87">
        <v>820.0</v>
      </c>
      <c r="G86" s="87">
        <v>820.0</v>
      </c>
      <c r="H86" s="87">
        <v>820.0</v>
      </c>
      <c r="I86" s="87">
        <v>820.0</v>
      </c>
      <c r="J86" s="87">
        <v>820.0</v>
      </c>
      <c r="K86" s="87">
        <v>820.0</v>
      </c>
      <c r="L86" s="87">
        <v>820.0</v>
      </c>
      <c r="M86" s="87">
        <v>820.0</v>
      </c>
      <c r="N86" s="37">
        <f t="shared" ref="N86:N89" si="23">SUM(B86:M86)</f>
        <v>9840</v>
      </c>
    </row>
    <row r="87">
      <c r="A87" s="182" t="s">
        <v>142</v>
      </c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7">
        <f t="shared" si="23"/>
        <v>0</v>
      </c>
    </row>
    <row r="88">
      <c r="A88" s="327"/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7">
        <f t="shared" si="23"/>
        <v>0</v>
      </c>
    </row>
    <row r="89">
      <c r="A89" s="327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7">
        <f t="shared" si="23"/>
        <v>0</v>
      </c>
    </row>
    <row r="90">
      <c r="A90" s="327" t="s">
        <v>23</v>
      </c>
      <c r="B90" s="110">
        <f t="shared" ref="B90:N90" si="24">SUM(B86:B89)</f>
        <v>820</v>
      </c>
      <c r="C90" s="110">
        <f t="shared" si="24"/>
        <v>820</v>
      </c>
      <c r="D90" s="110">
        <f t="shared" si="24"/>
        <v>820</v>
      </c>
      <c r="E90" s="110">
        <f t="shared" si="24"/>
        <v>820</v>
      </c>
      <c r="F90" s="110">
        <f t="shared" si="24"/>
        <v>820</v>
      </c>
      <c r="G90" s="110">
        <f t="shared" si="24"/>
        <v>820</v>
      </c>
      <c r="H90" s="110">
        <f t="shared" si="24"/>
        <v>820</v>
      </c>
      <c r="I90" s="110">
        <f t="shared" si="24"/>
        <v>820</v>
      </c>
      <c r="J90" s="110">
        <f t="shared" si="24"/>
        <v>820</v>
      </c>
      <c r="K90" s="110">
        <f t="shared" si="24"/>
        <v>820</v>
      </c>
      <c r="L90" s="110">
        <f t="shared" si="24"/>
        <v>820</v>
      </c>
      <c r="M90" s="110">
        <f t="shared" si="24"/>
        <v>820</v>
      </c>
      <c r="N90" s="110">
        <f t="shared" si="24"/>
        <v>9840</v>
      </c>
    </row>
    <row r="91">
      <c r="A91" s="317" t="s">
        <v>88</v>
      </c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</row>
    <row r="92">
      <c r="A92" s="336" t="s">
        <v>89</v>
      </c>
      <c r="B92" s="37">
        <f>PRODUCTION!D18</f>
        <v>750</v>
      </c>
      <c r="C92" s="337">
        <f>PRODUCTION!D19</f>
        <v>750</v>
      </c>
      <c r="D92" s="337">
        <f>PRODUCTION!D20</f>
        <v>750</v>
      </c>
      <c r="E92" s="337">
        <f>PRODUCTION!D21</f>
        <v>750</v>
      </c>
      <c r="F92" s="337">
        <f>PRODUCTION!D22</f>
        <v>750</v>
      </c>
      <c r="G92" s="337">
        <f>PRODUCTION!D23</f>
        <v>750</v>
      </c>
      <c r="H92" s="337">
        <f>PRODUCTION!D24</f>
        <v>750</v>
      </c>
      <c r="I92" s="337">
        <f>PRODUCTION!D25</f>
        <v>750</v>
      </c>
      <c r="J92" s="337">
        <f>PRODUCTION!D26</f>
        <v>750</v>
      </c>
      <c r="K92" s="337">
        <f>PRODUCTION!D27</f>
        <v>750</v>
      </c>
      <c r="L92" s="337">
        <f>PRODUCTION!D28</f>
        <v>750</v>
      </c>
      <c r="M92" s="337">
        <f>PRODUCTION!D29</f>
        <v>750</v>
      </c>
      <c r="N92" s="320">
        <f t="shared" ref="N92:N105" si="25">SUM(B92:M92)</f>
        <v>9000</v>
      </c>
    </row>
    <row r="93">
      <c r="A93" s="325" t="s">
        <v>90</v>
      </c>
      <c r="B93" s="315"/>
      <c r="C93" s="311"/>
      <c r="D93" s="315"/>
      <c r="E93" s="311"/>
      <c r="F93" s="315"/>
      <c r="G93" s="315"/>
      <c r="H93" s="311"/>
      <c r="I93" s="311"/>
      <c r="J93" s="315"/>
      <c r="K93" s="315"/>
      <c r="L93" s="315"/>
      <c r="M93" s="315"/>
      <c r="N93" s="37">
        <f t="shared" si="25"/>
        <v>0</v>
      </c>
    </row>
    <row r="94">
      <c r="A94" s="325" t="s">
        <v>91</v>
      </c>
      <c r="B94" s="218">
        <v>180.0</v>
      </c>
      <c r="C94" s="218">
        <v>180.0</v>
      </c>
      <c r="D94" s="218">
        <v>180.0</v>
      </c>
      <c r="E94" s="218">
        <v>180.0</v>
      </c>
      <c r="F94" s="218">
        <v>180.0</v>
      </c>
      <c r="G94" s="218">
        <v>180.0</v>
      </c>
      <c r="H94" s="218">
        <v>180.0</v>
      </c>
      <c r="I94" s="218">
        <v>180.0</v>
      </c>
      <c r="J94" s="218">
        <v>180.0</v>
      </c>
      <c r="K94" s="218">
        <f>180+200</f>
        <v>380</v>
      </c>
      <c r="L94" s="218">
        <v>180.0</v>
      </c>
      <c r="M94" s="218">
        <v>180.0</v>
      </c>
      <c r="N94" s="37">
        <f t="shared" si="25"/>
        <v>2360</v>
      </c>
    </row>
    <row r="95">
      <c r="A95" s="325" t="s">
        <v>92</v>
      </c>
      <c r="B95" s="146">
        <v>500.0</v>
      </c>
      <c r="C95" s="105">
        <v>500.0</v>
      </c>
      <c r="D95" s="105">
        <v>0.0</v>
      </c>
      <c r="E95" s="105">
        <v>0.0</v>
      </c>
      <c r="F95" s="104">
        <v>155.0</v>
      </c>
      <c r="G95" s="104">
        <f>350+167</f>
        <v>517</v>
      </c>
      <c r="H95" s="104">
        <v>0.0</v>
      </c>
      <c r="I95" s="105">
        <f>265+3.233</f>
        <v>268.233</v>
      </c>
      <c r="J95" s="105">
        <v>500.0</v>
      </c>
      <c r="K95" s="87">
        <v>456.78</v>
      </c>
      <c r="L95" s="105">
        <v>500.0</v>
      </c>
      <c r="M95" s="105">
        <v>500.0</v>
      </c>
      <c r="N95" s="37">
        <f t="shared" si="25"/>
        <v>3897.013</v>
      </c>
    </row>
    <row r="96">
      <c r="A96" s="182" t="s">
        <v>143</v>
      </c>
      <c r="B96" s="218"/>
      <c r="C96" s="218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37">
        <f t="shared" si="25"/>
        <v>0</v>
      </c>
    </row>
    <row r="97">
      <c r="A97" s="182" t="s">
        <v>94</v>
      </c>
      <c r="B97" s="315"/>
      <c r="C97" s="315"/>
      <c r="D97" s="315"/>
      <c r="E97" s="315"/>
      <c r="F97" s="315"/>
      <c r="G97" s="315"/>
      <c r="H97" s="315"/>
      <c r="I97" s="315"/>
      <c r="J97" s="315"/>
      <c r="K97" s="315"/>
      <c r="L97" s="315"/>
      <c r="M97" s="315"/>
      <c r="N97" s="37">
        <f t="shared" si="25"/>
        <v>0</v>
      </c>
    </row>
    <row r="98">
      <c r="A98" s="182" t="s">
        <v>95</v>
      </c>
      <c r="B98" s="315"/>
      <c r="C98" s="315"/>
      <c r="D98" s="315"/>
      <c r="E98" s="315"/>
      <c r="F98" s="315"/>
      <c r="G98" s="315"/>
      <c r="H98" s="315"/>
      <c r="I98" s="315"/>
      <c r="J98" s="315"/>
      <c r="K98" s="315"/>
      <c r="L98" s="315"/>
      <c r="M98" s="315"/>
      <c r="N98" s="37">
        <f t="shared" si="25"/>
        <v>0</v>
      </c>
    </row>
    <row r="99">
      <c r="A99" s="325" t="s">
        <v>96</v>
      </c>
      <c r="B99" s="209">
        <v>1500.0</v>
      </c>
      <c r="C99" s="209">
        <v>1500.0</v>
      </c>
      <c r="D99" s="209">
        <v>1500.0</v>
      </c>
      <c r="E99" s="209">
        <v>1500.0</v>
      </c>
      <c r="F99" s="209">
        <v>1500.0</v>
      </c>
      <c r="G99" s="209">
        <v>1500.0</v>
      </c>
      <c r="H99" s="209">
        <v>1500.0</v>
      </c>
      <c r="I99" s="209">
        <v>1500.0</v>
      </c>
      <c r="J99" s="209">
        <v>1500.0</v>
      </c>
      <c r="K99" s="209">
        <v>1500.0</v>
      </c>
      <c r="L99" s="209">
        <v>1500.0</v>
      </c>
      <c r="M99" s="209">
        <v>1500.0</v>
      </c>
      <c r="N99" s="37">
        <f t="shared" si="25"/>
        <v>18000</v>
      </c>
    </row>
    <row r="100">
      <c r="A100" s="325" t="s">
        <v>97</v>
      </c>
      <c r="B100" s="311">
        <v>1500.0</v>
      </c>
      <c r="C100" s="311">
        <v>1500.0</v>
      </c>
      <c r="D100" s="311">
        <v>1500.0</v>
      </c>
      <c r="E100" s="311">
        <v>1500.0</v>
      </c>
      <c r="F100" s="311">
        <v>1500.0</v>
      </c>
      <c r="G100" s="311">
        <v>1500.0</v>
      </c>
      <c r="H100" s="311">
        <v>1500.0</v>
      </c>
      <c r="I100" s="311">
        <v>1500.0</v>
      </c>
      <c r="J100" s="311">
        <v>1500.0</v>
      </c>
      <c r="K100" s="311">
        <v>1500.0</v>
      </c>
      <c r="L100" s="311">
        <v>1500.0</v>
      </c>
      <c r="M100" s="311">
        <v>1500.0</v>
      </c>
      <c r="N100" s="37">
        <f t="shared" si="25"/>
        <v>18000</v>
      </c>
    </row>
    <row r="101">
      <c r="A101" s="182" t="s">
        <v>98</v>
      </c>
      <c r="B101" s="218"/>
      <c r="C101" s="218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37">
        <f t="shared" si="25"/>
        <v>0</v>
      </c>
    </row>
    <row r="102">
      <c r="A102" s="325" t="s">
        <v>270</v>
      </c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15"/>
      <c r="M102" s="315"/>
      <c r="N102" s="37">
        <f t="shared" si="25"/>
        <v>0</v>
      </c>
    </row>
    <row r="103">
      <c r="A103" s="182" t="s">
        <v>100</v>
      </c>
      <c r="B103" s="209">
        <v>2500.0</v>
      </c>
      <c r="C103" s="209">
        <v>2500.0</v>
      </c>
      <c r="D103" s="209">
        <v>2500.0</v>
      </c>
      <c r="E103" s="209">
        <v>2500.0</v>
      </c>
      <c r="F103" s="209">
        <v>2500.0</v>
      </c>
      <c r="G103" s="87">
        <v>2500.0</v>
      </c>
      <c r="H103" s="87">
        <v>2500.0</v>
      </c>
      <c r="I103" s="209">
        <v>2500.0</v>
      </c>
      <c r="J103" s="209">
        <v>2500.0</v>
      </c>
      <c r="K103" s="209">
        <v>2500.0</v>
      </c>
      <c r="L103" s="209">
        <v>2500.0</v>
      </c>
      <c r="M103" s="218">
        <v>500.0</v>
      </c>
      <c r="N103" s="37">
        <f t="shared" si="25"/>
        <v>28000</v>
      </c>
    </row>
    <row r="104">
      <c r="A104" s="27" t="s">
        <v>101</v>
      </c>
      <c r="B104" s="209">
        <v>300.0</v>
      </c>
      <c r="C104" s="209">
        <v>375.0</v>
      </c>
      <c r="D104" s="209">
        <v>375.0</v>
      </c>
      <c r="E104" s="209">
        <v>375.0</v>
      </c>
      <c r="F104" s="209">
        <v>375.0</v>
      </c>
      <c r="G104" s="209">
        <v>375.0</v>
      </c>
      <c r="H104" s="209">
        <v>375.0</v>
      </c>
      <c r="I104" s="209">
        <v>375.0</v>
      </c>
      <c r="J104" s="209">
        <v>375.0</v>
      </c>
      <c r="K104" s="209">
        <v>375.0</v>
      </c>
      <c r="L104" s="209">
        <v>375.0</v>
      </c>
      <c r="M104" s="209">
        <v>375.0</v>
      </c>
      <c r="N104" s="37">
        <f t="shared" si="25"/>
        <v>4425</v>
      </c>
    </row>
    <row r="105">
      <c r="A105" s="325" t="s">
        <v>102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7">
        <f t="shared" si="25"/>
        <v>0</v>
      </c>
    </row>
    <row r="106">
      <c r="A106" s="327"/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</row>
    <row r="107">
      <c r="A107" s="327" t="s">
        <v>23</v>
      </c>
      <c r="B107" s="110">
        <f t="shared" ref="B107:N107" si="26">SUM(B92:B105)</f>
        <v>7230</v>
      </c>
      <c r="C107" s="110">
        <f t="shared" si="26"/>
        <v>7305</v>
      </c>
      <c r="D107" s="110">
        <f t="shared" si="26"/>
        <v>6805</v>
      </c>
      <c r="E107" s="110">
        <f t="shared" si="26"/>
        <v>6805</v>
      </c>
      <c r="F107" s="110">
        <f t="shared" si="26"/>
        <v>6960</v>
      </c>
      <c r="G107" s="110">
        <f t="shared" si="26"/>
        <v>7322</v>
      </c>
      <c r="H107" s="110">
        <f t="shared" si="26"/>
        <v>6805</v>
      </c>
      <c r="I107" s="110">
        <f t="shared" si="26"/>
        <v>7073.233</v>
      </c>
      <c r="J107" s="110">
        <f t="shared" si="26"/>
        <v>7305</v>
      </c>
      <c r="K107" s="110">
        <f t="shared" si="26"/>
        <v>7461.78</v>
      </c>
      <c r="L107" s="110">
        <f t="shared" si="26"/>
        <v>7305</v>
      </c>
      <c r="M107" s="110">
        <f t="shared" si="26"/>
        <v>5305</v>
      </c>
      <c r="N107" s="110">
        <f t="shared" si="26"/>
        <v>83682.013</v>
      </c>
    </row>
    <row r="108">
      <c r="A108" s="327" t="s">
        <v>104</v>
      </c>
      <c r="B108" s="315"/>
      <c r="C108" s="315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111">
        <f>SUM(B108:M108)</f>
        <v>0</v>
      </c>
    </row>
    <row r="109">
      <c r="A109" s="338" t="s">
        <v>105</v>
      </c>
      <c r="B109" s="339">
        <f t="shared" ref="B109:N109" si="27">B107+B90+B83+B32+B21+B13</f>
        <v>101492.4481</v>
      </c>
      <c r="C109" s="339">
        <f t="shared" si="27"/>
        <v>99744.56685</v>
      </c>
      <c r="D109" s="339">
        <f t="shared" si="27"/>
        <v>108278.5599</v>
      </c>
      <c r="E109" s="339">
        <f t="shared" si="27"/>
        <v>112325.9916</v>
      </c>
      <c r="F109" s="339">
        <f t="shared" si="27"/>
        <v>105604.6589</v>
      </c>
      <c r="G109" s="339">
        <f t="shared" si="27"/>
        <v>118841.8327</v>
      </c>
      <c r="H109" s="339">
        <f t="shared" si="27"/>
        <v>99263.27881</v>
      </c>
      <c r="I109" s="339">
        <f t="shared" si="27"/>
        <v>104531.5118</v>
      </c>
      <c r="J109" s="339">
        <f t="shared" si="27"/>
        <v>109573.1954</v>
      </c>
      <c r="K109" s="339">
        <f t="shared" si="27"/>
        <v>112856.3398</v>
      </c>
      <c r="L109" s="339">
        <f t="shared" si="27"/>
        <v>116451.197</v>
      </c>
      <c r="M109" s="339">
        <f t="shared" si="27"/>
        <v>119951.197</v>
      </c>
      <c r="N109" s="339">
        <f t="shared" si="27"/>
        <v>1308914.778</v>
      </c>
    </row>
    <row r="110">
      <c r="A110" s="324" t="s">
        <v>106</v>
      </c>
      <c r="B110" s="161">
        <v>230.0</v>
      </c>
      <c r="C110" s="161">
        <v>240.0</v>
      </c>
      <c r="D110" s="161">
        <v>300.0</v>
      </c>
      <c r="E110" s="161">
        <v>330.0</v>
      </c>
      <c r="F110" s="161">
        <v>330.0</v>
      </c>
      <c r="G110" s="161">
        <v>350.0</v>
      </c>
      <c r="H110" s="161">
        <v>375.0</v>
      </c>
      <c r="I110" s="161">
        <v>375.0</v>
      </c>
      <c r="J110" s="161">
        <v>350.0</v>
      </c>
      <c r="K110" s="161">
        <v>350.0</v>
      </c>
      <c r="L110" s="161">
        <v>350.0</v>
      </c>
      <c r="M110" s="118">
        <v>400.0</v>
      </c>
      <c r="N110" s="119">
        <f t="shared" ref="N110:N112" si="28">SUM(B110:M110)</f>
        <v>3980</v>
      </c>
    </row>
    <row r="111">
      <c r="A111" s="324" t="s">
        <v>107</v>
      </c>
      <c r="B111" s="212">
        <v>150.0</v>
      </c>
      <c r="C111" s="212">
        <v>175.0</v>
      </c>
      <c r="D111" s="212">
        <v>200.0</v>
      </c>
      <c r="E111" s="212">
        <v>175.0</v>
      </c>
      <c r="F111" s="212">
        <v>175.0</v>
      </c>
      <c r="G111" s="212">
        <v>200.0</v>
      </c>
      <c r="H111" s="212">
        <v>200.0</v>
      </c>
      <c r="I111" s="212">
        <v>200.0</v>
      </c>
      <c r="J111" s="212">
        <v>200.0</v>
      </c>
      <c r="K111" s="212">
        <v>175.0</v>
      </c>
      <c r="L111" s="212">
        <v>200.0</v>
      </c>
      <c r="M111" s="121">
        <v>225.0</v>
      </c>
      <c r="N111" s="119">
        <f t="shared" si="28"/>
        <v>2275</v>
      </c>
    </row>
    <row r="112">
      <c r="A112" s="327" t="s">
        <v>23</v>
      </c>
      <c r="B112" s="327">
        <f t="shared" ref="B112:M112" si="29">B110+B111</f>
        <v>380</v>
      </c>
      <c r="C112" s="327">
        <f t="shared" si="29"/>
        <v>415</v>
      </c>
      <c r="D112" s="327">
        <f t="shared" si="29"/>
        <v>500</v>
      </c>
      <c r="E112" s="327">
        <f t="shared" si="29"/>
        <v>505</v>
      </c>
      <c r="F112" s="327">
        <f t="shared" si="29"/>
        <v>505</v>
      </c>
      <c r="G112" s="327">
        <f t="shared" si="29"/>
        <v>550</v>
      </c>
      <c r="H112" s="327">
        <f t="shared" si="29"/>
        <v>575</v>
      </c>
      <c r="I112" s="327">
        <f t="shared" si="29"/>
        <v>575</v>
      </c>
      <c r="J112" s="327">
        <f t="shared" si="29"/>
        <v>550</v>
      </c>
      <c r="K112" s="327">
        <f t="shared" si="29"/>
        <v>525</v>
      </c>
      <c r="L112" s="327">
        <f t="shared" si="29"/>
        <v>550</v>
      </c>
      <c r="M112" s="327">
        <f t="shared" si="29"/>
        <v>625</v>
      </c>
      <c r="N112" s="323">
        <f t="shared" si="28"/>
        <v>6255</v>
      </c>
    </row>
    <row r="113">
      <c r="A113" s="340" t="s">
        <v>108</v>
      </c>
      <c r="B113" s="341">
        <f t="shared" ref="B113:N113" si="30">B109/B112</f>
        <v>267.0853899</v>
      </c>
      <c r="C113" s="341">
        <f t="shared" si="30"/>
        <v>240.3483539</v>
      </c>
      <c r="D113" s="341">
        <f t="shared" si="30"/>
        <v>216.5571197</v>
      </c>
      <c r="E113" s="341">
        <f t="shared" si="30"/>
        <v>222.4277062</v>
      </c>
      <c r="F113" s="341">
        <f t="shared" si="30"/>
        <v>209.1181363</v>
      </c>
      <c r="G113" s="341">
        <f t="shared" si="30"/>
        <v>216.0760594</v>
      </c>
      <c r="H113" s="341">
        <f t="shared" si="30"/>
        <v>172.6317892</v>
      </c>
      <c r="I113" s="341">
        <f t="shared" si="30"/>
        <v>181.7939336</v>
      </c>
      <c r="J113" s="341">
        <f t="shared" si="30"/>
        <v>199.2239917</v>
      </c>
      <c r="K113" s="341">
        <f t="shared" si="30"/>
        <v>214.9644567</v>
      </c>
      <c r="L113" s="341">
        <f t="shared" si="30"/>
        <v>211.7294492</v>
      </c>
      <c r="M113" s="341">
        <f t="shared" si="30"/>
        <v>191.9219153</v>
      </c>
      <c r="N113" s="342">
        <f t="shared" si="30"/>
        <v>209.2589573</v>
      </c>
    </row>
    <row r="114">
      <c r="A114" s="317" t="s">
        <v>109</v>
      </c>
      <c r="B114" s="318"/>
      <c r="C114" s="318"/>
      <c r="D114" s="318"/>
      <c r="E114" s="318"/>
      <c r="F114" s="318"/>
      <c r="G114" s="318"/>
      <c r="H114" s="318"/>
      <c r="I114" s="318"/>
      <c r="J114" s="318"/>
      <c r="K114" s="318"/>
      <c r="L114" s="318"/>
      <c r="M114" s="318"/>
      <c r="N114" s="318"/>
    </row>
    <row r="115">
      <c r="A115" s="343" t="s">
        <v>110</v>
      </c>
      <c r="B115" s="326">
        <f t="shared" ref="B115:M115" si="31">1495</f>
        <v>1495</v>
      </c>
      <c r="C115" s="326">
        <f t="shared" si="31"/>
        <v>1495</v>
      </c>
      <c r="D115" s="326">
        <f t="shared" si="31"/>
        <v>1495</v>
      </c>
      <c r="E115" s="326">
        <f t="shared" si="31"/>
        <v>1495</v>
      </c>
      <c r="F115" s="326">
        <f t="shared" si="31"/>
        <v>1495</v>
      </c>
      <c r="G115" s="326">
        <f t="shared" si="31"/>
        <v>1495</v>
      </c>
      <c r="H115" s="326">
        <f t="shared" si="31"/>
        <v>1495</v>
      </c>
      <c r="I115" s="326">
        <f t="shared" si="31"/>
        <v>1495</v>
      </c>
      <c r="J115" s="326">
        <f t="shared" si="31"/>
        <v>1495</v>
      </c>
      <c r="K115" s="326">
        <f t="shared" si="31"/>
        <v>1495</v>
      </c>
      <c r="L115" s="326">
        <f t="shared" si="31"/>
        <v>1495</v>
      </c>
      <c r="M115" s="326">
        <f t="shared" si="31"/>
        <v>1495</v>
      </c>
      <c r="N115" s="37">
        <f t="shared" ref="N115:N120" si="32">SUM(B115:M115)</f>
        <v>17940</v>
      </c>
    </row>
    <row r="116">
      <c r="A116" s="343" t="s">
        <v>111</v>
      </c>
      <c r="B116" s="344">
        <v>130.0</v>
      </c>
      <c r="C116" s="344">
        <v>130.0</v>
      </c>
      <c r="D116" s="344">
        <v>130.0</v>
      </c>
      <c r="E116" s="344">
        <v>130.0</v>
      </c>
      <c r="F116" s="344">
        <v>130.0</v>
      </c>
      <c r="G116" s="344">
        <v>130.0</v>
      </c>
      <c r="H116" s="344">
        <v>130.0</v>
      </c>
      <c r="I116" s="344">
        <v>130.0</v>
      </c>
      <c r="J116" s="344">
        <v>130.0</v>
      </c>
      <c r="K116" s="344">
        <v>130.0</v>
      </c>
      <c r="L116" s="344">
        <v>130.0</v>
      </c>
      <c r="M116" s="344">
        <v>130.0</v>
      </c>
      <c r="N116" s="37">
        <f t="shared" si="32"/>
        <v>1560</v>
      </c>
    </row>
    <row r="117">
      <c r="A117" s="343" t="s">
        <v>112</v>
      </c>
      <c r="B117" s="218">
        <v>500.0</v>
      </c>
      <c r="C117" s="218">
        <v>500.0</v>
      </c>
      <c r="D117" s="218">
        <v>500.0</v>
      </c>
      <c r="E117" s="218">
        <v>500.0</v>
      </c>
      <c r="F117" s="218">
        <v>500.0</v>
      </c>
      <c r="G117" s="218">
        <v>500.0</v>
      </c>
      <c r="H117" s="218">
        <v>500.0</v>
      </c>
      <c r="I117" s="218">
        <v>500.0</v>
      </c>
      <c r="J117" s="218">
        <v>500.0</v>
      </c>
      <c r="K117" s="218">
        <v>500.0</v>
      </c>
      <c r="L117" s="218">
        <v>500.0</v>
      </c>
      <c r="M117" s="218">
        <v>500.0</v>
      </c>
      <c r="N117" s="37">
        <f t="shared" si="32"/>
        <v>6000</v>
      </c>
    </row>
    <row r="118">
      <c r="A118" s="343" t="s">
        <v>80</v>
      </c>
      <c r="B118" s="209">
        <f>1000+300</f>
        <v>1300</v>
      </c>
      <c r="C118" s="209">
        <f t="shared" ref="C118:D118" si="33">1000+300+2500</f>
        <v>3800</v>
      </c>
      <c r="D118" s="209">
        <f t="shared" si="33"/>
        <v>3800</v>
      </c>
      <c r="E118" s="209">
        <f t="shared" ref="E118:M118" si="34">1000+300</f>
        <v>1300</v>
      </c>
      <c r="F118" s="209">
        <f t="shared" si="34"/>
        <v>1300</v>
      </c>
      <c r="G118" s="209">
        <f t="shared" si="34"/>
        <v>1300</v>
      </c>
      <c r="H118" s="209">
        <f t="shared" si="34"/>
        <v>1300</v>
      </c>
      <c r="I118" s="209">
        <f t="shared" si="34"/>
        <v>1300</v>
      </c>
      <c r="J118" s="209">
        <f t="shared" si="34"/>
        <v>1300</v>
      </c>
      <c r="K118" s="209">
        <f t="shared" si="34"/>
        <v>1300</v>
      </c>
      <c r="L118" s="209">
        <f t="shared" si="34"/>
        <v>1300</v>
      </c>
      <c r="M118" s="209">
        <f t="shared" si="34"/>
        <v>1300</v>
      </c>
      <c r="N118" s="37">
        <f t="shared" si="32"/>
        <v>20600</v>
      </c>
    </row>
    <row r="119">
      <c r="A119" s="343" t="s">
        <v>113</v>
      </c>
      <c r="B119" s="218">
        <v>395.0</v>
      </c>
      <c r="C119" s="218">
        <v>395.0</v>
      </c>
      <c r="D119" s="218">
        <v>395.0</v>
      </c>
      <c r="E119" s="218">
        <v>395.0</v>
      </c>
      <c r="F119" s="218">
        <v>395.0</v>
      </c>
      <c r="G119" s="218">
        <v>395.0</v>
      </c>
      <c r="H119" s="218">
        <v>395.0</v>
      </c>
      <c r="I119" s="218">
        <v>395.0</v>
      </c>
      <c r="J119" s="218">
        <v>395.0</v>
      </c>
      <c r="K119" s="218">
        <v>395.0</v>
      </c>
      <c r="L119" s="218">
        <v>395.0</v>
      </c>
      <c r="M119" s="218">
        <v>395.0</v>
      </c>
      <c r="N119" s="37">
        <f t="shared" si="32"/>
        <v>4740</v>
      </c>
    </row>
    <row r="120">
      <c r="A120" s="345" t="s">
        <v>114</v>
      </c>
      <c r="B120" s="209">
        <f t="shared" ref="B120:M120" si="35">1090+550</f>
        <v>1640</v>
      </c>
      <c r="C120" s="209">
        <f t="shared" si="35"/>
        <v>1640</v>
      </c>
      <c r="D120" s="209">
        <f t="shared" si="35"/>
        <v>1640</v>
      </c>
      <c r="E120" s="209">
        <f t="shared" si="35"/>
        <v>1640</v>
      </c>
      <c r="F120" s="209">
        <f t="shared" si="35"/>
        <v>1640</v>
      </c>
      <c r="G120" s="209">
        <f t="shared" si="35"/>
        <v>1640</v>
      </c>
      <c r="H120" s="209">
        <f t="shared" si="35"/>
        <v>1640</v>
      </c>
      <c r="I120" s="209">
        <f t="shared" si="35"/>
        <v>1640</v>
      </c>
      <c r="J120" s="209">
        <f t="shared" si="35"/>
        <v>1640</v>
      </c>
      <c r="K120" s="209">
        <f t="shared" si="35"/>
        <v>1640</v>
      </c>
      <c r="L120" s="209">
        <f t="shared" si="35"/>
        <v>1640</v>
      </c>
      <c r="M120" s="209">
        <f t="shared" si="35"/>
        <v>1640</v>
      </c>
      <c r="N120" s="37">
        <f t="shared" si="32"/>
        <v>19680</v>
      </c>
    </row>
    <row r="121">
      <c r="A121" s="334" t="s">
        <v>23</v>
      </c>
      <c r="B121" s="346">
        <f>SUM(B115:B120)</f>
        <v>5460</v>
      </c>
      <c r="C121" s="346">
        <f>SUM(C116:C120)</f>
        <v>6465</v>
      </c>
      <c r="D121" s="346">
        <f t="shared" ref="D121:N121" si="36">SUM(D115:D120)</f>
        <v>7960</v>
      </c>
      <c r="E121" s="346">
        <f t="shared" si="36"/>
        <v>5460</v>
      </c>
      <c r="F121" s="346">
        <f t="shared" si="36"/>
        <v>5460</v>
      </c>
      <c r="G121" s="346">
        <f t="shared" si="36"/>
        <v>5460</v>
      </c>
      <c r="H121" s="346">
        <f t="shared" si="36"/>
        <v>5460</v>
      </c>
      <c r="I121" s="346">
        <f t="shared" si="36"/>
        <v>5460</v>
      </c>
      <c r="J121" s="346">
        <f t="shared" si="36"/>
        <v>5460</v>
      </c>
      <c r="K121" s="346">
        <f t="shared" si="36"/>
        <v>5460</v>
      </c>
      <c r="L121" s="346">
        <f t="shared" si="36"/>
        <v>5460</v>
      </c>
      <c r="M121" s="346">
        <f t="shared" si="36"/>
        <v>5460</v>
      </c>
      <c r="N121" s="346">
        <f t="shared" si="36"/>
        <v>70520</v>
      </c>
    </row>
    <row r="122">
      <c r="A122" s="347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</row>
    <row r="123">
      <c r="A123" s="68" t="s">
        <v>115</v>
      </c>
      <c r="B123" s="181"/>
      <c r="C123" s="181"/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</row>
    <row r="124">
      <c r="A124" s="68" t="s">
        <v>116</v>
      </c>
      <c r="B124" s="348">
        <f t="shared" ref="B124:M124" si="37">+B13*0.7+B21*0.7+B32*0.7+B52*0.6+B70+B107*0.6</f>
        <v>70682.2037</v>
      </c>
      <c r="C124" s="348">
        <f t="shared" si="37"/>
        <v>69076.18679</v>
      </c>
      <c r="D124" s="348">
        <f t="shared" si="37"/>
        <v>75099.9819</v>
      </c>
      <c r="E124" s="348">
        <f t="shared" si="37"/>
        <v>77933.18414</v>
      </c>
      <c r="F124" s="348">
        <f t="shared" si="37"/>
        <v>73212.7512</v>
      </c>
      <c r="G124" s="348">
        <f t="shared" si="37"/>
        <v>82442.57286</v>
      </c>
      <c r="H124" s="348">
        <f t="shared" si="37"/>
        <v>68789.28516</v>
      </c>
      <c r="I124" s="348">
        <f t="shared" si="37"/>
        <v>72450.22496</v>
      </c>
      <c r="J124" s="348">
        <f t="shared" si="37"/>
        <v>75956.22679</v>
      </c>
      <c r="K124" s="348">
        <f t="shared" si="37"/>
        <v>78238.74985</v>
      </c>
      <c r="L124" s="348">
        <f t="shared" si="37"/>
        <v>80770.82793</v>
      </c>
      <c r="M124" s="348">
        <f t="shared" si="37"/>
        <v>83420.82793</v>
      </c>
      <c r="N124" s="348">
        <f t="shared" ref="N124:N125" si="39">SUM(B124:M124)</f>
        <v>908073.0232</v>
      </c>
    </row>
    <row r="125">
      <c r="A125" s="68" t="s">
        <v>117</v>
      </c>
      <c r="B125" s="348">
        <f t="shared" ref="B125:M125" si="38">+B13*0.3+B21*0.3+B32*0.3+B52*0.4+B82+B90+B107*0.4</f>
        <v>30810.24444</v>
      </c>
      <c r="C125" s="348">
        <f t="shared" si="38"/>
        <v>30668.38005</v>
      </c>
      <c r="D125" s="348">
        <f t="shared" si="38"/>
        <v>33178.57796</v>
      </c>
      <c r="E125" s="348">
        <f t="shared" si="38"/>
        <v>34392.80749</v>
      </c>
      <c r="F125" s="348">
        <f t="shared" si="38"/>
        <v>32391.90766</v>
      </c>
      <c r="G125" s="348">
        <f t="shared" si="38"/>
        <v>36399.2598</v>
      </c>
      <c r="H125" s="348">
        <f t="shared" si="38"/>
        <v>30473.99364</v>
      </c>
      <c r="I125" s="348">
        <f t="shared" si="38"/>
        <v>32081.28684</v>
      </c>
      <c r="J125" s="348">
        <f t="shared" si="38"/>
        <v>33616.96862</v>
      </c>
      <c r="K125" s="348">
        <f t="shared" si="38"/>
        <v>34617.58994</v>
      </c>
      <c r="L125" s="348">
        <f t="shared" si="38"/>
        <v>35680.36911</v>
      </c>
      <c r="M125" s="348">
        <f t="shared" si="38"/>
        <v>36530.36911</v>
      </c>
      <c r="N125" s="348">
        <f t="shared" si="39"/>
        <v>400841.7547</v>
      </c>
    </row>
    <row r="126">
      <c r="A126" s="68" t="s">
        <v>23</v>
      </c>
      <c r="B126" s="348">
        <f t="shared" ref="B126:N126" si="40">SUM(B124:B125)</f>
        <v>101492.4481</v>
      </c>
      <c r="C126" s="348">
        <f t="shared" si="40"/>
        <v>99744.56685</v>
      </c>
      <c r="D126" s="348">
        <f t="shared" si="40"/>
        <v>108278.5599</v>
      </c>
      <c r="E126" s="348">
        <f t="shared" si="40"/>
        <v>112325.9916</v>
      </c>
      <c r="F126" s="348">
        <f t="shared" si="40"/>
        <v>105604.6589</v>
      </c>
      <c r="G126" s="348">
        <f t="shared" si="40"/>
        <v>118841.8327</v>
      </c>
      <c r="H126" s="348">
        <f t="shared" si="40"/>
        <v>99263.27881</v>
      </c>
      <c r="I126" s="348">
        <f t="shared" si="40"/>
        <v>104531.5118</v>
      </c>
      <c r="J126" s="348">
        <f t="shared" si="40"/>
        <v>109573.1954</v>
      </c>
      <c r="K126" s="348">
        <f t="shared" si="40"/>
        <v>112856.3398</v>
      </c>
      <c r="L126" s="348">
        <f t="shared" si="40"/>
        <v>116451.197</v>
      </c>
      <c r="M126" s="348">
        <f t="shared" si="40"/>
        <v>119951.197</v>
      </c>
      <c r="N126" s="348">
        <f t="shared" si="40"/>
        <v>1308914.778</v>
      </c>
    </row>
    <row r="127">
      <c r="A127" s="181"/>
      <c r="B127" s="181"/>
      <c r="C127" s="181"/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</row>
    <row r="128">
      <c r="A128" s="349" t="s">
        <v>118</v>
      </c>
      <c r="B128" s="350">
        <f t="shared" ref="B128:N128" si="41">+B109</f>
        <v>101492.4481</v>
      </c>
      <c r="C128" s="350">
        <f t="shared" si="41"/>
        <v>99744.56685</v>
      </c>
      <c r="D128" s="350">
        <f t="shared" si="41"/>
        <v>108278.5599</v>
      </c>
      <c r="E128" s="350">
        <f t="shared" si="41"/>
        <v>112325.9916</v>
      </c>
      <c r="F128" s="350">
        <f t="shared" si="41"/>
        <v>105604.6589</v>
      </c>
      <c r="G128" s="350">
        <f t="shared" si="41"/>
        <v>118841.8327</v>
      </c>
      <c r="H128" s="350">
        <f t="shared" si="41"/>
        <v>99263.27881</v>
      </c>
      <c r="I128" s="350">
        <f t="shared" si="41"/>
        <v>104531.5118</v>
      </c>
      <c r="J128" s="350">
        <f t="shared" si="41"/>
        <v>109573.1954</v>
      </c>
      <c r="K128" s="350">
        <f t="shared" si="41"/>
        <v>112856.3398</v>
      </c>
      <c r="L128" s="350">
        <f t="shared" si="41"/>
        <v>116451.197</v>
      </c>
      <c r="M128" s="350">
        <f t="shared" si="41"/>
        <v>119951.197</v>
      </c>
      <c r="N128" s="350">
        <f t="shared" si="41"/>
        <v>1308914.778</v>
      </c>
    </row>
    <row r="129">
      <c r="A129" s="347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</row>
    <row r="130">
      <c r="A130" s="347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</row>
    <row r="131">
      <c r="A131" s="347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</row>
  </sheetData>
  <mergeCells count="1">
    <mergeCell ref="A1:N1"/>
  </mergeCells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1.38"/>
    <col customWidth="1" min="2" max="13" width="9.75"/>
    <col customWidth="1" min="14" max="16" width="11.63"/>
  </cols>
  <sheetData>
    <row r="1" ht="15.0" customHeight="1">
      <c r="A1" s="351" t="s">
        <v>277</v>
      </c>
      <c r="O1" s="351"/>
      <c r="P1" s="351"/>
    </row>
    <row r="2" ht="15.0" customHeight="1">
      <c r="A2" s="352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</row>
    <row r="3" ht="15.0" customHeight="1">
      <c r="A3" s="353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  <c r="O3" s="7"/>
      <c r="P3" s="7"/>
    </row>
    <row r="4" ht="15.0" customHeight="1">
      <c r="A4" s="354" t="s">
        <v>14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170"/>
      <c r="P4" s="170"/>
    </row>
    <row r="5" ht="13.5" customHeight="1">
      <c r="A5" s="355" t="s">
        <v>15</v>
      </c>
      <c r="B5" s="356">
        <f>FORMULAS!S53</f>
        <v>3803.174603</v>
      </c>
      <c r="C5" s="356">
        <f>FORMULAS!W53</f>
        <v>3803.174603</v>
      </c>
      <c r="D5" s="356">
        <f>FORMULAS!AA53</f>
        <v>3803.174603</v>
      </c>
      <c r="E5" s="356">
        <f>FORMULAS!AE53</f>
        <v>5109.519803</v>
      </c>
      <c r="F5" s="356">
        <f>FORMULAS!AI53</f>
        <v>7364.133597</v>
      </c>
      <c r="G5" s="356">
        <f>FORMULAS!AM53</f>
        <v>6675.536248</v>
      </c>
      <c r="H5" s="356">
        <f>FORMULAS!AQ53</f>
        <v>4529.828168</v>
      </c>
      <c r="I5" s="356">
        <f>FORMULAS!AU53</f>
        <v>4529.828168</v>
      </c>
      <c r="J5" s="356">
        <f>FORMULAS!AY53</f>
        <v>5721.888212</v>
      </c>
      <c r="K5" s="356">
        <f>FORMULAS!BC53</f>
        <v>5721.888212</v>
      </c>
      <c r="L5" s="356">
        <f>FORMULAS!BG53</f>
        <v>6675.536248</v>
      </c>
      <c r="M5" s="356">
        <f>FORMULAS!BK53</f>
        <v>6675.536248</v>
      </c>
      <c r="N5" s="17">
        <f t="shared" ref="N5:N12" si="1">SUM(B5:M5)</f>
        <v>64413.21871</v>
      </c>
      <c r="O5" s="153"/>
      <c r="P5" s="153"/>
    </row>
    <row r="6" ht="15.0" customHeight="1">
      <c r="A6" s="355" t="s">
        <v>123</v>
      </c>
      <c r="B6" s="356">
        <f>FORMULAS!P311</f>
        <v>14280</v>
      </c>
      <c r="C6" s="356">
        <f>FORMULAS!T311</f>
        <v>14280</v>
      </c>
      <c r="D6" s="356">
        <f>FORMULAS!X311</f>
        <v>14280</v>
      </c>
      <c r="E6" s="356">
        <f>FORMULAS!AB311</f>
        <v>14280</v>
      </c>
      <c r="F6" s="356">
        <f>FORMULAS!AF311</f>
        <v>14280</v>
      </c>
      <c r="G6" s="356">
        <f>FORMULAS!AJ311</f>
        <v>14280</v>
      </c>
      <c r="H6" s="356">
        <f>FORMULAS!AN311</f>
        <v>14280</v>
      </c>
      <c r="I6" s="356">
        <f>FORMULAS!AR311</f>
        <v>14280</v>
      </c>
      <c r="J6" s="356">
        <f>FORMULAS!AV311</f>
        <v>14280</v>
      </c>
      <c r="K6" s="356">
        <f>FORMULAS!AZ311</f>
        <v>14280</v>
      </c>
      <c r="L6" s="356">
        <f>FORMULAS!BD311</f>
        <v>14280</v>
      </c>
      <c r="M6" s="356">
        <f>FORMULAS!BH311</f>
        <v>14280</v>
      </c>
      <c r="N6" s="17">
        <f t="shared" si="1"/>
        <v>171360</v>
      </c>
      <c r="O6" s="153"/>
      <c r="P6" s="153"/>
    </row>
    <row r="7" ht="15.0" customHeight="1">
      <c r="A7" s="355" t="s">
        <v>17</v>
      </c>
      <c r="B7" s="356">
        <f>FORMULAS!S278+FORMULAS!P304</f>
        <v>5000</v>
      </c>
      <c r="C7" s="356">
        <f>FORMULAS!W278+FORMULAS!T304</f>
        <v>5000</v>
      </c>
      <c r="D7" s="356">
        <f>FORMULAS!AA278+FORMULAS!X304</f>
        <v>5000</v>
      </c>
      <c r="E7" s="356">
        <f>FORMULAS!AE278+FORMULAS!AB304</f>
        <v>12000</v>
      </c>
      <c r="F7" s="356">
        <f>FORMULAS!AI278+FORMULAS!AF304</f>
        <v>14280</v>
      </c>
      <c r="G7" s="356">
        <f>FORMULAS!AM278+FORMULAS!AJ304</f>
        <v>14280</v>
      </c>
      <c r="H7" s="356">
        <f>FORMULAS!AQ278+FORMULAS!AN304</f>
        <v>10000</v>
      </c>
      <c r="I7" s="356">
        <f>FORMULAS!AU278+FORMULAS!AR304</f>
        <v>10000</v>
      </c>
      <c r="J7" s="356">
        <f>FORMULAS!AY278+FORMULAS!AV304</f>
        <v>2500</v>
      </c>
      <c r="K7" s="356">
        <f>FORMULAS!BC278+FORMULAS!AZ304</f>
        <v>10000</v>
      </c>
      <c r="L7" s="356">
        <f>FORMULAS!BG278+FORMULAS!BD304</f>
        <v>12000</v>
      </c>
      <c r="M7" s="356">
        <f>FORMULAS!BK278+FORMULAS!BH304</f>
        <v>14280</v>
      </c>
      <c r="N7" s="17">
        <f t="shared" si="1"/>
        <v>114340</v>
      </c>
      <c r="O7" s="153"/>
      <c r="P7" s="153"/>
    </row>
    <row r="8" ht="15.0" customHeight="1">
      <c r="A8" s="355" t="s">
        <v>18</v>
      </c>
      <c r="B8" s="357"/>
      <c r="C8" s="357"/>
      <c r="D8" s="357"/>
      <c r="E8" s="357"/>
      <c r="F8" s="357"/>
      <c r="G8" s="357"/>
      <c r="H8" s="357"/>
      <c r="I8" s="357"/>
      <c r="J8" s="357"/>
      <c r="K8" s="357"/>
      <c r="L8" s="357"/>
      <c r="M8" s="357"/>
      <c r="N8" s="17">
        <f t="shared" si="1"/>
        <v>0</v>
      </c>
      <c r="O8" s="153"/>
      <c r="P8" s="153"/>
    </row>
    <row r="9" ht="13.5" customHeight="1">
      <c r="A9" s="358" t="s">
        <v>159</v>
      </c>
      <c r="B9" s="356">
        <f>FORMULAS!S101+FORMULAS!P310</f>
        <v>339.569161</v>
      </c>
      <c r="C9" s="356">
        <f>FORMULAS!W101+FORMULAS!T310</f>
        <v>339.569161</v>
      </c>
      <c r="D9" s="356">
        <f>FORMULAS!AA101+FORMULAS!X310</f>
        <v>339.569161</v>
      </c>
      <c r="E9" s="356">
        <f>FORMULAS!AE101+FORMULAS!AB310</f>
        <v>4427.298964</v>
      </c>
      <c r="F9" s="356">
        <f>FORMULAS!AI101+FORMULAS!AF310</f>
        <v>8358.04492</v>
      </c>
      <c r="G9" s="356">
        <f>FORMULAS!AM101+FORMULAS!AJ310</f>
        <v>8044.044529</v>
      </c>
      <c r="H9" s="356">
        <f>FORMULAS!AQ101+FORMULAS!AN310</f>
        <v>1747.083201</v>
      </c>
      <c r="I9" s="356">
        <f>FORMULAS!AU101+FORMULAS!AR310</f>
        <v>1747.083201</v>
      </c>
      <c r="J9" s="356">
        <f>FORMULAS!AY101+FORMULAS!AV310</f>
        <v>4895.563865</v>
      </c>
      <c r="K9" s="356">
        <f>FORMULAS!BC101+FORMULAS!AZ310</f>
        <v>2395.563865</v>
      </c>
      <c r="L9" s="356">
        <f>FORMULAS!BG101+FORMULAS!BD310</f>
        <v>5544.044529</v>
      </c>
      <c r="M9" s="356">
        <f>FORMULAS!BK101+FORMULAS!BH310</f>
        <v>8044.044529</v>
      </c>
      <c r="N9" s="17">
        <f t="shared" si="1"/>
        <v>46221.47909</v>
      </c>
      <c r="O9" s="153"/>
      <c r="P9" s="153"/>
    </row>
    <row r="10" ht="13.5" customHeight="1">
      <c r="A10" s="358" t="s">
        <v>278</v>
      </c>
      <c r="B10" s="357">
        <f>FORMULAS!S77</f>
        <v>1459.015495</v>
      </c>
      <c r="C10" s="357">
        <f>FORMULAS!W77</f>
        <v>1069.099546</v>
      </c>
      <c r="D10" s="357">
        <f>FORMULAS!AA77</f>
        <v>1547.348753</v>
      </c>
      <c r="E10" s="357">
        <f>FORMULAS!AE77</f>
        <v>1392.23356</v>
      </c>
      <c r="F10" s="357">
        <f>FORMULAS!AI77</f>
        <v>0</v>
      </c>
      <c r="G10" s="357">
        <f>FORMULAS!AM77</f>
        <v>0</v>
      </c>
      <c r="H10" s="357">
        <f>FORMULAS!AQ77</f>
        <v>0</v>
      </c>
      <c r="I10" s="357">
        <f>FORMULAS!AU77</f>
        <v>0</v>
      </c>
      <c r="J10" s="357">
        <f>FORMULAS!AY77</f>
        <v>0</v>
      </c>
      <c r="K10" s="357">
        <f>FORMULAS!BC77</f>
        <v>1335.10725</v>
      </c>
      <c r="L10" s="357">
        <f>FORMULAS!BG77</f>
        <v>1335.10725</v>
      </c>
      <c r="M10" s="357">
        <f>FORMULAS!BK77</f>
        <v>1335.10725</v>
      </c>
      <c r="N10" s="17">
        <f t="shared" si="1"/>
        <v>9473.019103</v>
      </c>
      <c r="O10" s="153"/>
      <c r="P10" s="153"/>
    </row>
    <row r="11" ht="13.5" customHeight="1">
      <c r="A11" s="355" t="s">
        <v>21</v>
      </c>
      <c r="B11" s="87">
        <v>194.0</v>
      </c>
      <c r="C11" s="87">
        <v>291.22</v>
      </c>
      <c r="D11" s="87">
        <v>194.0</v>
      </c>
      <c r="E11" s="87">
        <v>194.0</v>
      </c>
      <c r="F11" s="87">
        <v>194.0</v>
      </c>
      <c r="G11" s="87">
        <v>194.0</v>
      </c>
      <c r="H11" s="87">
        <v>194.0</v>
      </c>
      <c r="I11" s="87">
        <v>194.0</v>
      </c>
      <c r="J11" s="87">
        <v>194.0</v>
      </c>
      <c r="K11" s="87">
        <v>194.0</v>
      </c>
      <c r="L11" s="87">
        <v>194.0</v>
      </c>
      <c r="M11" s="87">
        <v>194.0</v>
      </c>
      <c r="N11" s="17">
        <f t="shared" si="1"/>
        <v>2425.22</v>
      </c>
      <c r="O11" s="153"/>
      <c r="P11" s="153"/>
    </row>
    <row r="12" ht="15.0" customHeight="1">
      <c r="A12" s="355" t="s">
        <v>22</v>
      </c>
      <c r="B12" s="101">
        <f>PRODUCTION!Y3</f>
        <v>200</v>
      </c>
      <c r="C12" s="102">
        <f>PRODUCTION!Y4</f>
        <v>542.6</v>
      </c>
      <c r="D12" s="102">
        <f>PRODUCTION!Y5</f>
        <v>542.6</v>
      </c>
      <c r="E12" s="102">
        <f>PRODUCTION!Y6</f>
        <v>542.6</v>
      </c>
      <c r="F12" s="102">
        <f>PRODUCTION!Y7</f>
        <v>542.6</v>
      </c>
      <c r="G12" s="102">
        <f>PRODUCTION!Y8</f>
        <v>542.6</v>
      </c>
      <c r="H12" s="102">
        <f>PRODUCTION!Y9</f>
        <v>542.6</v>
      </c>
      <c r="I12" s="102">
        <f>PRODUCTION!Y10</f>
        <v>542.6</v>
      </c>
      <c r="J12" s="102">
        <f>PRODUCTION!Y11</f>
        <v>542.6</v>
      </c>
      <c r="K12" s="102">
        <f>PRODUCTION!Y12</f>
        <v>542.6</v>
      </c>
      <c r="L12" s="102">
        <f>PRODUCTION!Y13</f>
        <v>542.6</v>
      </c>
      <c r="M12" s="102">
        <f>PRODUCTION!Y14</f>
        <v>542.6</v>
      </c>
      <c r="N12" s="17">
        <f t="shared" si="1"/>
        <v>6168.6</v>
      </c>
      <c r="O12" s="153"/>
      <c r="P12" s="153"/>
    </row>
    <row r="13" ht="13.5" customHeight="1">
      <c r="A13" s="359" t="s">
        <v>23</v>
      </c>
      <c r="B13" s="22">
        <f t="shared" ref="B13:N13" si="2">SUM(B5:B12)</f>
        <v>25275.75926</v>
      </c>
      <c r="C13" s="22">
        <f t="shared" si="2"/>
        <v>25325.66331</v>
      </c>
      <c r="D13" s="22">
        <f t="shared" si="2"/>
        <v>25706.69252</v>
      </c>
      <c r="E13" s="22">
        <f t="shared" si="2"/>
        <v>37945.65233</v>
      </c>
      <c r="F13" s="22">
        <f t="shared" si="2"/>
        <v>45018.77852</v>
      </c>
      <c r="G13" s="22">
        <f t="shared" si="2"/>
        <v>44016.18078</v>
      </c>
      <c r="H13" s="22">
        <f t="shared" si="2"/>
        <v>31293.51137</v>
      </c>
      <c r="I13" s="22">
        <f t="shared" si="2"/>
        <v>31293.51137</v>
      </c>
      <c r="J13" s="22">
        <f t="shared" si="2"/>
        <v>28134.05208</v>
      </c>
      <c r="K13" s="22">
        <f t="shared" si="2"/>
        <v>34469.15933</v>
      </c>
      <c r="L13" s="22">
        <f t="shared" si="2"/>
        <v>40571.28803</v>
      </c>
      <c r="M13" s="22">
        <f t="shared" si="2"/>
        <v>45351.28803</v>
      </c>
      <c r="N13" s="22">
        <f t="shared" si="2"/>
        <v>414401.5369</v>
      </c>
      <c r="O13" s="190"/>
      <c r="P13" s="190"/>
    </row>
    <row r="14" ht="15.0" customHeight="1">
      <c r="A14" s="360" t="s">
        <v>24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83"/>
      <c r="O14" s="170"/>
      <c r="P14" s="170"/>
    </row>
    <row r="15" ht="15.0" customHeight="1">
      <c r="A15" s="361" t="s">
        <v>279</v>
      </c>
      <c r="B15" s="46"/>
      <c r="C15" s="46"/>
      <c r="D15" s="46"/>
      <c r="E15" s="46"/>
      <c r="F15" s="87"/>
      <c r="G15" s="46"/>
      <c r="H15" s="46"/>
      <c r="I15" s="46"/>
      <c r="J15" s="46"/>
      <c r="K15" s="46"/>
      <c r="L15" s="46"/>
      <c r="M15" s="46"/>
      <c r="N15" s="17">
        <f t="shared" ref="N15:N18" si="3">SUM(B15:M15)</f>
        <v>0</v>
      </c>
      <c r="O15" s="153"/>
      <c r="P15" s="153"/>
    </row>
    <row r="16" ht="15.0" customHeight="1">
      <c r="A16" s="362"/>
      <c r="B16" s="87"/>
      <c r="C16" s="46"/>
      <c r="D16" s="46"/>
      <c r="E16" s="87"/>
      <c r="F16" s="46"/>
      <c r="G16" s="46"/>
      <c r="H16" s="46"/>
      <c r="I16" s="46"/>
      <c r="J16" s="46"/>
      <c r="K16" s="46"/>
      <c r="L16" s="46"/>
      <c r="M16" s="46"/>
      <c r="N16" s="17">
        <f t="shared" si="3"/>
        <v>0</v>
      </c>
      <c r="O16" s="153"/>
      <c r="P16" s="153"/>
    </row>
    <row r="17" ht="15.0" customHeight="1">
      <c r="A17" s="362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17">
        <f t="shared" si="3"/>
        <v>0</v>
      </c>
      <c r="O17" s="153"/>
      <c r="P17" s="153"/>
    </row>
    <row r="18" ht="15.0" customHeight="1">
      <c r="A18" s="362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17">
        <f t="shared" si="3"/>
        <v>0</v>
      </c>
      <c r="O18" s="153"/>
      <c r="P18" s="153"/>
    </row>
    <row r="19" ht="15.0" customHeight="1">
      <c r="A19" s="363" t="s">
        <v>29</v>
      </c>
      <c r="B19" s="103"/>
      <c r="C19" s="103"/>
      <c r="D19" s="28"/>
      <c r="E19" s="87"/>
      <c r="F19" s="28"/>
      <c r="G19" s="28"/>
      <c r="H19" s="28"/>
      <c r="I19" s="28"/>
      <c r="J19" s="28"/>
      <c r="K19" s="28"/>
      <c r="L19" s="28"/>
      <c r="M19" s="28"/>
      <c r="N19" s="17">
        <f>SUM(C19:M19)</f>
        <v>0</v>
      </c>
      <c r="O19" s="153"/>
      <c r="P19" s="153"/>
    </row>
    <row r="20" ht="15.0" customHeight="1">
      <c r="A20" s="362"/>
      <c r="B20" s="46"/>
      <c r="C20" s="46"/>
      <c r="D20" s="46"/>
      <c r="E20" s="87"/>
      <c r="F20" s="87"/>
      <c r="G20" s="87"/>
      <c r="H20" s="87"/>
      <c r="I20" s="87"/>
      <c r="J20" s="87"/>
      <c r="K20" s="87"/>
      <c r="L20" s="87"/>
      <c r="M20" s="87"/>
      <c r="N20" s="17">
        <f>SUM(B20:M20)</f>
        <v>0</v>
      </c>
      <c r="O20" s="153"/>
      <c r="P20" s="153"/>
    </row>
    <row r="21" ht="15.0" customHeight="1">
      <c r="A21" s="364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  <c r="O21" s="175"/>
      <c r="P21" s="175"/>
    </row>
    <row r="22" ht="15.0" customHeight="1">
      <c r="A22" s="360" t="s">
        <v>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3"/>
      <c r="O22" s="170"/>
      <c r="P22" s="170"/>
    </row>
    <row r="23" ht="15.0" customHeight="1">
      <c r="A23" s="365" t="s">
        <v>31</v>
      </c>
      <c r="B23" s="232">
        <v>0.0</v>
      </c>
      <c r="C23" s="232">
        <v>0.0</v>
      </c>
      <c r="D23" s="232">
        <v>5652.2</v>
      </c>
      <c r="E23" s="232">
        <v>0.0</v>
      </c>
      <c r="F23" s="232">
        <v>0.0</v>
      </c>
      <c r="G23" s="232">
        <v>0.0</v>
      </c>
      <c r="H23" s="232">
        <v>0.0</v>
      </c>
      <c r="I23" s="232">
        <v>0.0</v>
      </c>
      <c r="J23" s="232">
        <v>0.0</v>
      </c>
      <c r="K23" s="232">
        <v>0.0</v>
      </c>
      <c r="L23" s="232">
        <v>0.0</v>
      </c>
      <c r="M23" s="232">
        <v>0.0</v>
      </c>
      <c r="N23" s="17">
        <f t="shared" ref="N23:N31" si="5">SUM(B23:M23)</f>
        <v>5652.2</v>
      </c>
      <c r="O23" s="153"/>
      <c r="P23" s="153"/>
    </row>
    <row r="24" ht="15.0" customHeight="1">
      <c r="A24" s="36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17">
        <f t="shared" si="5"/>
        <v>0</v>
      </c>
      <c r="O24" s="153"/>
      <c r="P24" s="153"/>
    </row>
    <row r="25" ht="15.0" customHeight="1">
      <c r="A25" s="355" t="s">
        <v>127</v>
      </c>
      <c r="B25" s="46"/>
      <c r="C25" s="46"/>
      <c r="D25" s="46"/>
      <c r="E25" s="46"/>
      <c r="F25" s="46"/>
      <c r="G25" s="46"/>
      <c r="H25" s="46"/>
      <c r="I25" s="232"/>
      <c r="J25" s="46"/>
      <c r="K25" s="46"/>
      <c r="L25" s="46"/>
      <c r="M25" s="46"/>
      <c r="N25" s="17">
        <f t="shared" si="5"/>
        <v>0</v>
      </c>
      <c r="O25" s="153"/>
      <c r="P25" s="153"/>
    </row>
    <row r="26" ht="15.0" customHeight="1">
      <c r="A26" s="366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17">
        <f t="shared" si="5"/>
        <v>0</v>
      </c>
      <c r="O26" s="153"/>
      <c r="P26" s="153"/>
    </row>
    <row r="27" ht="15.0" customHeight="1">
      <c r="A27" s="363" t="s">
        <v>34</v>
      </c>
      <c r="B27" s="28"/>
      <c r="C27" s="28"/>
      <c r="D27" s="46"/>
      <c r="E27" s="46"/>
      <c r="F27" s="46"/>
      <c r="G27" s="46"/>
      <c r="H27" s="28"/>
      <c r="I27" s="46"/>
      <c r="J27" s="28"/>
      <c r="K27" s="46"/>
      <c r="L27" s="46"/>
      <c r="M27" s="46"/>
      <c r="N27" s="17">
        <f t="shared" si="5"/>
        <v>0</v>
      </c>
      <c r="O27" s="153"/>
      <c r="P27" s="153"/>
    </row>
    <row r="28" ht="15.0" customHeight="1">
      <c r="A28" s="366" t="s">
        <v>35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17">
        <f t="shared" si="5"/>
        <v>0</v>
      </c>
      <c r="O28" s="153"/>
      <c r="P28" s="153"/>
    </row>
    <row r="29" ht="15.0" customHeight="1">
      <c r="A29" s="363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17">
        <f t="shared" si="5"/>
        <v>0</v>
      </c>
      <c r="O29" s="153"/>
      <c r="P29" s="153"/>
    </row>
    <row r="30" ht="15.0" customHeight="1">
      <c r="A30" s="363" t="s">
        <v>37</v>
      </c>
      <c r="B30" s="28"/>
      <c r="C30" s="28"/>
      <c r="D30" s="28"/>
      <c r="E30" s="28"/>
      <c r="F30" s="28"/>
      <c r="G30" s="28"/>
      <c r="H30" s="28"/>
      <c r="I30" s="28"/>
      <c r="J30" s="199"/>
      <c r="K30" s="28"/>
      <c r="L30" s="28"/>
      <c r="M30" s="28"/>
      <c r="N30" s="17">
        <f t="shared" si="5"/>
        <v>0</v>
      </c>
      <c r="O30" s="153"/>
      <c r="P30" s="153"/>
    </row>
    <row r="31" ht="15.0" customHeight="1">
      <c r="A31" s="366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17">
        <f t="shared" si="5"/>
        <v>0</v>
      </c>
      <c r="O31" s="153"/>
      <c r="P31" s="153"/>
    </row>
    <row r="32" ht="15.0" customHeight="1">
      <c r="A32" s="364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5652.2</v>
      </c>
      <c r="E32" s="28">
        <f t="shared" si="6"/>
        <v>0</v>
      </c>
      <c r="F32" s="28">
        <f t="shared" si="6"/>
        <v>0</v>
      </c>
      <c r="G32" s="28">
        <f t="shared" si="6"/>
        <v>0</v>
      </c>
      <c r="H32" s="28">
        <f t="shared" si="6"/>
        <v>0</v>
      </c>
      <c r="I32" s="28">
        <f t="shared" si="6"/>
        <v>0</v>
      </c>
      <c r="J32" s="28">
        <f t="shared" si="6"/>
        <v>0</v>
      </c>
      <c r="K32" s="28">
        <f t="shared" si="6"/>
        <v>0</v>
      </c>
      <c r="L32" s="28">
        <f t="shared" si="6"/>
        <v>0</v>
      </c>
      <c r="M32" s="28">
        <f t="shared" si="6"/>
        <v>0</v>
      </c>
      <c r="N32" s="28">
        <f t="shared" si="6"/>
        <v>5652.2</v>
      </c>
      <c r="O32" s="175"/>
      <c r="P32" s="175"/>
    </row>
    <row r="33" ht="15.0" customHeight="1">
      <c r="A33" s="354" t="s">
        <v>38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170"/>
      <c r="P33" s="170"/>
    </row>
    <row r="34" ht="15.0" customHeight="1">
      <c r="A34" s="355" t="s">
        <v>39</v>
      </c>
      <c r="B34" s="87">
        <f t="shared" ref="B34:E34" si="7">1600+124.75+425</f>
        <v>2149.75</v>
      </c>
      <c r="C34" s="87">
        <f t="shared" si="7"/>
        <v>2149.75</v>
      </c>
      <c r="D34" s="87">
        <f t="shared" si="7"/>
        <v>2149.75</v>
      </c>
      <c r="E34" s="87">
        <f t="shared" si="7"/>
        <v>2149.75</v>
      </c>
      <c r="F34" s="87">
        <f t="shared" ref="F34:M34" si="8">1600+224.5+425</f>
        <v>2249.5</v>
      </c>
      <c r="G34" s="87">
        <f t="shared" si="8"/>
        <v>2249.5</v>
      </c>
      <c r="H34" s="87">
        <f t="shared" si="8"/>
        <v>2249.5</v>
      </c>
      <c r="I34" s="87">
        <f t="shared" si="8"/>
        <v>2249.5</v>
      </c>
      <c r="J34" s="87">
        <f t="shared" si="8"/>
        <v>2249.5</v>
      </c>
      <c r="K34" s="87">
        <f t="shared" si="8"/>
        <v>2249.5</v>
      </c>
      <c r="L34" s="87">
        <f t="shared" si="8"/>
        <v>2249.5</v>
      </c>
      <c r="M34" s="87">
        <f t="shared" si="8"/>
        <v>2249.5</v>
      </c>
      <c r="N34" s="17">
        <f t="shared" ref="N34:N51" si="9">SUM(B34:M34)</f>
        <v>26595</v>
      </c>
      <c r="O34" s="153"/>
      <c r="P34" s="153"/>
    </row>
    <row r="35" ht="15.0" customHeight="1">
      <c r="A35" s="367"/>
      <c r="B35" s="46"/>
      <c r="C35" s="46"/>
      <c r="D35" s="46"/>
      <c r="E35" s="46"/>
      <c r="F35" s="46"/>
      <c r="G35" s="87"/>
      <c r="H35" s="87"/>
      <c r="I35" s="87"/>
      <c r="J35" s="87"/>
      <c r="K35" s="87"/>
      <c r="L35" s="87"/>
      <c r="M35" s="87"/>
      <c r="N35" s="17">
        <f t="shared" si="9"/>
        <v>0</v>
      </c>
      <c r="O35" s="153"/>
      <c r="P35" s="153"/>
    </row>
    <row r="36" ht="15.0" customHeight="1">
      <c r="A36" s="362" t="s">
        <v>41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17">
        <f t="shared" si="9"/>
        <v>0</v>
      </c>
      <c r="O36" s="153"/>
      <c r="P36" s="153"/>
    </row>
    <row r="37" ht="15.0" customHeight="1">
      <c r="A37" s="362" t="s">
        <v>42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17">
        <f t="shared" si="9"/>
        <v>0</v>
      </c>
      <c r="O37" s="153"/>
      <c r="P37" s="153"/>
    </row>
    <row r="38" ht="15.0" customHeight="1">
      <c r="A38" s="362" t="s">
        <v>43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17">
        <f t="shared" si="9"/>
        <v>0</v>
      </c>
      <c r="O38" s="153"/>
      <c r="P38" s="153"/>
    </row>
    <row r="39" ht="15.0" customHeight="1">
      <c r="A39" s="362" t="s">
        <v>44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17">
        <f t="shared" si="9"/>
        <v>0</v>
      </c>
      <c r="O39" s="153"/>
      <c r="P39" s="153"/>
    </row>
    <row r="40" ht="15.0" customHeight="1">
      <c r="A40" s="362" t="s">
        <v>45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17">
        <f t="shared" si="9"/>
        <v>0</v>
      </c>
      <c r="O40" s="153"/>
      <c r="P40" s="153"/>
    </row>
    <row r="41" ht="15.0" customHeight="1">
      <c r="A41" s="362" t="s">
        <v>46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17">
        <f t="shared" si="9"/>
        <v>0</v>
      </c>
      <c r="O41" s="153"/>
      <c r="P41" s="153"/>
    </row>
    <row r="42" ht="15.0" customHeight="1">
      <c r="A42" s="367" t="s">
        <v>225</v>
      </c>
      <c r="B42" s="87">
        <v>91.25</v>
      </c>
      <c r="C42" s="87">
        <v>91.25</v>
      </c>
      <c r="D42" s="87">
        <v>91.25</v>
      </c>
      <c r="E42" s="87">
        <v>91.25</v>
      </c>
      <c r="F42" s="87">
        <v>91.25</v>
      </c>
      <c r="G42" s="87">
        <v>91.25</v>
      </c>
      <c r="H42" s="87">
        <v>91.25</v>
      </c>
      <c r="I42" s="87">
        <v>91.25</v>
      </c>
      <c r="J42" s="87">
        <v>91.25</v>
      </c>
      <c r="K42" s="87">
        <v>91.25</v>
      </c>
      <c r="L42" s="87">
        <v>91.25</v>
      </c>
      <c r="M42" s="87">
        <v>91.25</v>
      </c>
      <c r="N42" s="17">
        <f t="shared" si="9"/>
        <v>1095</v>
      </c>
      <c r="O42" s="153"/>
      <c r="P42" s="153"/>
    </row>
    <row r="43" ht="15.0" customHeight="1">
      <c r="A43" s="367" t="s">
        <v>238</v>
      </c>
      <c r="B43" s="87">
        <v>687.94</v>
      </c>
      <c r="C43" s="87">
        <v>687.94</v>
      </c>
      <c r="D43" s="87">
        <v>687.94</v>
      </c>
      <c r="E43" s="87">
        <v>687.94</v>
      </c>
      <c r="F43" s="87">
        <v>687.94</v>
      </c>
      <c r="G43" s="87">
        <v>687.94</v>
      </c>
      <c r="H43" s="87">
        <v>687.94</v>
      </c>
      <c r="I43" s="87">
        <v>687.94</v>
      </c>
      <c r="J43" s="87">
        <v>687.94</v>
      </c>
      <c r="K43" s="87">
        <v>687.94</v>
      </c>
      <c r="L43" s="87">
        <v>687.94</v>
      </c>
      <c r="M43" s="87">
        <v>687.94</v>
      </c>
      <c r="N43" s="17">
        <f t="shared" si="9"/>
        <v>8255.28</v>
      </c>
      <c r="O43" s="153"/>
      <c r="P43" s="153"/>
    </row>
    <row r="44" ht="15.0" customHeight="1">
      <c r="A44" s="367" t="s">
        <v>239</v>
      </c>
      <c r="B44" s="87">
        <f t="shared" ref="B44:M44" si="10">133</f>
        <v>133</v>
      </c>
      <c r="C44" s="87">
        <f t="shared" si="10"/>
        <v>133</v>
      </c>
      <c r="D44" s="87">
        <f t="shared" si="10"/>
        <v>133</v>
      </c>
      <c r="E44" s="87">
        <f t="shared" si="10"/>
        <v>133</v>
      </c>
      <c r="F44" s="87">
        <f t="shared" si="10"/>
        <v>133</v>
      </c>
      <c r="G44" s="87">
        <f t="shared" si="10"/>
        <v>133</v>
      </c>
      <c r="H44" s="87">
        <f t="shared" si="10"/>
        <v>133</v>
      </c>
      <c r="I44" s="87">
        <f t="shared" si="10"/>
        <v>133</v>
      </c>
      <c r="J44" s="87">
        <f t="shared" si="10"/>
        <v>133</v>
      </c>
      <c r="K44" s="87">
        <f t="shared" si="10"/>
        <v>133</v>
      </c>
      <c r="L44" s="87">
        <f t="shared" si="10"/>
        <v>133</v>
      </c>
      <c r="M44" s="87">
        <f t="shared" si="10"/>
        <v>133</v>
      </c>
      <c r="N44" s="17">
        <f t="shared" si="9"/>
        <v>1596</v>
      </c>
      <c r="O44" s="153"/>
      <c r="P44" s="153"/>
    </row>
    <row r="45" ht="15.0" customHeight="1">
      <c r="A45" s="368" t="s">
        <v>50</v>
      </c>
      <c r="B45" s="46">
        <f t="shared" ref="B45:M45" si="11">45+97.5</f>
        <v>142.5</v>
      </c>
      <c r="C45" s="46">
        <f t="shared" si="11"/>
        <v>142.5</v>
      </c>
      <c r="D45" s="46">
        <f t="shared" si="11"/>
        <v>142.5</v>
      </c>
      <c r="E45" s="46">
        <f t="shared" si="11"/>
        <v>142.5</v>
      </c>
      <c r="F45" s="46">
        <f t="shared" si="11"/>
        <v>142.5</v>
      </c>
      <c r="G45" s="46">
        <f t="shared" si="11"/>
        <v>142.5</v>
      </c>
      <c r="H45" s="46">
        <f t="shared" si="11"/>
        <v>142.5</v>
      </c>
      <c r="I45" s="46">
        <f t="shared" si="11"/>
        <v>142.5</v>
      </c>
      <c r="J45" s="46">
        <f t="shared" si="11"/>
        <v>142.5</v>
      </c>
      <c r="K45" s="46">
        <f t="shared" si="11"/>
        <v>142.5</v>
      </c>
      <c r="L45" s="46">
        <f t="shared" si="11"/>
        <v>142.5</v>
      </c>
      <c r="M45" s="46">
        <f t="shared" si="11"/>
        <v>142.5</v>
      </c>
      <c r="N45" s="17">
        <f t="shared" si="9"/>
        <v>1710</v>
      </c>
      <c r="O45" s="153"/>
      <c r="P45" s="153"/>
    </row>
    <row r="46" ht="15.0" customHeight="1">
      <c r="A46" s="355" t="s">
        <v>51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17">
        <f t="shared" si="9"/>
        <v>0</v>
      </c>
      <c r="O46" s="153"/>
      <c r="P46" s="153"/>
    </row>
    <row r="47" ht="15.0" customHeight="1">
      <c r="A47" s="367" t="s">
        <v>52</v>
      </c>
      <c r="B47" s="87">
        <f t="shared" ref="B47:M47" si="12">212.5+3500</f>
        <v>3712.5</v>
      </c>
      <c r="C47" s="87">
        <f t="shared" si="12"/>
        <v>3712.5</v>
      </c>
      <c r="D47" s="87">
        <f t="shared" si="12"/>
        <v>3712.5</v>
      </c>
      <c r="E47" s="87">
        <f t="shared" si="12"/>
        <v>3712.5</v>
      </c>
      <c r="F47" s="87">
        <f t="shared" si="12"/>
        <v>3712.5</v>
      </c>
      <c r="G47" s="87">
        <f t="shared" si="12"/>
        <v>3712.5</v>
      </c>
      <c r="H47" s="87">
        <f t="shared" si="12"/>
        <v>3712.5</v>
      </c>
      <c r="I47" s="87">
        <f t="shared" si="12"/>
        <v>3712.5</v>
      </c>
      <c r="J47" s="87">
        <f t="shared" si="12"/>
        <v>3712.5</v>
      </c>
      <c r="K47" s="87">
        <f t="shared" si="12"/>
        <v>3712.5</v>
      </c>
      <c r="L47" s="87">
        <f t="shared" si="12"/>
        <v>3712.5</v>
      </c>
      <c r="M47" s="87">
        <f t="shared" si="12"/>
        <v>3712.5</v>
      </c>
      <c r="N47" s="17">
        <f t="shared" si="9"/>
        <v>44550</v>
      </c>
      <c r="O47" s="153"/>
      <c r="P47" s="153"/>
    </row>
    <row r="48" ht="15.0" customHeight="1">
      <c r="A48" s="367" t="s">
        <v>131</v>
      </c>
      <c r="B48" s="87">
        <f t="shared" ref="B48:M48" si="13">101.33+55.64+80</f>
        <v>236.97</v>
      </c>
      <c r="C48" s="87">
        <f t="shared" si="13"/>
        <v>236.97</v>
      </c>
      <c r="D48" s="87">
        <f t="shared" si="13"/>
        <v>236.97</v>
      </c>
      <c r="E48" s="87">
        <f t="shared" si="13"/>
        <v>236.97</v>
      </c>
      <c r="F48" s="87">
        <f t="shared" si="13"/>
        <v>236.97</v>
      </c>
      <c r="G48" s="87">
        <f t="shared" si="13"/>
        <v>236.97</v>
      </c>
      <c r="H48" s="87">
        <f t="shared" si="13"/>
        <v>236.97</v>
      </c>
      <c r="I48" s="87">
        <f t="shared" si="13"/>
        <v>236.97</v>
      </c>
      <c r="J48" s="87">
        <f t="shared" si="13"/>
        <v>236.97</v>
      </c>
      <c r="K48" s="87">
        <f t="shared" si="13"/>
        <v>236.97</v>
      </c>
      <c r="L48" s="87">
        <f t="shared" si="13"/>
        <v>236.97</v>
      </c>
      <c r="M48" s="87">
        <f t="shared" si="13"/>
        <v>236.97</v>
      </c>
      <c r="N48" s="17">
        <f t="shared" si="9"/>
        <v>2843.64</v>
      </c>
      <c r="O48" s="153"/>
      <c r="P48" s="153"/>
    </row>
    <row r="49" ht="15.0" customHeight="1">
      <c r="A49" s="362" t="s">
        <v>54</v>
      </c>
      <c r="B49" s="46"/>
      <c r="C49" s="46"/>
      <c r="D49" s="46"/>
      <c r="E49" s="46"/>
      <c r="F49" s="46"/>
      <c r="G49" s="87"/>
      <c r="H49" s="87"/>
      <c r="I49" s="87"/>
      <c r="J49" s="87"/>
      <c r="K49" s="87"/>
      <c r="L49" s="87"/>
      <c r="M49" s="87"/>
      <c r="N49" s="17">
        <f t="shared" si="9"/>
        <v>0</v>
      </c>
      <c r="O49" s="153"/>
      <c r="P49" s="153"/>
    </row>
    <row r="50" ht="15.0" customHeight="1">
      <c r="A50" s="367" t="s">
        <v>250</v>
      </c>
      <c r="B50" s="87">
        <v>1895.0</v>
      </c>
      <c r="C50" s="87">
        <v>1895.0</v>
      </c>
      <c r="D50" s="87">
        <v>1895.0</v>
      </c>
      <c r="E50" s="87">
        <v>1895.0</v>
      </c>
      <c r="F50" s="87">
        <v>1895.0</v>
      </c>
      <c r="G50" s="87">
        <v>1895.0</v>
      </c>
      <c r="H50" s="87">
        <v>1895.0</v>
      </c>
      <c r="I50" s="87">
        <v>1895.0</v>
      </c>
      <c r="J50" s="87">
        <v>1895.0</v>
      </c>
      <c r="K50" s="87">
        <v>1895.0</v>
      </c>
      <c r="L50" s="87">
        <v>1895.0</v>
      </c>
      <c r="M50" s="87">
        <v>1895.0</v>
      </c>
      <c r="N50" s="17">
        <f t="shared" si="9"/>
        <v>22740</v>
      </c>
      <c r="O50" s="153"/>
      <c r="P50" s="153"/>
    </row>
    <row r="51" ht="15.0" customHeight="1">
      <c r="A51" s="355" t="s">
        <v>160</v>
      </c>
      <c r="B51" s="46"/>
      <c r="C51" s="46"/>
      <c r="D51" s="46"/>
      <c r="E51" s="46"/>
      <c r="F51" s="46"/>
      <c r="G51" s="46"/>
      <c r="H51" s="87"/>
      <c r="I51" s="46"/>
      <c r="J51" s="46"/>
      <c r="K51" s="46"/>
      <c r="L51" s="46"/>
      <c r="M51" s="46"/>
      <c r="N51" s="17">
        <f t="shared" si="9"/>
        <v>0</v>
      </c>
      <c r="O51" s="153"/>
      <c r="P51" s="153"/>
    </row>
    <row r="52" ht="15.0" customHeight="1">
      <c r="A52" s="364" t="s">
        <v>23</v>
      </c>
      <c r="B52" s="28">
        <f t="shared" ref="B52:N52" si="14">SUM(B34:B51)</f>
        <v>9048.91</v>
      </c>
      <c r="C52" s="28">
        <f t="shared" si="14"/>
        <v>9048.91</v>
      </c>
      <c r="D52" s="28">
        <f t="shared" si="14"/>
        <v>9048.91</v>
      </c>
      <c r="E52" s="28">
        <f t="shared" si="14"/>
        <v>9048.91</v>
      </c>
      <c r="F52" s="28">
        <f t="shared" si="14"/>
        <v>9148.66</v>
      </c>
      <c r="G52" s="28">
        <f t="shared" si="14"/>
        <v>9148.66</v>
      </c>
      <c r="H52" s="28">
        <f t="shared" si="14"/>
        <v>9148.66</v>
      </c>
      <c r="I52" s="28">
        <f t="shared" si="14"/>
        <v>9148.66</v>
      </c>
      <c r="J52" s="28">
        <f t="shared" si="14"/>
        <v>9148.66</v>
      </c>
      <c r="K52" s="28">
        <f t="shared" si="14"/>
        <v>9148.66</v>
      </c>
      <c r="L52" s="28">
        <f t="shared" si="14"/>
        <v>9148.66</v>
      </c>
      <c r="M52" s="28">
        <f t="shared" si="14"/>
        <v>9148.66</v>
      </c>
      <c r="N52" s="28">
        <f t="shared" si="14"/>
        <v>109384.92</v>
      </c>
      <c r="O52" s="175"/>
      <c r="P52" s="175"/>
    </row>
    <row r="53" ht="15.0" customHeight="1">
      <c r="A53" s="354" t="s">
        <v>56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170"/>
      <c r="P53" s="170"/>
    </row>
    <row r="54" ht="15.0" customHeight="1">
      <c r="A54" s="366" t="s">
        <v>57</v>
      </c>
      <c r="B54" s="87">
        <v>2100.0</v>
      </c>
      <c r="C54" s="87">
        <v>2100.0</v>
      </c>
      <c r="D54" s="87">
        <v>2100.0</v>
      </c>
      <c r="E54" s="87">
        <v>2100.0</v>
      </c>
      <c r="F54" s="87">
        <v>2100.0</v>
      </c>
      <c r="G54" s="87">
        <v>2100.0</v>
      </c>
      <c r="H54" s="87">
        <v>2100.0</v>
      </c>
      <c r="I54" s="87">
        <v>2100.0</v>
      </c>
      <c r="J54" s="87">
        <v>2100.0</v>
      </c>
      <c r="K54" s="87">
        <v>2100.0</v>
      </c>
      <c r="L54" s="87">
        <v>2100.0</v>
      </c>
      <c r="M54" s="87">
        <v>2100.0</v>
      </c>
      <c r="N54" s="17">
        <f t="shared" ref="N54:N69" si="15">SUM(B54:M54)</f>
        <v>25200</v>
      </c>
      <c r="O54" s="153"/>
      <c r="P54" s="153"/>
    </row>
    <row r="55" ht="15.0" customHeight="1">
      <c r="A55" s="366" t="s">
        <v>58</v>
      </c>
      <c r="B55" s="87">
        <v>1075.0</v>
      </c>
      <c r="C55" s="87">
        <v>1600.0</v>
      </c>
      <c r="D55" s="87">
        <v>1600.0</v>
      </c>
      <c r="E55" s="87">
        <v>1600.0</v>
      </c>
      <c r="F55" s="87">
        <v>1600.0</v>
      </c>
      <c r="G55" s="87">
        <v>1600.0</v>
      </c>
      <c r="H55" s="87">
        <v>1600.0</v>
      </c>
      <c r="I55" s="87">
        <v>1600.0</v>
      </c>
      <c r="J55" s="87">
        <v>1600.0</v>
      </c>
      <c r="K55" s="87">
        <v>1600.0</v>
      </c>
      <c r="L55" s="87">
        <v>1600.0</v>
      </c>
      <c r="M55" s="87">
        <v>1600.0</v>
      </c>
      <c r="N55" s="17">
        <f t="shared" si="15"/>
        <v>18675</v>
      </c>
      <c r="O55" s="153"/>
      <c r="P55" s="153"/>
    </row>
    <row r="56" ht="15.0" customHeight="1">
      <c r="A56" s="363" t="s">
        <v>59</v>
      </c>
      <c r="B56" s="87">
        <f t="shared" ref="B56:M56" si="16">399+351+57</f>
        <v>807</v>
      </c>
      <c r="C56" s="87">
        <f t="shared" si="16"/>
        <v>807</v>
      </c>
      <c r="D56" s="87">
        <f t="shared" si="16"/>
        <v>807</v>
      </c>
      <c r="E56" s="87">
        <f t="shared" si="16"/>
        <v>807</v>
      </c>
      <c r="F56" s="87">
        <f t="shared" si="16"/>
        <v>807</v>
      </c>
      <c r="G56" s="87">
        <f t="shared" si="16"/>
        <v>807</v>
      </c>
      <c r="H56" s="87">
        <f t="shared" si="16"/>
        <v>807</v>
      </c>
      <c r="I56" s="87">
        <f t="shared" si="16"/>
        <v>807</v>
      </c>
      <c r="J56" s="87">
        <f t="shared" si="16"/>
        <v>807</v>
      </c>
      <c r="K56" s="87">
        <f t="shared" si="16"/>
        <v>807</v>
      </c>
      <c r="L56" s="87">
        <f t="shared" si="16"/>
        <v>807</v>
      </c>
      <c r="M56" s="87">
        <f t="shared" si="16"/>
        <v>807</v>
      </c>
      <c r="N56" s="17">
        <f t="shared" si="15"/>
        <v>9684</v>
      </c>
      <c r="O56" s="153"/>
      <c r="P56" s="153"/>
    </row>
    <row r="57" ht="15.0" customHeight="1">
      <c r="A57" s="363" t="s">
        <v>133</v>
      </c>
      <c r="B57" s="87">
        <v>0.0</v>
      </c>
      <c r="C57" s="87">
        <v>0.0</v>
      </c>
      <c r="D57" s="87">
        <v>0.0</v>
      </c>
      <c r="E57" s="87">
        <v>0.0</v>
      </c>
      <c r="F57" s="87">
        <v>0.0</v>
      </c>
      <c r="G57" s="87">
        <v>0.0</v>
      </c>
      <c r="H57" s="87">
        <v>0.0</v>
      </c>
      <c r="I57" s="87">
        <v>0.0</v>
      </c>
      <c r="J57" s="87">
        <v>0.0</v>
      </c>
      <c r="K57" s="87">
        <v>0.0</v>
      </c>
      <c r="L57" s="87">
        <v>0.0</v>
      </c>
      <c r="M57" s="87">
        <v>0.0</v>
      </c>
      <c r="N57" s="17">
        <f t="shared" si="15"/>
        <v>0</v>
      </c>
      <c r="O57" s="153"/>
      <c r="P57" s="153"/>
    </row>
    <row r="58" ht="15.0" customHeight="1">
      <c r="A58" s="363" t="s">
        <v>134</v>
      </c>
      <c r="B58" s="46"/>
      <c r="C58" s="46"/>
      <c r="D58" s="87"/>
      <c r="E58" s="46"/>
      <c r="F58" s="46"/>
      <c r="G58" s="46"/>
      <c r="H58" s="46"/>
      <c r="I58" s="46"/>
      <c r="J58" s="46"/>
      <c r="K58" s="46"/>
      <c r="L58" s="46"/>
      <c r="M58" s="46"/>
      <c r="N58" s="17">
        <f t="shared" si="15"/>
        <v>0</v>
      </c>
      <c r="O58" s="153"/>
      <c r="P58" s="153"/>
    </row>
    <row r="59" ht="15.0" customHeight="1">
      <c r="A59" s="363" t="s">
        <v>135</v>
      </c>
      <c r="B59" s="87">
        <v>312.5</v>
      </c>
      <c r="C59" s="87">
        <v>312.5</v>
      </c>
      <c r="D59" s="87">
        <v>312.5</v>
      </c>
      <c r="E59" s="87">
        <v>312.5</v>
      </c>
      <c r="F59" s="87">
        <v>312.5</v>
      </c>
      <c r="G59" s="87">
        <v>312.5</v>
      </c>
      <c r="H59" s="87">
        <v>312.5</v>
      </c>
      <c r="I59" s="87">
        <v>312.5</v>
      </c>
      <c r="J59" s="87">
        <v>312.5</v>
      </c>
      <c r="K59" s="87">
        <v>312.5</v>
      </c>
      <c r="L59" s="87">
        <v>312.5</v>
      </c>
      <c r="M59" s="87">
        <v>312.5</v>
      </c>
      <c r="N59" s="17">
        <f t="shared" si="15"/>
        <v>3750</v>
      </c>
      <c r="O59" s="153"/>
      <c r="P59" s="153"/>
    </row>
    <row r="60" ht="15.0" customHeight="1">
      <c r="A60" s="366" t="s">
        <v>136</v>
      </c>
      <c r="B60" s="46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17">
        <f t="shared" si="15"/>
        <v>0</v>
      </c>
      <c r="O60" s="153"/>
      <c r="P60" s="153"/>
    </row>
    <row r="61" ht="15.0" customHeight="1">
      <c r="A61" s="366" t="s">
        <v>137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17">
        <f t="shared" si="15"/>
        <v>0</v>
      </c>
      <c r="O61" s="153"/>
      <c r="P61" s="153"/>
    </row>
    <row r="62" ht="15.0" customHeight="1">
      <c r="A62" s="366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15"/>
        <v>0</v>
      </c>
      <c r="O62" s="153"/>
      <c r="P62" s="153"/>
    </row>
    <row r="63" ht="15.0" customHeight="1">
      <c r="A63" s="363" t="s">
        <v>64</v>
      </c>
      <c r="B63" s="104">
        <f t="shared" ref="B63:M63" si="17">9400+1890</f>
        <v>11290</v>
      </c>
      <c r="C63" s="104">
        <f t="shared" si="17"/>
        <v>11290</v>
      </c>
      <c r="D63" s="104">
        <f t="shared" si="17"/>
        <v>11290</v>
      </c>
      <c r="E63" s="104">
        <f t="shared" si="17"/>
        <v>11290</v>
      </c>
      <c r="F63" s="104">
        <f t="shared" si="17"/>
        <v>11290</v>
      </c>
      <c r="G63" s="104">
        <f t="shared" si="17"/>
        <v>11290</v>
      </c>
      <c r="H63" s="104">
        <f t="shared" si="17"/>
        <v>11290</v>
      </c>
      <c r="I63" s="104">
        <f t="shared" si="17"/>
        <v>11290</v>
      </c>
      <c r="J63" s="104">
        <f t="shared" si="17"/>
        <v>11290</v>
      </c>
      <c r="K63" s="104">
        <f t="shared" si="17"/>
        <v>11290</v>
      </c>
      <c r="L63" s="104">
        <f t="shared" si="17"/>
        <v>11290</v>
      </c>
      <c r="M63" s="104">
        <f t="shared" si="17"/>
        <v>11290</v>
      </c>
      <c r="N63" s="17">
        <f t="shared" si="15"/>
        <v>135480</v>
      </c>
      <c r="O63" s="153"/>
      <c r="P63" s="153"/>
    </row>
    <row r="64" ht="15.0" customHeight="1">
      <c r="A64" s="366" t="s">
        <v>65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17">
        <f t="shared" si="15"/>
        <v>0</v>
      </c>
      <c r="O64" s="153"/>
      <c r="P64" s="153"/>
    </row>
    <row r="65" ht="15.0" customHeight="1">
      <c r="A65" s="363" t="s">
        <v>66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17">
        <f t="shared" si="15"/>
        <v>0</v>
      </c>
      <c r="O65" s="153"/>
      <c r="P65" s="153"/>
    </row>
    <row r="66" ht="15.0" customHeight="1">
      <c r="A66" s="363" t="s">
        <v>67</v>
      </c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17">
        <f t="shared" si="15"/>
        <v>0</v>
      </c>
      <c r="O66" s="153"/>
      <c r="P66" s="153"/>
    </row>
    <row r="67" ht="15.0" customHeight="1">
      <c r="A67" s="369" t="s">
        <v>68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17">
        <f t="shared" si="15"/>
        <v>0</v>
      </c>
      <c r="O67" s="153"/>
      <c r="P67" s="153"/>
    </row>
    <row r="68" ht="15.0" customHeight="1">
      <c r="A68" s="369" t="s">
        <v>69</v>
      </c>
      <c r="B68" s="28"/>
      <c r="C68" s="28"/>
      <c r="D68" s="28"/>
      <c r="E68" s="28"/>
      <c r="F68" s="92"/>
      <c r="G68" s="92"/>
      <c r="H68" s="92"/>
      <c r="I68" s="28"/>
      <c r="J68" s="28"/>
      <c r="K68" s="28"/>
      <c r="L68" s="28"/>
      <c r="M68" s="28"/>
      <c r="N68" s="17">
        <f t="shared" si="15"/>
        <v>0</v>
      </c>
      <c r="O68" s="153"/>
      <c r="P68" s="153"/>
    </row>
    <row r="69" ht="15.0" customHeight="1">
      <c r="A69" s="361" t="s">
        <v>245</v>
      </c>
      <c r="B69" s="28"/>
      <c r="C69" s="87"/>
      <c r="D69" s="28"/>
      <c r="E69" s="28"/>
      <c r="F69" s="28"/>
      <c r="G69" s="28"/>
      <c r="H69" s="28"/>
      <c r="I69" s="28"/>
      <c r="J69" s="87"/>
      <c r="K69" s="87"/>
      <c r="L69" s="87"/>
      <c r="M69" s="87"/>
      <c r="N69" s="17">
        <f t="shared" si="15"/>
        <v>0</v>
      </c>
      <c r="O69" s="153"/>
      <c r="P69" s="153"/>
    </row>
    <row r="70" ht="15.0" customHeight="1">
      <c r="A70" s="364" t="s">
        <v>23</v>
      </c>
      <c r="B70" s="28">
        <f t="shared" ref="B70:M70" si="18">SUM(B54:B69)</f>
        <v>15584.5</v>
      </c>
      <c r="C70" s="28">
        <f t="shared" si="18"/>
        <v>16109.5</v>
      </c>
      <c r="D70" s="28">
        <f t="shared" si="18"/>
        <v>16109.5</v>
      </c>
      <c r="E70" s="28">
        <f t="shared" si="18"/>
        <v>16109.5</v>
      </c>
      <c r="F70" s="28">
        <f t="shared" si="18"/>
        <v>16109.5</v>
      </c>
      <c r="G70" s="28">
        <f t="shared" si="18"/>
        <v>16109.5</v>
      </c>
      <c r="H70" s="28">
        <f t="shared" si="18"/>
        <v>16109.5</v>
      </c>
      <c r="I70" s="28">
        <f t="shared" si="18"/>
        <v>16109.5</v>
      </c>
      <c r="J70" s="28">
        <f t="shared" si="18"/>
        <v>16109.5</v>
      </c>
      <c r="K70" s="28">
        <f t="shared" si="18"/>
        <v>16109.5</v>
      </c>
      <c r="L70" s="28">
        <f t="shared" si="18"/>
        <v>16109.5</v>
      </c>
      <c r="M70" s="28">
        <f t="shared" si="18"/>
        <v>16109.5</v>
      </c>
      <c r="N70" s="28">
        <f>SUM(N54:N66)</f>
        <v>192789</v>
      </c>
      <c r="O70" s="175"/>
      <c r="P70" s="175"/>
    </row>
    <row r="71" ht="15.0" customHeight="1">
      <c r="A71" s="354" t="s">
        <v>71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170"/>
      <c r="P71" s="170"/>
    </row>
    <row r="72" ht="15.0" customHeight="1">
      <c r="A72" s="366" t="s">
        <v>138</v>
      </c>
      <c r="B72" s="87">
        <v>0.0</v>
      </c>
      <c r="C72" s="87">
        <v>0.0</v>
      </c>
      <c r="D72" s="87">
        <v>0.0</v>
      </c>
      <c r="E72" s="87">
        <v>0.0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0.0</v>
      </c>
      <c r="L72" s="87">
        <v>0.0</v>
      </c>
      <c r="M72" s="87">
        <v>0.0</v>
      </c>
      <c r="N72" s="17">
        <f t="shared" ref="N72:N83" si="19">SUM(B72:M72)</f>
        <v>0</v>
      </c>
      <c r="O72" s="153"/>
      <c r="P72" s="153"/>
    </row>
    <row r="73" ht="15.0" customHeight="1">
      <c r="A73" s="363" t="s">
        <v>73</v>
      </c>
      <c r="B73" s="87">
        <v>0.0</v>
      </c>
      <c r="C73" s="87">
        <v>0.0</v>
      </c>
      <c r="D73" s="87">
        <v>0.0</v>
      </c>
      <c r="E73" s="87">
        <v>0.0</v>
      </c>
      <c r="F73" s="87">
        <v>0.0</v>
      </c>
      <c r="G73" s="87">
        <v>0.0</v>
      </c>
      <c r="H73" s="87">
        <v>0.0</v>
      </c>
      <c r="I73" s="87">
        <v>0.0</v>
      </c>
      <c r="J73" s="87">
        <v>0.0</v>
      </c>
      <c r="K73" s="87">
        <v>0.0</v>
      </c>
      <c r="L73" s="87">
        <v>0.0</v>
      </c>
      <c r="M73" s="87">
        <v>0.0</v>
      </c>
      <c r="N73" s="17">
        <f t="shared" si="19"/>
        <v>0</v>
      </c>
      <c r="O73" s="153"/>
      <c r="P73" s="153"/>
    </row>
    <row r="74" ht="15.0" customHeight="1">
      <c r="A74" s="366" t="s">
        <v>139</v>
      </c>
      <c r="B74" s="87">
        <v>312.5</v>
      </c>
      <c r="C74" s="87">
        <v>312.5</v>
      </c>
      <c r="D74" s="87">
        <v>312.5</v>
      </c>
      <c r="E74" s="87">
        <v>312.5</v>
      </c>
      <c r="F74" s="87">
        <v>312.5</v>
      </c>
      <c r="G74" s="87">
        <v>312.5</v>
      </c>
      <c r="H74" s="87">
        <v>312.5</v>
      </c>
      <c r="I74" s="87">
        <v>312.5</v>
      </c>
      <c r="J74" s="87">
        <v>312.5</v>
      </c>
      <c r="K74" s="87">
        <v>312.5</v>
      </c>
      <c r="L74" s="87">
        <v>312.5</v>
      </c>
      <c r="M74" s="87">
        <v>312.5</v>
      </c>
      <c r="N74" s="17">
        <f t="shared" si="19"/>
        <v>3750</v>
      </c>
      <c r="O74" s="153"/>
      <c r="P74" s="153"/>
    </row>
    <row r="75" ht="15.0" customHeight="1">
      <c r="A75" s="363" t="s">
        <v>137</v>
      </c>
      <c r="B75" s="46"/>
      <c r="C75" s="46"/>
      <c r="D75" s="46"/>
      <c r="E75" s="46"/>
      <c r="G75" s="46"/>
      <c r="H75" s="46"/>
      <c r="I75" s="46"/>
      <c r="J75" s="46"/>
      <c r="K75" s="46"/>
      <c r="L75" s="46"/>
      <c r="M75" s="46"/>
      <c r="N75" s="17">
        <f t="shared" si="19"/>
        <v>0</v>
      </c>
      <c r="O75" s="153"/>
      <c r="P75" s="153"/>
    </row>
    <row r="76" ht="15.0" customHeight="1">
      <c r="A76" s="366" t="s">
        <v>136</v>
      </c>
      <c r="B76" s="46"/>
      <c r="C76" s="46"/>
      <c r="D76" s="46"/>
      <c r="E76" s="46"/>
      <c r="F76" s="87">
        <v>0.0</v>
      </c>
      <c r="G76" s="46"/>
      <c r="H76" s="46"/>
      <c r="I76" s="46"/>
      <c r="J76" s="46"/>
      <c r="K76" s="46"/>
      <c r="L76" s="46"/>
      <c r="M76" s="46"/>
      <c r="N76" s="17">
        <f t="shared" si="19"/>
        <v>0</v>
      </c>
      <c r="O76" s="153"/>
      <c r="P76" s="153"/>
    </row>
    <row r="77" ht="15.0" customHeight="1">
      <c r="A77" s="366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17">
        <f t="shared" si="19"/>
        <v>0</v>
      </c>
      <c r="O77" s="153"/>
      <c r="P77" s="153"/>
    </row>
    <row r="78" ht="15.0" customHeight="1">
      <c r="A78" s="363" t="s">
        <v>140</v>
      </c>
      <c r="B78" s="87">
        <v>0.0</v>
      </c>
      <c r="C78" s="87">
        <v>0.0</v>
      </c>
      <c r="D78" s="87">
        <v>0.0</v>
      </c>
      <c r="E78" s="87">
        <v>0.0</v>
      </c>
      <c r="F78" s="87">
        <v>0.0</v>
      </c>
      <c r="G78" s="87">
        <v>0.0</v>
      </c>
      <c r="H78" s="87">
        <v>0.0</v>
      </c>
      <c r="I78" s="87">
        <v>0.0</v>
      </c>
      <c r="J78" s="87">
        <v>0.0</v>
      </c>
      <c r="K78" s="87">
        <v>0.0</v>
      </c>
      <c r="L78" s="87">
        <v>0.0</v>
      </c>
      <c r="M78" s="87">
        <v>0.0</v>
      </c>
      <c r="N78" s="17">
        <f t="shared" si="19"/>
        <v>0</v>
      </c>
      <c r="O78" s="153"/>
      <c r="P78" s="153"/>
    </row>
    <row r="79" ht="15.0" customHeight="1">
      <c r="A79" s="363" t="s">
        <v>141</v>
      </c>
      <c r="B79" s="87">
        <v>198.33</v>
      </c>
      <c r="C79" s="87">
        <v>1087.825</v>
      </c>
      <c r="D79" s="87">
        <v>1087.825</v>
      </c>
      <c r="E79" s="87">
        <v>1087.825</v>
      </c>
      <c r="F79" s="87">
        <v>1087.825</v>
      </c>
      <c r="G79" s="87">
        <v>1087.825</v>
      </c>
      <c r="H79" s="87">
        <v>1087.825</v>
      </c>
      <c r="I79" s="87">
        <v>1087.825</v>
      </c>
      <c r="J79" s="87">
        <v>1087.825</v>
      </c>
      <c r="K79" s="87">
        <v>1087.825</v>
      </c>
      <c r="L79" s="87">
        <v>1087.825</v>
      </c>
      <c r="M79" s="87">
        <v>1087.825</v>
      </c>
      <c r="N79" s="17">
        <f t="shared" si="19"/>
        <v>12164.405</v>
      </c>
      <c r="O79" s="153"/>
      <c r="P79" s="153"/>
    </row>
    <row r="80" ht="15.0" customHeight="1">
      <c r="A80" s="370" t="s">
        <v>79</v>
      </c>
      <c r="B80" s="87">
        <v>250.0</v>
      </c>
      <c r="C80" s="87">
        <v>250.0</v>
      </c>
      <c r="D80" s="87">
        <v>250.0</v>
      </c>
      <c r="E80" s="87">
        <v>250.0</v>
      </c>
      <c r="F80" s="87">
        <v>250.0</v>
      </c>
      <c r="G80" s="87">
        <v>250.0</v>
      </c>
      <c r="H80" s="87">
        <v>250.0</v>
      </c>
      <c r="I80" s="87">
        <v>250.0</v>
      </c>
      <c r="J80" s="87">
        <v>250.0</v>
      </c>
      <c r="K80" s="87">
        <v>250.0</v>
      </c>
      <c r="L80" s="87">
        <v>250.0</v>
      </c>
      <c r="M80" s="87">
        <v>250.0</v>
      </c>
      <c r="N80" s="17">
        <f t="shared" si="19"/>
        <v>3000</v>
      </c>
      <c r="O80" s="153"/>
      <c r="P80" s="153"/>
    </row>
    <row r="81" ht="15.0" customHeight="1">
      <c r="A81" s="371" t="s">
        <v>80</v>
      </c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17">
        <f t="shared" si="19"/>
        <v>0</v>
      </c>
      <c r="O81" s="153"/>
      <c r="P81" s="153"/>
    </row>
    <row r="82" ht="15.0" customHeight="1">
      <c r="A82" s="364" t="s">
        <v>23</v>
      </c>
      <c r="B82" s="28">
        <f t="shared" ref="B82:M82" si="20">SUM(B72:B81)</f>
        <v>760.83</v>
      </c>
      <c r="C82" s="28">
        <f t="shared" si="20"/>
        <v>1650.325</v>
      </c>
      <c r="D82" s="28">
        <f t="shared" si="20"/>
        <v>1650.325</v>
      </c>
      <c r="E82" s="28">
        <f t="shared" si="20"/>
        <v>1650.325</v>
      </c>
      <c r="F82" s="28">
        <f t="shared" si="20"/>
        <v>1650.325</v>
      </c>
      <c r="G82" s="28">
        <f t="shared" si="20"/>
        <v>1650.325</v>
      </c>
      <c r="H82" s="28">
        <f t="shared" si="20"/>
        <v>1650.325</v>
      </c>
      <c r="I82" s="28">
        <f t="shared" si="20"/>
        <v>1650.325</v>
      </c>
      <c r="J82" s="28">
        <f t="shared" si="20"/>
        <v>1650.325</v>
      </c>
      <c r="K82" s="28">
        <f t="shared" si="20"/>
        <v>1650.325</v>
      </c>
      <c r="L82" s="28">
        <f t="shared" si="20"/>
        <v>1650.325</v>
      </c>
      <c r="M82" s="28">
        <f t="shared" si="20"/>
        <v>1650.325</v>
      </c>
      <c r="N82" s="44">
        <f t="shared" si="19"/>
        <v>18914.405</v>
      </c>
      <c r="O82" s="174"/>
      <c r="P82" s="174"/>
    </row>
    <row r="83" ht="15.0" customHeight="1">
      <c r="A83" s="372" t="s">
        <v>81</v>
      </c>
      <c r="B83" s="28">
        <f t="shared" ref="B83:M83" si="21">B52+B70+B82</f>
        <v>25394.24</v>
      </c>
      <c r="C83" s="28">
        <f t="shared" si="21"/>
        <v>26808.735</v>
      </c>
      <c r="D83" s="28">
        <f t="shared" si="21"/>
        <v>26808.735</v>
      </c>
      <c r="E83" s="28">
        <f t="shared" si="21"/>
        <v>26808.735</v>
      </c>
      <c r="F83" s="28">
        <f t="shared" si="21"/>
        <v>26908.485</v>
      </c>
      <c r="G83" s="28">
        <f t="shared" si="21"/>
        <v>26908.485</v>
      </c>
      <c r="H83" s="28">
        <f t="shared" si="21"/>
        <v>26908.485</v>
      </c>
      <c r="I83" s="28">
        <f t="shared" si="21"/>
        <v>26908.485</v>
      </c>
      <c r="J83" s="28">
        <f t="shared" si="21"/>
        <v>26908.485</v>
      </c>
      <c r="K83" s="28">
        <f t="shared" si="21"/>
        <v>26908.485</v>
      </c>
      <c r="L83" s="28">
        <f t="shared" si="21"/>
        <v>26908.485</v>
      </c>
      <c r="M83" s="28">
        <f t="shared" si="21"/>
        <v>26908.485</v>
      </c>
      <c r="N83" s="44">
        <f t="shared" si="19"/>
        <v>321088.325</v>
      </c>
      <c r="O83" s="174"/>
      <c r="P83" s="174"/>
    </row>
    <row r="84" ht="15.0" customHeight="1">
      <c r="A84" s="372" t="s">
        <v>82</v>
      </c>
      <c r="B84" s="46">
        <f t="shared" ref="B84:N84" si="22">B83/B112</f>
        <v>298.7557647</v>
      </c>
      <c r="C84" s="46">
        <f t="shared" si="22"/>
        <v>315.3968824</v>
      </c>
      <c r="D84" s="46">
        <f t="shared" si="22"/>
        <v>282.1972105</v>
      </c>
      <c r="E84" s="46">
        <f t="shared" si="22"/>
        <v>255.3212857</v>
      </c>
      <c r="F84" s="46">
        <f t="shared" si="22"/>
        <v>233.9868261</v>
      </c>
      <c r="G84" s="46">
        <f t="shared" si="22"/>
        <v>224.237375</v>
      </c>
      <c r="H84" s="46">
        <f t="shared" si="22"/>
        <v>199.3221111</v>
      </c>
      <c r="I84" s="46">
        <f t="shared" si="22"/>
        <v>215.26788</v>
      </c>
      <c r="J84" s="46">
        <f t="shared" si="22"/>
        <v>192.2034643</v>
      </c>
      <c r="K84" s="46">
        <f t="shared" si="22"/>
        <v>215.26788</v>
      </c>
      <c r="L84" s="46">
        <f t="shared" si="22"/>
        <v>215.26788</v>
      </c>
      <c r="M84" s="46">
        <f t="shared" si="22"/>
        <v>199.3221111</v>
      </c>
      <c r="N84" s="289">
        <f t="shared" si="22"/>
        <v>230.998795</v>
      </c>
      <c r="O84" s="290"/>
      <c r="P84" s="290"/>
    </row>
    <row r="85" ht="15.0" customHeight="1">
      <c r="A85" s="354" t="s">
        <v>83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170"/>
      <c r="P85" s="170"/>
    </row>
    <row r="86" ht="15.0" customHeight="1">
      <c r="A86" s="355" t="s">
        <v>84</v>
      </c>
      <c r="B86" s="87">
        <v>420.0</v>
      </c>
      <c r="C86" s="87">
        <v>420.0</v>
      </c>
      <c r="D86" s="87">
        <v>420.0</v>
      </c>
      <c r="E86" s="87">
        <v>420.0</v>
      </c>
      <c r="F86" s="87">
        <v>420.0</v>
      </c>
      <c r="G86" s="87">
        <v>420.0</v>
      </c>
      <c r="H86" s="87">
        <v>420.0</v>
      </c>
      <c r="I86" s="87">
        <v>420.0</v>
      </c>
      <c r="J86" s="87">
        <v>420.0</v>
      </c>
      <c r="K86" s="87">
        <v>420.0</v>
      </c>
      <c r="L86" s="87">
        <v>420.0</v>
      </c>
      <c r="M86" s="87">
        <v>420.0</v>
      </c>
      <c r="N86" s="17">
        <f t="shared" ref="N86:N89" si="23">SUM(B86:M86)</f>
        <v>5040</v>
      </c>
      <c r="O86" s="153"/>
      <c r="P86" s="153"/>
    </row>
    <row r="87" ht="15.0" customHeight="1">
      <c r="A87" s="355" t="s">
        <v>142</v>
      </c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17">
        <f t="shared" si="23"/>
        <v>0</v>
      </c>
      <c r="O87" s="153"/>
      <c r="P87" s="153"/>
    </row>
    <row r="88" ht="15.0" customHeight="1">
      <c r="A88" s="362"/>
      <c r="B88" s="28"/>
      <c r="C88" s="28"/>
      <c r="D88" s="28"/>
      <c r="E88" s="87"/>
      <c r="F88" s="28"/>
      <c r="G88" s="28"/>
      <c r="H88" s="28"/>
      <c r="I88" s="28"/>
      <c r="J88" s="28"/>
      <c r="K88" s="28"/>
      <c r="L88" s="87"/>
      <c r="M88" s="87"/>
      <c r="N88" s="17">
        <f t="shared" si="23"/>
        <v>0</v>
      </c>
      <c r="O88" s="153"/>
      <c r="P88" s="153"/>
    </row>
    <row r="89" ht="15.0" customHeight="1">
      <c r="A89" s="364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17">
        <f t="shared" si="23"/>
        <v>0</v>
      </c>
      <c r="O89" s="153"/>
      <c r="P89" s="153"/>
    </row>
    <row r="90" ht="15.0" customHeight="1">
      <c r="A90" s="364" t="s">
        <v>23</v>
      </c>
      <c r="B90" s="28">
        <f t="shared" ref="B90:D90" si="24">B86</f>
        <v>420</v>
      </c>
      <c r="C90" s="28">
        <f t="shared" si="24"/>
        <v>420</v>
      </c>
      <c r="D90" s="28">
        <f t="shared" si="24"/>
        <v>420</v>
      </c>
      <c r="E90" s="28">
        <f>SUM(E86:E89)</f>
        <v>420</v>
      </c>
      <c r="F90" s="28">
        <f t="shared" ref="F90:K90" si="25">F86</f>
        <v>420</v>
      </c>
      <c r="G90" s="28">
        <f t="shared" si="25"/>
        <v>420</v>
      </c>
      <c r="H90" s="28">
        <f t="shared" si="25"/>
        <v>420</v>
      </c>
      <c r="I90" s="28">
        <f t="shared" si="25"/>
        <v>420</v>
      </c>
      <c r="J90" s="28">
        <f t="shared" si="25"/>
        <v>420</v>
      </c>
      <c r="K90" s="28">
        <f t="shared" si="25"/>
        <v>420</v>
      </c>
      <c r="L90" s="28">
        <f>SUM(L86:L89)</f>
        <v>420</v>
      </c>
      <c r="M90" s="28">
        <f>M86</f>
        <v>420</v>
      </c>
      <c r="N90" s="28">
        <f>SUM(N86:N89)</f>
        <v>5040</v>
      </c>
      <c r="O90" s="175"/>
      <c r="P90" s="175"/>
    </row>
    <row r="91" ht="15.0" customHeight="1">
      <c r="A91" s="360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170"/>
      <c r="P91" s="170"/>
    </row>
    <row r="92" ht="15.0" customHeight="1">
      <c r="A92" s="363" t="s">
        <v>89</v>
      </c>
      <c r="B92" s="373">
        <f>PRODUCTION!Y18</f>
        <v>650</v>
      </c>
      <c r="C92" s="374">
        <f>PRODUCTION!Y19</f>
        <v>650</v>
      </c>
      <c r="D92" s="374">
        <f>PRODUCTION!Y20</f>
        <v>650</v>
      </c>
      <c r="E92" s="374">
        <f>PRODUCTION!Y21</f>
        <v>650</v>
      </c>
      <c r="F92" s="374">
        <f>PRODUCTION!Y22</f>
        <v>650</v>
      </c>
      <c r="G92" s="374">
        <f>PRODUCTION!Y23</f>
        <v>650</v>
      </c>
      <c r="H92" s="374">
        <f>PRODUCTION!Y24</f>
        <v>650</v>
      </c>
      <c r="I92" s="374">
        <f>PRODUCTION!Y25</f>
        <v>650</v>
      </c>
      <c r="J92" s="374">
        <f>PRODUCTION!Y26</f>
        <v>650</v>
      </c>
      <c r="K92" s="374">
        <f>PRODUCTION!Y27</f>
        <v>650</v>
      </c>
      <c r="L92" s="374">
        <f>PRODUCTION!Y28</f>
        <v>650</v>
      </c>
      <c r="M92" s="374">
        <f>PRODUCTION!Y29</f>
        <v>650</v>
      </c>
      <c r="N92" s="17">
        <f t="shared" ref="N92:N106" si="26">SUM(B92:M92)</f>
        <v>7800</v>
      </c>
      <c r="O92" s="153"/>
      <c r="P92" s="153"/>
    </row>
    <row r="93" ht="15.0" customHeight="1">
      <c r="A93" s="363" t="s">
        <v>90</v>
      </c>
      <c r="B93" s="46"/>
      <c r="C93" s="87"/>
      <c r="D93" s="87"/>
      <c r="E93" s="87"/>
      <c r="F93" s="87"/>
      <c r="G93" s="46"/>
      <c r="H93" s="46"/>
      <c r="I93" s="46"/>
      <c r="J93" s="46"/>
      <c r="K93" s="87"/>
      <c r="L93" s="46"/>
      <c r="M93" s="87"/>
      <c r="N93" s="17">
        <f t="shared" si="26"/>
        <v>0</v>
      </c>
      <c r="O93" s="153"/>
      <c r="P93" s="153"/>
    </row>
    <row r="94" ht="15.0" customHeight="1">
      <c r="A94" s="363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17">
        <f t="shared" si="26"/>
        <v>2360</v>
      </c>
      <c r="O94" s="153"/>
      <c r="P94" s="153"/>
    </row>
    <row r="95" ht="15.0" customHeight="1">
      <c r="A95" s="363" t="s">
        <v>92</v>
      </c>
      <c r="B95" s="97">
        <v>200.0</v>
      </c>
      <c r="C95" s="97">
        <f>200+60.75</f>
        <v>260.75</v>
      </c>
      <c r="D95" s="105">
        <v>0.0</v>
      </c>
      <c r="E95" s="105">
        <v>0.0</v>
      </c>
      <c r="F95" s="104">
        <v>150.0</v>
      </c>
      <c r="G95" s="97">
        <f>150+167</f>
        <v>317</v>
      </c>
      <c r="H95" s="97">
        <v>0.0</v>
      </c>
      <c r="I95" s="104">
        <v>104.251</v>
      </c>
      <c r="J95" s="97">
        <v>200.0</v>
      </c>
      <c r="K95" s="104">
        <v>182.01</v>
      </c>
      <c r="L95" s="97">
        <v>200.0</v>
      </c>
      <c r="M95" s="97">
        <v>200.0</v>
      </c>
      <c r="N95" s="17">
        <f t="shared" si="26"/>
        <v>1814.011</v>
      </c>
      <c r="O95" s="153"/>
      <c r="P95" s="153"/>
    </row>
    <row r="96" ht="15.0" customHeight="1">
      <c r="A96" s="366" t="s">
        <v>143</v>
      </c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17">
        <f t="shared" si="26"/>
        <v>0</v>
      </c>
      <c r="O96" s="153"/>
      <c r="P96" s="153"/>
    </row>
    <row r="97" ht="15.0" customHeight="1">
      <c r="A97" s="366" t="s">
        <v>94</v>
      </c>
      <c r="B97" s="46"/>
      <c r="C97" s="46"/>
      <c r="D97" s="46"/>
      <c r="E97" s="87"/>
      <c r="F97" s="87"/>
      <c r="G97" s="87"/>
      <c r="H97" s="87"/>
      <c r="I97" s="87"/>
      <c r="J97" s="87"/>
      <c r="K97" s="87"/>
      <c r="L97" s="87"/>
      <c r="M97" s="87"/>
      <c r="N97" s="17">
        <f t="shared" si="26"/>
        <v>0</v>
      </c>
      <c r="O97" s="153"/>
      <c r="P97" s="153"/>
    </row>
    <row r="98" ht="15.0" customHeight="1">
      <c r="A98" s="366" t="s">
        <v>95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17">
        <f t="shared" si="26"/>
        <v>0</v>
      </c>
      <c r="O98" s="153"/>
      <c r="P98" s="153"/>
    </row>
    <row r="99" ht="15.0" customHeight="1">
      <c r="A99" s="363" t="s">
        <v>96</v>
      </c>
      <c r="B99" s="87">
        <v>0.0</v>
      </c>
      <c r="C99" s="87">
        <v>0.0</v>
      </c>
      <c r="D99" s="87">
        <v>0.0</v>
      </c>
      <c r="E99" s="87">
        <v>0.0</v>
      </c>
      <c r="F99" s="87">
        <v>0.0</v>
      </c>
      <c r="G99" s="87">
        <v>0.0</v>
      </c>
      <c r="H99" s="87">
        <v>0.0</v>
      </c>
      <c r="I99" s="87">
        <v>0.0</v>
      </c>
      <c r="J99" s="87">
        <v>0.0</v>
      </c>
      <c r="K99" s="87">
        <v>0.0</v>
      </c>
      <c r="L99" s="87">
        <v>0.0</v>
      </c>
      <c r="M99" s="87">
        <v>0.0</v>
      </c>
      <c r="N99" s="17">
        <f t="shared" si="26"/>
        <v>0</v>
      </c>
      <c r="O99" s="153"/>
      <c r="P99" s="153"/>
    </row>
    <row r="100" ht="15.0" customHeight="1">
      <c r="A100" s="363" t="s">
        <v>97</v>
      </c>
      <c r="B100" s="46"/>
      <c r="C100" s="46"/>
      <c r="D100" s="46"/>
      <c r="E100" s="87"/>
      <c r="F100" s="46"/>
      <c r="G100" s="46"/>
      <c r="H100" s="46"/>
      <c r="I100" s="46"/>
      <c r="J100" s="46"/>
      <c r="K100" s="46"/>
      <c r="L100" s="46"/>
      <c r="M100" s="46"/>
      <c r="N100" s="17">
        <f t="shared" si="26"/>
        <v>0</v>
      </c>
      <c r="O100" s="153"/>
      <c r="P100" s="153"/>
    </row>
    <row r="101" ht="15.0" customHeight="1">
      <c r="A101" s="366" t="s">
        <v>98</v>
      </c>
      <c r="B101" s="87">
        <v>0.0</v>
      </c>
      <c r="C101" s="87">
        <v>0.0</v>
      </c>
      <c r="D101" s="87">
        <v>0.0</v>
      </c>
      <c r="E101" s="87">
        <v>0.0</v>
      </c>
      <c r="F101" s="87">
        <v>0.0</v>
      </c>
      <c r="G101" s="87">
        <v>0.0</v>
      </c>
      <c r="H101" s="87">
        <v>0.0</v>
      </c>
      <c r="I101" s="87">
        <v>0.0</v>
      </c>
      <c r="J101" s="87">
        <v>0.0</v>
      </c>
      <c r="K101" s="87">
        <v>0.0</v>
      </c>
      <c r="L101" s="87">
        <v>0.0</v>
      </c>
      <c r="M101" s="87">
        <v>0.0</v>
      </c>
      <c r="N101" s="17">
        <f t="shared" si="26"/>
        <v>0</v>
      </c>
      <c r="O101" s="153"/>
      <c r="P101" s="153"/>
    </row>
    <row r="102" ht="15.0" customHeight="1">
      <c r="A102" s="363" t="s">
        <v>99</v>
      </c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17">
        <f t="shared" si="26"/>
        <v>0</v>
      </c>
      <c r="O102" s="153"/>
      <c r="P102" s="153"/>
    </row>
    <row r="103" ht="15.0" customHeight="1">
      <c r="A103" s="366" t="s">
        <v>100</v>
      </c>
      <c r="B103" s="87">
        <v>100.0</v>
      </c>
      <c r="C103" s="87">
        <v>217.5</v>
      </c>
      <c r="D103" s="87">
        <f>100+113.64</f>
        <v>213.64</v>
      </c>
      <c r="E103" s="87">
        <v>100.0</v>
      </c>
      <c r="F103" s="87">
        <v>100.0</v>
      </c>
      <c r="G103" s="87">
        <v>590.0</v>
      </c>
      <c r="H103" s="87">
        <v>590.0</v>
      </c>
      <c r="I103" s="87">
        <v>100.0</v>
      </c>
      <c r="J103" s="87">
        <f>435+100</f>
        <v>535</v>
      </c>
      <c r="K103" s="87">
        <v>100.0</v>
      </c>
      <c r="L103" s="87">
        <v>100.0</v>
      </c>
      <c r="M103" s="87">
        <v>100.0</v>
      </c>
      <c r="N103" s="17">
        <f t="shared" si="26"/>
        <v>2846.14</v>
      </c>
      <c r="O103" s="153"/>
      <c r="P103" s="153"/>
    </row>
    <row r="104" ht="15.0" customHeight="1">
      <c r="A104" s="27" t="s">
        <v>101</v>
      </c>
      <c r="B104" s="87">
        <v>175.0</v>
      </c>
      <c r="C104" s="87">
        <v>175.0</v>
      </c>
      <c r="D104" s="87">
        <v>175.0</v>
      </c>
      <c r="E104" s="87">
        <v>175.0</v>
      </c>
      <c r="F104" s="87">
        <v>175.0</v>
      </c>
      <c r="G104" s="87">
        <v>175.0</v>
      </c>
      <c r="H104" s="87">
        <v>175.0</v>
      </c>
      <c r="I104" s="87">
        <v>175.0</v>
      </c>
      <c r="J104" s="87">
        <v>175.0</v>
      </c>
      <c r="K104" s="87">
        <v>175.0</v>
      </c>
      <c r="L104" s="87">
        <v>175.0</v>
      </c>
      <c r="M104" s="87">
        <v>175.0</v>
      </c>
      <c r="N104" s="17">
        <f t="shared" si="26"/>
        <v>2100</v>
      </c>
      <c r="O104" s="153"/>
      <c r="P104" s="153"/>
    </row>
    <row r="105" ht="15.0" customHeight="1">
      <c r="A105" s="363" t="s">
        <v>102</v>
      </c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17">
        <f t="shared" si="26"/>
        <v>0</v>
      </c>
      <c r="O105" s="153"/>
      <c r="P105" s="153"/>
    </row>
    <row r="106" ht="15.0" customHeight="1">
      <c r="A106" s="361" t="s">
        <v>280</v>
      </c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17">
        <f t="shared" si="26"/>
        <v>0</v>
      </c>
      <c r="O106" s="153"/>
      <c r="P106" s="153"/>
    </row>
    <row r="107" ht="15.0" customHeight="1">
      <c r="A107" s="364" t="s">
        <v>23</v>
      </c>
      <c r="B107" s="28">
        <f t="shared" ref="B107:N107" si="27">SUM(B92:B106)</f>
        <v>1305</v>
      </c>
      <c r="C107" s="28">
        <f t="shared" si="27"/>
        <v>1483.25</v>
      </c>
      <c r="D107" s="28">
        <f t="shared" si="27"/>
        <v>1218.64</v>
      </c>
      <c r="E107" s="28">
        <f t="shared" si="27"/>
        <v>1105</v>
      </c>
      <c r="F107" s="28">
        <f t="shared" si="27"/>
        <v>1255</v>
      </c>
      <c r="G107" s="28">
        <f t="shared" si="27"/>
        <v>1912</v>
      </c>
      <c r="H107" s="28">
        <f t="shared" si="27"/>
        <v>1595</v>
      </c>
      <c r="I107" s="28">
        <f t="shared" si="27"/>
        <v>1209.251</v>
      </c>
      <c r="J107" s="28">
        <f t="shared" si="27"/>
        <v>1740</v>
      </c>
      <c r="K107" s="28">
        <f t="shared" si="27"/>
        <v>1487.01</v>
      </c>
      <c r="L107" s="28">
        <f t="shared" si="27"/>
        <v>1305</v>
      </c>
      <c r="M107" s="28">
        <f t="shared" si="27"/>
        <v>1305</v>
      </c>
      <c r="N107" s="28">
        <f t="shared" si="27"/>
        <v>16920.151</v>
      </c>
      <c r="O107" s="175"/>
      <c r="P107" s="175"/>
    </row>
    <row r="108" ht="15.0" customHeight="1">
      <c r="A108" s="364" t="s">
        <v>104</v>
      </c>
      <c r="B108" s="107">
        <v>-24233.13</v>
      </c>
      <c r="C108" s="108">
        <v>-28126.21</v>
      </c>
      <c r="D108" s="108">
        <v>-17488.55</v>
      </c>
      <c r="E108" s="108">
        <v>-51556.99</v>
      </c>
      <c r="F108" s="108">
        <v>-25407.96</v>
      </c>
      <c r="G108" s="108">
        <v>-22531.46</v>
      </c>
      <c r="H108" s="108">
        <v>-30974.77</v>
      </c>
      <c r="I108" s="108">
        <v>-32587.8</v>
      </c>
      <c r="J108" s="108">
        <v>-28182.04</v>
      </c>
      <c r="K108" s="109">
        <v>-23212.31</v>
      </c>
      <c r="L108" s="109">
        <v>-13097.21</v>
      </c>
      <c r="M108" s="110">
        <v>-19000.0</v>
      </c>
      <c r="N108" s="44">
        <f>SUM(B108:M108)</f>
        <v>-316398.43</v>
      </c>
      <c r="O108" s="375" t="s">
        <v>281</v>
      </c>
      <c r="P108" s="174">
        <f>SUM(N108:N109)</f>
        <v>446703.7829</v>
      </c>
    </row>
    <row r="109" ht="15.0" customHeight="1">
      <c r="A109" s="376" t="s">
        <v>105</v>
      </c>
      <c r="B109" s="50">
        <f t="shared" ref="B109:N109" si="28">B107+B90+B83+B32+B21+B13</f>
        <v>52394.99926</v>
      </c>
      <c r="C109" s="50">
        <f t="shared" si="28"/>
        <v>54037.64831</v>
      </c>
      <c r="D109" s="50">
        <f t="shared" si="28"/>
        <v>59806.26752</v>
      </c>
      <c r="E109" s="50">
        <f t="shared" si="28"/>
        <v>66279.38733</v>
      </c>
      <c r="F109" s="50">
        <f t="shared" si="28"/>
        <v>73602.26352</v>
      </c>
      <c r="G109" s="50">
        <f t="shared" si="28"/>
        <v>73256.66578</v>
      </c>
      <c r="H109" s="50">
        <f t="shared" si="28"/>
        <v>60216.99637</v>
      </c>
      <c r="I109" s="50">
        <f t="shared" si="28"/>
        <v>59831.24737</v>
      </c>
      <c r="J109" s="50">
        <f t="shared" si="28"/>
        <v>57202.53708</v>
      </c>
      <c r="K109" s="50">
        <f t="shared" si="28"/>
        <v>63284.65433</v>
      </c>
      <c r="L109" s="50">
        <f t="shared" si="28"/>
        <v>69204.77303</v>
      </c>
      <c r="M109" s="50">
        <f t="shared" si="28"/>
        <v>73984.77303</v>
      </c>
      <c r="N109" s="50">
        <f t="shared" si="28"/>
        <v>763102.2129</v>
      </c>
      <c r="O109" s="176"/>
      <c r="P109" s="176"/>
    </row>
    <row r="110" ht="15.0" customHeight="1">
      <c r="A110" s="362" t="s">
        <v>106</v>
      </c>
      <c r="B110" s="377">
        <v>60.0</v>
      </c>
      <c r="C110" s="378">
        <v>60.0</v>
      </c>
      <c r="D110" s="378">
        <v>65.0</v>
      </c>
      <c r="E110" s="378">
        <v>75.0</v>
      </c>
      <c r="F110" s="378">
        <v>85.0</v>
      </c>
      <c r="G110" s="378">
        <v>90.0</v>
      </c>
      <c r="H110" s="378">
        <v>100.0</v>
      </c>
      <c r="I110" s="378">
        <v>90.0</v>
      </c>
      <c r="J110" s="378">
        <v>105.0</v>
      </c>
      <c r="K110" s="116">
        <v>95.0</v>
      </c>
      <c r="L110" s="116">
        <v>95.0</v>
      </c>
      <c r="M110" s="116">
        <v>105.0</v>
      </c>
      <c r="N110" s="149">
        <f t="shared" ref="N110:N112" si="29">SUM(B110:M110)</f>
        <v>1025</v>
      </c>
      <c r="O110" s="152"/>
      <c r="P110" s="152"/>
    </row>
    <row r="111" ht="15.0" customHeight="1">
      <c r="A111" s="362" t="s">
        <v>107</v>
      </c>
      <c r="B111" s="378">
        <v>25.0</v>
      </c>
      <c r="C111" s="379">
        <v>25.0</v>
      </c>
      <c r="D111" s="378">
        <v>30.0</v>
      </c>
      <c r="E111" s="378">
        <v>30.0</v>
      </c>
      <c r="F111" s="378">
        <v>30.0</v>
      </c>
      <c r="G111" s="378">
        <v>30.0</v>
      </c>
      <c r="H111" s="378">
        <v>35.0</v>
      </c>
      <c r="I111" s="378">
        <v>35.0</v>
      </c>
      <c r="J111" s="378">
        <v>35.0</v>
      </c>
      <c r="K111" s="120">
        <v>30.0</v>
      </c>
      <c r="L111" s="120">
        <v>30.0</v>
      </c>
      <c r="M111" s="120">
        <v>30.0</v>
      </c>
      <c r="N111" s="149">
        <f t="shared" si="29"/>
        <v>365</v>
      </c>
      <c r="O111" s="152"/>
      <c r="P111" s="152"/>
    </row>
    <row r="112" ht="15.0" customHeight="1">
      <c r="A112" s="364" t="s">
        <v>23</v>
      </c>
      <c r="B112" s="122">
        <f t="shared" ref="B112:M112" si="30">B110+B111</f>
        <v>85</v>
      </c>
      <c r="C112" s="122">
        <f t="shared" si="30"/>
        <v>85</v>
      </c>
      <c r="D112" s="122">
        <f t="shared" si="30"/>
        <v>95</v>
      </c>
      <c r="E112" s="122">
        <f t="shared" si="30"/>
        <v>105</v>
      </c>
      <c r="F112" s="123">
        <f t="shared" si="30"/>
        <v>115</v>
      </c>
      <c r="G112" s="123">
        <f t="shared" si="30"/>
        <v>120</v>
      </c>
      <c r="H112" s="123">
        <f t="shared" si="30"/>
        <v>135</v>
      </c>
      <c r="I112" s="123">
        <f t="shared" si="30"/>
        <v>125</v>
      </c>
      <c r="J112" s="123">
        <f t="shared" si="30"/>
        <v>140</v>
      </c>
      <c r="K112" s="123">
        <f t="shared" si="30"/>
        <v>125</v>
      </c>
      <c r="L112" s="123">
        <f t="shared" si="30"/>
        <v>125</v>
      </c>
      <c r="M112" s="123">
        <f t="shared" si="30"/>
        <v>135</v>
      </c>
      <c r="N112" s="125">
        <f t="shared" si="29"/>
        <v>1390</v>
      </c>
      <c r="O112" s="178"/>
      <c r="P112" s="178"/>
    </row>
    <row r="113" ht="15.0" customHeight="1">
      <c r="A113" s="380" t="s">
        <v>108</v>
      </c>
      <c r="B113" s="58">
        <f t="shared" ref="B113:N113" si="31">B109/B112</f>
        <v>616.411756</v>
      </c>
      <c r="C113" s="58">
        <f t="shared" si="31"/>
        <v>635.7370389</v>
      </c>
      <c r="D113" s="58">
        <f t="shared" si="31"/>
        <v>629.5396581</v>
      </c>
      <c r="E113" s="58">
        <f t="shared" si="31"/>
        <v>631.2322603</v>
      </c>
      <c r="F113" s="58">
        <f t="shared" si="31"/>
        <v>640.0196828</v>
      </c>
      <c r="G113" s="58">
        <f t="shared" si="31"/>
        <v>610.4722148</v>
      </c>
      <c r="H113" s="58">
        <f t="shared" si="31"/>
        <v>446.051825</v>
      </c>
      <c r="I113" s="58">
        <f t="shared" si="31"/>
        <v>478.649979</v>
      </c>
      <c r="J113" s="58">
        <f t="shared" si="31"/>
        <v>408.5895506</v>
      </c>
      <c r="K113" s="58">
        <f t="shared" si="31"/>
        <v>506.2772346</v>
      </c>
      <c r="L113" s="58">
        <f t="shared" si="31"/>
        <v>553.6381842</v>
      </c>
      <c r="M113" s="58">
        <f t="shared" si="31"/>
        <v>548.0353557</v>
      </c>
      <c r="N113" s="179">
        <f t="shared" si="31"/>
        <v>548.9943978</v>
      </c>
      <c r="O113" s="180"/>
      <c r="P113" s="180"/>
    </row>
    <row r="114" ht="15.0" customHeight="1">
      <c r="A114" s="381" t="s">
        <v>109</v>
      </c>
      <c r="B114" s="293"/>
      <c r="C114" s="293"/>
      <c r="D114" s="293"/>
      <c r="E114" s="293"/>
      <c r="F114" s="293"/>
      <c r="G114" s="293"/>
      <c r="H114" s="293"/>
      <c r="I114" s="293"/>
      <c r="J114" s="293"/>
      <c r="K114" s="293"/>
      <c r="L114" s="293"/>
      <c r="M114" s="293"/>
      <c r="N114" s="83"/>
      <c r="O114" s="170"/>
      <c r="P114" s="170"/>
    </row>
    <row r="115" ht="15.0" customHeight="1">
      <c r="A115" s="382" t="s">
        <v>110</v>
      </c>
      <c r="B115" s="46">
        <f t="shared" ref="B115:M115" si="32">395</f>
        <v>395</v>
      </c>
      <c r="C115" s="46">
        <f t="shared" si="32"/>
        <v>395</v>
      </c>
      <c r="D115" s="46">
        <f t="shared" si="32"/>
        <v>395</v>
      </c>
      <c r="E115" s="46">
        <f t="shared" si="32"/>
        <v>395</v>
      </c>
      <c r="F115" s="46">
        <f t="shared" si="32"/>
        <v>395</v>
      </c>
      <c r="G115" s="46">
        <f t="shared" si="32"/>
        <v>395</v>
      </c>
      <c r="H115" s="46">
        <f t="shared" si="32"/>
        <v>395</v>
      </c>
      <c r="I115" s="46">
        <f t="shared" si="32"/>
        <v>395</v>
      </c>
      <c r="J115" s="46">
        <f t="shared" si="32"/>
        <v>395</v>
      </c>
      <c r="K115" s="46">
        <f t="shared" si="32"/>
        <v>395</v>
      </c>
      <c r="L115" s="46">
        <f t="shared" si="32"/>
        <v>395</v>
      </c>
      <c r="M115" s="46">
        <f t="shared" si="32"/>
        <v>395</v>
      </c>
      <c r="N115" s="17">
        <f t="shared" ref="N115:N120" si="33">SUM(B115:M115)</f>
        <v>4740</v>
      </c>
      <c r="O115" s="153"/>
      <c r="P115" s="153"/>
    </row>
    <row r="116" ht="15.0" customHeight="1">
      <c r="A116" s="383" t="s">
        <v>111</v>
      </c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17">
        <f t="shared" si="33"/>
        <v>0</v>
      </c>
      <c r="O116" s="153"/>
      <c r="P116" s="153"/>
    </row>
    <row r="117" ht="15.0" customHeight="1">
      <c r="A117" s="382" t="s">
        <v>112</v>
      </c>
      <c r="B117" s="87">
        <f>250+1622.88+1648.08
</f>
        <v>3520.96</v>
      </c>
      <c r="C117" s="87">
        <v>250.0</v>
      </c>
      <c r="D117" s="87">
        <v>250.0</v>
      </c>
      <c r="E117" s="87">
        <f>250+1622.88+1648.08
</f>
        <v>3520.96</v>
      </c>
      <c r="F117" s="87">
        <v>250.0</v>
      </c>
      <c r="G117" s="87">
        <v>250.0</v>
      </c>
      <c r="H117" s="87">
        <f>250+1622.88+1648.08
</f>
        <v>3520.96</v>
      </c>
      <c r="I117" s="87">
        <v>250.0</v>
      </c>
      <c r="J117" s="87">
        <v>250.0</v>
      </c>
      <c r="K117" s="87">
        <f>250+1549.44</f>
        <v>1799.44</v>
      </c>
      <c r="L117" s="87">
        <v>250.0</v>
      </c>
      <c r="M117" s="87">
        <v>250.0</v>
      </c>
      <c r="N117" s="17">
        <f t="shared" si="33"/>
        <v>14362.32</v>
      </c>
      <c r="O117" s="153"/>
      <c r="P117" s="153"/>
    </row>
    <row r="118" ht="15.0" customHeight="1">
      <c r="A118" s="382" t="s">
        <v>161</v>
      </c>
      <c r="B118" s="87">
        <f t="shared" ref="B118:M118" si="34">118+666</f>
        <v>784</v>
      </c>
      <c r="C118" s="87">
        <f t="shared" si="34"/>
        <v>784</v>
      </c>
      <c r="D118" s="87">
        <f t="shared" si="34"/>
        <v>784</v>
      </c>
      <c r="E118" s="87">
        <f t="shared" si="34"/>
        <v>784</v>
      </c>
      <c r="F118" s="87">
        <f t="shared" si="34"/>
        <v>784</v>
      </c>
      <c r="G118" s="87">
        <f t="shared" si="34"/>
        <v>784</v>
      </c>
      <c r="H118" s="87">
        <f t="shared" si="34"/>
        <v>784</v>
      </c>
      <c r="I118" s="87">
        <f t="shared" si="34"/>
        <v>784</v>
      </c>
      <c r="J118" s="87">
        <f t="shared" si="34"/>
        <v>784</v>
      </c>
      <c r="K118" s="87">
        <f t="shared" si="34"/>
        <v>784</v>
      </c>
      <c r="L118" s="87">
        <f t="shared" si="34"/>
        <v>784</v>
      </c>
      <c r="M118" s="87">
        <f t="shared" si="34"/>
        <v>784</v>
      </c>
      <c r="N118" s="17">
        <f t="shared" si="33"/>
        <v>9408</v>
      </c>
      <c r="O118" s="153"/>
      <c r="P118" s="153"/>
    </row>
    <row r="119" ht="15.0" customHeight="1">
      <c r="A119" s="382" t="s">
        <v>113</v>
      </c>
      <c r="B119" s="87">
        <v>395.0</v>
      </c>
      <c r="C119" s="87">
        <v>395.0</v>
      </c>
      <c r="D119" s="87">
        <v>395.0</v>
      </c>
      <c r="E119" s="87">
        <v>395.0</v>
      </c>
      <c r="F119" s="87">
        <v>395.0</v>
      </c>
      <c r="G119" s="87">
        <v>395.0</v>
      </c>
      <c r="H119" s="87">
        <v>395.0</v>
      </c>
      <c r="I119" s="87">
        <v>395.0</v>
      </c>
      <c r="J119" s="87">
        <v>395.0</v>
      </c>
      <c r="K119" s="87">
        <v>395.0</v>
      </c>
      <c r="L119" s="87">
        <v>395.0</v>
      </c>
      <c r="M119" s="87">
        <v>395.0</v>
      </c>
      <c r="N119" s="17">
        <f t="shared" si="33"/>
        <v>4740</v>
      </c>
      <c r="O119" s="153"/>
      <c r="P119" s="153"/>
    </row>
    <row r="120" ht="15.0" customHeight="1">
      <c r="A120" s="384" t="s">
        <v>114</v>
      </c>
      <c r="B120" s="87">
        <v>1295.0</v>
      </c>
      <c r="C120" s="87">
        <v>595.0</v>
      </c>
      <c r="D120" s="87">
        <v>595.0</v>
      </c>
      <c r="E120" s="87">
        <v>595.0</v>
      </c>
      <c r="F120" s="87">
        <v>595.0</v>
      </c>
      <c r="G120" s="87">
        <v>595.0</v>
      </c>
      <c r="H120" s="87">
        <v>595.0</v>
      </c>
      <c r="I120" s="87">
        <v>595.0</v>
      </c>
      <c r="J120" s="87">
        <v>595.0</v>
      </c>
      <c r="K120" s="87">
        <v>595.0</v>
      </c>
      <c r="L120" s="87">
        <v>595.0</v>
      </c>
      <c r="M120" s="87">
        <v>595.0</v>
      </c>
      <c r="N120" s="17">
        <f t="shared" si="33"/>
        <v>7840</v>
      </c>
      <c r="O120" s="153"/>
      <c r="P120" s="153"/>
    </row>
    <row r="121" ht="15.0" customHeight="1">
      <c r="A121" s="372" t="s">
        <v>23</v>
      </c>
      <c r="B121" s="63">
        <f t="shared" ref="B121:N121" si="35">SUM(B115:B120)</f>
        <v>6389.96</v>
      </c>
      <c r="C121" s="63">
        <f t="shared" si="35"/>
        <v>2419</v>
      </c>
      <c r="D121" s="63">
        <f t="shared" si="35"/>
        <v>2419</v>
      </c>
      <c r="E121" s="63">
        <f t="shared" si="35"/>
        <v>5689.96</v>
      </c>
      <c r="F121" s="63">
        <f t="shared" si="35"/>
        <v>2419</v>
      </c>
      <c r="G121" s="63">
        <f t="shared" si="35"/>
        <v>2419</v>
      </c>
      <c r="H121" s="63">
        <f t="shared" si="35"/>
        <v>5689.96</v>
      </c>
      <c r="I121" s="63">
        <f t="shared" si="35"/>
        <v>2419</v>
      </c>
      <c r="J121" s="63">
        <f t="shared" si="35"/>
        <v>2419</v>
      </c>
      <c r="K121" s="63">
        <f t="shared" si="35"/>
        <v>3968.44</v>
      </c>
      <c r="L121" s="63">
        <f t="shared" si="35"/>
        <v>2419</v>
      </c>
      <c r="M121" s="63">
        <f t="shared" si="35"/>
        <v>2419</v>
      </c>
      <c r="N121" s="63">
        <f t="shared" si="35"/>
        <v>41090.32</v>
      </c>
      <c r="O121" s="135"/>
      <c r="P121" s="135"/>
    </row>
    <row r="122" ht="15.0" customHeight="1">
      <c r="A122" s="385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</row>
    <row r="123" ht="15.0" customHeight="1">
      <c r="A123" s="385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</row>
    <row r="124" ht="15.0" customHeight="1">
      <c r="A124" s="386" t="s">
        <v>115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</row>
    <row r="125" ht="15.0" customHeight="1">
      <c r="A125" s="386" t="s">
        <v>116</v>
      </c>
      <c r="B125" s="67">
        <f t="shared" ref="B125:M125" si="36">+B13*0.7+B21*0.7+B32*0.7+B52*0.6+B70+B107*0.6</f>
        <v>39489.87748</v>
      </c>
      <c r="C125" s="67">
        <f t="shared" si="36"/>
        <v>40156.76032</v>
      </c>
      <c r="D125" s="67">
        <f t="shared" si="36"/>
        <v>44221.25476</v>
      </c>
      <c r="E125" s="67">
        <f t="shared" si="36"/>
        <v>48763.80263</v>
      </c>
      <c r="F125" s="67">
        <f t="shared" si="36"/>
        <v>53864.84096</v>
      </c>
      <c r="G125" s="67">
        <f t="shared" si="36"/>
        <v>53557.22254</v>
      </c>
      <c r="H125" s="67">
        <f t="shared" si="36"/>
        <v>44461.15396</v>
      </c>
      <c r="I125" s="67">
        <f t="shared" si="36"/>
        <v>44229.70456</v>
      </c>
      <c r="J125" s="67">
        <f t="shared" si="36"/>
        <v>42336.53245</v>
      </c>
      <c r="K125" s="67">
        <f t="shared" si="36"/>
        <v>46619.31353</v>
      </c>
      <c r="L125" s="67">
        <f t="shared" si="36"/>
        <v>50781.59762</v>
      </c>
      <c r="M125" s="67">
        <f t="shared" si="36"/>
        <v>54127.59762</v>
      </c>
      <c r="N125" s="67">
        <f t="shared" ref="N125:N126" si="38">SUM(B125:M125)</f>
        <v>562609.6584</v>
      </c>
      <c r="O125" s="67"/>
      <c r="P125" s="67"/>
    </row>
    <row r="126" ht="15.0" customHeight="1">
      <c r="A126" s="386" t="s">
        <v>117</v>
      </c>
      <c r="B126" s="67">
        <f t="shared" ref="B126:M126" si="37">+B13*0.3+B21*0.3+B32*0.3+B52*0.4+B82+B90+B107*0.4</f>
        <v>12905.12178</v>
      </c>
      <c r="C126" s="67">
        <f t="shared" si="37"/>
        <v>13880.88799</v>
      </c>
      <c r="D126" s="67">
        <f t="shared" si="37"/>
        <v>15585.01276</v>
      </c>
      <c r="E126" s="67">
        <f t="shared" si="37"/>
        <v>17515.5847</v>
      </c>
      <c r="F126" s="67">
        <f t="shared" si="37"/>
        <v>19737.42256</v>
      </c>
      <c r="G126" s="67">
        <f t="shared" si="37"/>
        <v>19699.44323</v>
      </c>
      <c r="H126" s="67">
        <f t="shared" si="37"/>
        <v>15755.84241</v>
      </c>
      <c r="I126" s="67">
        <f t="shared" si="37"/>
        <v>15601.54281</v>
      </c>
      <c r="J126" s="67">
        <f t="shared" si="37"/>
        <v>14866.00462</v>
      </c>
      <c r="K126" s="67">
        <f t="shared" si="37"/>
        <v>16665.3408</v>
      </c>
      <c r="L126" s="67">
        <f t="shared" si="37"/>
        <v>18423.17541</v>
      </c>
      <c r="M126" s="67">
        <f t="shared" si="37"/>
        <v>19857.17541</v>
      </c>
      <c r="N126" s="67">
        <f t="shared" si="38"/>
        <v>200492.5545</v>
      </c>
      <c r="O126" s="67"/>
      <c r="P126" s="67"/>
    </row>
    <row r="127" ht="15.0" customHeight="1">
      <c r="A127" s="386" t="s">
        <v>23</v>
      </c>
      <c r="B127" s="67">
        <f t="shared" ref="B127:N127" si="39">SUM(B125:B126)</f>
        <v>52394.99926</v>
      </c>
      <c r="C127" s="67">
        <f t="shared" si="39"/>
        <v>54037.64831</v>
      </c>
      <c r="D127" s="67">
        <f t="shared" si="39"/>
        <v>59806.26752</v>
      </c>
      <c r="E127" s="67">
        <f t="shared" si="39"/>
        <v>66279.38733</v>
      </c>
      <c r="F127" s="67">
        <f t="shared" si="39"/>
        <v>73602.26352</v>
      </c>
      <c r="G127" s="67">
        <f t="shared" si="39"/>
        <v>73256.66578</v>
      </c>
      <c r="H127" s="67">
        <f t="shared" si="39"/>
        <v>60216.99637</v>
      </c>
      <c r="I127" s="67">
        <f t="shared" si="39"/>
        <v>59831.24737</v>
      </c>
      <c r="J127" s="67">
        <f t="shared" si="39"/>
        <v>57202.53708</v>
      </c>
      <c r="K127" s="67">
        <f t="shared" si="39"/>
        <v>63284.65433</v>
      </c>
      <c r="L127" s="67">
        <f t="shared" si="39"/>
        <v>69204.77303</v>
      </c>
      <c r="M127" s="67">
        <f t="shared" si="39"/>
        <v>73984.77303</v>
      </c>
      <c r="N127" s="67">
        <f t="shared" si="39"/>
        <v>763102.2129</v>
      </c>
      <c r="O127" s="67"/>
      <c r="P127" s="67"/>
    </row>
    <row r="128" ht="15.0" customHeight="1">
      <c r="A128" s="387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</row>
    <row r="129" ht="15.0" customHeight="1">
      <c r="A129" s="388" t="s">
        <v>118</v>
      </c>
      <c r="B129" s="70">
        <f t="shared" ref="B129:N129" si="40">+B109</f>
        <v>52394.99926</v>
      </c>
      <c r="C129" s="70">
        <f t="shared" si="40"/>
        <v>54037.64831</v>
      </c>
      <c r="D129" s="70">
        <f t="shared" si="40"/>
        <v>59806.26752</v>
      </c>
      <c r="E129" s="70">
        <f t="shared" si="40"/>
        <v>66279.38733</v>
      </c>
      <c r="F129" s="70">
        <f t="shared" si="40"/>
        <v>73602.26352</v>
      </c>
      <c r="G129" s="70">
        <f t="shared" si="40"/>
        <v>73256.66578</v>
      </c>
      <c r="H129" s="70">
        <f t="shared" si="40"/>
        <v>60216.99637</v>
      </c>
      <c r="I129" s="70">
        <f t="shared" si="40"/>
        <v>59831.24737</v>
      </c>
      <c r="J129" s="70">
        <f t="shared" si="40"/>
        <v>57202.53708</v>
      </c>
      <c r="K129" s="70">
        <f t="shared" si="40"/>
        <v>63284.65433</v>
      </c>
      <c r="L129" s="70">
        <f t="shared" si="40"/>
        <v>69204.77303</v>
      </c>
      <c r="M129" s="70">
        <f t="shared" si="40"/>
        <v>73984.77303</v>
      </c>
      <c r="N129" s="70">
        <f t="shared" si="40"/>
        <v>763102.2129</v>
      </c>
      <c r="O129" s="70"/>
      <c r="P129" s="70"/>
    </row>
    <row r="130" ht="15.0" customHeight="1">
      <c r="A130" s="385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</row>
    <row r="131" ht="15.0" customHeight="1">
      <c r="A131" s="385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389" t="s">
        <v>282</v>
      </c>
      <c r="O131" s="135">
        <f>HSU!N109+HVW!N109+MZ!N109+BUGMC!N109</f>
        <v>1636704.183</v>
      </c>
      <c r="P131" s="135"/>
    </row>
    <row r="132" ht="15.0" customHeight="1">
      <c r="A132" s="385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</row>
    <row r="133" ht="15.0" customHeight="1">
      <c r="A133" s="385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</row>
    <row r="134" ht="15.0" customHeight="1">
      <c r="A134" s="385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</row>
    <row r="135" ht="15.0" customHeight="1">
      <c r="A135" s="385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</row>
    <row r="136" ht="15.0" customHeight="1">
      <c r="A136" s="385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</row>
    <row r="137" ht="15.0" customHeight="1">
      <c r="A137" s="385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</row>
    <row r="138" ht="15.0" customHeight="1">
      <c r="A138" s="385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</row>
    <row r="139" ht="15.0" customHeight="1">
      <c r="A139" s="385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</row>
    <row r="140" ht="15.0" customHeight="1">
      <c r="A140" s="385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</row>
    <row r="141" ht="15.0" customHeight="1">
      <c r="A141" s="385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</row>
    <row r="142" ht="15.0" customHeight="1">
      <c r="A142" s="385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</row>
    <row r="143" ht="15.0" customHeight="1">
      <c r="A143" s="385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</row>
    <row r="144" ht="15.0" customHeight="1">
      <c r="A144" s="385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</row>
    <row r="145" ht="15.0" customHeight="1">
      <c r="A145" s="385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</row>
    <row r="146" ht="15.0" customHeight="1">
      <c r="A146" s="385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</row>
    <row r="147" ht="15.0" customHeight="1">
      <c r="A147" s="385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</row>
    <row r="148" ht="15.0" customHeight="1">
      <c r="A148" s="385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</row>
    <row r="149" ht="15.0" customHeight="1">
      <c r="A149" s="385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</row>
    <row r="150" ht="15.0" customHeight="1">
      <c r="A150" s="385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</row>
    <row r="151" ht="15.0" customHeight="1">
      <c r="A151" s="385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</row>
    <row r="152" ht="15.0" customHeight="1">
      <c r="A152" s="385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</row>
    <row r="153" ht="15.0" customHeight="1">
      <c r="A153" s="385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</row>
    <row r="154" ht="15.0" customHeight="1">
      <c r="A154" s="385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</row>
    <row r="155" ht="15.0" customHeight="1">
      <c r="A155" s="385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</row>
    <row r="156" ht="15.0" customHeight="1">
      <c r="A156" s="385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</row>
    <row r="157" ht="15.0" customHeight="1">
      <c r="A157" s="385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</row>
    <row r="158" ht="15.0" customHeight="1">
      <c r="A158" s="38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</row>
    <row r="159" ht="15.0" customHeight="1">
      <c r="A159" s="38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</row>
    <row r="160" ht="15.0" customHeight="1">
      <c r="A160" s="38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</row>
    <row r="161" ht="15.0" customHeight="1">
      <c r="A161" s="38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</row>
    <row r="162" ht="15.0" customHeight="1">
      <c r="A162" s="38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</row>
    <row r="163" ht="15.0" customHeight="1">
      <c r="A163" s="38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</row>
    <row r="164" ht="15.0" customHeight="1">
      <c r="A164" s="38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</row>
    <row r="165" ht="15.0" customHeight="1">
      <c r="A165" s="38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</row>
    <row r="166" ht="15.0" customHeight="1">
      <c r="A166" s="38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</row>
    <row r="167" ht="15.0" customHeight="1">
      <c r="A167" s="38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</row>
    <row r="168" ht="15.0" customHeight="1">
      <c r="A168" s="38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</row>
    <row r="169" ht="15.0" customHeight="1">
      <c r="A169" s="38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</row>
    <row r="170" ht="15.0" customHeight="1">
      <c r="A170" s="38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</row>
    <row r="171" ht="15.0" customHeight="1">
      <c r="A171" s="38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</row>
    <row r="172" ht="15.0" customHeight="1">
      <c r="A172" s="38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</row>
    <row r="173" ht="15.0" customHeight="1">
      <c r="A173" s="38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</row>
    <row r="174" ht="15.0" customHeight="1">
      <c r="A174" s="38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</row>
    <row r="175" ht="15.0" customHeight="1">
      <c r="A175" s="38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</row>
    <row r="176" ht="15.0" customHeight="1">
      <c r="A176" s="38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</row>
    <row r="177" ht="15.0" customHeight="1">
      <c r="A177" s="38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</row>
    <row r="178" ht="15.0" customHeight="1">
      <c r="A178" s="38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</row>
    <row r="179" ht="15.0" customHeight="1">
      <c r="A179" s="38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</row>
    <row r="180" ht="15.0" customHeight="1">
      <c r="A180" s="38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</row>
    <row r="181" ht="15.0" customHeight="1">
      <c r="A181" s="38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</row>
    <row r="182" ht="15.0" customHeight="1">
      <c r="A182" s="38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</row>
    <row r="183" ht="15.0" customHeight="1">
      <c r="A183" s="38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</row>
    <row r="184" ht="15.0" customHeight="1">
      <c r="A184" s="38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</row>
    <row r="185" ht="15.0" customHeight="1">
      <c r="A185" s="38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</row>
    <row r="186" ht="15.0" customHeight="1">
      <c r="A186" s="38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</row>
    <row r="187" ht="15.0" customHeight="1">
      <c r="A187" s="38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</row>
    <row r="188" ht="15.0" customHeight="1">
      <c r="A188" s="38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</row>
    <row r="189" ht="15.0" customHeight="1">
      <c r="A189" s="38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</row>
    <row r="190" ht="15.0" customHeight="1">
      <c r="A190" s="38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</row>
    <row r="191" ht="15.0" customHeight="1">
      <c r="A191" s="38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</row>
    <row r="192" ht="15.0" customHeight="1">
      <c r="A192" s="38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</row>
    <row r="193" ht="15.0" customHeight="1">
      <c r="A193" s="38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</row>
    <row r="194" ht="15.0" customHeight="1">
      <c r="A194" s="38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</row>
    <row r="195" ht="15.0" customHeight="1">
      <c r="A195" s="38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</row>
    <row r="196" ht="15.0" customHeight="1">
      <c r="A196" s="38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</row>
    <row r="197" ht="15.0" customHeight="1">
      <c r="A197" s="38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</row>
    <row r="198" ht="15.0" customHeight="1">
      <c r="A198" s="38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</row>
    <row r="199" ht="15.0" customHeight="1">
      <c r="A199" s="38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</row>
    <row r="200" ht="15.0" customHeight="1">
      <c r="A200" s="38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</row>
    <row r="201" ht="15.0" customHeight="1">
      <c r="A201" s="38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</row>
    <row r="202" ht="15.0" customHeight="1">
      <c r="A202" s="38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</row>
    <row r="203" ht="15.0" customHeight="1">
      <c r="A203" s="38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</row>
    <row r="204" ht="15.0" customHeight="1">
      <c r="A204" s="38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</row>
    <row r="205" ht="15.0" customHeight="1">
      <c r="A205" s="38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</row>
    <row r="206" ht="15.0" customHeight="1">
      <c r="A206" s="38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</row>
    <row r="207" ht="15.0" customHeight="1">
      <c r="A207" s="38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</row>
    <row r="208" ht="15.0" customHeight="1">
      <c r="A208" s="38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</row>
    <row r="209" ht="15.0" customHeight="1">
      <c r="A209" s="38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</row>
    <row r="210" ht="15.0" customHeight="1">
      <c r="A210" s="38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</row>
    <row r="211" ht="15.0" customHeight="1">
      <c r="A211" s="38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</row>
    <row r="212" ht="15.0" customHeight="1">
      <c r="A212" s="38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</row>
    <row r="213" ht="15.0" customHeight="1">
      <c r="A213" s="38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</row>
    <row r="214" ht="15.0" customHeight="1">
      <c r="A214" s="38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</row>
    <row r="215" ht="15.0" customHeight="1">
      <c r="A215" s="38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</row>
    <row r="216" ht="15.0" customHeight="1">
      <c r="A216" s="38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</row>
    <row r="217" ht="15.0" customHeight="1">
      <c r="A217" s="38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</row>
    <row r="218" ht="15.0" customHeight="1">
      <c r="A218" s="38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</row>
    <row r="219" ht="15.0" customHeight="1">
      <c r="A219" s="38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</row>
    <row r="220" ht="15.0" customHeight="1">
      <c r="A220" s="38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</row>
    <row r="221" ht="15.0" customHeight="1">
      <c r="A221" s="38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</row>
    <row r="222" ht="15.0" customHeight="1">
      <c r="A222" s="38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</row>
    <row r="223" ht="15.0" customHeight="1">
      <c r="A223" s="38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</row>
    <row r="224" ht="15.0" customHeight="1">
      <c r="A224" s="38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</row>
    <row r="225" ht="15.0" customHeight="1">
      <c r="A225" s="38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</row>
    <row r="226" ht="15.0" customHeight="1">
      <c r="A226" s="38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</row>
    <row r="227" ht="15.0" customHeight="1">
      <c r="A227" s="38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</row>
    <row r="228" ht="15.0" customHeight="1">
      <c r="A228" s="38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</row>
    <row r="229" ht="15.0" customHeight="1">
      <c r="A229" s="38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</row>
    <row r="230" ht="15.0" customHeight="1">
      <c r="A230" s="38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</row>
    <row r="231" ht="15.0" customHeight="1">
      <c r="A231" s="38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</row>
    <row r="232" ht="15.0" customHeight="1">
      <c r="A232" s="38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</row>
    <row r="233" ht="15.0" customHeight="1">
      <c r="A233" s="38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</row>
    <row r="234" ht="15.0" customHeight="1">
      <c r="A234" s="38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</row>
    <row r="235" ht="15.0" customHeight="1">
      <c r="A235" s="38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</row>
    <row r="236" ht="15.0" customHeight="1">
      <c r="A236" s="38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</row>
    <row r="237" ht="15.0" customHeight="1">
      <c r="A237" s="38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</row>
    <row r="238" ht="15.0" customHeight="1">
      <c r="A238" s="38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</row>
    <row r="239" ht="15.0" customHeight="1">
      <c r="A239" s="38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</row>
    <row r="240" ht="15.0" customHeight="1">
      <c r="A240" s="38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</row>
    <row r="241" ht="15.0" customHeight="1">
      <c r="A241" s="38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</row>
    <row r="242" ht="15.0" customHeight="1">
      <c r="A242" s="38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</row>
    <row r="243" ht="15.0" customHeight="1">
      <c r="A243" s="38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</row>
    <row r="244" ht="15.0" customHeight="1">
      <c r="A244" s="38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</row>
    <row r="245" ht="15.0" customHeight="1">
      <c r="A245" s="38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</row>
    <row r="246" ht="15.0" customHeight="1">
      <c r="A246" s="38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</row>
    <row r="247" ht="15.0" customHeight="1">
      <c r="A247" s="38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</row>
    <row r="248" ht="15.0" customHeight="1">
      <c r="A248" s="38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</row>
    <row r="249" ht="15.0" customHeight="1">
      <c r="A249" s="38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</row>
    <row r="250" ht="15.0" customHeight="1">
      <c r="A250" s="38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</row>
    <row r="251" ht="15.0" customHeight="1">
      <c r="A251" s="38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</row>
    <row r="252" ht="15.0" customHeight="1">
      <c r="A252" s="38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</row>
    <row r="253" ht="15.0" customHeight="1">
      <c r="A253" s="38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</row>
    <row r="254" ht="15.0" customHeight="1">
      <c r="A254" s="38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</row>
    <row r="255" ht="15.0" customHeight="1">
      <c r="A255" s="38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</row>
    <row r="256" ht="15.0" customHeight="1">
      <c r="A256" s="38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</row>
    <row r="257" ht="15.0" customHeight="1">
      <c r="A257" s="38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</row>
    <row r="258" ht="15.0" customHeight="1">
      <c r="A258" s="38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</row>
    <row r="259" ht="15.0" customHeight="1">
      <c r="A259" s="38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</row>
    <row r="260" ht="15.0" customHeight="1">
      <c r="A260" s="38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</row>
    <row r="261" ht="15.0" customHeight="1">
      <c r="A261" s="38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</row>
    <row r="262" ht="15.0" customHeight="1">
      <c r="A262" s="38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</row>
    <row r="263" ht="15.0" customHeight="1">
      <c r="A263" s="38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</row>
    <row r="264" ht="15.0" customHeight="1">
      <c r="A264" s="38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</row>
    <row r="265" ht="15.0" customHeight="1">
      <c r="A265" s="38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</row>
    <row r="266" ht="15.0" customHeight="1">
      <c r="A266" s="38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</row>
    <row r="267" ht="15.0" customHeight="1">
      <c r="A267" s="38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</row>
    <row r="268" ht="15.0" customHeight="1">
      <c r="A268" s="38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</row>
    <row r="269" ht="15.0" customHeight="1">
      <c r="A269" s="38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</row>
    <row r="270" ht="15.0" customHeight="1">
      <c r="A270" s="38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</row>
    <row r="271" ht="15.0" customHeight="1">
      <c r="A271" s="38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</row>
    <row r="272" ht="15.0" customHeight="1">
      <c r="A272" s="38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</row>
    <row r="273" ht="15.0" customHeight="1">
      <c r="A273" s="38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</row>
    <row r="274" ht="15.0" customHeight="1">
      <c r="A274" s="38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</row>
    <row r="275" ht="15.0" customHeight="1">
      <c r="A275" s="38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</row>
    <row r="276" ht="15.0" customHeight="1">
      <c r="A276" s="38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</row>
    <row r="277" ht="15.0" customHeight="1">
      <c r="A277" s="38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</row>
    <row r="278" ht="15.0" customHeight="1">
      <c r="A278" s="38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</row>
    <row r="279" ht="15.0" customHeight="1">
      <c r="A279" s="38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</row>
    <row r="280" ht="15.0" customHeight="1">
      <c r="A280" s="38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</row>
    <row r="281" ht="15.0" customHeight="1">
      <c r="A281" s="38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</row>
    <row r="282" ht="15.0" customHeight="1">
      <c r="A282" s="38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</row>
    <row r="283" ht="15.0" customHeight="1">
      <c r="A283" s="38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</row>
    <row r="284" ht="15.0" customHeight="1">
      <c r="A284" s="38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</row>
    <row r="285" ht="15.0" customHeight="1">
      <c r="A285" s="38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</row>
    <row r="286" ht="15.0" customHeight="1">
      <c r="A286" s="38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</row>
    <row r="287" ht="15.0" customHeight="1">
      <c r="A287" s="38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</row>
    <row r="288" ht="15.0" customHeight="1">
      <c r="A288" s="38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</row>
    <row r="289" ht="15.0" customHeight="1">
      <c r="A289" s="38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</row>
    <row r="290" ht="15.0" customHeight="1">
      <c r="A290" s="38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</row>
    <row r="291" ht="15.0" customHeight="1">
      <c r="A291" s="38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</row>
    <row r="292" ht="15.0" customHeight="1">
      <c r="A292" s="38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</row>
    <row r="293" ht="15.0" customHeight="1">
      <c r="A293" s="38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</row>
    <row r="294" ht="15.0" customHeight="1">
      <c r="A294" s="38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</row>
    <row r="295" ht="15.0" customHeight="1">
      <c r="A295" s="38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</row>
    <row r="296" ht="15.0" customHeight="1">
      <c r="A296" s="38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</row>
    <row r="297" ht="15.0" customHeight="1">
      <c r="A297" s="38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</row>
    <row r="298" ht="15.0" customHeight="1">
      <c r="A298" s="38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</row>
    <row r="299" ht="15.0" customHeight="1">
      <c r="A299" s="38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</row>
    <row r="300" ht="15.0" customHeight="1">
      <c r="A300" s="38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</row>
    <row r="301" ht="15.0" customHeight="1">
      <c r="A301" s="38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</row>
    <row r="302" ht="15.0" customHeight="1">
      <c r="A302" s="38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</row>
    <row r="303" ht="15.0" customHeight="1">
      <c r="A303" s="38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</row>
    <row r="304" ht="15.0" customHeight="1">
      <c r="A304" s="38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</row>
    <row r="305" ht="15.0" customHeight="1">
      <c r="A305" s="38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</row>
    <row r="306" ht="15.0" customHeight="1">
      <c r="A306" s="38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</row>
    <row r="307" ht="15.0" customHeight="1">
      <c r="A307" s="38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</row>
    <row r="308" ht="15.0" customHeight="1">
      <c r="A308" s="38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</row>
    <row r="309" ht="15.0" customHeight="1">
      <c r="A309" s="38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</row>
    <row r="310" ht="15.0" customHeight="1">
      <c r="A310" s="38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</row>
    <row r="311" ht="15.0" customHeight="1">
      <c r="A311" s="38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</row>
    <row r="312" ht="15.0" customHeight="1">
      <c r="A312" s="38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</row>
    <row r="313" ht="15.0" customHeight="1">
      <c r="A313" s="38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</row>
    <row r="314" ht="15.0" customHeight="1">
      <c r="A314" s="38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</row>
    <row r="315" ht="15.0" customHeight="1">
      <c r="A315" s="38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</row>
    <row r="316" ht="15.0" customHeight="1">
      <c r="A316" s="38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</row>
    <row r="317" ht="15.0" customHeight="1">
      <c r="A317" s="38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</row>
    <row r="318" ht="15.0" customHeight="1">
      <c r="A318" s="38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</row>
    <row r="319" ht="15.0" customHeight="1">
      <c r="A319" s="38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</row>
    <row r="320" ht="15.0" customHeight="1">
      <c r="A320" s="38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</row>
    <row r="321" ht="15.0" customHeight="1">
      <c r="A321" s="38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</row>
    <row r="322" ht="15.0" customHeight="1">
      <c r="A322" s="38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</row>
    <row r="323" ht="15.0" customHeight="1">
      <c r="A323" s="38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</row>
    <row r="324" ht="15.0" customHeight="1">
      <c r="A324" s="38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</row>
    <row r="325" ht="15.0" customHeight="1">
      <c r="A325" s="38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</row>
    <row r="326" ht="15.0" customHeight="1">
      <c r="A326" s="38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</row>
    <row r="327" ht="15.0" customHeight="1">
      <c r="A327" s="38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</row>
    <row r="328" ht="15.0" customHeight="1">
      <c r="A328" s="38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</row>
    <row r="329" ht="15.0" customHeight="1">
      <c r="A329" s="38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</row>
    <row r="330" ht="15.0" customHeight="1">
      <c r="A330" s="38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</row>
    <row r="331" ht="15.0" customHeight="1">
      <c r="A331" s="38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</row>
    <row r="332" ht="15.0" customHeight="1">
      <c r="A332" s="38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</row>
    <row r="333" ht="15.0" customHeight="1">
      <c r="A333" s="38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</row>
    <row r="334" ht="15.0" customHeight="1">
      <c r="A334" s="38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</row>
    <row r="335" ht="15.0" customHeight="1">
      <c r="A335" s="38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</row>
    <row r="336" ht="15.0" customHeight="1">
      <c r="A336" s="38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</row>
    <row r="337" ht="15.0" customHeight="1">
      <c r="A337" s="38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</row>
    <row r="338" ht="15.0" customHeight="1">
      <c r="A338" s="38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</row>
    <row r="339" ht="15.0" customHeight="1">
      <c r="A339" s="38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</row>
    <row r="340" ht="15.0" customHeight="1">
      <c r="A340" s="38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</row>
    <row r="341" ht="15.0" customHeight="1">
      <c r="A341" s="38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</row>
    <row r="342" ht="15.0" customHeight="1">
      <c r="A342" s="38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</row>
    <row r="343" ht="15.0" customHeight="1">
      <c r="A343" s="38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</row>
    <row r="344" ht="15.0" customHeight="1">
      <c r="A344" s="38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</row>
    <row r="345" ht="15.0" customHeight="1">
      <c r="A345" s="38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</row>
    <row r="346" ht="15.0" customHeight="1">
      <c r="A346" s="38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</row>
    <row r="347" ht="15.0" customHeight="1">
      <c r="A347" s="38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</row>
    <row r="348" ht="15.0" customHeight="1">
      <c r="A348" s="38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</row>
    <row r="349" ht="15.0" customHeight="1">
      <c r="A349" s="38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</row>
    <row r="350" ht="15.0" customHeight="1">
      <c r="A350" s="38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</row>
    <row r="351" ht="15.0" customHeight="1">
      <c r="A351" s="38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</row>
    <row r="352" ht="15.0" customHeight="1">
      <c r="A352" s="38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</row>
    <row r="353" ht="15.0" customHeight="1">
      <c r="A353" s="38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</row>
    <row r="354" ht="15.0" customHeight="1">
      <c r="A354" s="38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</row>
    <row r="355" ht="15.0" customHeight="1">
      <c r="A355" s="38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</row>
    <row r="356" ht="15.0" customHeight="1">
      <c r="A356" s="385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</row>
    <row r="357" ht="15.0" customHeight="1">
      <c r="A357" s="385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</row>
    <row r="358" ht="15.0" customHeight="1">
      <c r="A358" s="385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</row>
    <row r="359" ht="15.0" customHeight="1">
      <c r="A359" s="385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</row>
    <row r="360" ht="15.0" customHeight="1">
      <c r="A360" s="385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</row>
    <row r="361" ht="15.0" customHeight="1">
      <c r="A361" s="385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</row>
    <row r="362" ht="15.0" customHeight="1">
      <c r="A362" s="385"/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</row>
    <row r="363" ht="15.0" customHeight="1">
      <c r="A363" s="385"/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</row>
    <row r="364" ht="15.0" customHeight="1">
      <c r="A364" s="385"/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</row>
    <row r="365" ht="15.0" customHeight="1">
      <c r="A365" s="385"/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</row>
    <row r="366" ht="15.0" customHeight="1">
      <c r="A366" s="385"/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</row>
    <row r="367" ht="15.0" customHeight="1">
      <c r="A367" s="385"/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</row>
    <row r="368" ht="15.0" customHeight="1">
      <c r="A368" s="385"/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</row>
    <row r="369" ht="15.0" customHeight="1">
      <c r="A369" s="385"/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</row>
    <row r="370" ht="15.0" customHeight="1">
      <c r="A370" s="385"/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</row>
    <row r="371" ht="15.0" customHeight="1">
      <c r="A371" s="385"/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</row>
    <row r="372" ht="15.0" customHeight="1">
      <c r="A372" s="385"/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</row>
    <row r="373" ht="15.0" customHeight="1">
      <c r="A373" s="385"/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</row>
    <row r="374" ht="15.0" customHeight="1">
      <c r="A374" s="385"/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</row>
    <row r="375" ht="15.0" customHeight="1">
      <c r="A375" s="385"/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</row>
    <row r="376" ht="15.0" customHeight="1">
      <c r="A376" s="385"/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</row>
    <row r="377" ht="15.0" customHeight="1">
      <c r="A377" s="385"/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</row>
    <row r="378" ht="15.0" customHeight="1">
      <c r="A378" s="385"/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</row>
    <row r="379" ht="15.0" customHeight="1">
      <c r="A379" s="385"/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</row>
    <row r="380" ht="15.0" customHeight="1">
      <c r="A380" s="385"/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</row>
    <row r="381" ht="15.0" customHeight="1">
      <c r="A381" s="385"/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</row>
    <row r="382" ht="15.0" customHeight="1">
      <c r="A382" s="385"/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</row>
    <row r="383" ht="15.0" customHeight="1">
      <c r="A383" s="385"/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</row>
    <row r="384" ht="15.0" customHeight="1">
      <c r="A384" s="385"/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</row>
    <row r="385" ht="15.0" customHeight="1">
      <c r="A385" s="385"/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</row>
    <row r="386" ht="15.0" customHeight="1">
      <c r="A386" s="385"/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</row>
    <row r="387" ht="15.0" customHeight="1">
      <c r="A387" s="385"/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</row>
    <row r="388" ht="15.0" customHeight="1">
      <c r="A388" s="385"/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</row>
    <row r="389" ht="15.0" customHeight="1">
      <c r="A389" s="385"/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</row>
    <row r="390" ht="15.0" customHeight="1">
      <c r="A390" s="385"/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</row>
    <row r="391" ht="15.0" customHeight="1">
      <c r="A391" s="385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</row>
    <row r="392" ht="15.0" customHeight="1">
      <c r="A392" s="385"/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</row>
    <row r="393" ht="15.0" customHeight="1">
      <c r="A393" s="385"/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</row>
    <row r="394" ht="15.0" customHeight="1">
      <c r="A394" s="385"/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</row>
    <row r="395" ht="15.0" customHeight="1">
      <c r="A395" s="385"/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</row>
    <row r="396" ht="15.0" customHeight="1">
      <c r="A396" s="385"/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</row>
    <row r="397" ht="15.0" customHeight="1">
      <c r="A397" s="385"/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</row>
    <row r="398" ht="15.0" customHeight="1">
      <c r="A398" s="385"/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</row>
    <row r="399" ht="15.0" customHeight="1">
      <c r="A399" s="385"/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</row>
    <row r="400" ht="15.0" customHeight="1">
      <c r="A400" s="385"/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</row>
    <row r="401" ht="15.0" customHeight="1">
      <c r="A401" s="385"/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</row>
    <row r="402" ht="15.0" customHeight="1">
      <c r="A402" s="385"/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</row>
    <row r="403" ht="15.0" customHeight="1">
      <c r="A403" s="385"/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</row>
    <row r="404" ht="15.0" customHeight="1">
      <c r="A404" s="385"/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</row>
    <row r="405" ht="15.0" customHeight="1">
      <c r="A405" s="385"/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</row>
    <row r="406" ht="15.0" customHeight="1">
      <c r="A406" s="385"/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</row>
    <row r="407" ht="15.0" customHeight="1">
      <c r="A407" s="385"/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</row>
    <row r="408" ht="15.0" customHeight="1">
      <c r="A408" s="385"/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</row>
    <row r="409" ht="15.0" customHeight="1">
      <c r="A409" s="385"/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</row>
    <row r="410" ht="15.0" customHeight="1">
      <c r="A410" s="385"/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</row>
    <row r="411" ht="15.0" customHeight="1">
      <c r="A411" s="385"/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</row>
    <row r="412" ht="15.0" customHeight="1">
      <c r="A412" s="385"/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</row>
    <row r="413" ht="15.0" customHeight="1">
      <c r="A413" s="385"/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</row>
    <row r="414" ht="15.0" customHeight="1">
      <c r="A414" s="385"/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</row>
    <row r="415" ht="15.0" customHeight="1">
      <c r="A415" s="385"/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</row>
    <row r="416" ht="15.0" customHeight="1">
      <c r="A416" s="385"/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</row>
    <row r="417" ht="15.0" customHeight="1">
      <c r="A417" s="385"/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</row>
    <row r="418" ht="15.0" customHeight="1">
      <c r="A418" s="385"/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</row>
    <row r="419" ht="15.0" customHeight="1">
      <c r="A419" s="385"/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</row>
    <row r="420" ht="15.0" customHeight="1">
      <c r="A420" s="385"/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</row>
    <row r="421" ht="15.0" customHeight="1">
      <c r="A421" s="385"/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</row>
    <row r="422" ht="15.0" customHeight="1">
      <c r="A422" s="385"/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</row>
    <row r="423" ht="15.0" customHeight="1">
      <c r="A423" s="385"/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</row>
    <row r="424" ht="15.0" customHeight="1">
      <c r="A424" s="385"/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</row>
    <row r="425" ht="15.0" customHeight="1">
      <c r="A425" s="385"/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</row>
    <row r="426" ht="15.0" customHeight="1">
      <c r="A426" s="385"/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</row>
    <row r="427" ht="15.0" customHeight="1">
      <c r="A427" s="385"/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</row>
    <row r="428" ht="15.0" customHeight="1">
      <c r="A428" s="385"/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</row>
    <row r="429" ht="15.0" customHeight="1">
      <c r="A429" s="385"/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</row>
    <row r="430" ht="15.0" customHeight="1">
      <c r="A430" s="385"/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</row>
    <row r="431" ht="15.0" customHeight="1">
      <c r="A431" s="385"/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</row>
    <row r="432" ht="15.0" customHeight="1">
      <c r="A432" s="385"/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</row>
    <row r="433" ht="15.0" customHeight="1">
      <c r="A433" s="385"/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</row>
    <row r="434" ht="15.0" customHeight="1">
      <c r="A434" s="385"/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</row>
    <row r="435" ht="15.0" customHeight="1">
      <c r="A435" s="385"/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</row>
    <row r="436" ht="15.0" customHeight="1">
      <c r="A436" s="385"/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</row>
    <row r="437" ht="15.0" customHeight="1">
      <c r="A437" s="385"/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</row>
    <row r="438" ht="15.0" customHeight="1">
      <c r="A438" s="385"/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</row>
    <row r="439" ht="15.0" customHeight="1">
      <c r="A439" s="385"/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</row>
    <row r="440" ht="15.0" customHeight="1">
      <c r="A440" s="385"/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</row>
    <row r="441" ht="15.0" customHeight="1">
      <c r="A441" s="385"/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</row>
    <row r="442" ht="15.0" customHeight="1">
      <c r="A442" s="385"/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</row>
    <row r="443" ht="15.0" customHeight="1">
      <c r="A443" s="385"/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</row>
    <row r="444" ht="15.0" customHeight="1">
      <c r="A444" s="385"/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</row>
    <row r="445" ht="15.0" customHeight="1">
      <c r="A445" s="385"/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</row>
    <row r="446" ht="15.0" customHeight="1">
      <c r="A446" s="385"/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</row>
    <row r="447" ht="15.0" customHeight="1">
      <c r="A447" s="385"/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</row>
    <row r="448" ht="15.0" customHeight="1">
      <c r="A448" s="385"/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</row>
    <row r="449" ht="15.0" customHeight="1">
      <c r="A449" s="385"/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</row>
    <row r="450" ht="15.0" customHeight="1">
      <c r="A450" s="385"/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</row>
    <row r="451" ht="15.0" customHeight="1">
      <c r="A451" s="385"/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</row>
    <row r="452" ht="15.0" customHeight="1">
      <c r="A452" s="385"/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</row>
    <row r="453" ht="15.0" customHeight="1">
      <c r="A453" s="385"/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</row>
    <row r="454" ht="15.0" customHeight="1">
      <c r="A454" s="385"/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</row>
    <row r="455" ht="15.0" customHeight="1">
      <c r="A455" s="385"/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</row>
    <row r="456" ht="15.0" customHeight="1">
      <c r="A456" s="385"/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</row>
    <row r="457" ht="15.0" customHeight="1">
      <c r="A457" s="385"/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</row>
    <row r="458" ht="15.0" customHeight="1">
      <c r="A458" s="385"/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</row>
    <row r="459" ht="15.0" customHeight="1">
      <c r="A459" s="385"/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</row>
    <row r="460" ht="15.0" customHeight="1">
      <c r="A460" s="385"/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</row>
    <row r="461" ht="15.0" customHeight="1">
      <c r="A461" s="385"/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</row>
    <row r="462" ht="15.0" customHeight="1">
      <c r="A462" s="385"/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</row>
    <row r="463" ht="15.0" customHeight="1">
      <c r="A463" s="385"/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</row>
    <row r="464" ht="15.0" customHeight="1">
      <c r="A464" s="385"/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</row>
    <row r="465" ht="15.0" customHeight="1">
      <c r="A465" s="385"/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</row>
    <row r="466" ht="15.0" customHeight="1">
      <c r="A466" s="385"/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</row>
    <row r="467" ht="15.0" customHeight="1">
      <c r="A467" s="385"/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</row>
    <row r="468" ht="15.0" customHeight="1">
      <c r="A468" s="385"/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</row>
    <row r="469" ht="15.0" customHeight="1">
      <c r="A469" s="385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</row>
    <row r="470" ht="15.0" customHeight="1">
      <c r="A470" s="385"/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</row>
    <row r="471" ht="15.0" customHeight="1">
      <c r="A471" s="385"/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</row>
    <row r="472" ht="15.0" customHeight="1">
      <c r="A472" s="385"/>
      <c r="B472" s="135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</row>
    <row r="473" ht="15.0" customHeight="1">
      <c r="A473" s="385"/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</row>
    <row r="474" ht="15.0" customHeight="1">
      <c r="A474" s="385"/>
      <c r="B474" s="135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</row>
    <row r="475" ht="15.0" customHeight="1">
      <c r="A475" s="385"/>
      <c r="B475" s="135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</row>
    <row r="476" ht="15.0" customHeight="1">
      <c r="A476" s="385"/>
      <c r="B476" s="135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</row>
    <row r="477" ht="15.0" customHeight="1">
      <c r="A477" s="385"/>
      <c r="B477" s="135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</row>
    <row r="478" ht="15.0" customHeight="1">
      <c r="A478" s="385"/>
      <c r="B478" s="135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</row>
    <row r="479" ht="15.0" customHeight="1">
      <c r="A479" s="385"/>
      <c r="B479" s="135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</row>
    <row r="480" ht="15.0" customHeight="1">
      <c r="A480" s="385"/>
      <c r="B480" s="135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</row>
    <row r="481" ht="15.0" customHeight="1">
      <c r="A481" s="385"/>
      <c r="B481" s="135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</row>
    <row r="482" ht="15.0" customHeight="1">
      <c r="A482" s="385"/>
      <c r="B482" s="135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</row>
    <row r="483" ht="15.0" customHeight="1">
      <c r="A483" s="385"/>
      <c r="B483" s="135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</row>
    <row r="484" ht="15.0" customHeight="1">
      <c r="A484" s="385"/>
      <c r="B484" s="135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</row>
    <row r="485" ht="15.0" customHeight="1">
      <c r="A485" s="385"/>
      <c r="B485" s="135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</row>
    <row r="486" ht="15.0" customHeight="1">
      <c r="A486" s="385"/>
      <c r="B486" s="135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</row>
    <row r="487" ht="15.0" customHeight="1">
      <c r="A487" s="385"/>
      <c r="B487" s="135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</row>
    <row r="488" ht="15.0" customHeight="1">
      <c r="A488" s="385"/>
      <c r="B488" s="135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</row>
    <row r="489" ht="15.0" customHeight="1">
      <c r="A489" s="385"/>
      <c r="B489" s="135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</row>
    <row r="490" ht="15.0" customHeight="1">
      <c r="A490" s="385"/>
      <c r="B490" s="135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</row>
    <row r="491" ht="15.0" customHeight="1">
      <c r="A491" s="385"/>
      <c r="B491" s="135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</row>
    <row r="492" ht="15.0" customHeight="1">
      <c r="A492" s="385"/>
      <c r="B492" s="135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</row>
    <row r="493" ht="15.0" customHeight="1">
      <c r="A493" s="385"/>
      <c r="B493" s="135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</row>
    <row r="494" ht="15.0" customHeight="1">
      <c r="A494" s="385"/>
      <c r="B494" s="135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</row>
    <row r="495" ht="15.0" customHeight="1">
      <c r="A495" s="385"/>
      <c r="B495" s="135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</row>
    <row r="496" ht="15.0" customHeight="1">
      <c r="A496" s="385"/>
      <c r="B496" s="135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</row>
    <row r="497" ht="15.0" customHeight="1">
      <c r="A497" s="385"/>
      <c r="B497" s="135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</row>
    <row r="498" ht="15.0" customHeight="1">
      <c r="A498" s="385"/>
      <c r="B498" s="135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</row>
    <row r="499" ht="15.0" customHeight="1">
      <c r="A499" s="385"/>
      <c r="B499" s="135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</row>
    <row r="500" ht="15.0" customHeight="1">
      <c r="A500" s="385"/>
      <c r="B500" s="135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</row>
    <row r="501" ht="15.0" customHeight="1">
      <c r="A501" s="385"/>
      <c r="B501" s="135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</row>
    <row r="502" ht="15.0" customHeight="1">
      <c r="A502" s="385"/>
      <c r="B502" s="135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</row>
    <row r="503" ht="15.0" customHeight="1">
      <c r="A503" s="385"/>
      <c r="B503" s="135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</row>
    <row r="504" ht="15.0" customHeight="1">
      <c r="A504" s="385"/>
      <c r="B504" s="135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</row>
    <row r="505" ht="15.0" customHeight="1">
      <c r="A505" s="385"/>
      <c r="B505" s="135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</row>
    <row r="506" ht="15.0" customHeight="1">
      <c r="A506" s="385"/>
      <c r="B506" s="135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</row>
    <row r="507" ht="15.0" customHeight="1">
      <c r="A507" s="385"/>
      <c r="B507" s="135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</row>
    <row r="508" ht="15.0" customHeight="1">
      <c r="A508" s="385"/>
      <c r="B508" s="135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</row>
    <row r="509" ht="15.0" customHeight="1">
      <c r="A509" s="385"/>
      <c r="B509" s="135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</row>
    <row r="510" ht="15.0" customHeight="1">
      <c r="A510" s="385"/>
      <c r="B510" s="135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</row>
    <row r="511" ht="15.0" customHeight="1">
      <c r="A511" s="385"/>
      <c r="B511" s="135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</row>
    <row r="512" ht="15.0" customHeight="1">
      <c r="A512" s="385"/>
      <c r="B512" s="135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</row>
    <row r="513" ht="15.0" customHeight="1">
      <c r="A513" s="385"/>
      <c r="B513" s="135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</row>
    <row r="514" ht="15.0" customHeight="1">
      <c r="A514" s="385"/>
      <c r="B514" s="135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</row>
    <row r="515" ht="15.0" customHeight="1">
      <c r="A515" s="385"/>
      <c r="B515" s="135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</row>
    <row r="516" ht="15.0" customHeight="1">
      <c r="A516" s="385"/>
      <c r="B516" s="135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</row>
    <row r="517" ht="15.0" customHeight="1">
      <c r="A517" s="385"/>
      <c r="B517" s="135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</row>
    <row r="518" ht="15.0" customHeight="1">
      <c r="A518" s="385"/>
      <c r="B518" s="135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</row>
    <row r="519" ht="15.0" customHeight="1">
      <c r="A519" s="385"/>
      <c r="B519" s="135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</row>
    <row r="520" ht="15.0" customHeight="1">
      <c r="A520" s="385"/>
      <c r="B520" s="135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</row>
    <row r="521" ht="15.0" customHeight="1">
      <c r="A521" s="385"/>
      <c r="B521" s="135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</row>
    <row r="522" ht="15.0" customHeight="1">
      <c r="A522" s="385"/>
      <c r="B522" s="135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</row>
    <row r="523" ht="15.0" customHeight="1">
      <c r="A523" s="385"/>
      <c r="B523" s="135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</row>
    <row r="524" ht="15.0" customHeight="1">
      <c r="A524" s="385"/>
      <c r="B524" s="135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</row>
    <row r="525" ht="15.0" customHeight="1">
      <c r="A525" s="385"/>
      <c r="B525" s="135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</row>
    <row r="526" ht="15.0" customHeight="1">
      <c r="A526" s="385"/>
      <c r="B526" s="135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</row>
    <row r="527" ht="15.0" customHeight="1">
      <c r="A527" s="385"/>
      <c r="B527" s="135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</row>
    <row r="528" ht="15.0" customHeight="1">
      <c r="A528" s="385"/>
      <c r="B528" s="135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</row>
    <row r="529" ht="15.0" customHeight="1">
      <c r="A529" s="385"/>
      <c r="B529" s="135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</row>
    <row r="530" ht="15.0" customHeight="1">
      <c r="A530" s="385"/>
      <c r="B530" s="135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</row>
    <row r="531" ht="15.0" customHeight="1">
      <c r="A531" s="385"/>
      <c r="B531" s="135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</row>
    <row r="532" ht="15.0" customHeight="1">
      <c r="A532" s="385"/>
      <c r="B532" s="135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</row>
    <row r="533" ht="15.0" customHeight="1">
      <c r="A533" s="385"/>
      <c r="B533" s="135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</row>
    <row r="534" ht="15.0" customHeight="1">
      <c r="A534" s="385"/>
      <c r="B534" s="135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</row>
    <row r="535" ht="15.0" customHeight="1">
      <c r="A535" s="385"/>
      <c r="B535" s="135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</row>
    <row r="536" ht="15.0" customHeight="1">
      <c r="A536" s="385"/>
      <c r="B536" s="135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</row>
    <row r="537" ht="15.0" customHeight="1">
      <c r="A537" s="385"/>
      <c r="B537" s="135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</row>
    <row r="538" ht="15.0" customHeight="1">
      <c r="A538" s="385"/>
      <c r="B538" s="135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</row>
    <row r="539" ht="15.0" customHeight="1">
      <c r="A539" s="385"/>
      <c r="B539" s="135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</row>
    <row r="540" ht="15.0" customHeight="1">
      <c r="A540" s="385"/>
      <c r="B540" s="135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</row>
    <row r="541" ht="15.0" customHeight="1">
      <c r="A541" s="385"/>
      <c r="B541" s="135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</row>
    <row r="542" ht="15.0" customHeight="1">
      <c r="A542" s="385"/>
      <c r="B542" s="135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</row>
    <row r="543" ht="15.0" customHeight="1">
      <c r="A543" s="385"/>
      <c r="B543" s="135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</row>
    <row r="544" ht="15.0" customHeight="1">
      <c r="A544" s="385"/>
      <c r="B544" s="135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</row>
    <row r="545" ht="15.0" customHeight="1">
      <c r="A545" s="385"/>
      <c r="B545" s="135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</row>
    <row r="546" ht="15.0" customHeight="1">
      <c r="A546" s="385"/>
      <c r="B546" s="135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</row>
    <row r="547" ht="15.0" customHeight="1">
      <c r="A547" s="385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</row>
    <row r="548" ht="15.0" customHeight="1">
      <c r="A548" s="385"/>
      <c r="B548" s="135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</row>
    <row r="549" ht="15.0" customHeight="1">
      <c r="A549" s="385"/>
      <c r="B549" s="135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</row>
    <row r="550" ht="15.0" customHeight="1">
      <c r="A550" s="385"/>
      <c r="B550" s="135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</row>
    <row r="551" ht="15.0" customHeight="1">
      <c r="A551" s="385"/>
      <c r="B551" s="135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</row>
    <row r="552" ht="15.0" customHeight="1">
      <c r="A552" s="385"/>
      <c r="B552" s="135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</row>
    <row r="553" ht="15.0" customHeight="1">
      <c r="A553" s="385"/>
      <c r="B553" s="135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</row>
    <row r="554" ht="15.0" customHeight="1">
      <c r="A554" s="385"/>
      <c r="B554" s="135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</row>
    <row r="555" ht="15.0" customHeight="1">
      <c r="A555" s="385"/>
      <c r="B555" s="135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</row>
    <row r="556" ht="15.0" customHeight="1">
      <c r="A556" s="385"/>
      <c r="B556" s="135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</row>
    <row r="557" ht="15.0" customHeight="1">
      <c r="A557" s="385"/>
      <c r="B557" s="135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</row>
    <row r="558" ht="15.0" customHeight="1">
      <c r="A558" s="385"/>
      <c r="B558" s="135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</row>
    <row r="559" ht="15.0" customHeight="1">
      <c r="A559" s="385"/>
      <c r="B559" s="135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</row>
    <row r="560" ht="15.0" customHeight="1">
      <c r="A560" s="385"/>
      <c r="B560" s="135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</row>
    <row r="561" ht="15.0" customHeight="1">
      <c r="A561" s="385"/>
      <c r="B561" s="135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</row>
    <row r="562" ht="15.0" customHeight="1">
      <c r="A562" s="385"/>
      <c r="B562" s="135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</row>
    <row r="563" ht="15.0" customHeight="1">
      <c r="A563" s="385"/>
      <c r="B563" s="135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</row>
    <row r="564" ht="15.0" customHeight="1">
      <c r="A564" s="385"/>
      <c r="B564" s="135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</row>
    <row r="565" ht="15.0" customHeight="1">
      <c r="A565" s="385"/>
      <c r="B565" s="135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</row>
    <row r="566" ht="15.0" customHeight="1">
      <c r="A566" s="385"/>
      <c r="B566" s="135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</row>
    <row r="567" ht="15.0" customHeight="1">
      <c r="A567" s="385"/>
      <c r="B567" s="135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</row>
    <row r="568" ht="15.0" customHeight="1">
      <c r="A568" s="385"/>
      <c r="B568" s="135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</row>
    <row r="569" ht="15.0" customHeight="1">
      <c r="A569" s="385"/>
      <c r="B569" s="135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</row>
    <row r="570" ht="15.0" customHeight="1">
      <c r="A570" s="385"/>
      <c r="B570" s="135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</row>
    <row r="571" ht="15.0" customHeight="1">
      <c r="A571" s="385"/>
      <c r="B571" s="135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</row>
    <row r="572" ht="15.0" customHeight="1">
      <c r="A572" s="385"/>
      <c r="B572" s="135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</row>
    <row r="573" ht="15.0" customHeight="1">
      <c r="A573" s="385"/>
      <c r="B573" s="135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</row>
    <row r="574" ht="15.0" customHeight="1">
      <c r="A574" s="385"/>
      <c r="B574" s="135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</row>
    <row r="575" ht="15.0" customHeight="1">
      <c r="A575" s="385"/>
      <c r="B575" s="135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</row>
    <row r="576" ht="15.0" customHeight="1">
      <c r="A576" s="385"/>
      <c r="B576" s="135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</row>
    <row r="577" ht="15.0" customHeight="1">
      <c r="A577" s="385"/>
      <c r="B577" s="135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</row>
    <row r="578" ht="15.0" customHeight="1">
      <c r="A578" s="385"/>
      <c r="B578" s="135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</row>
    <row r="579" ht="15.0" customHeight="1">
      <c r="A579" s="385"/>
      <c r="B579" s="135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</row>
    <row r="580" ht="15.0" customHeight="1">
      <c r="A580" s="385"/>
      <c r="B580" s="135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</row>
    <row r="581" ht="15.0" customHeight="1">
      <c r="A581" s="385"/>
      <c r="B581" s="135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</row>
    <row r="582" ht="15.0" customHeight="1">
      <c r="A582" s="385"/>
      <c r="B582" s="135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</row>
    <row r="583" ht="15.0" customHeight="1">
      <c r="A583" s="385"/>
      <c r="B583" s="135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</row>
    <row r="584" ht="15.0" customHeight="1">
      <c r="A584" s="385"/>
      <c r="B584" s="135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</row>
    <row r="585" ht="15.0" customHeight="1">
      <c r="A585" s="385"/>
      <c r="B585" s="135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</row>
    <row r="586" ht="15.0" customHeight="1">
      <c r="A586" s="385"/>
      <c r="B586" s="135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</row>
    <row r="587" ht="15.0" customHeight="1">
      <c r="A587" s="385"/>
      <c r="B587" s="135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</row>
    <row r="588" ht="15.0" customHeight="1">
      <c r="A588" s="385"/>
      <c r="B588" s="135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</row>
    <row r="589" ht="15.0" customHeight="1">
      <c r="A589" s="385"/>
      <c r="B589" s="135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</row>
    <row r="590" ht="15.0" customHeight="1">
      <c r="A590" s="385"/>
      <c r="B590" s="135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</row>
    <row r="591" ht="15.0" customHeight="1">
      <c r="A591" s="385"/>
      <c r="B591" s="135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</row>
    <row r="592" ht="15.0" customHeight="1">
      <c r="A592" s="385"/>
      <c r="B592" s="135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</row>
    <row r="593" ht="15.0" customHeight="1">
      <c r="A593" s="385"/>
      <c r="B593" s="135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</row>
    <row r="594" ht="15.0" customHeight="1">
      <c r="A594" s="385"/>
      <c r="B594" s="135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</row>
    <row r="595" ht="15.0" customHeight="1">
      <c r="A595" s="385"/>
      <c r="B595" s="135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</row>
    <row r="596" ht="15.0" customHeight="1">
      <c r="A596" s="385"/>
      <c r="B596" s="135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</row>
    <row r="597" ht="15.0" customHeight="1">
      <c r="A597" s="385"/>
      <c r="B597" s="135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</row>
    <row r="598" ht="15.0" customHeight="1">
      <c r="A598" s="385"/>
      <c r="B598" s="135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</row>
    <row r="599" ht="15.0" customHeight="1">
      <c r="A599" s="385"/>
      <c r="B599" s="135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</row>
    <row r="600" ht="15.0" customHeight="1">
      <c r="A600" s="385"/>
      <c r="B600" s="135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</row>
    <row r="601" ht="15.0" customHeight="1">
      <c r="A601" s="385"/>
      <c r="B601" s="135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</row>
    <row r="602" ht="15.0" customHeight="1">
      <c r="A602" s="385"/>
      <c r="B602" s="135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</row>
    <row r="603" ht="15.0" customHeight="1">
      <c r="A603" s="385"/>
      <c r="B603" s="135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</row>
    <row r="604" ht="15.0" customHeight="1">
      <c r="A604" s="385"/>
      <c r="B604" s="135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</row>
    <row r="605" ht="15.0" customHeight="1">
      <c r="A605" s="385"/>
      <c r="B605" s="135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</row>
    <row r="606" ht="15.0" customHeight="1">
      <c r="A606" s="385"/>
      <c r="B606" s="135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</row>
    <row r="607" ht="15.0" customHeight="1">
      <c r="A607" s="385"/>
      <c r="B607" s="135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</row>
    <row r="608" ht="15.0" customHeight="1">
      <c r="A608" s="385"/>
      <c r="B608" s="135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</row>
    <row r="609" ht="15.0" customHeight="1">
      <c r="A609" s="385"/>
      <c r="B609" s="135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</row>
    <row r="610" ht="15.0" customHeight="1">
      <c r="A610" s="385"/>
      <c r="B610" s="135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</row>
    <row r="611" ht="15.0" customHeight="1">
      <c r="A611" s="385"/>
      <c r="B611" s="135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</row>
    <row r="612" ht="15.0" customHeight="1">
      <c r="A612" s="385"/>
      <c r="B612" s="135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</row>
    <row r="613" ht="15.0" customHeight="1">
      <c r="A613" s="385"/>
      <c r="B613" s="135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</row>
    <row r="614" ht="15.0" customHeight="1">
      <c r="A614" s="385"/>
      <c r="B614" s="135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</row>
    <row r="615" ht="15.0" customHeight="1">
      <c r="A615" s="385"/>
      <c r="B615" s="135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</row>
    <row r="616" ht="15.0" customHeight="1">
      <c r="A616" s="385"/>
      <c r="B616" s="135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</row>
    <row r="617" ht="15.0" customHeight="1">
      <c r="A617" s="385"/>
      <c r="B617" s="135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</row>
    <row r="618" ht="15.0" customHeight="1">
      <c r="A618" s="385"/>
      <c r="B618" s="135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</row>
    <row r="619" ht="15.0" customHeight="1">
      <c r="A619" s="385"/>
      <c r="B619" s="135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</row>
    <row r="620" ht="15.0" customHeight="1">
      <c r="A620" s="385"/>
      <c r="B620" s="135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</row>
    <row r="621" ht="15.0" customHeight="1">
      <c r="A621" s="385"/>
      <c r="B621" s="135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</row>
    <row r="622" ht="15.0" customHeight="1">
      <c r="A622" s="385"/>
      <c r="B622" s="135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</row>
    <row r="623" ht="15.0" customHeight="1">
      <c r="A623" s="385"/>
      <c r="B623" s="135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</row>
    <row r="624" ht="15.0" customHeight="1">
      <c r="A624" s="385"/>
      <c r="B624" s="135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</row>
    <row r="625" ht="15.0" customHeight="1">
      <c r="A625" s="385"/>
      <c r="B625" s="135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</row>
    <row r="626" ht="15.0" customHeight="1">
      <c r="A626" s="385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</row>
    <row r="627" ht="15.0" customHeight="1">
      <c r="A627" s="385"/>
      <c r="B627" s="135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</row>
    <row r="628" ht="15.0" customHeight="1">
      <c r="A628" s="385"/>
      <c r="B628" s="135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</row>
    <row r="629" ht="15.0" customHeight="1">
      <c r="A629" s="385"/>
      <c r="B629" s="135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</row>
    <row r="630" ht="15.0" customHeight="1">
      <c r="A630" s="385"/>
      <c r="B630" s="135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</row>
    <row r="631" ht="15.0" customHeight="1">
      <c r="A631" s="385"/>
      <c r="B631" s="135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</row>
    <row r="632" ht="15.0" customHeight="1">
      <c r="A632" s="385"/>
      <c r="B632" s="135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</row>
    <row r="633" ht="15.0" customHeight="1">
      <c r="A633" s="385"/>
      <c r="B633" s="135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</row>
    <row r="634" ht="15.0" customHeight="1">
      <c r="A634" s="385"/>
      <c r="B634" s="135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</row>
    <row r="635" ht="15.0" customHeight="1">
      <c r="A635" s="385"/>
      <c r="B635" s="135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</row>
    <row r="636" ht="15.0" customHeight="1">
      <c r="A636" s="385"/>
      <c r="B636" s="135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</row>
    <row r="637" ht="15.0" customHeight="1">
      <c r="A637" s="385"/>
      <c r="B637" s="135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</row>
    <row r="638" ht="15.0" customHeight="1">
      <c r="A638" s="385"/>
      <c r="B638" s="135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</row>
    <row r="639" ht="15.0" customHeight="1">
      <c r="A639" s="385"/>
      <c r="B639" s="135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</row>
    <row r="640" ht="15.0" customHeight="1">
      <c r="A640" s="385"/>
      <c r="B640" s="135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</row>
    <row r="641" ht="15.0" customHeight="1">
      <c r="A641" s="385"/>
      <c r="B641" s="135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</row>
    <row r="642" ht="15.0" customHeight="1">
      <c r="A642" s="385"/>
      <c r="B642" s="135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</row>
    <row r="643" ht="15.0" customHeight="1">
      <c r="A643" s="385"/>
      <c r="B643" s="135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</row>
    <row r="644" ht="15.0" customHeight="1">
      <c r="A644" s="385"/>
      <c r="B644" s="135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</row>
    <row r="645" ht="15.0" customHeight="1">
      <c r="A645" s="385"/>
      <c r="B645" s="135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</row>
    <row r="646" ht="15.0" customHeight="1">
      <c r="A646" s="385"/>
      <c r="B646" s="135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</row>
    <row r="647" ht="15.0" customHeight="1">
      <c r="A647" s="385"/>
      <c r="B647" s="135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</row>
    <row r="648" ht="15.0" customHeight="1">
      <c r="A648" s="385"/>
      <c r="B648" s="135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</row>
    <row r="649" ht="15.0" customHeight="1">
      <c r="A649" s="385"/>
      <c r="B649" s="135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</row>
    <row r="650" ht="15.0" customHeight="1">
      <c r="A650" s="385"/>
      <c r="B650" s="135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</row>
    <row r="651" ht="15.0" customHeight="1">
      <c r="A651" s="385"/>
      <c r="B651" s="135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</row>
    <row r="652" ht="15.0" customHeight="1">
      <c r="A652" s="385"/>
      <c r="B652" s="135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</row>
    <row r="653" ht="15.0" customHeight="1">
      <c r="A653" s="385"/>
      <c r="B653" s="135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</row>
    <row r="654" ht="15.0" customHeight="1">
      <c r="A654" s="385"/>
      <c r="B654" s="135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</row>
    <row r="655" ht="15.0" customHeight="1">
      <c r="A655" s="385"/>
      <c r="B655" s="135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</row>
    <row r="656" ht="15.0" customHeight="1">
      <c r="A656" s="385"/>
      <c r="B656" s="135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</row>
    <row r="657" ht="15.0" customHeight="1">
      <c r="A657" s="385"/>
      <c r="B657" s="135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</row>
    <row r="658" ht="15.0" customHeight="1">
      <c r="A658" s="385"/>
      <c r="B658" s="135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</row>
    <row r="659" ht="15.0" customHeight="1">
      <c r="A659" s="385"/>
      <c r="B659" s="135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</row>
    <row r="660" ht="15.0" customHeight="1">
      <c r="A660" s="385"/>
      <c r="B660" s="135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</row>
    <row r="661" ht="15.0" customHeight="1">
      <c r="A661" s="385"/>
      <c r="B661" s="135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</row>
    <row r="662" ht="15.0" customHeight="1">
      <c r="A662" s="385"/>
      <c r="B662" s="135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</row>
    <row r="663" ht="15.0" customHeight="1">
      <c r="A663" s="385"/>
      <c r="B663" s="135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</row>
    <row r="664" ht="15.0" customHeight="1">
      <c r="A664" s="385"/>
      <c r="B664" s="135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</row>
    <row r="665" ht="15.0" customHeight="1">
      <c r="A665" s="385"/>
      <c r="B665" s="135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</row>
    <row r="666" ht="15.0" customHeight="1">
      <c r="A666" s="385"/>
      <c r="B666" s="135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</row>
    <row r="667" ht="15.0" customHeight="1">
      <c r="A667" s="385"/>
      <c r="B667" s="135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</row>
    <row r="668" ht="15.0" customHeight="1">
      <c r="A668" s="385"/>
      <c r="B668" s="135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</row>
    <row r="669" ht="15.0" customHeight="1">
      <c r="A669" s="385"/>
      <c r="B669" s="135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</row>
    <row r="670" ht="15.0" customHeight="1">
      <c r="A670" s="385"/>
      <c r="B670" s="135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</row>
    <row r="671" ht="15.0" customHeight="1">
      <c r="A671" s="385"/>
      <c r="B671" s="135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</row>
    <row r="672" ht="15.0" customHeight="1">
      <c r="A672" s="385"/>
      <c r="B672" s="135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</row>
    <row r="673" ht="15.0" customHeight="1">
      <c r="A673" s="385"/>
      <c r="B673" s="135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</row>
    <row r="674" ht="15.0" customHeight="1">
      <c r="A674" s="385"/>
      <c r="B674" s="135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</row>
    <row r="675" ht="15.0" customHeight="1">
      <c r="A675" s="385"/>
      <c r="B675" s="135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</row>
    <row r="676" ht="15.0" customHeight="1">
      <c r="A676" s="385"/>
      <c r="B676" s="135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</row>
    <row r="677" ht="15.0" customHeight="1">
      <c r="A677" s="385"/>
      <c r="B677" s="135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</row>
    <row r="678" ht="15.0" customHeight="1">
      <c r="A678" s="385"/>
      <c r="B678" s="135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</row>
    <row r="679" ht="15.0" customHeight="1">
      <c r="A679" s="385"/>
      <c r="B679" s="135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</row>
    <row r="680" ht="15.0" customHeight="1">
      <c r="A680" s="385"/>
      <c r="B680" s="135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</row>
    <row r="681" ht="15.0" customHeight="1">
      <c r="A681" s="385"/>
      <c r="B681" s="135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</row>
    <row r="682" ht="15.0" customHeight="1">
      <c r="A682" s="385"/>
      <c r="B682" s="135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</row>
    <row r="683" ht="15.0" customHeight="1">
      <c r="A683" s="385"/>
      <c r="B683" s="135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</row>
    <row r="684" ht="15.0" customHeight="1">
      <c r="A684" s="385"/>
      <c r="B684" s="135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</row>
    <row r="685" ht="15.0" customHeight="1">
      <c r="A685" s="385"/>
      <c r="B685" s="135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</row>
    <row r="686" ht="15.0" customHeight="1">
      <c r="A686" s="385"/>
      <c r="B686" s="135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</row>
    <row r="687" ht="15.0" customHeight="1">
      <c r="A687" s="385"/>
      <c r="B687" s="135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</row>
    <row r="688" ht="15.0" customHeight="1">
      <c r="A688" s="385"/>
      <c r="B688" s="135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</row>
    <row r="689" ht="15.0" customHeight="1">
      <c r="A689" s="385"/>
      <c r="B689" s="135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</row>
    <row r="690" ht="15.0" customHeight="1">
      <c r="A690" s="385"/>
      <c r="B690" s="135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</row>
    <row r="691" ht="15.0" customHeight="1">
      <c r="A691" s="385"/>
      <c r="B691" s="135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</row>
    <row r="692" ht="15.0" customHeight="1">
      <c r="A692" s="385"/>
      <c r="B692" s="135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</row>
    <row r="693" ht="15.0" customHeight="1">
      <c r="A693" s="385"/>
      <c r="B693" s="135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</row>
    <row r="694" ht="15.0" customHeight="1">
      <c r="A694" s="385"/>
      <c r="B694" s="135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</row>
    <row r="695" ht="15.0" customHeight="1">
      <c r="A695" s="385"/>
      <c r="B695" s="135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</row>
    <row r="696" ht="15.0" customHeight="1">
      <c r="A696" s="385"/>
      <c r="B696" s="135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</row>
    <row r="697" ht="15.0" customHeight="1">
      <c r="A697" s="385"/>
      <c r="B697" s="135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</row>
    <row r="698" ht="15.0" customHeight="1">
      <c r="A698" s="385"/>
      <c r="B698" s="135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</row>
    <row r="699" ht="15.0" customHeight="1">
      <c r="A699" s="385"/>
      <c r="B699" s="135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</row>
    <row r="700" ht="15.0" customHeight="1">
      <c r="A700" s="385"/>
      <c r="B700" s="135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</row>
    <row r="701" ht="15.0" customHeight="1">
      <c r="A701" s="385"/>
      <c r="B701" s="135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</row>
    <row r="702" ht="15.0" customHeight="1">
      <c r="A702" s="385"/>
      <c r="B702" s="135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</row>
    <row r="703" ht="15.0" customHeight="1">
      <c r="A703" s="385"/>
      <c r="B703" s="135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</row>
    <row r="704" ht="15.0" customHeight="1">
      <c r="A704" s="385"/>
      <c r="B704" s="135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</row>
    <row r="705" ht="15.0" customHeight="1">
      <c r="A705" s="385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</row>
    <row r="706" ht="15.0" customHeight="1">
      <c r="A706" s="385"/>
      <c r="B706" s="135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</row>
    <row r="707" ht="15.0" customHeight="1">
      <c r="A707" s="385"/>
      <c r="B707" s="135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</row>
    <row r="708" ht="15.0" customHeight="1">
      <c r="A708" s="385"/>
      <c r="B708" s="135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</row>
    <row r="709" ht="15.0" customHeight="1">
      <c r="A709" s="385"/>
      <c r="B709" s="135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</row>
    <row r="710" ht="15.0" customHeight="1">
      <c r="A710" s="385"/>
      <c r="B710" s="135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</row>
    <row r="711" ht="15.0" customHeight="1">
      <c r="A711" s="385"/>
      <c r="B711" s="135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</row>
    <row r="712" ht="15.0" customHeight="1">
      <c r="A712" s="385"/>
      <c r="B712" s="135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</row>
    <row r="713" ht="15.0" customHeight="1">
      <c r="A713" s="385"/>
      <c r="B713" s="135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</row>
    <row r="714" ht="15.0" customHeight="1">
      <c r="A714" s="385"/>
      <c r="B714" s="135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</row>
    <row r="715" ht="15.0" customHeight="1">
      <c r="A715" s="385"/>
      <c r="B715" s="135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</row>
    <row r="716" ht="15.0" customHeight="1">
      <c r="A716" s="385"/>
      <c r="B716" s="135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</row>
    <row r="717" ht="15.0" customHeight="1">
      <c r="A717" s="385"/>
      <c r="B717" s="135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</row>
    <row r="718" ht="15.0" customHeight="1">
      <c r="A718" s="385"/>
      <c r="B718" s="135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</row>
    <row r="719" ht="15.0" customHeight="1">
      <c r="A719" s="385"/>
      <c r="B719" s="135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</row>
    <row r="720" ht="15.0" customHeight="1">
      <c r="A720" s="385"/>
      <c r="B720" s="135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</row>
    <row r="721" ht="15.0" customHeight="1">
      <c r="A721" s="385"/>
      <c r="B721" s="135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</row>
    <row r="722" ht="15.0" customHeight="1">
      <c r="A722" s="385"/>
      <c r="B722" s="135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</row>
    <row r="723" ht="15.0" customHeight="1">
      <c r="A723" s="385"/>
      <c r="B723" s="135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</row>
    <row r="724" ht="15.0" customHeight="1">
      <c r="A724" s="385"/>
      <c r="B724" s="135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</row>
    <row r="725" ht="15.0" customHeight="1">
      <c r="A725" s="385"/>
      <c r="B725" s="135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</row>
    <row r="726" ht="15.0" customHeight="1">
      <c r="A726" s="385"/>
      <c r="B726" s="135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</row>
    <row r="727" ht="15.0" customHeight="1">
      <c r="A727" s="385"/>
      <c r="B727" s="135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</row>
    <row r="728" ht="15.0" customHeight="1">
      <c r="A728" s="385"/>
      <c r="B728" s="135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</row>
    <row r="729" ht="15.0" customHeight="1">
      <c r="A729" s="385"/>
      <c r="B729" s="135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</row>
    <row r="730" ht="15.0" customHeight="1">
      <c r="A730" s="385"/>
      <c r="B730" s="135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</row>
    <row r="731" ht="15.0" customHeight="1">
      <c r="A731" s="385"/>
      <c r="B731" s="135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</row>
    <row r="732" ht="15.0" customHeight="1">
      <c r="A732" s="385"/>
      <c r="B732" s="135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</row>
    <row r="733" ht="15.0" customHeight="1">
      <c r="A733" s="385"/>
      <c r="B733" s="135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</row>
    <row r="734" ht="15.0" customHeight="1">
      <c r="A734" s="385"/>
      <c r="B734" s="135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</row>
    <row r="735" ht="15.0" customHeight="1">
      <c r="A735" s="385"/>
      <c r="B735" s="135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</row>
    <row r="736" ht="15.0" customHeight="1">
      <c r="A736" s="385"/>
      <c r="B736" s="135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</row>
    <row r="737" ht="15.0" customHeight="1">
      <c r="A737" s="385"/>
      <c r="B737" s="135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</row>
    <row r="738" ht="15.0" customHeight="1">
      <c r="A738" s="385"/>
      <c r="B738" s="135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</row>
    <row r="739" ht="15.0" customHeight="1">
      <c r="A739" s="385"/>
      <c r="B739" s="135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</row>
    <row r="740" ht="15.0" customHeight="1">
      <c r="A740" s="385"/>
      <c r="B740" s="135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</row>
    <row r="741" ht="15.0" customHeight="1">
      <c r="A741" s="385"/>
      <c r="B741" s="135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</row>
    <row r="742" ht="15.0" customHeight="1">
      <c r="A742" s="385"/>
      <c r="B742" s="135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</row>
    <row r="743" ht="15.0" customHeight="1">
      <c r="A743" s="385"/>
      <c r="B743" s="135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</row>
    <row r="744" ht="15.0" customHeight="1">
      <c r="A744" s="385"/>
      <c r="B744" s="135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</row>
    <row r="745" ht="15.0" customHeight="1">
      <c r="A745" s="385"/>
      <c r="B745" s="135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</row>
    <row r="746" ht="15.0" customHeight="1">
      <c r="A746" s="385"/>
      <c r="B746" s="135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</row>
    <row r="747" ht="15.0" customHeight="1">
      <c r="A747" s="385"/>
      <c r="B747" s="135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</row>
    <row r="748" ht="15.0" customHeight="1">
      <c r="A748" s="385"/>
      <c r="B748" s="135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</row>
    <row r="749" ht="15.0" customHeight="1">
      <c r="A749" s="385"/>
      <c r="B749" s="135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</row>
    <row r="750" ht="15.0" customHeight="1">
      <c r="A750" s="385"/>
      <c r="B750" s="135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</row>
    <row r="751" ht="15.0" customHeight="1">
      <c r="A751" s="385"/>
      <c r="B751" s="135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</row>
    <row r="752" ht="15.0" customHeight="1">
      <c r="A752" s="385"/>
      <c r="B752" s="135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</row>
    <row r="753" ht="15.0" customHeight="1">
      <c r="A753" s="385"/>
      <c r="B753" s="135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</row>
    <row r="754" ht="15.0" customHeight="1">
      <c r="A754" s="385"/>
      <c r="B754" s="135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</row>
    <row r="755" ht="15.0" customHeight="1">
      <c r="A755" s="385"/>
      <c r="B755" s="135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</row>
    <row r="756" ht="15.0" customHeight="1">
      <c r="A756" s="385"/>
      <c r="B756" s="135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</row>
    <row r="757" ht="15.0" customHeight="1">
      <c r="A757" s="385"/>
      <c r="B757" s="135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</row>
    <row r="758" ht="15.0" customHeight="1">
      <c r="A758" s="385"/>
      <c r="B758" s="135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</row>
    <row r="759" ht="15.0" customHeight="1">
      <c r="A759" s="385"/>
      <c r="B759" s="135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</row>
    <row r="760" ht="15.0" customHeight="1">
      <c r="A760" s="385"/>
      <c r="B760" s="135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</row>
    <row r="761" ht="15.0" customHeight="1">
      <c r="A761" s="385"/>
      <c r="B761" s="135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</row>
    <row r="762" ht="15.0" customHeight="1">
      <c r="A762" s="385"/>
      <c r="B762" s="135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</row>
    <row r="763" ht="15.0" customHeight="1">
      <c r="A763" s="385"/>
      <c r="B763" s="135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</row>
    <row r="764" ht="15.0" customHeight="1">
      <c r="A764" s="385"/>
      <c r="B764" s="135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</row>
    <row r="765" ht="15.0" customHeight="1">
      <c r="A765" s="385"/>
      <c r="B765" s="135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</row>
    <row r="766" ht="15.0" customHeight="1">
      <c r="A766" s="385"/>
      <c r="B766" s="135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</row>
    <row r="767" ht="15.0" customHeight="1">
      <c r="A767" s="385"/>
      <c r="B767" s="135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</row>
    <row r="768" ht="15.0" customHeight="1">
      <c r="A768" s="385"/>
      <c r="B768" s="135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</row>
    <row r="769" ht="15.0" customHeight="1">
      <c r="A769" s="385"/>
      <c r="B769" s="135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</row>
    <row r="770" ht="15.0" customHeight="1">
      <c r="A770" s="385"/>
      <c r="B770" s="135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</row>
    <row r="771" ht="15.0" customHeight="1">
      <c r="A771" s="385"/>
      <c r="B771" s="135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</row>
    <row r="772" ht="15.0" customHeight="1">
      <c r="A772" s="385"/>
      <c r="B772" s="135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</row>
    <row r="773" ht="15.0" customHeight="1">
      <c r="A773" s="385"/>
      <c r="B773" s="135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</row>
    <row r="774" ht="15.0" customHeight="1">
      <c r="A774" s="385"/>
      <c r="B774" s="135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</row>
    <row r="775" ht="15.0" customHeight="1">
      <c r="A775" s="385"/>
      <c r="B775" s="135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</row>
    <row r="776" ht="15.0" customHeight="1">
      <c r="A776" s="385"/>
      <c r="B776" s="135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</row>
    <row r="777" ht="15.0" customHeight="1">
      <c r="A777" s="385"/>
      <c r="B777" s="135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</row>
    <row r="778" ht="15.0" customHeight="1">
      <c r="A778" s="385"/>
      <c r="B778" s="135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</row>
    <row r="779" ht="15.0" customHeight="1">
      <c r="A779" s="385"/>
      <c r="B779" s="135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</row>
    <row r="780" ht="15.0" customHeight="1">
      <c r="A780" s="385"/>
      <c r="B780" s="135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</row>
    <row r="781" ht="15.0" customHeight="1">
      <c r="A781" s="385"/>
      <c r="B781" s="135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</row>
    <row r="782" ht="15.0" customHeight="1">
      <c r="A782" s="385"/>
      <c r="B782" s="135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</row>
    <row r="783" ht="15.0" customHeight="1">
      <c r="A783" s="385"/>
      <c r="B783" s="135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</row>
    <row r="784" ht="15.0" customHeight="1">
      <c r="A784" s="385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</row>
    <row r="785" ht="15.0" customHeight="1">
      <c r="A785" s="385"/>
      <c r="B785" s="135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</row>
    <row r="786" ht="15.0" customHeight="1">
      <c r="A786" s="385"/>
      <c r="B786" s="135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</row>
    <row r="787" ht="15.0" customHeight="1">
      <c r="A787" s="385"/>
      <c r="B787" s="135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</row>
    <row r="788" ht="15.0" customHeight="1">
      <c r="A788" s="385"/>
      <c r="B788" s="135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</row>
    <row r="789" ht="15.0" customHeight="1">
      <c r="A789" s="385"/>
      <c r="B789" s="135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</row>
    <row r="790" ht="15.0" customHeight="1">
      <c r="A790" s="385"/>
      <c r="B790" s="135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</row>
    <row r="791" ht="15.0" customHeight="1">
      <c r="A791" s="385"/>
      <c r="B791" s="135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</row>
    <row r="792" ht="15.0" customHeight="1">
      <c r="A792" s="385"/>
      <c r="B792" s="135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</row>
    <row r="793" ht="15.0" customHeight="1">
      <c r="A793" s="385"/>
      <c r="B793" s="135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</row>
    <row r="794" ht="15.0" customHeight="1">
      <c r="A794" s="385"/>
      <c r="B794" s="135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</row>
    <row r="795" ht="15.0" customHeight="1">
      <c r="A795" s="385"/>
      <c r="B795" s="135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</row>
    <row r="796" ht="15.0" customHeight="1">
      <c r="A796" s="385"/>
      <c r="B796" s="135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</row>
    <row r="797" ht="15.0" customHeight="1">
      <c r="A797" s="385"/>
      <c r="B797" s="135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</row>
    <row r="798" ht="15.0" customHeight="1">
      <c r="A798" s="385"/>
      <c r="B798" s="135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</row>
    <row r="799" ht="15.0" customHeight="1">
      <c r="A799" s="385"/>
      <c r="B799" s="135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</row>
    <row r="800" ht="15.0" customHeight="1">
      <c r="A800" s="385"/>
      <c r="B800" s="135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</row>
    <row r="801" ht="15.0" customHeight="1">
      <c r="A801" s="385"/>
      <c r="B801" s="135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</row>
    <row r="802" ht="15.0" customHeight="1">
      <c r="A802" s="385"/>
      <c r="B802" s="135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</row>
    <row r="803" ht="15.0" customHeight="1">
      <c r="A803" s="385"/>
      <c r="B803" s="135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</row>
    <row r="804" ht="15.0" customHeight="1">
      <c r="A804" s="385"/>
      <c r="B804" s="135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</row>
    <row r="805" ht="15.0" customHeight="1">
      <c r="A805" s="385"/>
      <c r="B805" s="135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</row>
    <row r="806" ht="15.0" customHeight="1">
      <c r="A806" s="385"/>
      <c r="B806" s="135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</row>
    <row r="807" ht="15.0" customHeight="1">
      <c r="A807" s="385"/>
      <c r="B807" s="135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</row>
    <row r="808" ht="15.0" customHeight="1">
      <c r="A808" s="385"/>
      <c r="B808" s="135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</row>
    <row r="809" ht="15.0" customHeight="1">
      <c r="A809" s="385"/>
      <c r="B809" s="135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</row>
    <row r="810" ht="15.0" customHeight="1">
      <c r="A810" s="385"/>
      <c r="B810" s="135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</row>
    <row r="811" ht="15.0" customHeight="1">
      <c r="A811" s="385"/>
      <c r="B811" s="135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</row>
    <row r="812" ht="15.0" customHeight="1">
      <c r="A812" s="385"/>
      <c r="B812" s="135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</row>
    <row r="813" ht="15.0" customHeight="1">
      <c r="A813" s="385"/>
      <c r="B813" s="135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</row>
    <row r="814" ht="15.0" customHeight="1">
      <c r="A814" s="385"/>
      <c r="B814" s="135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</row>
    <row r="815" ht="15.0" customHeight="1">
      <c r="A815" s="385"/>
      <c r="B815" s="135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</row>
    <row r="816" ht="15.0" customHeight="1">
      <c r="A816" s="385"/>
      <c r="B816" s="135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</row>
    <row r="817" ht="15.0" customHeight="1">
      <c r="A817" s="385"/>
      <c r="B817" s="135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</row>
    <row r="818" ht="15.0" customHeight="1">
      <c r="A818" s="385"/>
      <c r="B818" s="135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</row>
    <row r="819" ht="15.0" customHeight="1">
      <c r="A819" s="385"/>
      <c r="B819" s="135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</row>
    <row r="820" ht="15.0" customHeight="1">
      <c r="A820" s="385"/>
      <c r="B820" s="135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</row>
    <row r="821" ht="15.0" customHeight="1">
      <c r="A821" s="385"/>
      <c r="B821" s="135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</row>
    <row r="822" ht="15.0" customHeight="1">
      <c r="A822" s="385"/>
      <c r="B822" s="135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</row>
    <row r="823" ht="15.0" customHeight="1">
      <c r="A823" s="385"/>
      <c r="B823" s="135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</row>
    <row r="824" ht="15.0" customHeight="1">
      <c r="A824" s="385"/>
      <c r="B824" s="135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</row>
    <row r="825" ht="15.0" customHeight="1">
      <c r="A825" s="385"/>
      <c r="B825" s="135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</row>
    <row r="826" ht="15.0" customHeight="1">
      <c r="A826" s="385"/>
      <c r="B826" s="135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</row>
    <row r="827" ht="15.0" customHeight="1">
      <c r="A827" s="385"/>
      <c r="B827" s="135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</row>
    <row r="828" ht="15.0" customHeight="1">
      <c r="A828" s="385"/>
      <c r="B828" s="135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</row>
    <row r="829" ht="15.0" customHeight="1">
      <c r="A829" s="385"/>
      <c r="B829" s="135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</row>
    <row r="830" ht="15.0" customHeight="1">
      <c r="A830" s="385"/>
      <c r="B830" s="135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</row>
    <row r="831" ht="15.0" customHeight="1">
      <c r="A831" s="385"/>
      <c r="B831" s="135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</row>
    <row r="832" ht="15.0" customHeight="1">
      <c r="A832" s="385"/>
      <c r="B832" s="135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</row>
    <row r="833" ht="15.0" customHeight="1">
      <c r="A833" s="385"/>
      <c r="B833" s="135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</row>
    <row r="834" ht="15.0" customHeight="1">
      <c r="A834" s="385"/>
      <c r="B834" s="135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</row>
    <row r="835" ht="15.0" customHeight="1">
      <c r="A835" s="385"/>
      <c r="B835" s="135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</row>
    <row r="836" ht="15.0" customHeight="1">
      <c r="A836" s="385"/>
      <c r="B836" s="135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</row>
    <row r="837" ht="15.0" customHeight="1">
      <c r="A837" s="385"/>
      <c r="B837" s="135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</row>
    <row r="838" ht="15.0" customHeight="1">
      <c r="A838" s="385"/>
      <c r="B838" s="135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</row>
    <row r="839" ht="15.0" customHeight="1">
      <c r="A839" s="385"/>
      <c r="B839" s="135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</row>
    <row r="840" ht="15.0" customHeight="1">
      <c r="A840" s="385"/>
      <c r="B840" s="135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</row>
    <row r="841" ht="15.0" customHeight="1">
      <c r="A841" s="385"/>
      <c r="B841" s="135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</row>
    <row r="842" ht="15.0" customHeight="1">
      <c r="A842" s="385"/>
      <c r="B842" s="135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</row>
    <row r="843" ht="15.0" customHeight="1">
      <c r="A843" s="385"/>
      <c r="B843" s="135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</row>
    <row r="844" ht="15.0" customHeight="1">
      <c r="A844" s="385"/>
      <c r="B844" s="135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</row>
    <row r="845" ht="15.0" customHeight="1">
      <c r="A845" s="385"/>
      <c r="B845" s="135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</row>
    <row r="846" ht="15.0" customHeight="1">
      <c r="A846" s="385"/>
      <c r="B846" s="135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</row>
    <row r="847" ht="15.0" customHeight="1">
      <c r="A847" s="385"/>
      <c r="B847" s="135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</row>
    <row r="848" ht="15.0" customHeight="1">
      <c r="A848" s="385"/>
      <c r="B848" s="135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</row>
    <row r="849" ht="15.0" customHeight="1">
      <c r="A849" s="385"/>
      <c r="B849" s="135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</row>
    <row r="850" ht="15.0" customHeight="1">
      <c r="A850" s="385"/>
      <c r="B850" s="135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</row>
    <row r="851" ht="15.0" customHeight="1">
      <c r="A851" s="385"/>
      <c r="B851" s="135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</row>
    <row r="852" ht="15.0" customHeight="1">
      <c r="A852" s="385"/>
      <c r="B852" s="135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</row>
    <row r="853" ht="15.0" customHeight="1">
      <c r="A853" s="385"/>
      <c r="B853" s="135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</row>
    <row r="854" ht="15.0" customHeight="1">
      <c r="A854" s="385"/>
      <c r="B854" s="135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</row>
    <row r="855" ht="15.0" customHeight="1">
      <c r="A855" s="385"/>
      <c r="B855" s="135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</row>
    <row r="856" ht="15.0" customHeight="1">
      <c r="A856" s="385"/>
      <c r="B856" s="135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</row>
    <row r="857" ht="15.0" customHeight="1">
      <c r="A857" s="385"/>
      <c r="B857" s="135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</row>
    <row r="858" ht="15.0" customHeight="1">
      <c r="A858" s="385"/>
      <c r="B858" s="135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</row>
    <row r="859" ht="15.0" customHeight="1">
      <c r="A859" s="385"/>
      <c r="B859" s="135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</row>
    <row r="860" ht="15.0" customHeight="1">
      <c r="A860" s="385"/>
      <c r="B860" s="135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</row>
    <row r="861" ht="15.0" customHeight="1">
      <c r="A861" s="385"/>
      <c r="B861" s="135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</row>
    <row r="862" ht="15.0" customHeight="1">
      <c r="A862" s="385"/>
      <c r="B862" s="135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</row>
    <row r="863" ht="15.0" customHeight="1">
      <c r="A863" s="385"/>
      <c r="B863" s="135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</row>
    <row r="864" ht="15.0" customHeight="1">
      <c r="A864" s="385"/>
      <c r="B864" s="135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</row>
    <row r="865" ht="15.0" customHeight="1">
      <c r="A865" s="385"/>
      <c r="B865" s="135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</row>
    <row r="866" ht="15.0" customHeight="1">
      <c r="A866" s="385"/>
      <c r="B866" s="135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</row>
    <row r="867" ht="15.0" customHeight="1">
      <c r="A867" s="385"/>
      <c r="B867" s="135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</row>
    <row r="868" ht="15.0" customHeight="1">
      <c r="A868" s="385"/>
      <c r="B868" s="135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</row>
    <row r="869" ht="15.0" customHeight="1">
      <c r="A869" s="385"/>
      <c r="B869" s="135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</row>
    <row r="870" ht="15.0" customHeight="1">
      <c r="A870" s="385"/>
      <c r="B870" s="135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</row>
    <row r="871" ht="15.0" customHeight="1">
      <c r="A871" s="385"/>
      <c r="B871" s="135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</row>
    <row r="872" ht="15.0" customHeight="1">
      <c r="A872" s="385"/>
      <c r="B872" s="135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</row>
    <row r="873" ht="15.0" customHeight="1">
      <c r="A873" s="385"/>
      <c r="B873" s="135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</row>
    <row r="874" ht="15.0" customHeight="1">
      <c r="A874" s="385"/>
      <c r="B874" s="135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</row>
    <row r="875" ht="15.0" customHeight="1">
      <c r="A875" s="385"/>
      <c r="B875" s="135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</row>
    <row r="876" ht="15.0" customHeight="1">
      <c r="A876" s="385"/>
      <c r="B876" s="135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</row>
    <row r="877" ht="15.0" customHeight="1">
      <c r="A877" s="385"/>
      <c r="B877" s="135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</row>
    <row r="878" ht="15.0" customHeight="1">
      <c r="A878" s="385"/>
      <c r="B878" s="135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</row>
    <row r="879" ht="15.0" customHeight="1">
      <c r="A879" s="385"/>
      <c r="B879" s="135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</row>
    <row r="880" ht="15.0" customHeight="1">
      <c r="A880" s="385"/>
      <c r="B880" s="135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</row>
    <row r="881" ht="15.0" customHeight="1">
      <c r="A881" s="385"/>
      <c r="B881" s="135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</row>
    <row r="882" ht="15.0" customHeight="1">
      <c r="A882" s="385"/>
      <c r="B882" s="135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</row>
    <row r="883" ht="15.0" customHeight="1">
      <c r="A883" s="385"/>
      <c r="B883" s="135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</row>
    <row r="884" ht="15.0" customHeight="1">
      <c r="A884" s="385"/>
      <c r="B884" s="135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</row>
    <row r="885" ht="15.0" customHeight="1">
      <c r="A885" s="385"/>
      <c r="B885" s="135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</row>
    <row r="886" ht="15.0" customHeight="1">
      <c r="A886" s="385"/>
      <c r="B886" s="135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</row>
    <row r="887" ht="15.0" customHeight="1">
      <c r="A887" s="385"/>
      <c r="B887" s="135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</row>
    <row r="888" ht="15.0" customHeight="1">
      <c r="A888" s="385"/>
      <c r="B888" s="135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</row>
    <row r="889" ht="15.0" customHeight="1">
      <c r="A889" s="385"/>
      <c r="B889" s="135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</row>
    <row r="890" ht="15.0" customHeight="1">
      <c r="A890" s="385"/>
      <c r="B890" s="135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</row>
    <row r="891" ht="15.0" customHeight="1">
      <c r="A891" s="385"/>
      <c r="B891" s="135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</row>
    <row r="892" ht="15.0" customHeight="1">
      <c r="A892" s="385"/>
      <c r="B892" s="135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</row>
    <row r="893" ht="15.0" customHeight="1">
      <c r="A893" s="385"/>
      <c r="B893" s="135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</row>
    <row r="894" ht="15.0" customHeight="1">
      <c r="A894" s="385"/>
      <c r="B894" s="135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</row>
    <row r="895" ht="15.0" customHeight="1">
      <c r="A895" s="385"/>
      <c r="B895" s="135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</row>
    <row r="896" ht="15.0" customHeight="1">
      <c r="A896" s="385"/>
      <c r="B896" s="135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</row>
    <row r="897" ht="15.0" customHeight="1">
      <c r="A897" s="385"/>
      <c r="B897" s="135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</row>
    <row r="898" ht="15.0" customHeight="1">
      <c r="A898" s="385"/>
      <c r="B898" s="135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</row>
    <row r="899" ht="15.0" customHeight="1">
      <c r="A899" s="385"/>
      <c r="B899" s="135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</row>
    <row r="900" ht="15.0" customHeight="1">
      <c r="A900" s="385"/>
      <c r="B900" s="135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</row>
    <row r="901" ht="15.0" customHeight="1">
      <c r="A901" s="385"/>
      <c r="B901" s="135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</row>
    <row r="902" ht="15.0" customHeight="1">
      <c r="A902" s="385"/>
      <c r="B902" s="135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</row>
    <row r="903" ht="15.0" customHeight="1">
      <c r="A903" s="385"/>
      <c r="B903" s="135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</row>
    <row r="904" ht="15.0" customHeight="1">
      <c r="A904" s="385"/>
      <c r="B904" s="135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</row>
    <row r="905" ht="15.0" customHeight="1">
      <c r="A905" s="385"/>
      <c r="B905" s="135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</row>
    <row r="906" ht="15.0" customHeight="1">
      <c r="A906" s="385"/>
      <c r="B906" s="135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</row>
    <row r="907" ht="15.0" customHeight="1">
      <c r="A907" s="385"/>
      <c r="B907" s="135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</row>
    <row r="908" ht="15.0" customHeight="1">
      <c r="A908" s="385"/>
      <c r="B908" s="135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</row>
    <row r="909" ht="15.0" customHeight="1">
      <c r="A909" s="385"/>
      <c r="B909" s="135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</row>
    <row r="910" ht="15.0" customHeight="1">
      <c r="A910" s="385"/>
      <c r="B910" s="135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</row>
    <row r="911" ht="15.0" customHeight="1">
      <c r="A911" s="385"/>
      <c r="B911" s="135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</row>
    <row r="912" ht="15.0" customHeight="1">
      <c r="A912" s="385"/>
      <c r="B912" s="135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</row>
    <row r="913" ht="15.0" customHeight="1">
      <c r="A913" s="385"/>
      <c r="B913" s="135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</row>
    <row r="914" ht="15.0" customHeight="1">
      <c r="A914" s="385"/>
      <c r="B914" s="135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</row>
    <row r="915" ht="15.0" customHeight="1">
      <c r="A915" s="385"/>
      <c r="B915" s="135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</row>
    <row r="916" ht="15.0" customHeight="1">
      <c r="A916" s="385"/>
      <c r="B916" s="135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</row>
    <row r="917" ht="15.0" customHeight="1">
      <c r="A917" s="385"/>
      <c r="B917" s="135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</row>
    <row r="918" ht="15.0" customHeight="1">
      <c r="A918" s="385"/>
      <c r="B918" s="135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</row>
    <row r="919" ht="15.0" customHeight="1">
      <c r="A919" s="385"/>
      <c r="B919" s="135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</row>
    <row r="920" ht="15.0" customHeight="1">
      <c r="A920" s="385"/>
      <c r="B920" s="135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</row>
    <row r="921" ht="15.0" customHeight="1">
      <c r="A921" s="385"/>
      <c r="B921" s="135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</row>
    <row r="922" ht="15.0" customHeight="1">
      <c r="A922" s="385"/>
      <c r="B922" s="135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</row>
    <row r="923" ht="15.0" customHeight="1">
      <c r="A923" s="385"/>
      <c r="B923" s="135"/>
      <c r="C923" s="135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</row>
    <row r="924" ht="15.0" customHeight="1">
      <c r="A924" s="385"/>
      <c r="B924" s="135"/>
      <c r="C924" s="135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</row>
    <row r="925" ht="15.0" customHeight="1">
      <c r="A925" s="385"/>
      <c r="B925" s="135"/>
      <c r="C925" s="135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</row>
    <row r="926" ht="15.0" customHeight="1">
      <c r="A926" s="385"/>
      <c r="B926" s="135"/>
      <c r="C926" s="135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</row>
    <row r="927" ht="15.0" customHeight="1">
      <c r="A927" s="385"/>
      <c r="B927" s="135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</row>
    <row r="928" ht="15.0" customHeight="1">
      <c r="A928" s="385"/>
      <c r="B928" s="135"/>
      <c r="C928" s="135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</row>
    <row r="929" ht="15.0" customHeight="1">
      <c r="A929" s="385"/>
      <c r="B929" s="135"/>
      <c r="C929" s="135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</row>
    <row r="930" ht="15.0" customHeight="1">
      <c r="A930" s="385"/>
      <c r="B930" s="135"/>
      <c r="C930" s="135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</row>
    <row r="931" ht="15.0" customHeight="1">
      <c r="A931" s="385"/>
      <c r="B931" s="135"/>
      <c r="C931" s="135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</row>
    <row r="932" ht="15.0" customHeight="1">
      <c r="A932" s="385"/>
      <c r="B932" s="135"/>
      <c r="C932" s="135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</row>
    <row r="933" ht="15.0" customHeight="1">
      <c r="A933" s="385"/>
      <c r="B933" s="135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</row>
    <row r="934" ht="15.0" customHeight="1">
      <c r="A934" s="385"/>
      <c r="B934" s="135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</row>
    <row r="935" ht="15.0" customHeight="1">
      <c r="A935" s="385"/>
      <c r="B935" s="135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</row>
    <row r="936" ht="15.0" customHeight="1">
      <c r="A936" s="385"/>
      <c r="B936" s="135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</row>
    <row r="937" ht="15.0" customHeight="1">
      <c r="A937" s="385"/>
      <c r="B937" s="135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</row>
    <row r="938" ht="15.0" customHeight="1">
      <c r="A938" s="385"/>
      <c r="B938" s="135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</row>
    <row r="939" ht="15.0" customHeight="1">
      <c r="A939" s="385"/>
      <c r="B939" s="135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</row>
    <row r="940" ht="15.0" customHeight="1">
      <c r="A940" s="385"/>
      <c r="B940" s="135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</row>
    <row r="941" ht="15.0" customHeight="1">
      <c r="A941" s="385"/>
      <c r="B941" s="135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</row>
    <row r="942" ht="15.0" customHeight="1">
      <c r="A942" s="385"/>
      <c r="B942" s="135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</row>
    <row r="943" ht="15.0" customHeight="1">
      <c r="A943" s="385"/>
      <c r="B943" s="135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</row>
    <row r="944" ht="15.0" customHeight="1">
      <c r="A944" s="385"/>
      <c r="B944" s="135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</row>
    <row r="945" ht="15.0" customHeight="1">
      <c r="A945" s="385"/>
      <c r="B945" s="135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</row>
    <row r="946" ht="15.0" customHeight="1">
      <c r="A946" s="385"/>
      <c r="B946" s="135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</row>
    <row r="947" ht="15.0" customHeight="1">
      <c r="A947" s="385"/>
      <c r="B947" s="135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</row>
    <row r="948" ht="15.0" customHeight="1">
      <c r="A948" s="385"/>
      <c r="B948" s="135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</row>
    <row r="949" ht="15.0" customHeight="1">
      <c r="A949" s="385"/>
      <c r="B949" s="135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</row>
    <row r="950" ht="15.0" customHeight="1">
      <c r="A950" s="385"/>
      <c r="B950" s="135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</row>
    <row r="951" ht="15.0" customHeight="1">
      <c r="A951" s="385"/>
      <c r="B951" s="135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</row>
    <row r="952" ht="15.0" customHeight="1">
      <c r="A952" s="385"/>
      <c r="B952" s="135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</row>
    <row r="953" ht="15.0" customHeight="1">
      <c r="A953" s="385"/>
      <c r="B953" s="135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</row>
    <row r="954" ht="15.0" customHeight="1">
      <c r="A954" s="385"/>
      <c r="B954" s="135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</row>
    <row r="955" ht="15.0" customHeight="1">
      <c r="A955" s="385"/>
      <c r="B955" s="135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</row>
    <row r="956" ht="15.0" customHeight="1">
      <c r="A956" s="385"/>
      <c r="B956" s="135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</row>
    <row r="957" ht="15.0" customHeight="1">
      <c r="A957" s="385"/>
      <c r="B957" s="135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</row>
    <row r="958" ht="15.0" customHeight="1">
      <c r="A958" s="385"/>
      <c r="B958" s="135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</row>
    <row r="959" ht="15.0" customHeight="1">
      <c r="A959" s="385"/>
      <c r="B959" s="135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</row>
    <row r="960" ht="15.0" customHeight="1">
      <c r="A960" s="385"/>
      <c r="B960" s="135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</row>
    <row r="961" ht="15.0" customHeight="1">
      <c r="A961" s="385"/>
      <c r="B961" s="135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</row>
    <row r="962" ht="15.0" customHeight="1">
      <c r="A962" s="385"/>
      <c r="B962" s="135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</row>
    <row r="963" ht="15.0" customHeight="1">
      <c r="A963" s="385"/>
      <c r="B963" s="135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</row>
    <row r="964" ht="15.0" customHeight="1">
      <c r="A964" s="385"/>
      <c r="B964" s="135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</row>
    <row r="965" ht="15.0" customHeight="1">
      <c r="A965" s="385"/>
      <c r="B965" s="135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</row>
    <row r="966" ht="15.0" customHeight="1">
      <c r="A966" s="385"/>
      <c r="B966" s="135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</row>
    <row r="967" ht="15.0" customHeight="1">
      <c r="A967" s="385"/>
      <c r="B967" s="135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</row>
    <row r="968" ht="15.0" customHeight="1">
      <c r="A968" s="385"/>
      <c r="B968" s="135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</row>
    <row r="969" ht="15.0" customHeight="1">
      <c r="A969" s="385"/>
      <c r="B969" s="135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</row>
    <row r="970" ht="15.0" customHeight="1">
      <c r="A970" s="385"/>
      <c r="B970" s="135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</row>
    <row r="971" ht="15.0" customHeight="1">
      <c r="A971" s="385"/>
      <c r="B971" s="135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</row>
    <row r="972" ht="15.0" customHeight="1">
      <c r="A972" s="385"/>
      <c r="B972" s="135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</row>
    <row r="973" ht="15.0" customHeight="1">
      <c r="A973" s="385"/>
      <c r="B973" s="135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</row>
    <row r="974" ht="15.0" customHeight="1">
      <c r="A974" s="385"/>
      <c r="B974" s="135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</row>
    <row r="975" ht="15.0" customHeight="1">
      <c r="A975" s="385"/>
      <c r="B975" s="135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</row>
    <row r="976" ht="15.0" customHeight="1">
      <c r="A976" s="385"/>
      <c r="B976" s="135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</row>
    <row r="977" ht="15.0" customHeight="1">
      <c r="A977" s="385"/>
      <c r="B977" s="135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</row>
    <row r="978" ht="15.0" customHeight="1">
      <c r="A978" s="385"/>
      <c r="B978" s="135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</row>
    <row r="979" ht="15.0" customHeight="1">
      <c r="A979" s="385"/>
      <c r="B979" s="135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</row>
    <row r="980" ht="15.0" customHeight="1">
      <c r="A980" s="385"/>
      <c r="B980" s="135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</row>
    <row r="981" ht="15.0" customHeight="1">
      <c r="A981" s="385"/>
      <c r="B981" s="135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</row>
    <row r="982" ht="15.0" customHeight="1">
      <c r="A982" s="385"/>
      <c r="B982" s="135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</row>
    <row r="983" ht="15.0" customHeight="1">
      <c r="A983" s="385"/>
      <c r="B983" s="135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</row>
    <row r="984" ht="15.0" customHeight="1">
      <c r="A984" s="385"/>
      <c r="B984" s="135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</row>
    <row r="985" ht="15.0" customHeight="1">
      <c r="A985" s="385"/>
      <c r="B985" s="135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</row>
    <row r="986" ht="15.0" customHeight="1">
      <c r="A986" s="385"/>
      <c r="B986" s="135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</row>
    <row r="987" ht="15.0" customHeight="1">
      <c r="A987" s="385"/>
      <c r="B987" s="135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</row>
    <row r="988" ht="15.0" customHeight="1">
      <c r="A988" s="385"/>
      <c r="B988" s="135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</row>
    <row r="989" ht="15.0" customHeight="1">
      <c r="A989" s="385"/>
      <c r="B989" s="135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</row>
    <row r="990" ht="15.0" customHeight="1">
      <c r="A990" s="385"/>
      <c r="B990" s="135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</row>
    <row r="991" ht="15.0" customHeight="1">
      <c r="A991" s="385"/>
      <c r="B991" s="135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</row>
    <row r="992" ht="15.0" customHeight="1">
      <c r="A992" s="385"/>
      <c r="B992" s="135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</row>
    <row r="993" ht="15.0" customHeight="1">
      <c r="A993" s="385"/>
      <c r="B993" s="135"/>
      <c r="C993" s="135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</row>
    <row r="994" ht="15.0" customHeight="1">
      <c r="A994" s="385"/>
      <c r="B994" s="135"/>
      <c r="C994" s="135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</row>
    <row r="995" ht="15.0" customHeight="1">
      <c r="A995" s="385"/>
      <c r="B995" s="135"/>
      <c r="C995" s="135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</row>
    <row r="996" ht="15.0" customHeight="1">
      <c r="A996" s="385"/>
      <c r="B996" s="135"/>
      <c r="C996" s="135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</row>
    <row r="997" ht="15.0" customHeight="1">
      <c r="A997" s="385"/>
      <c r="B997" s="135"/>
      <c r="C997" s="135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</row>
    <row r="998" ht="15.0" customHeight="1">
      <c r="A998" s="385"/>
      <c r="B998" s="135"/>
      <c r="C998" s="135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</row>
    <row r="999" ht="15.0" customHeight="1">
      <c r="A999" s="385"/>
      <c r="B999" s="135"/>
      <c r="C999" s="135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</row>
    <row r="1000" ht="15.0" customHeight="1">
      <c r="A1000" s="385"/>
      <c r="B1000" s="135"/>
      <c r="C1000" s="135"/>
      <c r="D1000" s="135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35"/>
    </row>
    <row r="1001" ht="15.0" customHeight="1">
      <c r="A1001" s="385"/>
      <c r="B1001" s="135"/>
      <c r="C1001" s="135"/>
      <c r="D1001" s="135"/>
      <c r="E1001" s="135"/>
      <c r="F1001" s="135"/>
      <c r="G1001" s="135"/>
      <c r="H1001" s="135"/>
      <c r="I1001" s="135"/>
      <c r="J1001" s="135"/>
      <c r="K1001" s="135"/>
      <c r="L1001" s="135"/>
      <c r="M1001" s="135"/>
      <c r="N1001" s="135"/>
      <c r="O1001" s="135"/>
      <c r="P1001" s="135"/>
    </row>
    <row r="1002" ht="15.0" customHeight="1">
      <c r="A1002" s="385"/>
      <c r="B1002" s="135"/>
      <c r="C1002" s="135"/>
      <c r="D1002" s="135"/>
      <c r="E1002" s="135"/>
      <c r="F1002" s="135"/>
      <c r="G1002" s="135"/>
      <c r="H1002" s="135"/>
      <c r="I1002" s="135"/>
      <c r="J1002" s="135"/>
      <c r="K1002" s="135"/>
      <c r="L1002" s="135"/>
      <c r="M1002" s="135"/>
      <c r="N1002" s="135"/>
      <c r="O1002" s="135"/>
      <c r="P1002" s="135"/>
    </row>
    <row r="1003" ht="15.0" customHeight="1">
      <c r="A1003" s="385"/>
      <c r="B1003" s="135"/>
      <c r="C1003" s="135"/>
      <c r="D1003" s="135"/>
      <c r="E1003" s="135"/>
      <c r="F1003" s="135"/>
      <c r="G1003" s="135"/>
      <c r="H1003" s="135"/>
      <c r="I1003" s="135"/>
      <c r="J1003" s="135"/>
      <c r="K1003" s="135"/>
      <c r="L1003" s="135"/>
      <c r="M1003" s="135"/>
      <c r="N1003" s="135"/>
      <c r="O1003" s="135"/>
      <c r="P1003" s="135"/>
    </row>
    <row r="1004" ht="15.0" customHeight="1">
      <c r="A1004" s="385"/>
      <c r="B1004" s="135"/>
      <c r="C1004" s="135"/>
      <c r="D1004" s="135"/>
      <c r="E1004" s="135"/>
      <c r="F1004" s="135"/>
      <c r="G1004" s="135"/>
      <c r="H1004" s="135"/>
      <c r="I1004" s="135"/>
      <c r="J1004" s="135"/>
      <c r="K1004" s="135"/>
      <c r="L1004" s="135"/>
      <c r="M1004" s="135"/>
      <c r="N1004" s="135"/>
      <c r="O1004" s="135"/>
      <c r="P1004" s="135"/>
    </row>
    <row r="1005" ht="15.0" customHeight="1">
      <c r="A1005" s="385"/>
      <c r="B1005" s="135"/>
      <c r="C1005" s="135"/>
      <c r="D1005" s="135"/>
      <c r="E1005" s="135"/>
      <c r="F1005" s="135"/>
      <c r="G1005" s="135"/>
      <c r="H1005" s="135"/>
      <c r="I1005" s="135"/>
      <c r="J1005" s="135"/>
      <c r="K1005" s="135"/>
      <c r="L1005" s="135"/>
      <c r="M1005" s="135"/>
      <c r="N1005" s="135"/>
      <c r="O1005" s="135"/>
      <c r="P1005" s="135"/>
    </row>
    <row r="1006" ht="15.0" customHeight="1">
      <c r="A1006" s="385"/>
      <c r="B1006" s="135"/>
      <c r="C1006" s="135"/>
      <c r="D1006" s="135"/>
      <c r="E1006" s="135"/>
      <c r="F1006" s="135"/>
      <c r="G1006" s="135"/>
      <c r="H1006" s="135"/>
      <c r="I1006" s="135"/>
      <c r="J1006" s="135"/>
      <c r="K1006" s="135"/>
      <c r="L1006" s="135"/>
      <c r="M1006" s="135"/>
      <c r="N1006" s="135"/>
      <c r="O1006" s="135"/>
      <c r="P1006" s="135"/>
    </row>
    <row r="1007" ht="15.0" customHeight="1">
      <c r="A1007" s="385"/>
      <c r="B1007" s="135"/>
      <c r="C1007" s="135"/>
      <c r="D1007" s="135"/>
      <c r="E1007" s="135"/>
      <c r="F1007" s="135"/>
      <c r="G1007" s="135"/>
      <c r="H1007" s="135"/>
      <c r="I1007" s="135"/>
      <c r="J1007" s="135"/>
      <c r="K1007" s="135"/>
      <c r="L1007" s="135"/>
      <c r="M1007" s="135"/>
      <c r="N1007" s="135"/>
      <c r="O1007" s="135"/>
      <c r="P1007" s="135"/>
    </row>
    <row r="1008" ht="15.0" customHeight="1">
      <c r="A1008" s="385"/>
      <c r="B1008" s="135"/>
      <c r="C1008" s="135"/>
      <c r="D1008" s="135"/>
      <c r="E1008" s="135"/>
      <c r="F1008" s="135"/>
      <c r="G1008" s="135"/>
      <c r="H1008" s="135"/>
      <c r="I1008" s="135"/>
      <c r="J1008" s="135"/>
      <c r="K1008" s="135"/>
      <c r="L1008" s="135"/>
      <c r="M1008" s="135"/>
      <c r="N1008" s="135"/>
      <c r="O1008" s="135"/>
      <c r="P1008" s="135"/>
    </row>
    <row r="1009" ht="15.0" customHeight="1">
      <c r="A1009" s="385"/>
      <c r="B1009" s="135"/>
      <c r="C1009" s="135"/>
      <c r="D1009" s="135"/>
      <c r="E1009" s="135"/>
      <c r="F1009" s="135"/>
      <c r="G1009" s="135"/>
      <c r="H1009" s="135"/>
      <c r="I1009" s="135"/>
      <c r="J1009" s="135"/>
      <c r="K1009" s="135"/>
      <c r="L1009" s="135"/>
      <c r="M1009" s="135"/>
      <c r="N1009" s="135"/>
      <c r="O1009" s="135"/>
      <c r="P1009" s="135"/>
    </row>
    <row r="1010" ht="15.0" customHeight="1">
      <c r="A1010" s="385"/>
      <c r="B1010" s="135"/>
      <c r="C1010" s="135"/>
      <c r="D1010" s="135"/>
      <c r="E1010" s="135"/>
      <c r="F1010" s="135"/>
      <c r="G1010" s="135"/>
      <c r="H1010" s="135"/>
      <c r="I1010" s="135"/>
      <c r="J1010" s="135"/>
      <c r="K1010" s="135"/>
      <c r="L1010" s="135"/>
      <c r="M1010" s="135"/>
      <c r="N1010" s="135"/>
      <c r="O1010" s="135"/>
      <c r="P1010" s="135"/>
    </row>
    <row r="1011" ht="15.0" customHeight="1">
      <c r="A1011" s="385"/>
      <c r="B1011" s="135"/>
      <c r="C1011" s="135"/>
      <c r="D1011" s="135"/>
      <c r="E1011" s="135"/>
      <c r="F1011" s="135"/>
      <c r="G1011" s="135"/>
      <c r="H1011" s="135"/>
      <c r="I1011" s="135"/>
      <c r="J1011" s="135"/>
      <c r="K1011" s="135"/>
      <c r="L1011" s="135"/>
      <c r="M1011" s="135"/>
      <c r="N1011" s="135"/>
      <c r="O1011" s="135"/>
      <c r="P1011" s="135"/>
    </row>
    <row r="1012" ht="15.0" customHeight="1">
      <c r="A1012" s="385"/>
      <c r="B1012" s="135"/>
      <c r="C1012" s="135"/>
      <c r="D1012" s="135"/>
      <c r="E1012" s="135"/>
      <c r="F1012" s="135"/>
      <c r="G1012" s="135"/>
      <c r="H1012" s="135"/>
      <c r="I1012" s="135"/>
      <c r="J1012" s="135"/>
      <c r="K1012" s="135"/>
      <c r="L1012" s="135"/>
      <c r="M1012" s="135"/>
      <c r="N1012" s="135"/>
      <c r="O1012" s="135"/>
      <c r="P1012" s="135"/>
    </row>
    <row r="1013" ht="15.0" customHeight="1">
      <c r="A1013" s="385"/>
      <c r="B1013" s="135"/>
      <c r="C1013" s="135"/>
      <c r="D1013" s="135"/>
      <c r="E1013" s="135"/>
      <c r="F1013" s="135"/>
      <c r="G1013" s="135"/>
      <c r="H1013" s="135"/>
      <c r="I1013" s="135"/>
      <c r="J1013" s="135"/>
      <c r="K1013" s="135"/>
      <c r="L1013" s="135"/>
      <c r="M1013" s="135"/>
      <c r="N1013" s="135"/>
      <c r="O1013" s="135"/>
      <c r="P1013" s="135"/>
    </row>
    <row r="1014" ht="15.0" customHeight="1">
      <c r="A1014" s="385"/>
      <c r="B1014" s="135"/>
      <c r="C1014" s="135"/>
      <c r="D1014" s="135"/>
      <c r="E1014" s="135"/>
      <c r="F1014" s="135"/>
      <c r="G1014" s="135"/>
      <c r="H1014" s="135"/>
      <c r="I1014" s="135"/>
      <c r="J1014" s="135"/>
      <c r="K1014" s="135"/>
      <c r="L1014" s="135"/>
      <c r="M1014" s="135"/>
      <c r="N1014" s="135"/>
      <c r="O1014" s="135"/>
      <c r="P1014" s="135"/>
    </row>
    <row r="1015" ht="15.0" customHeight="1">
      <c r="A1015" s="385"/>
      <c r="B1015" s="135"/>
      <c r="C1015" s="135"/>
      <c r="D1015" s="135"/>
      <c r="E1015" s="135"/>
      <c r="F1015" s="135"/>
      <c r="G1015" s="135"/>
      <c r="H1015" s="135"/>
      <c r="I1015" s="135"/>
      <c r="J1015" s="135"/>
      <c r="K1015" s="135"/>
      <c r="L1015" s="135"/>
      <c r="M1015" s="135"/>
      <c r="N1015" s="135"/>
      <c r="O1015" s="135"/>
      <c r="P1015" s="135"/>
    </row>
    <row r="1016" ht="15.0" customHeight="1">
      <c r="A1016" s="385"/>
      <c r="B1016" s="135"/>
      <c r="C1016" s="135"/>
      <c r="D1016" s="135"/>
      <c r="E1016" s="135"/>
      <c r="F1016" s="135"/>
      <c r="G1016" s="135"/>
      <c r="H1016" s="135"/>
      <c r="I1016" s="135"/>
      <c r="J1016" s="135"/>
      <c r="K1016" s="135"/>
      <c r="L1016" s="135"/>
      <c r="M1016" s="135"/>
      <c r="N1016" s="135"/>
      <c r="O1016" s="135"/>
      <c r="P1016" s="135"/>
    </row>
    <row r="1017" ht="15.0" customHeight="1">
      <c r="A1017" s="385"/>
      <c r="B1017" s="135"/>
      <c r="C1017" s="135"/>
      <c r="D1017" s="135"/>
      <c r="E1017" s="135"/>
      <c r="F1017" s="135"/>
      <c r="G1017" s="135"/>
      <c r="H1017" s="135"/>
      <c r="I1017" s="135"/>
      <c r="J1017" s="135"/>
      <c r="K1017" s="135"/>
      <c r="L1017" s="135"/>
      <c r="M1017" s="135"/>
      <c r="N1017" s="135"/>
      <c r="O1017" s="135"/>
      <c r="P1017" s="135"/>
    </row>
    <row r="1018" ht="15.0" customHeight="1">
      <c r="A1018" s="385"/>
      <c r="B1018" s="135"/>
      <c r="C1018" s="135"/>
      <c r="D1018" s="135"/>
      <c r="E1018" s="135"/>
      <c r="F1018" s="135"/>
      <c r="G1018" s="135"/>
      <c r="H1018" s="135"/>
      <c r="I1018" s="135"/>
      <c r="J1018" s="135"/>
      <c r="K1018" s="135"/>
      <c r="L1018" s="135"/>
      <c r="M1018" s="135"/>
      <c r="N1018" s="135"/>
      <c r="O1018" s="135"/>
      <c r="P1018" s="135"/>
    </row>
    <row r="1019" ht="15.0" customHeight="1">
      <c r="A1019" s="385"/>
      <c r="B1019" s="135"/>
      <c r="C1019" s="135"/>
      <c r="D1019" s="135"/>
      <c r="E1019" s="135"/>
      <c r="F1019" s="135"/>
      <c r="G1019" s="135"/>
      <c r="H1019" s="135"/>
      <c r="I1019" s="135"/>
      <c r="J1019" s="135"/>
      <c r="K1019" s="135"/>
      <c r="L1019" s="135"/>
      <c r="M1019" s="135"/>
      <c r="N1019" s="135"/>
      <c r="O1019" s="135"/>
      <c r="P1019" s="135"/>
    </row>
    <row r="1020" ht="15.0" customHeight="1">
      <c r="A1020" s="385"/>
      <c r="B1020" s="135"/>
      <c r="C1020" s="135"/>
      <c r="D1020" s="135"/>
      <c r="E1020" s="135"/>
      <c r="F1020" s="135"/>
      <c r="G1020" s="135"/>
      <c r="H1020" s="135"/>
      <c r="I1020" s="135"/>
      <c r="J1020" s="135"/>
      <c r="K1020" s="135"/>
      <c r="L1020" s="135"/>
      <c r="M1020" s="135"/>
      <c r="N1020" s="135"/>
      <c r="O1020" s="135"/>
      <c r="P1020" s="135"/>
    </row>
    <row r="1021" ht="15.0" customHeight="1">
      <c r="A1021" s="385"/>
      <c r="B1021" s="135"/>
      <c r="C1021" s="135"/>
      <c r="D1021" s="135"/>
      <c r="E1021" s="135"/>
      <c r="F1021" s="135"/>
      <c r="G1021" s="135"/>
      <c r="H1021" s="135"/>
      <c r="I1021" s="135"/>
      <c r="J1021" s="135"/>
      <c r="K1021" s="135"/>
      <c r="L1021" s="135"/>
      <c r="M1021" s="135"/>
      <c r="N1021" s="135"/>
      <c r="O1021" s="135"/>
      <c r="P1021" s="135"/>
    </row>
    <row r="1022" ht="15.0" customHeight="1">
      <c r="A1022" s="385"/>
      <c r="B1022" s="135"/>
      <c r="C1022" s="135"/>
      <c r="D1022" s="135"/>
      <c r="E1022" s="135"/>
      <c r="F1022" s="135"/>
      <c r="G1022" s="135"/>
      <c r="H1022" s="135"/>
      <c r="I1022" s="135"/>
      <c r="J1022" s="135"/>
      <c r="K1022" s="135"/>
      <c r="L1022" s="135"/>
      <c r="M1022" s="135"/>
      <c r="N1022" s="135"/>
      <c r="O1022" s="135"/>
      <c r="P1022" s="135"/>
    </row>
    <row r="1023" ht="15.0" customHeight="1">
      <c r="A1023" s="385"/>
      <c r="B1023" s="135"/>
      <c r="C1023" s="135"/>
      <c r="D1023" s="135"/>
      <c r="E1023" s="135"/>
      <c r="F1023" s="135"/>
      <c r="G1023" s="135"/>
      <c r="H1023" s="135"/>
      <c r="I1023" s="135"/>
      <c r="J1023" s="135"/>
      <c r="K1023" s="135"/>
      <c r="L1023" s="135"/>
      <c r="M1023" s="135"/>
      <c r="N1023" s="135"/>
      <c r="O1023" s="135"/>
      <c r="P1023" s="135"/>
    </row>
    <row r="1024" ht="15.0" customHeight="1">
      <c r="A1024" s="385"/>
      <c r="B1024" s="135"/>
      <c r="C1024" s="135"/>
      <c r="D1024" s="135"/>
      <c r="E1024" s="135"/>
      <c r="F1024" s="135"/>
      <c r="G1024" s="135"/>
      <c r="H1024" s="135"/>
      <c r="I1024" s="135"/>
      <c r="J1024" s="135"/>
      <c r="K1024" s="135"/>
      <c r="L1024" s="135"/>
      <c r="M1024" s="135"/>
      <c r="N1024" s="135"/>
      <c r="O1024" s="135"/>
      <c r="P1024" s="135"/>
    </row>
    <row r="1025" ht="15.0" customHeight="1">
      <c r="A1025" s="385"/>
      <c r="B1025" s="135"/>
      <c r="C1025" s="135"/>
      <c r="D1025" s="135"/>
      <c r="E1025" s="135"/>
      <c r="F1025" s="135"/>
      <c r="G1025" s="135"/>
      <c r="H1025" s="135"/>
      <c r="I1025" s="135"/>
      <c r="J1025" s="135"/>
      <c r="K1025" s="135"/>
      <c r="L1025" s="135"/>
      <c r="M1025" s="135"/>
      <c r="N1025" s="135"/>
      <c r="O1025" s="135"/>
      <c r="P1025" s="135"/>
    </row>
    <row r="1026" ht="15.0" customHeight="1">
      <c r="A1026" s="385"/>
      <c r="B1026" s="135"/>
      <c r="C1026" s="135"/>
      <c r="D1026" s="135"/>
      <c r="E1026" s="135"/>
      <c r="F1026" s="135"/>
      <c r="G1026" s="135"/>
      <c r="H1026" s="135"/>
      <c r="I1026" s="135"/>
      <c r="J1026" s="135"/>
      <c r="K1026" s="135"/>
      <c r="L1026" s="135"/>
      <c r="M1026" s="135"/>
      <c r="N1026" s="135"/>
      <c r="O1026" s="135"/>
      <c r="P1026" s="135"/>
    </row>
    <row r="1027" ht="15.0" customHeight="1">
      <c r="A1027" s="385"/>
      <c r="B1027" s="135"/>
      <c r="C1027" s="135"/>
      <c r="D1027" s="135"/>
      <c r="E1027" s="135"/>
      <c r="F1027" s="135"/>
      <c r="G1027" s="135"/>
      <c r="H1027" s="135"/>
      <c r="I1027" s="135"/>
      <c r="J1027" s="135"/>
      <c r="K1027" s="135"/>
      <c r="L1027" s="135"/>
      <c r="M1027" s="135"/>
      <c r="N1027" s="135"/>
      <c r="O1027" s="135"/>
      <c r="P1027" s="135"/>
    </row>
    <row r="1028" ht="15.0" customHeight="1">
      <c r="A1028" s="385"/>
      <c r="B1028" s="135"/>
      <c r="C1028" s="135"/>
      <c r="D1028" s="135"/>
      <c r="E1028" s="135"/>
      <c r="F1028" s="135"/>
      <c r="G1028" s="135"/>
      <c r="H1028" s="135"/>
      <c r="I1028" s="135"/>
      <c r="J1028" s="135"/>
      <c r="K1028" s="135"/>
      <c r="L1028" s="135"/>
      <c r="M1028" s="135"/>
      <c r="N1028" s="135"/>
      <c r="O1028" s="135"/>
      <c r="P1028" s="135"/>
    </row>
    <row r="1029" ht="15.0" customHeight="1">
      <c r="A1029" s="385"/>
      <c r="B1029" s="135"/>
      <c r="C1029" s="135"/>
      <c r="D1029" s="135"/>
      <c r="E1029" s="135"/>
      <c r="F1029" s="135"/>
      <c r="G1029" s="135"/>
      <c r="H1029" s="135"/>
      <c r="I1029" s="135"/>
      <c r="J1029" s="135"/>
      <c r="K1029" s="135"/>
      <c r="L1029" s="135"/>
      <c r="M1029" s="135"/>
      <c r="N1029" s="135"/>
      <c r="O1029" s="135"/>
      <c r="P1029" s="135"/>
    </row>
    <row r="1030" ht="15.0" customHeight="1">
      <c r="A1030" s="385"/>
      <c r="B1030" s="135"/>
      <c r="C1030" s="135"/>
      <c r="D1030" s="135"/>
      <c r="E1030" s="135"/>
      <c r="F1030" s="135"/>
      <c r="G1030" s="135"/>
      <c r="H1030" s="135"/>
      <c r="I1030" s="135"/>
      <c r="J1030" s="135"/>
      <c r="K1030" s="135"/>
      <c r="L1030" s="135"/>
      <c r="M1030" s="135"/>
      <c r="N1030" s="135"/>
      <c r="O1030" s="135"/>
      <c r="P1030" s="135"/>
    </row>
    <row r="1031" ht="15.0" customHeight="1">
      <c r="A1031" s="385"/>
      <c r="B1031" s="135"/>
      <c r="C1031" s="135"/>
      <c r="D1031" s="135"/>
      <c r="E1031" s="135"/>
      <c r="F1031" s="135"/>
      <c r="G1031" s="135"/>
      <c r="H1031" s="135"/>
      <c r="I1031" s="135"/>
      <c r="J1031" s="135"/>
      <c r="K1031" s="135"/>
      <c r="L1031" s="135"/>
      <c r="M1031" s="135"/>
      <c r="N1031" s="135"/>
      <c r="O1031" s="135"/>
      <c r="P1031" s="135"/>
    </row>
    <row r="1032" ht="15.0" customHeight="1">
      <c r="A1032" s="385"/>
      <c r="B1032" s="135"/>
      <c r="C1032" s="135"/>
      <c r="D1032" s="135"/>
      <c r="E1032" s="135"/>
      <c r="F1032" s="135"/>
      <c r="G1032" s="135"/>
      <c r="H1032" s="135"/>
      <c r="I1032" s="135"/>
      <c r="J1032" s="135"/>
      <c r="K1032" s="135"/>
      <c r="L1032" s="135"/>
      <c r="M1032" s="135"/>
      <c r="N1032" s="135"/>
      <c r="O1032" s="135"/>
      <c r="P1032" s="135"/>
    </row>
    <row r="1033" ht="15.0" customHeight="1">
      <c r="A1033" s="385"/>
      <c r="B1033" s="135"/>
      <c r="C1033" s="135"/>
      <c r="D1033" s="135"/>
      <c r="E1033" s="135"/>
      <c r="F1033" s="135"/>
      <c r="G1033" s="135"/>
      <c r="H1033" s="135"/>
      <c r="I1033" s="135"/>
      <c r="J1033" s="135"/>
      <c r="K1033" s="135"/>
      <c r="L1033" s="135"/>
      <c r="M1033" s="135"/>
      <c r="N1033" s="135"/>
      <c r="O1033" s="135"/>
      <c r="P1033" s="135"/>
    </row>
    <row r="1034" ht="15.0" customHeight="1">
      <c r="A1034" s="385"/>
      <c r="B1034" s="135"/>
      <c r="C1034" s="135"/>
      <c r="D1034" s="135"/>
      <c r="E1034" s="135"/>
      <c r="F1034" s="135"/>
      <c r="G1034" s="135"/>
      <c r="H1034" s="135"/>
      <c r="I1034" s="135"/>
      <c r="J1034" s="135"/>
      <c r="K1034" s="135"/>
      <c r="L1034" s="135"/>
      <c r="M1034" s="135"/>
      <c r="N1034" s="135"/>
      <c r="O1034" s="135"/>
      <c r="P1034" s="135"/>
    </row>
    <row r="1035" ht="15.0" customHeight="1">
      <c r="A1035" s="385"/>
      <c r="B1035" s="135"/>
      <c r="C1035" s="135"/>
      <c r="D1035" s="135"/>
      <c r="E1035" s="135"/>
      <c r="F1035" s="135"/>
      <c r="G1035" s="135"/>
      <c r="H1035" s="135"/>
      <c r="I1035" s="135"/>
      <c r="J1035" s="135"/>
      <c r="K1035" s="135"/>
      <c r="L1035" s="135"/>
      <c r="M1035" s="135"/>
      <c r="N1035" s="135"/>
      <c r="O1035" s="135"/>
      <c r="P1035" s="135"/>
    </row>
    <row r="1036" ht="15.0" customHeight="1">
      <c r="A1036" s="385"/>
      <c r="B1036" s="135"/>
      <c r="C1036" s="135"/>
      <c r="D1036" s="135"/>
      <c r="E1036" s="135"/>
      <c r="F1036" s="135"/>
      <c r="G1036" s="135"/>
      <c r="H1036" s="135"/>
      <c r="I1036" s="135"/>
      <c r="J1036" s="135"/>
      <c r="K1036" s="135"/>
      <c r="L1036" s="135"/>
      <c r="M1036" s="135"/>
      <c r="N1036" s="135"/>
      <c r="O1036" s="135"/>
      <c r="P1036" s="135"/>
    </row>
    <row r="1037" ht="15.0" customHeight="1">
      <c r="A1037" s="385"/>
      <c r="B1037" s="135"/>
      <c r="C1037" s="135"/>
      <c r="D1037" s="135"/>
      <c r="E1037" s="135"/>
      <c r="F1037" s="135"/>
      <c r="G1037" s="135"/>
      <c r="H1037" s="135"/>
      <c r="I1037" s="135"/>
      <c r="J1037" s="135"/>
      <c r="K1037" s="135"/>
      <c r="L1037" s="135"/>
      <c r="M1037" s="135"/>
      <c r="N1037" s="135"/>
      <c r="O1037" s="135"/>
      <c r="P1037" s="135"/>
    </row>
    <row r="1038" ht="15.0" customHeight="1">
      <c r="A1038" s="385"/>
      <c r="B1038" s="135"/>
      <c r="C1038" s="135"/>
      <c r="D1038" s="135"/>
      <c r="E1038" s="135"/>
      <c r="F1038" s="135"/>
      <c r="G1038" s="135"/>
      <c r="H1038" s="135"/>
      <c r="I1038" s="135"/>
      <c r="J1038" s="135"/>
      <c r="K1038" s="135"/>
      <c r="L1038" s="135"/>
      <c r="M1038" s="135"/>
      <c r="N1038" s="135"/>
      <c r="O1038" s="135"/>
      <c r="P1038" s="135"/>
    </row>
    <row r="1039" ht="15.0" customHeight="1">
      <c r="A1039" s="385"/>
      <c r="B1039" s="135"/>
      <c r="C1039" s="135"/>
      <c r="D1039" s="135"/>
      <c r="E1039" s="135"/>
      <c r="F1039" s="135"/>
      <c r="G1039" s="135"/>
      <c r="H1039" s="135"/>
      <c r="I1039" s="135"/>
      <c r="J1039" s="135"/>
      <c r="K1039" s="135"/>
      <c r="L1039" s="135"/>
      <c r="M1039" s="135"/>
      <c r="N1039" s="135"/>
      <c r="O1039" s="135"/>
      <c r="P1039" s="135"/>
    </row>
    <row r="1040" ht="15.0" customHeight="1">
      <c r="A1040" s="385"/>
      <c r="B1040" s="135"/>
      <c r="C1040" s="135"/>
      <c r="D1040" s="135"/>
      <c r="E1040" s="135"/>
      <c r="F1040" s="135"/>
      <c r="G1040" s="135"/>
      <c r="H1040" s="135"/>
      <c r="I1040" s="135"/>
      <c r="J1040" s="135"/>
      <c r="K1040" s="135"/>
      <c r="L1040" s="135"/>
      <c r="M1040" s="135"/>
      <c r="N1040" s="135"/>
      <c r="O1040" s="135"/>
      <c r="P1040" s="135"/>
    </row>
    <row r="1041" ht="15.0" customHeight="1">
      <c r="A1041" s="385"/>
      <c r="B1041" s="135"/>
      <c r="C1041" s="135"/>
      <c r="D1041" s="135"/>
      <c r="E1041" s="135"/>
      <c r="F1041" s="135"/>
      <c r="G1041" s="135"/>
      <c r="H1041" s="135"/>
      <c r="I1041" s="135"/>
      <c r="J1041" s="135"/>
      <c r="K1041" s="135"/>
      <c r="L1041" s="135"/>
      <c r="M1041" s="135"/>
      <c r="N1041" s="135"/>
      <c r="O1041" s="135"/>
      <c r="P1041" s="135"/>
    </row>
    <row r="1042" ht="15.0" customHeight="1">
      <c r="A1042" s="385"/>
      <c r="B1042" s="135"/>
      <c r="C1042" s="135"/>
      <c r="D1042" s="135"/>
      <c r="E1042" s="135"/>
      <c r="F1042" s="135"/>
      <c r="G1042" s="135"/>
      <c r="H1042" s="135"/>
      <c r="I1042" s="135"/>
      <c r="J1042" s="135"/>
      <c r="K1042" s="135"/>
      <c r="L1042" s="135"/>
      <c r="M1042" s="135"/>
      <c r="N1042" s="135"/>
      <c r="O1042" s="135"/>
      <c r="P1042" s="135"/>
    </row>
    <row r="1043" ht="15.0" customHeight="1">
      <c r="A1043" s="385"/>
      <c r="B1043" s="135"/>
      <c r="C1043" s="135"/>
      <c r="D1043" s="135"/>
      <c r="E1043" s="135"/>
      <c r="F1043" s="135"/>
      <c r="G1043" s="135"/>
      <c r="H1043" s="135"/>
      <c r="I1043" s="135"/>
      <c r="J1043" s="135"/>
      <c r="K1043" s="135"/>
      <c r="L1043" s="135"/>
      <c r="M1043" s="135"/>
      <c r="N1043" s="135"/>
      <c r="O1043" s="135"/>
      <c r="P1043" s="135"/>
    </row>
    <row r="1044" ht="15.0" customHeight="1">
      <c r="A1044" s="385"/>
      <c r="B1044" s="135"/>
      <c r="C1044" s="135"/>
      <c r="D1044" s="135"/>
      <c r="E1044" s="135"/>
      <c r="F1044" s="135"/>
      <c r="G1044" s="135"/>
      <c r="H1044" s="135"/>
      <c r="I1044" s="135"/>
      <c r="J1044" s="135"/>
      <c r="K1044" s="135"/>
      <c r="L1044" s="135"/>
      <c r="M1044" s="135"/>
      <c r="N1044" s="135"/>
      <c r="O1044" s="135"/>
      <c r="P1044" s="135"/>
    </row>
    <row r="1045" ht="15.0" customHeight="1">
      <c r="A1045" s="385"/>
      <c r="B1045" s="135"/>
      <c r="C1045" s="135"/>
      <c r="D1045" s="135"/>
      <c r="E1045" s="135"/>
      <c r="F1045" s="135"/>
      <c r="G1045" s="135"/>
      <c r="H1045" s="135"/>
      <c r="I1045" s="135"/>
      <c r="J1045" s="135"/>
      <c r="K1045" s="135"/>
      <c r="L1045" s="135"/>
      <c r="M1045" s="135"/>
      <c r="N1045" s="135"/>
      <c r="O1045" s="135"/>
      <c r="P1045" s="135"/>
    </row>
    <row r="1046" ht="15.0" customHeight="1">
      <c r="A1046" s="385"/>
      <c r="B1046" s="135"/>
      <c r="C1046" s="135"/>
      <c r="D1046" s="135"/>
      <c r="E1046" s="135"/>
      <c r="F1046" s="135"/>
      <c r="G1046" s="135"/>
      <c r="H1046" s="135"/>
      <c r="I1046" s="135"/>
      <c r="J1046" s="135"/>
      <c r="K1046" s="135"/>
      <c r="L1046" s="135"/>
      <c r="M1046" s="135"/>
      <c r="N1046" s="135"/>
      <c r="O1046" s="135"/>
      <c r="P1046" s="135"/>
    </row>
    <row r="1047" ht="15.0" customHeight="1">
      <c r="A1047" s="385"/>
      <c r="B1047" s="135"/>
      <c r="C1047" s="135"/>
      <c r="D1047" s="135"/>
      <c r="E1047" s="135"/>
      <c r="F1047" s="135"/>
      <c r="G1047" s="135"/>
      <c r="H1047" s="135"/>
      <c r="I1047" s="135"/>
      <c r="J1047" s="135"/>
      <c r="K1047" s="135"/>
      <c r="L1047" s="135"/>
      <c r="M1047" s="135"/>
      <c r="N1047" s="135"/>
      <c r="O1047" s="135"/>
      <c r="P1047" s="135"/>
    </row>
    <row r="1048" ht="15.0" customHeight="1">
      <c r="A1048" s="385"/>
      <c r="B1048" s="135"/>
      <c r="C1048" s="135"/>
      <c r="D1048" s="135"/>
      <c r="E1048" s="135"/>
      <c r="F1048" s="135"/>
      <c r="G1048" s="135"/>
      <c r="H1048" s="135"/>
      <c r="I1048" s="135"/>
      <c r="J1048" s="135"/>
      <c r="K1048" s="135"/>
      <c r="L1048" s="135"/>
      <c r="M1048" s="135"/>
      <c r="N1048" s="135"/>
      <c r="O1048" s="135"/>
      <c r="P1048" s="135"/>
    </row>
    <row r="1049" ht="15.0" customHeight="1">
      <c r="A1049" s="385"/>
      <c r="B1049" s="135"/>
      <c r="C1049" s="135"/>
      <c r="D1049" s="135"/>
      <c r="E1049" s="135"/>
      <c r="F1049" s="135"/>
      <c r="G1049" s="135"/>
      <c r="H1049" s="135"/>
      <c r="I1049" s="135"/>
      <c r="J1049" s="135"/>
      <c r="K1049" s="135"/>
      <c r="L1049" s="135"/>
      <c r="M1049" s="135"/>
      <c r="N1049" s="135"/>
      <c r="O1049" s="135"/>
      <c r="P1049" s="135"/>
    </row>
    <row r="1050" ht="15.0" customHeight="1">
      <c r="A1050" s="385"/>
      <c r="B1050" s="135"/>
      <c r="C1050" s="135"/>
      <c r="D1050" s="135"/>
      <c r="E1050" s="135"/>
      <c r="F1050" s="135"/>
      <c r="G1050" s="135"/>
      <c r="H1050" s="135"/>
      <c r="I1050" s="135"/>
      <c r="J1050" s="135"/>
      <c r="K1050" s="135"/>
      <c r="L1050" s="135"/>
      <c r="M1050" s="135"/>
      <c r="N1050" s="135"/>
      <c r="O1050" s="135"/>
      <c r="P1050" s="135"/>
    </row>
    <row r="1051" ht="15.0" customHeight="1">
      <c r="A1051" s="385"/>
      <c r="B1051" s="135"/>
      <c r="C1051" s="135"/>
      <c r="D1051" s="135"/>
      <c r="E1051" s="135"/>
      <c r="F1051" s="135"/>
      <c r="G1051" s="135"/>
      <c r="H1051" s="135"/>
      <c r="I1051" s="135"/>
      <c r="J1051" s="135"/>
      <c r="K1051" s="135"/>
      <c r="L1051" s="135"/>
      <c r="M1051" s="135"/>
      <c r="N1051" s="135"/>
      <c r="O1051" s="135"/>
      <c r="P1051" s="135"/>
    </row>
    <row r="1052" ht="15.0" customHeight="1">
      <c r="A1052" s="385"/>
      <c r="B1052" s="135"/>
      <c r="C1052" s="135"/>
      <c r="D1052" s="135"/>
      <c r="E1052" s="135"/>
      <c r="F1052" s="135"/>
      <c r="G1052" s="135"/>
      <c r="H1052" s="135"/>
      <c r="I1052" s="135"/>
      <c r="J1052" s="135"/>
      <c r="K1052" s="135"/>
      <c r="L1052" s="135"/>
      <c r="M1052" s="135"/>
      <c r="N1052" s="135"/>
      <c r="O1052" s="135"/>
      <c r="P1052" s="135"/>
    </row>
    <row r="1053" ht="15.0" customHeight="1">
      <c r="A1053" s="385"/>
      <c r="B1053" s="135"/>
      <c r="C1053" s="135"/>
      <c r="D1053" s="135"/>
      <c r="E1053" s="135"/>
      <c r="F1053" s="135"/>
      <c r="G1053" s="135"/>
      <c r="H1053" s="135"/>
      <c r="I1053" s="135"/>
      <c r="J1053" s="135"/>
      <c r="K1053" s="135"/>
      <c r="L1053" s="135"/>
      <c r="M1053" s="135"/>
      <c r="N1053" s="135"/>
      <c r="O1053" s="135"/>
      <c r="P1053" s="135"/>
    </row>
    <row r="1054" ht="15.0" customHeight="1">
      <c r="A1054" s="385"/>
      <c r="B1054" s="135"/>
      <c r="C1054" s="135"/>
      <c r="D1054" s="135"/>
      <c r="E1054" s="135"/>
      <c r="F1054" s="135"/>
      <c r="G1054" s="135"/>
      <c r="H1054" s="135"/>
      <c r="I1054" s="135"/>
      <c r="J1054" s="135"/>
      <c r="K1054" s="135"/>
      <c r="L1054" s="135"/>
      <c r="M1054" s="135"/>
      <c r="N1054" s="135"/>
      <c r="O1054" s="135"/>
      <c r="P1054" s="135"/>
    </row>
    <row r="1055" ht="15.0" customHeight="1">
      <c r="A1055" s="385"/>
      <c r="B1055" s="135"/>
      <c r="C1055" s="135"/>
      <c r="D1055" s="135"/>
      <c r="E1055" s="135"/>
      <c r="F1055" s="135"/>
      <c r="G1055" s="135"/>
      <c r="H1055" s="135"/>
      <c r="I1055" s="135"/>
      <c r="J1055" s="135"/>
      <c r="K1055" s="135"/>
      <c r="L1055" s="135"/>
      <c r="M1055" s="135"/>
      <c r="N1055" s="135"/>
      <c r="O1055" s="135"/>
      <c r="P1055" s="135"/>
    </row>
    <row r="1056" ht="15.0" customHeight="1">
      <c r="A1056" s="385"/>
      <c r="B1056" s="135"/>
      <c r="C1056" s="135"/>
      <c r="D1056" s="135"/>
      <c r="E1056" s="135"/>
      <c r="F1056" s="135"/>
      <c r="G1056" s="135"/>
      <c r="H1056" s="135"/>
      <c r="I1056" s="135"/>
      <c r="J1056" s="135"/>
      <c r="K1056" s="135"/>
      <c r="L1056" s="135"/>
      <c r="M1056" s="135"/>
      <c r="N1056" s="135"/>
      <c r="O1056" s="135"/>
      <c r="P1056" s="135"/>
    </row>
    <row r="1057" ht="15.0" customHeight="1">
      <c r="A1057" s="385"/>
      <c r="B1057" s="135"/>
      <c r="C1057" s="135"/>
      <c r="D1057" s="135"/>
      <c r="E1057" s="135"/>
      <c r="F1057" s="135"/>
      <c r="G1057" s="135"/>
      <c r="H1057" s="135"/>
      <c r="I1057" s="135"/>
      <c r="J1057" s="135"/>
      <c r="K1057" s="135"/>
      <c r="L1057" s="135"/>
      <c r="M1057" s="135"/>
      <c r="N1057" s="135"/>
      <c r="O1057" s="135"/>
      <c r="P1057" s="135"/>
    </row>
    <row r="1058" ht="15.0" customHeight="1">
      <c r="A1058" s="385"/>
      <c r="B1058" s="135"/>
      <c r="C1058" s="135"/>
      <c r="D1058" s="135"/>
      <c r="E1058" s="135"/>
      <c r="F1058" s="135"/>
      <c r="G1058" s="135"/>
      <c r="H1058" s="135"/>
      <c r="I1058" s="135"/>
      <c r="J1058" s="135"/>
      <c r="K1058" s="135"/>
      <c r="L1058" s="135"/>
      <c r="M1058" s="135"/>
      <c r="N1058" s="135"/>
      <c r="O1058" s="135"/>
      <c r="P1058" s="135"/>
    </row>
    <row r="1059" ht="15.0" customHeight="1">
      <c r="A1059" s="385"/>
      <c r="B1059" s="135"/>
      <c r="C1059" s="135"/>
      <c r="D1059" s="135"/>
      <c r="E1059" s="135"/>
      <c r="F1059" s="135"/>
      <c r="G1059" s="135"/>
      <c r="H1059" s="135"/>
      <c r="I1059" s="135"/>
      <c r="J1059" s="135"/>
      <c r="K1059" s="135"/>
      <c r="L1059" s="135"/>
      <c r="M1059" s="135"/>
      <c r="N1059" s="135"/>
      <c r="O1059" s="135"/>
      <c r="P1059" s="135"/>
    </row>
    <row r="1060" ht="15.0" customHeight="1">
      <c r="A1060" s="385"/>
      <c r="B1060" s="135"/>
      <c r="C1060" s="135"/>
      <c r="D1060" s="135"/>
      <c r="E1060" s="135"/>
      <c r="F1060" s="135"/>
      <c r="G1060" s="135"/>
      <c r="H1060" s="135"/>
      <c r="I1060" s="135"/>
      <c r="J1060" s="135"/>
      <c r="K1060" s="135"/>
      <c r="L1060" s="135"/>
      <c r="M1060" s="135"/>
      <c r="N1060" s="135"/>
      <c r="O1060" s="135"/>
      <c r="P1060" s="135"/>
    </row>
    <row r="1061" ht="15.0" customHeight="1">
      <c r="A1061" s="385"/>
      <c r="B1061" s="135"/>
      <c r="C1061" s="135"/>
      <c r="D1061" s="135"/>
      <c r="E1061" s="135"/>
      <c r="F1061" s="135"/>
      <c r="G1061" s="135"/>
      <c r="H1061" s="135"/>
      <c r="I1061" s="135"/>
      <c r="J1061" s="135"/>
      <c r="K1061" s="135"/>
      <c r="L1061" s="135"/>
      <c r="M1061" s="135"/>
      <c r="N1061" s="135"/>
      <c r="O1061" s="135"/>
      <c r="P1061" s="135"/>
    </row>
    <row r="1062" ht="15.0" customHeight="1">
      <c r="A1062" s="385"/>
      <c r="B1062" s="135"/>
      <c r="C1062" s="135"/>
      <c r="D1062" s="135"/>
      <c r="E1062" s="135"/>
      <c r="F1062" s="135"/>
      <c r="G1062" s="135"/>
      <c r="H1062" s="135"/>
      <c r="I1062" s="135"/>
      <c r="J1062" s="135"/>
      <c r="K1062" s="135"/>
      <c r="L1062" s="135"/>
      <c r="M1062" s="135"/>
      <c r="N1062" s="135"/>
      <c r="O1062" s="135"/>
      <c r="P1062" s="135"/>
    </row>
    <row r="1063" ht="15.0" customHeight="1">
      <c r="A1063" s="385"/>
      <c r="B1063" s="135"/>
      <c r="C1063" s="135"/>
      <c r="D1063" s="135"/>
      <c r="E1063" s="135"/>
      <c r="F1063" s="135"/>
      <c r="G1063" s="135"/>
      <c r="H1063" s="135"/>
      <c r="I1063" s="135"/>
      <c r="J1063" s="135"/>
      <c r="K1063" s="135"/>
      <c r="L1063" s="135"/>
      <c r="M1063" s="135"/>
      <c r="N1063" s="135"/>
      <c r="O1063" s="135"/>
      <c r="P1063" s="135"/>
    </row>
    <row r="1064" ht="15.0" customHeight="1">
      <c r="A1064" s="385"/>
      <c r="B1064" s="135"/>
      <c r="C1064" s="135"/>
      <c r="D1064" s="135"/>
      <c r="E1064" s="135"/>
      <c r="F1064" s="135"/>
      <c r="G1064" s="135"/>
      <c r="H1064" s="135"/>
      <c r="I1064" s="135"/>
      <c r="J1064" s="135"/>
      <c r="K1064" s="135"/>
      <c r="L1064" s="135"/>
      <c r="M1064" s="135"/>
      <c r="N1064" s="135"/>
      <c r="O1064" s="135"/>
      <c r="P1064" s="135"/>
    </row>
    <row r="1065" ht="15.0" customHeight="1">
      <c r="A1065" s="385"/>
      <c r="B1065" s="135"/>
      <c r="C1065" s="135"/>
      <c r="D1065" s="135"/>
      <c r="E1065" s="135"/>
      <c r="F1065" s="135"/>
      <c r="G1065" s="135"/>
      <c r="H1065" s="135"/>
      <c r="I1065" s="135"/>
      <c r="J1065" s="135"/>
      <c r="K1065" s="135"/>
      <c r="L1065" s="135"/>
      <c r="M1065" s="135"/>
      <c r="N1065" s="135"/>
      <c r="O1065" s="135"/>
      <c r="P1065" s="135"/>
    </row>
    <row r="1066" ht="15.0" customHeight="1">
      <c r="A1066" s="385"/>
      <c r="B1066" s="135"/>
      <c r="C1066" s="135"/>
      <c r="D1066" s="135"/>
      <c r="E1066" s="135"/>
      <c r="F1066" s="135"/>
      <c r="G1066" s="135"/>
      <c r="H1066" s="135"/>
      <c r="I1066" s="135"/>
      <c r="J1066" s="135"/>
      <c r="K1066" s="135"/>
      <c r="L1066" s="135"/>
      <c r="M1066" s="135"/>
      <c r="N1066" s="135"/>
      <c r="O1066" s="135"/>
      <c r="P1066" s="135"/>
    </row>
    <row r="1067" ht="15.0" customHeight="1">
      <c r="A1067" s="385"/>
      <c r="B1067" s="135"/>
      <c r="C1067" s="135"/>
      <c r="D1067" s="135"/>
      <c r="E1067" s="135"/>
      <c r="F1067" s="135"/>
      <c r="G1067" s="135"/>
      <c r="H1067" s="135"/>
      <c r="I1067" s="135"/>
      <c r="J1067" s="135"/>
      <c r="K1067" s="135"/>
      <c r="L1067" s="135"/>
      <c r="M1067" s="135"/>
      <c r="N1067" s="135"/>
      <c r="O1067" s="135"/>
      <c r="P1067" s="135"/>
    </row>
    <row r="1068" ht="15.0" customHeight="1">
      <c r="A1068" s="385"/>
      <c r="B1068" s="135"/>
      <c r="C1068" s="135"/>
      <c r="D1068" s="135"/>
      <c r="E1068" s="135"/>
      <c r="F1068" s="135"/>
      <c r="G1068" s="135"/>
      <c r="H1068" s="135"/>
      <c r="I1068" s="135"/>
      <c r="J1068" s="135"/>
      <c r="K1068" s="135"/>
      <c r="L1068" s="135"/>
      <c r="M1068" s="135"/>
      <c r="N1068" s="135"/>
      <c r="O1068" s="135"/>
      <c r="P1068" s="135"/>
    </row>
    <row r="1069" ht="15.0" customHeight="1">
      <c r="A1069" s="385"/>
      <c r="B1069" s="135"/>
      <c r="C1069" s="135"/>
      <c r="D1069" s="135"/>
      <c r="E1069" s="135"/>
      <c r="F1069" s="135"/>
      <c r="G1069" s="135"/>
      <c r="H1069" s="135"/>
      <c r="I1069" s="135"/>
      <c r="J1069" s="135"/>
      <c r="K1069" s="135"/>
      <c r="L1069" s="135"/>
      <c r="M1069" s="135"/>
      <c r="N1069" s="135"/>
      <c r="O1069" s="135"/>
      <c r="P1069" s="135"/>
    </row>
    <row r="1070" ht="15.0" customHeight="1">
      <c r="A1070" s="385"/>
      <c r="B1070" s="135"/>
      <c r="C1070" s="135"/>
      <c r="D1070" s="135"/>
      <c r="E1070" s="135"/>
      <c r="F1070" s="135"/>
      <c r="G1070" s="135"/>
      <c r="H1070" s="135"/>
      <c r="I1070" s="135"/>
      <c r="J1070" s="135"/>
      <c r="K1070" s="135"/>
      <c r="L1070" s="135"/>
      <c r="M1070" s="135"/>
      <c r="N1070" s="135"/>
      <c r="O1070" s="135"/>
      <c r="P1070" s="135"/>
    </row>
    <row r="1071" ht="15.0" customHeight="1">
      <c r="A1071" s="385"/>
      <c r="B1071" s="135"/>
      <c r="C1071" s="135"/>
      <c r="D1071" s="135"/>
      <c r="E1071" s="135"/>
      <c r="F1071" s="135"/>
      <c r="G1071" s="135"/>
      <c r="H1071" s="135"/>
      <c r="I1071" s="135"/>
      <c r="J1071" s="135"/>
      <c r="K1071" s="135"/>
      <c r="L1071" s="135"/>
      <c r="M1071" s="135"/>
      <c r="N1071" s="135"/>
      <c r="O1071" s="135"/>
      <c r="P1071" s="135"/>
    </row>
    <row r="1072" ht="15.0" customHeight="1">
      <c r="A1072" s="385"/>
      <c r="B1072" s="135"/>
      <c r="C1072" s="135"/>
      <c r="D1072" s="135"/>
      <c r="E1072" s="135"/>
      <c r="F1072" s="135"/>
      <c r="G1072" s="135"/>
      <c r="H1072" s="135"/>
      <c r="I1072" s="135"/>
      <c r="J1072" s="135"/>
      <c r="K1072" s="135"/>
      <c r="L1072" s="135"/>
      <c r="M1072" s="135"/>
      <c r="N1072" s="135"/>
      <c r="O1072" s="135"/>
      <c r="P1072" s="135"/>
    </row>
    <row r="1073" ht="15.0" customHeight="1">
      <c r="A1073" s="385"/>
      <c r="B1073" s="135"/>
      <c r="C1073" s="135"/>
      <c r="D1073" s="135"/>
      <c r="E1073" s="135"/>
      <c r="F1073" s="135"/>
      <c r="G1073" s="135"/>
      <c r="H1073" s="135"/>
      <c r="I1073" s="135"/>
      <c r="J1073" s="135"/>
      <c r="K1073" s="135"/>
      <c r="L1073" s="135"/>
      <c r="M1073" s="135"/>
      <c r="N1073" s="135"/>
      <c r="O1073" s="135"/>
      <c r="P1073" s="135"/>
    </row>
    <row r="1074" ht="15.0" customHeight="1">
      <c r="A1074" s="385"/>
      <c r="B1074" s="135"/>
      <c r="C1074" s="135"/>
      <c r="D1074" s="135"/>
      <c r="E1074" s="135"/>
      <c r="F1074" s="135"/>
      <c r="G1074" s="135"/>
      <c r="H1074" s="135"/>
      <c r="I1074" s="135"/>
      <c r="J1074" s="135"/>
      <c r="K1074" s="135"/>
      <c r="L1074" s="135"/>
      <c r="M1074" s="135"/>
      <c r="N1074" s="135"/>
      <c r="O1074" s="135"/>
      <c r="P1074" s="135"/>
    </row>
    <row r="1075" ht="15.0" customHeight="1">
      <c r="A1075" s="385"/>
      <c r="B1075" s="135"/>
      <c r="C1075" s="135"/>
      <c r="D1075" s="135"/>
      <c r="E1075" s="135"/>
      <c r="F1075" s="135"/>
      <c r="G1075" s="135"/>
      <c r="H1075" s="135"/>
      <c r="I1075" s="135"/>
      <c r="J1075" s="135"/>
      <c r="K1075" s="135"/>
      <c r="L1075" s="135"/>
      <c r="M1075" s="135"/>
      <c r="N1075" s="135"/>
      <c r="O1075" s="135"/>
      <c r="P1075" s="135"/>
    </row>
    <row r="1076" ht="15.0" customHeight="1">
      <c r="A1076" s="385"/>
      <c r="B1076" s="135"/>
      <c r="C1076" s="135"/>
      <c r="D1076" s="135"/>
      <c r="E1076" s="135"/>
      <c r="F1076" s="135"/>
      <c r="G1076" s="135"/>
      <c r="H1076" s="135"/>
      <c r="I1076" s="135"/>
      <c r="J1076" s="135"/>
      <c r="K1076" s="135"/>
      <c r="L1076" s="135"/>
      <c r="M1076" s="135"/>
      <c r="N1076" s="135"/>
      <c r="O1076" s="135"/>
      <c r="P1076" s="135"/>
    </row>
    <row r="1077" ht="15.0" customHeight="1">
      <c r="A1077" s="385"/>
      <c r="B1077" s="135"/>
      <c r="C1077" s="135"/>
      <c r="D1077" s="135"/>
      <c r="E1077" s="135"/>
      <c r="F1077" s="135"/>
      <c r="G1077" s="135"/>
      <c r="H1077" s="135"/>
      <c r="I1077" s="135"/>
      <c r="J1077" s="135"/>
      <c r="K1077" s="135"/>
      <c r="L1077" s="135"/>
      <c r="M1077" s="135"/>
      <c r="N1077" s="135"/>
      <c r="O1077" s="135"/>
      <c r="P1077" s="135"/>
    </row>
    <row r="1078" ht="15.0" customHeight="1">
      <c r="A1078" s="385"/>
      <c r="B1078" s="135"/>
      <c r="C1078" s="135"/>
      <c r="D1078" s="135"/>
      <c r="E1078" s="135"/>
      <c r="F1078" s="135"/>
      <c r="G1078" s="135"/>
      <c r="H1078" s="135"/>
      <c r="I1078" s="135"/>
      <c r="J1078" s="135"/>
      <c r="K1078" s="135"/>
      <c r="L1078" s="135"/>
      <c r="M1078" s="135"/>
      <c r="N1078" s="135"/>
      <c r="O1078" s="135"/>
      <c r="P1078" s="135"/>
    </row>
    <row r="1079" ht="15.0" customHeight="1">
      <c r="A1079" s="385"/>
      <c r="B1079" s="135"/>
      <c r="C1079" s="135"/>
      <c r="D1079" s="135"/>
      <c r="E1079" s="135"/>
      <c r="F1079" s="135"/>
      <c r="G1079" s="135"/>
      <c r="H1079" s="135"/>
      <c r="I1079" s="135"/>
      <c r="J1079" s="135"/>
      <c r="K1079" s="135"/>
      <c r="L1079" s="135"/>
      <c r="M1079" s="135"/>
      <c r="N1079" s="135"/>
      <c r="O1079" s="135"/>
      <c r="P1079" s="135"/>
    </row>
    <row r="1080" ht="15.0" customHeight="1">
      <c r="A1080" s="385"/>
      <c r="B1080" s="135"/>
      <c r="C1080" s="135"/>
      <c r="D1080" s="135"/>
      <c r="E1080" s="135"/>
      <c r="F1080" s="135"/>
      <c r="G1080" s="135"/>
      <c r="H1080" s="135"/>
      <c r="I1080" s="135"/>
      <c r="J1080" s="135"/>
      <c r="K1080" s="135"/>
      <c r="L1080" s="135"/>
      <c r="M1080" s="135"/>
      <c r="N1080" s="135"/>
      <c r="O1080" s="135"/>
      <c r="P1080" s="135"/>
    </row>
    <row r="1081" ht="15.0" customHeight="1">
      <c r="A1081" s="385"/>
      <c r="B1081" s="135"/>
      <c r="C1081" s="135"/>
      <c r="D1081" s="135"/>
      <c r="E1081" s="135"/>
      <c r="F1081" s="135"/>
      <c r="G1081" s="135"/>
      <c r="H1081" s="135"/>
      <c r="I1081" s="135"/>
      <c r="J1081" s="135"/>
      <c r="K1081" s="135"/>
      <c r="L1081" s="135"/>
      <c r="M1081" s="135"/>
      <c r="N1081" s="135"/>
      <c r="O1081" s="135"/>
      <c r="P1081" s="135"/>
    </row>
    <row r="1082" ht="15.0" customHeight="1">
      <c r="A1082" s="385"/>
      <c r="B1082" s="135"/>
      <c r="C1082" s="135"/>
      <c r="D1082" s="135"/>
      <c r="E1082" s="135"/>
      <c r="F1082" s="135"/>
      <c r="G1082" s="135"/>
      <c r="H1082" s="135"/>
      <c r="I1082" s="135"/>
      <c r="J1082" s="135"/>
      <c r="K1082" s="135"/>
      <c r="L1082" s="135"/>
      <c r="M1082" s="135"/>
      <c r="N1082" s="135"/>
      <c r="O1082" s="135"/>
      <c r="P1082" s="135"/>
    </row>
    <row r="1083" ht="15.0" customHeight="1">
      <c r="A1083" s="385"/>
      <c r="B1083" s="135"/>
      <c r="C1083" s="135"/>
      <c r="D1083" s="135"/>
      <c r="E1083" s="135"/>
      <c r="F1083" s="135"/>
      <c r="G1083" s="135"/>
      <c r="H1083" s="135"/>
      <c r="I1083" s="135"/>
      <c r="J1083" s="135"/>
      <c r="K1083" s="135"/>
      <c r="L1083" s="135"/>
      <c r="M1083" s="135"/>
      <c r="N1083" s="135"/>
      <c r="O1083" s="135"/>
      <c r="P1083" s="135"/>
    </row>
    <row r="1084" ht="15.0" customHeight="1">
      <c r="A1084" s="385"/>
      <c r="B1084" s="135"/>
      <c r="C1084" s="135"/>
      <c r="D1084" s="135"/>
      <c r="E1084" s="135"/>
      <c r="F1084" s="135"/>
      <c r="G1084" s="135"/>
      <c r="H1084" s="135"/>
      <c r="I1084" s="135"/>
      <c r="J1084" s="135"/>
      <c r="K1084" s="135"/>
      <c r="L1084" s="135"/>
      <c r="M1084" s="135"/>
      <c r="N1084" s="135"/>
      <c r="O1084" s="135"/>
      <c r="P1084" s="135"/>
    </row>
    <row r="1085" ht="15.0" customHeight="1">
      <c r="A1085" s="385"/>
      <c r="B1085" s="135"/>
      <c r="C1085" s="135"/>
      <c r="D1085" s="135"/>
      <c r="E1085" s="135"/>
      <c r="F1085" s="135"/>
      <c r="G1085" s="135"/>
      <c r="H1085" s="135"/>
      <c r="I1085" s="135"/>
      <c r="J1085" s="135"/>
      <c r="K1085" s="135"/>
      <c r="L1085" s="135"/>
      <c r="M1085" s="135"/>
      <c r="N1085" s="135"/>
      <c r="O1085" s="135"/>
      <c r="P1085" s="135"/>
    </row>
    <row r="1086" ht="15.0" customHeight="1">
      <c r="A1086" s="385"/>
      <c r="B1086" s="135"/>
      <c r="C1086" s="135"/>
      <c r="D1086" s="135"/>
      <c r="E1086" s="135"/>
      <c r="F1086" s="135"/>
      <c r="G1086" s="135"/>
      <c r="H1086" s="135"/>
      <c r="I1086" s="135"/>
      <c r="J1086" s="135"/>
      <c r="K1086" s="135"/>
      <c r="L1086" s="135"/>
      <c r="M1086" s="135"/>
      <c r="N1086" s="135"/>
      <c r="O1086" s="135"/>
      <c r="P1086" s="135"/>
    </row>
    <row r="1087" ht="15.0" customHeight="1">
      <c r="A1087" s="385"/>
      <c r="B1087" s="135"/>
      <c r="C1087" s="135"/>
      <c r="D1087" s="135"/>
      <c r="E1087" s="135"/>
      <c r="F1087" s="135"/>
      <c r="G1087" s="135"/>
      <c r="H1087" s="135"/>
      <c r="I1087" s="135"/>
      <c r="J1087" s="135"/>
      <c r="K1087" s="135"/>
      <c r="L1087" s="135"/>
      <c r="M1087" s="135"/>
      <c r="N1087" s="135"/>
      <c r="O1087" s="135"/>
      <c r="P1087" s="135"/>
    </row>
    <row r="1088" ht="15.0" customHeight="1">
      <c r="A1088" s="385"/>
      <c r="B1088" s="135"/>
      <c r="C1088" s="135"/>
      <c r="D1088" s="135"/>
      <c r="E1088" s="135"/>
      <c r="F1088" s="135"/>
      <c r="G1088" s="135"/>
      <c r="H1088" s="135"/>
      <c r="I1088" s="135"/>
      <c r="J1088" s="135"/>
      <c r="K1088" s="135"/>
      <c r="L1088" s="135"/>
      <c r="M1088" s="135"/>
      <c r="N1088" s="135"/>
      <c r="O1088" s="135"/>
      <c r="P1088" s="135"/>
    </row>
    <row r="1089" ht="15.0" customHeight="1">
      <c r="A1089" s="385"/>
      <c r="B1089" s="135"/>
      <c r="C1089" s="135"/>
      <c r="D1089" s="135"/>
      <c r="E1089" s="135"/>
      <c r="F1089" s="135"/>
      <c r="G1089" s="135"/>
      <c r="H1089" s="135"/>
      <c r="I1089" s="135"/>
      <c r="J1089" s="135"/>
      <c r="K1089" s="135"/>
      <c r="L1089" s="135"/>
      <c r="M1089" s="135"/>
      <c r="N1089" s="135"/>
      <c r="O1089" s="135"/>
      <c r="P1089" s="135"/>
    </row>
    <row r="1090" ht="15.0" customHeight="1">
      <c r="A1090" s="385"/>
      <c r="B1090" s="135"/>
      <c r="C1090" s="135"/>
      <c r="D1090" s="135"/>
      <c r="E1090" s="135"/>
      <c r="F1090" s="135"/>
      <c r="G1090" s="135"/>
      <c r="H1090" s="135"/>
      <c r="I1090" s="135"/>
      <c r="J1090" s="135"/>
      <c r="K1090" s="135"/>
      <c r="L1090" s="135"/>
      <c r="M1090" s="135"/>
      <c r="N1090" s="135"/>
      <c r="O1090" s="135"/>
      <c r="P1090" s="135"/>
    </row>
    <row r="1091" ht="15.0" customHeight="1">
      <c r="A1091" s="385"/>
      <c r="B1091" s="135"/>
      <c r="C1091" s="135"/>
      <c r="D1091" s="135"/>
      <c r="E1091" s="135"/>
      <c r="F1091" s="135"/>
      <c r="G1091" s="135"/>
      <c r="H1091" s="135"/>
      <c r="I1091" s="135"/>
      <c r="J1091" s="135"/>
      <c r="K1091" s="135"/>
      <c r="L1091" s="135"/>
      <c r="M1091" s="135"/>
      <c r="N1091" s="135"/>
      <c r="O1091" s="135"/>
      <c r="P1091" s="135"/>
    </row>
    <row r="1092" ht="15.0" customHeight="1">
      <c r="A1092" s="385"/>
      <c r="B1092" s="135"/>
      <c r="C1092" s="135"/>
      <c r="D1092" s="135"/>
      <c r="E1092" s="135"/>
      <c r="F1092" s="135"/>
      <c r="G1092" s="135"/>
      <c r="H1092" s="135"/>
      <c r="I1092" s="135"/>
      <c r="J1092" s="135"/>
      <c r="K1092" s="135"/>
      <c r="L1092" s="135"/>
      <c r="M1092" s="135"/>
      <c r="N1092" s="135"/>
      <c r="O1092" s="135"/>
      <c r="P1092" s="135"/>
    </row>
    <row r="1093" ht="15.0" customHeight="1">
      <c r="A1093" s="385"/>
      <c r="B1093" s="135"/>
      <c r="C1093" s="135"/>
      <c r="D1093" s="135"/>
      <c r="E1093" s="135"/>
      <c r="F1093" s="135"/>
      <c r="G1093" s="135"/>
      <c r="H1093" s="135"/>
      <c r="I1093" s="135"/>
      <c r="J1093" s="135"/>
      <c r="K1093" s="135"/>
      <c r="L1093" s="135"/>
      <c r="M1093" s="135"/>
      <c r="N1093" s="135"/>
      <c r="O1093" s="135"/>
      <c r="P1093" s="135"/>
    </row>
    <row r="1094" ht="15.0" customHeight="1">
      <c r="A1094" s="385"/>
      <c r="B1094" s="135"/>
      <c r="C1094" s="135"/>
      <c r="D1094" s="135"/>
      <c r="E1094" s="135"/>
      <c r="F1094" s="135"/>
      <c r="G1094" s="135"/>
      <c r="H1094" s="135"/>
      <c r="I1094" s="135"/>
      <c r="J1094" s="135"/>
      <c r="K1094" s="135"/>
      <c r="L1094" s="135"/>
      <c r="M1094" s="135"/>
      <c r="N1094" s="135"/>
      <c r="O1094" s="135"/>
      <c r="P1094" s="135"/>
    </row>
    <row r="1095" ht="15.0" customHeight="1">
      <c r="A1095" s="385"/>
      <c r="B1095" s="135"/>
      <c r="C1095" s="135"/>
      <c r="D1095" s="135"/>
      <c r="E1095" s="135"/>
      <c r="F1095" s="135"/>
      <c r="G1095" s="135"/>
      <c r="H1095" s="135"/>
      <c r="I1095" s="135"/>
      <c r="J1095" s="135"/>
      <c r="K1095" s="135"/>
      <c r="L1095" s="135"/>
      <c r="M1095" s="135"/>
      <c r="N1095" s="135"/>
      <c r="O1095" s="135"/>
      <c r="P1095" s="135"/>
    </row>
    <row r="1096" ht="15.0" customHeight="1">
      <c r="A1096" s="385"/>
      <c r="B1096" s="135"/>
      <c r="C1096" s="135"/>
      <c r="D1096" s="135"/>
      <c r="E1096" s="135"/>
      <c r="F1096" s="135"/>
      <c r="G1096" s="135"/>
      <c r="H1096" s="135"/>
      <c r="I1096" s="135"/>
      <c r="J1096" s="135"/>
      <c r="K1096" s="135"/>
      <c r="L1096" s="135"/>
      <c r="M1096" s="135"/>
      <c r="N1096" s="135"/>
      <c r="O1096" s="135"/>
      <c r="P1096" s="135"/>
    </row>
    <row r="1097" ht="15.0" customHeight="1">
      <c r="A1097" s="385"/>
      <c r="B1097" s="135"/>
      <c r="C1097" s="135"/>
      <c r="D1097" s="135"/>
      <c r="E1097" s="135"/>
      <c r="F1097" s="135"/>
      <c r="G1097" s="135"/>
      <c r="H1097" s="135"/>
      <c r="I1097" s="135"/>
      <c r="J1097" s="135"/>
      <c r="K1097" s="135"/>
      <c r="L1097" s="135"/>
      <c r="M1097" s="135"/>
      <c r="N1097" s="135"/>
      <c r="O1097" s="135"/>
      <c r="P1097" s="135"/>
    </row>
    <row r="1098" ht="15.0" customHeight="1">
      <c r="A1098" s="385"/>
      <c r="B1098" s="135"/>
      <c r="C1098" s="135"/>
      <c r="D1098" s="135"/>
      <c r="E1098" s="135"/>
      <c r="F1098" s="135"/>
      <c r="G1098" s="135"/>
      <c r="H1098" s="135"/>
      <c r="I1098" s="135"/>
      <c r="J1098" s="135"/>
      <c r="K1098" s="135"/>
      <c r="L1098" s="135"/>
      <c r="M1098" s="135"/>
      <c r="N1098" s="135"/>
      <c r="O1098" s="135"/>
      <c r="P1098" s="135"/>
    </row>
    <row r="1099" ht="15.0" customHeight="1">
      <c r="A1099" s="385"/>
      <c r="B1099" s="135"/>
      <c r="C1099" s="135"/>
      <c r="D1099" s="135"/>
      <c r="E1099" s="135"/>
      <c r="F1099" s="135"/>
      <c r="G1099" s="135"/>
      <c r="H1099" s="135"/>
      <c r="I1099" s="135"/>
      <c r="J1099" s="135"/>
      <c r="K1099" s="135"/>
      <c r="L1099" s="135"/>
      <c r="M1099" s="135"/>
      <c r="N1099" s="135"/>
      <c r="O1099" s="135"/>
      <c r="P1099" s="135"/>
    </row>
    <row r="1100" ht="15.0" customHeight="1">
      <c r="A1100" s="385"/>
      <c r="B1100" s="135"/>
      <c r="C1100" s="135"/>
      <c r="D1100" s="135"/>
      <c r="E1100" s="135"/>
      <c r="F1100" s="135"/>
      <c r="G1100" s="135"/>
      <c r="H1100" s="135"/>
      <c r="I1100" s="135"/>
      <c r="J1100" s="135"/>
      <c r="K1100" s="135"/>
      <c r="L1100" s="135"/>
      <c r="M1100" s="135"/>
      <c r="N1100" s="135"/>
      <c r="O1100" s="135"/>
      <c r="P1100" s="135"/>
    </row>
    <row r="1101" ht="15.0" customHeight="1">
      <c r="A1101" s="385"/>
      <c r="B1101" s="135"/>
      <c r="C1101" s="135"/>
      <c r="D1101" s="135"/>
      <c r="E1101" s="135"/>
      <c r="F1101" s="135"/>
      <c r="G1101" s="135"/>
      <c r="H1101" s="135"/>
      <c r="I1101" s="135"/>
      <c r="J1101" s="135"/>
      <c r="K1101" s="135"/>
      <c r="L1101" s="135"/>
      <c r="M1101" s="135"/>
      <c r="N1101" s="135"/>
      <c r="O1101" s="135"/>
      <c r="P1101" s="135"/>
    </row>
    <row r="1102" ht="15.0" customHeight="1">
      <c r="A1102" s="385"/>
      <c r="B1102" s="135"/>
      <c r="C1102" s="135"/>
      <c r="D1102" s="135"/>
      <c r="E1102" s="135"/>
      <c r="F1102" s="135"/>
      <c r="G1102" s="135"/>
      <c r="H1102" s="135"/>
      <c r="I1102" s="135"/>
      <c r="J1102" s="135"/>
      <c r="K1102" s="135"/>
      <c r="L1102" s="135"/>
      <c r="M1102" s="135"/>
      <c r="N1102" s="135"/>
      <c r="O1102" s="135"/>
      <c r="P1102" s="135"/>
    </row>
    <row r="1103" ht="15.0" customHeight="1">
      <c r="A1103" s="385"/>
      <c r="B1103" s="135"/>
      <c r="C1103" s="135"/>
      <c r="D1103" s="135"/>
      <c r="E1103" s="135"/>
      <c r="F1103" s="135"/>
      <c r="G1103" s="135"/>
      <c r="H1103" s="135"/>
      <c r="I1103" s="135"/>
      <c r="J1103" s="135"/>
      <c r="K1103" s="135"/>
      <c r="L1103" s="135"/>
      <c r="M1103" s="135"/>
      <c r="N1103" s="135"/>
      <c r="O1103" s="135"/>
      <c r="P1103" s="135"/>
    </row>
    <row r="1104" ht="15.0" customHeight="1">
      <c r="A1104" s="385"/>
      <c r="B1104" s="135"/>
      <c r="C1104" s="135"/>
      <c r="D1104" s="135"/>
      <c r="E1104" s="135"/>
      <c r="F1104" s="135"/>
      <c r="G1104" s="135"/>
      <c r="H1104" s="135"/>
      <c r="I1104" s="135"/>
      <c r="J1104" s="135"/>
      <c r="K1104" s="135"/>
      <c r="L1104" s="135"/>
      <c r="M1104" s="135"/>
      <c r="N1104" s="135"/>
      <c r="O1104" s="135"/>
      <c r="P1104" s="135"/>
    </row>
    <row r="1105" ht="15.0" customHeight="1">
      <c r="A1105" s="385"/>
      <c r="B1105" s="135"/>
      <c r="C1105" s="135"/>
      <c r="D1105" s="135"/>
      <c r="E1105" s="135"/>
      <c r="F1105" s="135"/>
      <c r="G1105" s="135"/>
      <c r="H1105" s="135"/>
      <c r="I1105" s="135"/>
      <c r="J1105" s="135"/>
      <c r="K1105" s="135"/>
      <c r="L1105" s="135"/>
      <c r="M1105" s="135"/>
      <c r="N1105" s="135"/>
      <c r="O1105" s="135"/>
      <c r="P1105" s="135"/>
    </row>
    <row r="1106" ht="15.0" customHeight="1">
      <c r="A1106" s="385"/>
      <c r="B1106" s="135"/>
      <c r="C1106" s="135"/>
      <c r="D1106" s="135"/>
      <c r="E1106" s="135"/>
      <c r="F1106" s="135"/>
      <c r="G1106" s="135"/>
      <c r="H1106" s="135"/>
      <c r="I1106" s="135"/>
      <c r="J1106" s="135"/>
      <c r="K1106" s="135"/>
      <c r="L1106" s="135"/>
      <c r="M1106" s="135"/>
      <c r="N1106" s="135"/>
      <c r="O1106" s="135"/>
      <c r="P1106" s="135"/>
    </row>
    <row r="1107" ht="15.0" customHeight="1">
      <c r="A1107" s="385"/>
      <c r="B1107" s="135"/>
      <c r="C1107" s="135"/>
      <c r="D1107" s="135"/>
      <c r="E1107" s="135"/>
      <c r="F1107" s="135"/>
      <c r="G1107" s="135"/>
      <c r="H1107" s="135"/>
      <c r="I1107" s="135"/>
      <c r="J1107" s="135"/>
      <c r="K1107" s="135"/>
      <c r="L1107" s="135"/>
      <c r="M1107" s="135"/>
      <c r="N1107" s="135"/>
      <c r="O1107" s="135"/>
      <c r="P1107" s="135"/>
    </row>
    <row r="1108" ht="15.0" customHeight="1">
      <c r="A1108" s="385"/>
      <c r="B1108" s="135"/>
      <c r="C1108" s="135"/>
      <c r="D1108" s="135"/>
      <c r="E1108" s="135"/>
      <c r="F1108" s="135"/>
      <c r="G1108" s="135"/>
      <c r="H1108" s="135"/>
      <c r="I1108" s="135"/>
      <c r="J1108" s="135"/>
      <c r="K1108" s="135"/>
      <c r="L1108" s="135"/>
      <c r="M1108" s="135"/>
      <c r="N1108" s="135"/>
      <c r="O1108" s="135"/>
      <c r="P1108" s="135"/>
    </row>
    <row r="1109" ht="15.0" customHeight="1">
      <c r="A1109" s="385"/>
      <c r="B1109" s="135"/>
      <c r="C1109" s="135"/>
      <c r="D1109" s="135"/>
      <c r="E1109" s="135"/>
      <c r="F1109" s="135"/>
      <c r="G1109" s="135"/>
      <c r="H1109" s="135"/>
      <c r="I1109" s="135"/>
      <c r="J1109" s="135"/>
      <c r="K1109" s="135"/>
      <c r="L1109" s="135"/>
      <c r="M1109" s="135"/>
      <c r="N1109" s="135"/>
      <c r="O1109" s="135"/>
      <c r="P1109" s="135"/>
    </row>
    <row r="1110" ht="15.0" customHeight="1">
      <c r="A1110" s="385"/>
      <c r="B1110" s="135"/>
      <c r="C1110" s="135"/>
      <c r="D1110" s="135"/>
      <c r="E1110" s="135"/>
      <c r="F1110" s="135"/>
      <c r="G1110" s="135"/>
      <c r="H1110" s="135"/>
      <c r="I1110" s="135"/>
      <c r="J1110" s="135"/>
      <c r="K1110" s="135"/>
      <c r="L1110" s="135"/>
      <c r="M1110" s="135"/>
      <c r="N1110" s="135"/>
      <c r="O1110" s="135"/>
      <c r="P1110" s="135"/>
    </row>
    <row r="1111" ht="15.0" customHeight="1">
      <c r="A1111" s="385"/>
      <c r="B1111" s="135"/>
      <c r="C1111" s="135"/>
      <c r="D1111" s="135"/>
      <c r="E1111" s="135"/>
      <c r="F1111" s="135"/>
      <c r="G1111" s="135"/>
      <c r="H1111" s="135"/>
      <c r="I1111" s="135"/>
      <c r="J1111" s="135"/>
      <c r="K1111" s="135"/>
      <c r="L1111" s="135"/>
      <c r="M1111" s="135"/>
      <c r="N1111" s="135"/>
      <c r="O1111" s="135"/>
      <c r="P1111" s="135"/>
    </row>
    <row r="1112" ht="15.0" customHeight="1">
      <c r="A1112" s="385"/>
      <c r="B1112" s="135"/>
      <c r="C1112" s="135"/>
      <c r="D1112" s="135"/>
      <c r="E1112" s="135"/>
      <c r="F1112" s="135"/>
      <c r="G1112" s="135"/>
      <c r="H1112" s="135"/>
      <c r="I1112" s="135"/>
      <c r="J1112" s="135"/>
      <c r="K1112" s="135"/>
      <c r="L1112" s="135"/>
      <c r="M1112" s="135"/>
      <c r="N1112" s="135"/>
      <c r="O1112" s="135"/>
      <c r="P1112" s="135"/>
    </row>
    <row r="1113" ht="15.0" customHeight="1">
      <c r="A1113" s="385"/>
      <c r="B1113" s="135"/>
      <c r="C1113" s="135"/>
      <c r="D1113" s="135"/>
      <c r="E1113" s="135"/>
      <c r="F1113" s="135"/>
      <c r="G1113" s="135"/>
      <c r="H1113" s="135"/>
      <c r="I1113" s="135"/>
      <c r="J1113" s="135"/>
      <c r="K1113" s="135"/>
      <c r="L1113" s="135"/>
      <c r="M1113" s="135"/>
      <c r="N1113" s="135"/>
      <c r="O1113" s="135"/>
      <c r="P1113" s="135"/>
    </row>
    <row r="1114" ht="15.0" customHeight="1">
      <c r="A1114" s="385"/>
      <c r="B1114" s="135"/>
      <c r="C1114" s="135"/>
      <c r="D1114" s="135"/>
      <c r="E1114" s="135"/>
      <c r="F1114" s="135"/>
      <c r="G1114" s="135"/>
      <c r="H1114" s="135"/>
      <c r="I1114" s="135"/>
      <c r="J1114" s="135"/>
      <c r="K1114" s="135"/>
      <c r="L1114" s="135"/>
      <c r="M1114" s="135"/>
      <c r="N1114" s="135"/>
      <c r="O1114" s="135"/>
      <c r="P1114" s="135"/>
    </row>
    <row r="1115" ht="15.0" customHeight="1">
      <c r="A1115" s="385"/>
      <c r="B1115" s="135"/>
      <c r="C1115" s="135"/>
      <c r="D1115" s="135"/>
      <c r="E1115" s="135"/>
      <c r="F1115" s="135"/>
      <c r="G1115" s="135"/>
      <c r="H1115" s="135"/>
      <c r="I1115" s="135"/>
      <c r="J1115" s="135"/>
      <c r="K1115" s="135"/>
      <c r="L1115" s="135"/>
      <c r="M1115" s="135"/>
      <c r="N1115" s="135"/>
      <c r="O1115" s="135"/>
      <c r="P1115" s="135"/>
    </row>
    <row r="1116" ht="15.0" customHeight="1">
      <c r="A1116" s="385"/>
      <c r="B1116" s="135"/>
      <c r="C1116" s="135"/>
      <c r="D1116" s="135"/>
      <c r="E1116" s="135"/>
      <c r="F1116" s="135"/>
      <c r="G1116" s="135"/>
      <c r="H1116" s="135"/>
      <c r="I1116" s="135"/>
      <c r="J1116" s="135"/>
      <c r="K1116" s="135"/>
      <c r="L1116" s="135"/>
      <c r="M1116" s="135"/>
      <c r="N1116" s="135"/>
      <c r="O1116" s="135"/>
      <c r="P1116" s="135"/>
    </row>
    <row r="1117" ht="15.0" customHeight="1">
      <c r="A1117" s="385"/>
      <c r="B1117" s="135"/>
      <c r="C1117" s="135"/>
      <c r="D1117" s="135"/>
      <c r="E1117" s="135"/>
      <c r="F1117" s="135"/>
      <c r="G1117" s="135"/>
      <c r="H1117" s="135"/>
      <c r="I1117" s="135"/>
      <c r="J1117" s="135"/>
      <c r="K1117" s="135"/>
      <c r="L1117" s="135"/>
      <c r="M1117" s="135"/>
      <c r="N1117" s="135"/>
      <c r="O1117" s="135"/>
      <c r="P1117" s="135"/>
    </row>
    <row r="1118" ht="15.0" customHeight="1">
      <c r="A1118" s="385"/>
      <c r="B1118" s="135"/>
      <c r="C1118" s="135"/>
      <c r="D1118" s="135"/>
      <c r="E1118" s="135"/>
      <c r="F1118" s="135"/>
      <c r="G1118" s="135"/>
      <c r="H1118" s="135"/>
      <c r="I1118" s="135"/>
      <c r="J1118" s="135"/>
      <c r="K1118" s="135"/>
      <c r="L1118" s="135"/>
      <c r="M1118" s="135"/>
      <c r="N1118" s="135"/>
      <c r="O1118" s="135"/>
      <c r="P1118" s="135"/>
    </row>
    <row r="1119" ht="15.0" customHeight="1">
      <c r="A1119" s="385"/>
      <c r="B1119" s="135"/>
      <c r="C1119" s="135"/>
      <c r="D1119" s="135"/>
      <c r="E1119" s="135"/>
      <c r="F1119" s="135"/>
      <c r="G1119" s="135"/>
      <c r="H1119" s="135"/>
      <c r="I1119" s="135"/>
      <c r="J1119" s="135"/>
      <c r="K1119" s="135"/>
      <c r="L1119" s="135"/>
      <c r="M1119" s="135"/>
      <c r="N1119" s="135"/>
      <c r="O1119" s="135"/>
      <c r="P1119" s="135"/>
    </row>
    <row r="1120" ht="15.0" customHeight="1">
      <c r="A1120" s="385"/>
      <c r="B1120" s="135"/>
      <c r="C1120" s="135"/>
      <c r="D1120" s="135"/>
      <c r="E1120" s="135"/>
      <c r="F1120" s="135"/>
      <c r="G1120" s="135"/>
      <c r="H1120" s="135"/>
      <c r="I1120" s="135"/>
      <c r="J1120" s="135"/>
      <c r="K1120" s="135"/>
      <c r="L1120" s="135"/>
      <c r="M1120" s="135"/>
      <c r="N1120" s="135"/>
      <c r="O1120" s="135"/>
      <c r="P1120" s="135"/>
    </row>
    <row r="1121" ht="15.0" customHeight="1">
      <c r="A1121" s="385"/>
      <c r="B1121" s="135"/>
      <c r="C1121" s="135"/>
      <c r="D1121" s="135"/>
      <c r="E1121" s="135"/>
      <c r="F1121" s="135"/>
      <c r="G1121" s="135"/>
      <c r="H1121" s="135"/>
      <c r="I1121" s="135"/>
      <c r="J1121" s="135"/>
      <c r="K1121" s="135"/>
      <c r="L1121" s="135"/>
      <c r="M1121" s="135"/>
      <c r="N1121" s="135"/>
      <c r="O1121" s="135"/>
      <c r="P1121" s="135"/>
    </row>
  </sheetData>
  <mergeCells count="1">
    <mergeCell ref="A1:N1"/>
  </mergeCells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7.38"/>
    <col customWidth="1" min="2" max="13" width="9.75"/>
    <col customWidth="1" min="14" max="16" width="10.75"/>
  </cols>
  <sheetData>
    <row r="1" ht="13.5" customHeight="1">
      <c r="A1" s="76" t="s">
        <v>283</v>
      </c>
      <c r="O1" s="76"/>
      <c r="P1" s="76"/>
    </row>
    <row r="2" ht="13.5" customHeight="1">
      <c r="A2" s="16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</row>
    <row r="3" ht="13.5" customHeight="1">
      <c r="A3" s="16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  <c r="O3" s="7"/>
      <c r="P3" s="7"/>
    </row>
    <row r="4" ht="13.5" customHeight="1">
      <c r="A4" s="79" t="s">
        <v>14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170"/>
      <c r="P4" s="170"/>
    </row>
    <row r="5" ht="13.5" customHeight="1">
      <c r="A5" s="15" t="s">
        <v>15</v>
      </c>
      <c r="B5" s="46">
        <f>FORMULAS!S54</f>
        <v>2736.507937</v>
      </c>
      <c r="C5" s="46">
        <f>FORMULAS!W54</f>
        <v>2736.507937</v>
      </c>
      <c r="D5" s="46">
        <f>FORMULAS!AA54</f>
        <v>2736.507937</v>
      </c>
      <c r="E5" s="46">
        <f>FORMULAS!AE54</f>
        <v>3676.465835</v>
      </c>
      <c r="F5" s="46">
        <f>FORMULAS!AI54</f>
        <v>5229.186547</v>
      </c>
      <c r="G5" s="46">
        <f>FORMULAS!AM54</f>
        <v>4759.706761</v>
      </c>
      <c r="H5" s="46">
        <f>FORMULAS!AQ54</f>
        <v>3229.801016</v>
      </c>
      <c r="I5" s="46">
        <f>FORMULAS!AU54</f>
        <v>3229.801016</v>
      </c>
      <c r="J5" s="46">
        <f>FORMULAS!AY54</f>
        <v>4079.748652</v>
      </c>
      <c r="K5" s="46">
        <f>FORMULAS!BC54</f>
        <v>4079.748652</v>
      </c>
      <c r="L5" s="46">
        <f>FORMULAS!BG54</f>
        <v>4759.706761</v>
      </c>
      <c r="M5" s="46">
        <f>FORMULAS!BK54</f>
        <v>4759.706761</v>
      </c>
      <c r="N5" s="17">
        <f t="shared" ref="N5:N12" si="1">SUM(B5:M5)</f>
        <v>46013.39581</v>
      </c>
      <c r="O5" s="153"/>
      <c r="P5" s="153"/>
    </row>
    <row r="6" ht="13.5" customHeight="1">
      <c r="A6" s="15" t="s">
        <v>123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17">
        <f t="shared" si="1"/>
        <v>0</v>
      </c>
      <c r="O6" s="153"/>
      <c r="P6" s="153"/>
    </row>
    <row r="7" ht="13.5" customHeight="1">
      <c r="A7" s="15" t="s">
        <v>17</v>
      </c>
      <c r="B7" s="46">
        <f>FORMULAS!S280</f>
        <v>0</v>
      </c>
      <c r="C7" s="46">
        <f>FORMULAS!W280</f>
        <v>0</v>
      </c>
      <c r="D7" s="46">
        <f>FORMULAS!AA280+FORMULAS!X309</f>
        <v>0</v>
      </c>
      <c r="E7" s="46">
        <f>FORMULAS!AE280</f>
        <v>0</v>
      </c>
      <c r="F7" s="46">
        <f>FORMULAS!AI280</f>
        <v>0</v>
      </c>
      <c r="G7" s="46">
        <f>FORMULAS!AM280</f>
        <v>0</v>
      </c>
      <c r="H7" s="46">
        <f>FORMULAS!AQ280</f>
        <v>0</v>
      </c>
      <c r="I7" s="46">
        <f>FORMULAS!AU280</f>
        <v>0</v>
      </c>
      <c r="J7" s="46">
        <f>FORMULAS!AY280</f>
        <v>0</v>
      </c>
      <c r="K7" s="46">
        <f>FORMULAS!BC280</f>
        <v>0</v>
      </c>
      <c r="L7" s="46">
        <f>FORMULAS!BG280</f>
        <v>0</v>
      </c>
      <c r="M7" s="46">
        <f>FORMULAS!BK280</f>
        <v>0</v>
      </c>
      <c r="N7" s="17">
        <f t="shared" si="1"/>
        <v>0</v>
      </c>
      <c r="O7" s="153"/>
      <c r="P7" s="153"/>
    </row>
    <row r="8" ht="13.5" customHeight="1">
      <c r="A8" s="15" t="s">
        <v>18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17">
        <f t="shared" si="1"/>
        <v>0</v>
      </c>
      <c r="O8" s="153"/>
      <c r="P8" s="153"/>
    </row>
    <row r="9" ht="13.5" customHeight="1">
      <c r="A9" s="20" t="s">
        <v>168</v>
      </c>
      <c r="B9" s="46">
        <f>FORMULAS!S102</f>
        <v>244.3310658</v>
      </c>
      <c r="C9" s="46">
        <f>FORMULAS!W102</f>
        <v>244.3310658</v>
      </c>
      <c r="D9" s="46">
        <f>FORMULAS!AA102</f>
        <v>244.3310658</v>
      </c>
      <c r="E9" s="46">
        <f>FORMULAS!AE102</f>
        <v>1368.552822</v>
      </c>
      <c r="F9" s="46">
        <f>FORMULAS!AI102</f>
        <v>2384.509066</v>
      </c>
      <c r="G9" s="46">
        <f>FORMULAS!AM102</f>
        <v>2170.426283</v>
      </c>
      <c r="H9" s="46">
        <f>FORMULAS!AQ102</f>
        <v>1245.683255</v>
      </c>
      <c r="I9" s="46">
        <f>FORMULAS!AU102</f>
        <v>1245.683255</v>
      </c>
      <c r="J9" s="46">
        <f>FORMULAS!AY102</f>
        <v>1708.054769</v>
      </c>
      <c r="K9" s="46">
        <f>FORMULAS!BC102</f>
        <v>1708.054769</v>
      </c>
      <c r="L9" s="46">
        <f>FORMULAS!BG102</f>
        <v>2170.426283</v>
      </c>
      <c r="M9" s="46">
        <f>FORMULAS!BK102</f>
        <v>2170.426283</v>
      </c>
      <c r="N9" s="17">
        <f t="shared" si="1"/>
        <v>16904.80998</v>
      </c>
      <c r="O9" s="153"/>
      <c r="P9" s="153"/>
    </row>
    <row r="10" ht="13.5" customHeight="1">
      <c r="A10" s="19" t="s">
        <v>278</v>
      </c>
      <c r="B10" s="46">
        <f>FORMULAS!S78</f>
        <v>1049.809146</v>
      </c>
      <c r="C10" s="46">
        <f>FORMULAS!W78</f>
        <v>769.2519274</v>
      </c>
      <c r="D10" s="46">
        <f>FORMULAS!AA78</f>
        <v>1113.3678</v>
      </c>
      <c r="E10" s="46">
        <f>FORMULAS!AE78</f>
        <v>1001.75737</v>
      </c>
      <c r="F10" s="46">
        <f>FORMULAS!AI78</f>
        <v>0</v>
      </c>
      <c r="G10" s="46">
        <f>FORMULAS!AM78</f>
        <v>0</v>
      </c>
      <c r="H10" s="46">
        <f>FORMULAS!AQ78</f>
        <v>0</v>
      </c>
      <c r="I10" s="46">
        <f>FORMULAS!AU78</f>
        <v>0</v>
      </c>
      <c r="J10" s="46">
        <f>FORMULAS!AV78</f>
        <v>605</v>
      </c>
      <c r="K10" s="46">
        <f>FORMULAS!BC78</f>
        <v>951.9413522</v>
      </c>
      <c r="L10" s="46">
        <f>FORMULAS!BG78</f>
        <v>951.9413522</v>
      </c>
      <c r="M10" s="46">
        <f>FORMULAS!BK78</f>
        <v>951.9413522</v>
      </c>
      <c r="N10" s="17">
        <f t="shared" si="1"/>
        <v>7395.0103</v>
      </c>
      <c r="O10" s="153"/>
      <c r="P10" s="153"/>
    </row>
    <row r="11" ht="13.5" customHeight="1">
      <c r="A11" s="15" t="s">
        <v>21</v>
      </c>
      <c r="B11" s="87">
        <v>194.0</v>
      </c>
      <c r="C11" s="87">
        <v>291.22</v>
      </c>
      <c r="D11" s="87">
        <v>194.0</v>
      </c>
      <c r="E11" s="87">
        <v>194.0</v>
      </c>
      <c r="F11" s="87">
        <v>194.0</v>
      </c>
      <c r="G11" s="87">
        <v>194.0</v>
      </c>
      <c r="H11" s="87">
        <v>194.0</v>
      </c>
      <c r="I11" s="87">
        <v>194.0</v>
      </c>
      <c r="J11" s="87">
        <v>194.0</v>
      </c>
      <c r="K11" s="87">
        <v>194.0</v>
      </c>
      <c r="L11" s="87">
        <v>194.0</v>
      </c>
      <c r="M11" s="87">
        <v>194.0</v>
      </c>
      <c r="N11" s="17">
        <f t="shared" si="1"/>
        <v>2425.22</v>
      </c>
      <c r="O11" s="153"/>
      <c r="P11" s="153"/>
    </row>
    <row r="12" ht="13.5" customHeight="1">
      <c r="A12" s="15" t="s">
        <v>22</v>
      </c>
      <c r="B12" s="101">
        <f>PRODUCTION!Z3</f>
        <v>200</v>
      </c>
      <c r="C12" s="102">
        <f>PRODUCTION!Z4</f>
        <v>542.6</v>
      </c>
      <c r="D12" s="102">
        <f>PRODUCTION!Z5</f>
        <v>542.6</v>
      </c>
      <c r="E12" s="102">
        <f>PRODUCTION!Z6</f>
        <v>542.6</v>
      </c>
      <c r="F12" s="102">
        <f>PRODUCTION!Z7</f>
        <v>542.6</v>
      </c>
      <c r="G12" s="102">
        <f>PRODUCTION!Z8</f>
        <v>542.6</v>
      </c>
      <c r="H12" s="102">
        <f>PRODUCTION!Z9</f>
        <v>542.6</v>
      </c>
      <c r="I12" s="102">
        <f>PRODUCTION!Z10</f>
        <v>542.6</v>
      </c>
      <c r="J12" s="102">
        <f>PRODUCTION!Z11</f>
        <v>542.6</v>
      </c>
      <c r="K12" s="102">
        <f>PRODUCTION!Z12</f>
        <v>542.6</v>
      </c>
      <c r="L12" s="102">
        <f>PRODUCTION!Z13</f>
        <v>542.6</v>
      </c>
      <c r="M12" s="102">
        <f>PRODUCTION!Z14</f>
        <v>542.6</v>
      </c>
      <c r="N12" s="17">
        <f t="shared" si="1"/>
        <v>6168.6</v>
      </c>
      <c r="O12" s="153"/>
      <c r="P12" s="153"/>
    </row>
    <row r="13" ht="13.5" customHeight="1">
      <c r="A13" s="21" t="s">
        <v>23</v>
      </c>
      <c r="B13" s="22">
        <f t="shared" ref="B13:N13" si="2">SUM(B5:B12)</f>
        <v>4424.648148</v>
      </c>
      <c r="C13" s="22">
        <f t="shared" si="2"/>
        <v>4583.91093</v>
      </c>
      <c r="D13" s="22">
        <f t="shared" si="2"/>
        <v>4830.806803</v>
      </c>
      <c r="E13" s="22">
        <f t="shared" si="2"/>
        <v>6783.376027</v>
      </c>
      <c r="F13" s="22">
        <f t="shared" si="2"/>
        <v>8350.295613</v>
      </c>
      <c r="G13" s="22">
        <f t="shared" si="2"/>
        <v>7666.733044</v>
      </c>
      <c r="H13" s="22">
        <f t="shared" si="2"/>
        <v>5212.084271</v>
      </c>
      <c r="I13" s="22">
        <f t="shared" si="2"/>
        <v>5212.084271</v>
      </c>
      <c r="J13" s="22">
        <f t="shared" si="2"/>
        <v>7129.403421</v>
      </c>
      <c r="K13" s="22">
        <f t="shared" si="2"/>
        <v>7476.344773</v>
      </c>
      <c r="L13" s="22">
        <f t="shared" si="2"/>
        <v>8618.674396</v>
      </c>
      <c r="M13" s="22">
        <f t="shared" si="2"/>
        <v>8618.674396</v>
      </c>
      <c r="N13" s="22">
        <f t="shared" si="2"/>
        <v>78907.03609</v>
      </c>
      <c r="O13" s="190"/>
      <c r="P13" s="190"/>
    </row>
    <row r="14" ht="13.5" customHeight="1">
      <c r="A14" s="89" t="s">
        <v>24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83"/>
      <c r="O14" s="170"/>
      <c r="P14" s="170"/>
    </row>
    <row r="15" ht="13.5" customHeight="1">
      <c r="A15" s="35" t="s">
        <v>153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17">
        <f t="shared" ref="N15:N20" si="3">SUM(B15:M15)</f>
        <v>0</v>
      </c>
      <c r="O15" s="153"/>
      <c r="P15" s="153"/>
    </row>
    <row r="16" ht="13.5" customHeight="1">
      <c r="A16" s="35" t="s">
        <v>26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17">
        <f t="shared" si="3"/>
        <v>0</v>
      </c>
      <c r="O16" s="153"/>
      <c r="P16" s="153"/>
    </row>
    <row r="17" ht="13.5" customHeight="1">
      <c r="A17" s="3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17">
        <f t="shared" si="3"/>
        <v>0</v>
      </c>
      <c r="O17" s="153"/>
      <c r="P17" s="153"/>
    </row>
    <row r="18" ht="13.5" customHeight="1">
      <c r="A18" s="35"/>
      <c r="B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17">
        <f t="shared" si="3"/>
        <v>0</v>
      </c>
      <c r="O18" s="153"/>
      <c r="P18" s="153"/>
    </row>
    <row r="19" ht="13.5" customHeight="1">
      <c r="A19" s="27" t="s">
        <v>29</v>
      </c>
      <c r="B19" s="103"/>
      <c r="C19" s="87">
        <v>0.0</v>
      </c>
      <c r="D19" s="46"/>
      <c r="E19" s="87"/>
      <c r="F19" s="46"/>
      <c r="G19" s="46"/>
      <c r="H19" s="46"/>
      <c r="I19" s="46"/>
      <c r="J19" s="46"/>
      <c r="K19" s="46"/>
      <c r="L19" s="46"/>
      <c r="M19" s="46"/>
      <c r="N19" s="17">
        <f t="shared" si="3"/>
        <v>0</v>
      </c>
      <c r="O19" s="153"/>
      <c r="P19" s="153"/>
    </row>
    <row r="20" ht="13.5" customHeight="1">
      <c r="A20" s="3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17">
        <f t="shared" si="3"/>
        <v>0</v>
      </c>
      <c r="O20" s="153"/>
      <c r="P20" s="153"/>
    </row>
    <row r="21" ht="13.5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  <c r="O21" s="175"/>
      <c r="P21" s="175"/>
    </row>
    <row r="22" ht="13.5" customHeight="1">
      <c r="A22" s="89" t="s">
        <v>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3"/>
      <c r="O22" s="170"/>
      <c r="P22" s="170"/>
    </row>
    <row r="23" ht="13.5" customHeight="1">
      <c r="A23" s="26" t="s">
        <v>31</v>
      </c>
      <c r="B23" s="87">
        <v>0.0</v>
      </c>
      <c r="C23" s="87">
        <v>0.0</v>
      </c>
      <c r="D23" s="87">
        <v>1941.0</v>
      </c>
      <c r="E23" s="87">
        <v>0.0</v>
      </c>
      <c r="F23" s="87">
        <v>0.0</v>
      </c>
      <c r="G23" s="87">
        <v>0.0</v>
      </c>
      <c r="H23" s="87">
        <v>0.0</v>
      </c>
      <c r="I23" s="87">
        <v>0.0</v>
      </c>
      <c r="J23" s="87">
        <v>0.0</v>
      </c>
      <c r="K23" s="87">
        <v>0.0</v>
      </c>
      <c r="L23" s="87">
        <v>0.0</v>
      </c>
      <c r="M23" s="87">
        <v>0.0</v>
      </c>
      <c r="N23" s="17">
        <f t="shared" ref="N23:N31" si="5">SUM(B23:M23)</f>
        <v>1941</v>
      </c>
      <c r="O23" s="153"/>
      <c r="P23" s="153"/>
    </row>
    <row r="24" ht="13.5" customHeight="1">
      <c r="A24" s="32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17">
        <f t="shared" si="5"/>
        <v>0</v>
      </c>
      <c r="O24" s="153"/>
      <c r="P24" s="153"/>
    </row>
    <row r="25" ht="13.5" customHeight="1">
      <c r="A25" s="15" t="s">
        <v>127</v>
      </c>
      <c r="B25" s="46"/>
      <c r="C25" s="46"/>
      <c r="D25" s="46"/>
      <c r="E25" s="46"/>
      <c r="F25" s="46"/>
      <c r="G25" s="46"/>
      <c r="H25" s="46"/>
      <c r="I25" s="87"/>
      <c r="J25" s="46"/>
      <c r="K25" s="46"/>
      <c r="L25" s="46"/>
      <c r="M25" s="46"/>
      <c r="N25" s="17">
        <f t="shared" si="5"/>
        <v>0</v>
      </c>
      <c r="O25" s="153"/>
      <c r="P25" s="153"/>
    </row>
    <row r="26" ht="13.5" customHeight="1">
      <c r="A26" s="32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17">
        <f t="shared" si="5"/>
        <v>0</v>
      </c>
      <c r="O26" s="153"/>
      <c r="P26" s="153"/>
    </row>
    <row r="27" ht="13.5" customHeight="1">
      <c r="A27" s="31" t="s">
        <v>34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17">
        <f t="shared" si="5"/>
        <v>0</v>
      </c>
      <c r="O27" s="153"/>
      <c r="P27" s="153"/>
    </row>
    <row r="28" ht="13.5" customHeight="1">
      <c r="A28" s="33" t="s">
        <v>35</v>
      </c>
      <c r="B28" s="46"/>
      <c r="C28" s="46"/>
      <c r="D28" s="46"/>
      <c r="E28" s="46"/>
      <c r="F28" s="46"/>
      <c r="G28" s="46"/>
      <c r="H28" s="46"/>
      <c r="I28" s="46"/>
      <c r="J28" s="87"/>
      <c r="K28" s="87"/>
      <c r="L28" s="46"/>
      <c r="M28" s="46"/>
      <c r="N28" s="17">
        <f t="shared" si="5"/>
        <v>0</v>
      </c>
      <c r="O28" s="153"/>
      <c r="P28" s="153"/>
    </row>
    <row r="29" ht="13.5" customHeight="1">
      <c r="A29" s="27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17">
        <f t="shared" si="5"/>
        <v>0</v>
      </c>
      <c r="O29" s="153"/>
      <c r="P29" s="153"/>
    </row>
    <row r="30" ht="13.5" customHeight="1">
      <c r="A30" s="31" t="s">
        <v>37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17">
        <f t="shared" si="5"/>
        <v>0</v>
      </c>
      <c r="O30" s="153"/>
      <c r="P30" s="153"/>
    </row>
    <row r="31" ht="13.5" customHeight="1">
      <c r="A31" s="32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17">
        <f t="shared" si="5"/>
        <v>0</v>
      </c>
      <c r="O31" s="153"/>
      <c r="P31" s="153"/>
    </row>
    <row r="32" ht="13.5" customHeight="1">
      <c r="A32" s="91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1941</v>
      </c>
      <c r="E32" s="28">
        <f t="shared" si="6"/>
        <v>0</v>
      </c>
      <c r="F32" s="28">
        <f t="shared" si="6"/>
        <v>0</v>
      </c>
      <c r="G32" s="28">
        <f t="shared" si="6"/>
        <v>0</v>
      </c>
      <c r="H32" s="28">
        <f t="shared" si="6"/>
        <v>0</v>
      </c>
      <c r="I32" s="28">
        <f t="shared" si="6"/>
        <v>0</v>
      </c>
      <c r="J32" s="28">
        <f t="shared" si="6"/>
        <v>0</v>
      </c>
      <c r="K32" s="28">
        <f t="shared" si="6"/>
        <v>0</v>
      </c>
      <c r="L32" s="28">
        <f t="shared" si="6"/>
        <v>0</v>
      </c>
      <c r="M32" s="28">
        <f t="shared" si="6"/>
        <v>0</v>
      </c>
      <c r="N32" s="28">
        <f t="shared" si="6"/>
        <v>1941</v>
      </c>
      <c r="O32" s="175"/>
      <c r="P32" s="175"/>
    </row>
    <row r="33" ht="13.5" customHeight="1">
      <c r="A33" s="79" t="s">
        <v>38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83"/>
      <c r="O33" s="170"/>
      <c r="P33" s="170"/>
    </row>
    <row r="34" ht="13.5" customHeight="1">
      <c r="A34" s="15" t="s">
        <v>39</v>
      </c>
      <c r="B34" s="87">
        <f t="shared" ref="B34:E34" si="7">1999+124.75+425</f>
        <v>2548.75</v>
      </c>
      <c r="C34" s="87">
        <f t="shared" si="7"/>
        <v>2548.75</v>
      </c>
      <c r="D34" s="87">
        <f t="shared" si="7"/>
        <v>2548.75</v>
      </c>
      <c r="E34" s="87">
        <f t="shared" si="7"/>
        <v>2548.75</v>
      </c>
      <c r="F34" s="87">
        <f t="shared" ref="F34:M34" si="8">1999+224.5+425</f>
        <v>2648.5</v>
      </c>
      <c r="G34" s="87">
        <f t="shared" si="8"/>
        <v>2648.5</v>
      </c>
      <c r="H34" s="87">
        <f t="shared" si="8"/>
        <v>2648.5</v>
      </c>
      <c r="I34" s="87">
        <f t="shared" si="8"/>
        <v>2648.5</v>
      </c>
      <c r="J34" s="87">
        <f t="shared" si="8"/>
        <v>2648.5</v>
      </c>
      <c r="K34" s="87">
        <f t="shared" si="8"/>
        <v>2648.5</v>
      </c>
      <c r="L34" s="87">
        <f t="shared" si="8"/>
        <v>2648.5</v>
      </c>
      <c r="M34" s="87">
        <f t="shared" si="8"/>
        <v>2648.5</v>
      </c>
      <c r="N34" s="17">
        <f t="shared" ref="N34:N51" si="9">SUM(B34:M34)</f>
        <v>31383</v>
      </c>
      <c r="O34" s="153"/>
      <c r="P34" s="153"/>
    </row>
    <row r="35" ht="13.5" customHeight="1">
      <c r="A35" s="19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17">
        <f t="shared" si="9"/>
        <v>0</v>
      </c>
      <c r="O35" s="153"/>
      <c r="P35" s="153"/>
    </row>
    <row r="36" ht="13.5" customHeight="1">
      <c r="A36" s="35" t="s">
        <v>41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17">
        <f t="shared" si="9"/>
        <v>0</v>
      </c>
      <c r="O36" s="153"/>
      <c r="P36" s="153"/>
    </row>
    <row r="37" ht="13.5" customHeight="1">
      <c r="A37" s="35" t="s">
        <v>42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17">
        <f t="shared" si="9"/>
        <v>0</v>
      </c>
      <c r="O37" s="153"/>
      <c r="P37" s="153"/>
    </row>
    <row r="38" ht="13.5" customHeight="1">
      <c r="A38" s="35" t="s">
        <v>43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17">
        <f t="shared" si="9"/>
        <v>0</v>
      </c>
      <c r="O38" s="153"/>
      <c r="P38" s="153"/>
    </row>
    <row r="39" ht="13.5" customHeight="1">
      <c r="A39" s="35" t="s">
        <v>44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17">
        <f t="shared" si="9"/>
        <v>0</v>
      </c>
      <c r="O39" s="153"/>
      <c r="P39" s="153"/>
    </row>
    <row r="40" ht="13.5" customHeight="1">
      <c r="A40" s="35" t="s">
        <v>45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17">
        <f t="shared" si="9"/>
        <v>0</v>
      </c>
      <c r="O40" s="153"/>
      <c r="P40" s="153"/>
    </row>
    <row r="41" ht="13.5" customHeight="1">
      <c r="A41" s="35" t="s">
        <v>46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17">
        <f t="shared" si="9"/>
        <v>0</v>
      </c>
      <c r="O41" s="153"/>
      <c r="P41" s="153"/>
    </row>
    <row r="42" ht="13.5" customHeight="1">
      <c r="A42" s="19" t="s">
        <v>146</v>
      </c>
      <c r="B42" s="87">
        <v>91.25</v>
      </c>
      <c r="C42" s="87">
        <v>91.25</v>
      </c>
      <c r="D42" s="87">
        <v>91.25</v>
      </c>
      <c r="E42" s="87">
        <v>91.25</v>
      </c>
      <c r="F42" s="87">
        <v>91.25</v>
      </c>
      <c r="G42" s="87">
        <v>91.25</v>
      </c>
      <c r="H42" s="87">
        <v>91.25</v>
      </c>
      <c r="I42" s="87">
        <v>91.25</v>
      </c>
      <c r="J42" s="87">
        <v>91.25</v>
      </c>
      <c r="K42" s="87">
        <v>91.25</v>
      </c>
      <c r="L42" s="87">
        <v>91.25</v>
      </c>
      <c r="M42" s="87">
        <v>91.25</v>
      </c>
      <c r="N42" s="17">
        <f t="shared" si="9"/>
        <v>1095</v>
      </c>
      <c r="O42" s="153"/>
      <c r="P42" s="153"/>
    </row>
    <row r="43" ht="13.5" customHeight="1">
      <c r="A43" s="19" t="s">
        <v>248</v>
      </c>
      <c r="B43" s="87">
        <v>362.25</v>
      </c>
      <c r="C43" s="87">
        <v>362.25</v>
      </c>
      <c r="D43" s="87">
        <v>362.25</v>
      </c>
      <c r="E43" s="87">
        <v>362.25</v>
      </c>
      <c r="F43" s="87">
        <v>362.25</v>
      </c>
      <c r="G43" s="87">
        <v>362.25</v>
      </c>
      <c r="H43" s="87">
        <v>362.25</v>
      </c>
      <c r="I43" s="87">
        <v>343.97</v>
      </c>
      <c r="J43" s="87">
        <v>343.97</v>
      </c>
      <c r="K43" s="87">
        <v>343.97</v>
      </c>
      <c r="L43" s="87">
        <v>343.97</v>
      </c>
      <c r="M43" s="87">
        <v>343.97</v>
      </c>
      <c r="N43" s="17">
        <f t="shared" si="9"/>
        <v>4255.6</v>
      </c>
      <c r="O43" s="153"/>
      <c r="P43" s="153"/>
    </row>
    <row r="44" ht="13.5" customHeight="1">
      <c r="A44" s="19" t="s">
        <v>249</v>
      </c>
      <c r="B44" s="87">
        <f t="shared" ref="B44:M44" si="10">133</f>
        <v>133</v>
      </c>
      <c r="C44" s="87">
        <f t="shared" si="10"/>
        <v>133</v>
      </c>
      <c r="D44" s="87">
        <f t="shared" si="10"/>
        <v>133</v>
      </c>
      <c r="E44" s="87">
        <f t="shared" si="10"/>
        <v>133</v>
      </c>
      <c r="F44" s="87">
        <f t="shared" si="10"/>
        <v>133</v>
      </c>
      <c r="G44" s="87">
        <f t="shared" si="10"/>
        <v>133</v>
      </c>
      <c r="H44" s="87">
        <f t="shared" si="10"/>
        <v>133</v>
      </c>
      <c r="I44" s="87">
        <f t="shared" si="10"/>
        <v>133</v>
      </c>
      <c r="J44" s="87">
        <f t="shared" si="10"/>
        <v>133</v>
      </c>
      <c r="K44" s="87">
        <f t="shared" si="10"/>
        <v>133</v>
      </c>
      <c r="L44" s="87">
        <f t="shared" si="10"/>
        <v>133</v>
      </c>
      <c r="M44" s="87">
        <f t="shared" si="10"/>
        <v>133</v>
      </c>
      <c r="N44" s="17">
        <f t="shared" si="9"/>
        <v>1596</v>
      </c>
      <c r="O44" s="153"/>
      <c r="P44" s="153"/>
    </row>
    <row r="45" ht="13.5" customHeight="1">
      <c r="A45" s="156" t="s">
        <v>50</v>
      </c>
      <c r="B45" s="46">
        <f t="shared" ref="B45:M45" si="11">45+97.5</f>
        <v>142.5</v>
      </c>
      <c r="C45" s="46">
        <f t="shared" si="11"/>
        <v>142.5</v>
      </c>
      <c r="D45" s="46">
        <f t="shared" si="11"/>
        <v>142.5</v>
      </c>
      <c r="E45" s="46">
        <f t="shared" si="11"/>
        <v>142.5</v>
      </c>
      <c r="F45" s="46">
        <f t="shared" si="11"/>
        <v>142.5</v>
      </c>
      <c r="G45" s="46">
        <f t="shared" si="11"/>
        <v>142.5</v>
      </c>
      <c r="H45" s="46">
        <f t="shared" si="11"/>
        <v>142.5</v>
      </c>
      <c r="I45" s="46">
        <f t="shared" si="11"/>
        <v>142.5</v>
      </c>
      <c r="J45" s="46">
        <f t="shared" si="11"/>
        <v>142.5</v>
      </c>
      <c r="K45" s="46">
        <f t="shared" si="11"/>
        <v>142.5</v>
      </c>
      <c r="L45" s="46">
        <f t="shared" si="11"/>
        <v>142.5</v>
      </c>
      <c r="M45" s="46">
        <f t="shared" si="11"/>
        <v>142.5</v>
      </c>
      <c r="N45" s="17">
        <f t="shared" si="9"/>
        <v>1710</v>
      </c>
      <c r="O45" s="153"/>
      <c r="P45" s="153"/>
    </row>
    <row r="46" ht="13.5" customHeight="1">
      <c r="A46" s="15" t="s">
        <v>51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17">
        <f t="shared" si="9"/>
        <v>0</v>
      </c>
      <c r="O46" s="153"/>
      <c r="P46" s="153"/>
    </row>
    <row r="47" ht="13.5" customHeight="1">
      <c r="A47" s="19" t="s">
        <v>52</v>
      </c>
      <c r="B47" s="87">
        <f t="shared" ref="B47:M47" si="12">212.5+750+1750</f>
        <v>2712.5</v>
      </c>
      <c r="C47" s="87">
        <f t="shared" si="12"/>
        <v>2712.5</v>
      </c>
      <c r="D47" s="87">
        <f t="shared" si="12"/>
        <v>2712.5</v>
      </c>
      <c r="E47" s="87">
        <f t="shared" si="12"/>
        <v>2712.5</v>
      </c>
      <c r="F47" s="87">
        <f t="shared" si="12"/>
        <v>2712.5</v>
      </c>
      <c r="G47" s="87">
        <f t="shared" si="12"/>
        <v>2712.5</v>
      </c>
      <c r="H47" s="87">
        <f t="shared" si="12"/>
        <v>2712.5</v>
      </c>
      <c r="I47" s="87">
        <f t="shared" si="12"/>
        <v>2712.5</v>
      </c>
      <c r="J47" s="87">
        <f t="shared" si="12"/>
        <v>2712.5</v>
      </c>
      <c r="K47" s="87">
        <f t="shared" si="12"/>
        <v>2712.5</v>
      </c>
      <c r="L47" s="87">
        <f t="shared" si="12"/>
        <v>2712.5</v>
      </c>
      <c r="M47" s="87">
        <f t="shared" si="12"/>
        <v>2712.5</v>
      </c>
      <c r="N47" s="17">
        <f t="shared" si="9"/>
        <v>32550</v>
      </c>
      <c r="O47" s="153"/>
      <c r="P47" s="153"/>
    </row>
    <row r="48" ht="13.5" customHeight="1">
      <c r="A48" s="19" t="s">
        <v>131</v>
      </c>
      <c r="B48" s="87">
        <f t="shared" ref="B48:M48" si="13">350.33+55.66</f>
        <v>405.99</v>
      </c>
      <c r="C48" s="87">
        <f t="shared" si="13"/>
        <v>405.99</v>
      </c>
      <c r="D48" s="87">
        <f t="shared" si="13"/>
        <v>405.99</v>
      </c>
      <c r="E48" s="87">
        <f t="shared" si="13"/>
        <v>405.99</v>
      </c>
      <c r="F48" s="87">
        <f t="shared" si="13"/>
        <v>405.99</v>
      </c>
      <c r="G48" s="87">
        <f t="shared" si="13"/>
        <v>405.99</v>
      </c>
      <c r="H48" s="87">
        <f t="shared" si="13"/>
        <v>405.99</v>
      </c>
      <c r="I48" s="87">
        <f t="shared" si="13"/>
        <v>405.99</v>
      </c>
      <c r="J48" s="87">
        <f t="shared" si="13"/>
        <v>405.99</v>
      </c>
      <c r="K48" s="87">
        <f t="shared" si="13"/>
        <v>405.99</v>
      </c>
      <c r="L48" s="87">
        <f t="shared" si="13"/>
        <v>405.99</v>
      </c>
      <c r="M48" s="87">
        <f t="shared" si="13"/>
        <v>405.99</v>
      </c>
      <c r="N48" s="17">
        <f t="shared" si="9"/>
        <v>4871.88</v>
      </c>
      <c r="O48" s="153"/>
      <c r="P48" s="153"/>
    </row>
    <row r="49" ht="13.5" customHeight="1">
      <c r="A49" s="35" t="s">
        <v>54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17">
        <f t="shared" si="9"/>
        <v>0</v>
      </c>
      <c r="O49" s="153"/>
      <c r="P49" s="153"/>
    </row>
    <row r="50" ht="13.5" customHeight="1">
      <c r="A50" s="19" t="s">
        <v>250</v>
      </c>
      <c r="B50" s="87">
        <v>1995.0</v>
      </c>
      <c r="C50" s="87">
        <v>1995.0</v>
      </c>
      <c r="D50" s="87">
        <v>1995.0</v>
      </c>
      <c r="E50" s="87">
        <v>1995.0</v>
      </c>
      <c r="F50" s="87">
        <v>1995.0</v>
      </c>
      <c r="G50" s="87">
        <v>1995.0</v>
      </c>
      <c r="H50" s="87">
        <v>1995.0</v>
      </c>
      <c r="I50" s="87">
        <v>1995.0</v>
      </c>
      <c r="J50" s="87">
        <v>1995.0</v>
      </c>
      <c r="K50" s="87">
        <v>1995.0</v>
      </c>
      <c r="L50" s="87">
        <v>1995.0</v>
      </c>
      <c r="M50" s="87">
        <v>1995.0</v>
      </c>
      <c r="N50" s="17">
        <f t="shared" si="9"/>
        <v>23940</v>
      </c>
      <c r="O50" s="153"/>
      <c r="P50" s="153"/>
    </row>
    <row r="51" ht="13.5" customHeight="1">
      <c r="A51" s="15" t="s">
        <v>160</v>
      </c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17">
        <f t="shared" si="9"/>
        <v>0</v>
      </c>
      <c r="O51" s="153"/>
      <c r="P51" s="153"/>
    </row>
    <row r="52" ht="13.5" customHeight="1">
      <c r="A52" s="91" t="s">
        <v>23</v>
      </c>
      <c r="B52" s="28">
        <f t="shared" ref="B52:N52" si="14">SUM(B34:B51)</f>
        <v>8391.24</v>
      </c>
      <c r="C52" s="28">
        <f t="shared" si="14"/>
        <v>8391.24</v>
      </c>
      <c r="D52" s="28">
        <f t="shared" si="14"/>
        <v>8391.24</v>
      </c>
      <c r="E52" s="28">
        <f t="shared" si="14"/>
        <v>8391.24</v>
      </c>
      <c r="F52" s="28">
        <f t="shared" si="14"/>
        <v>8490.99</v>
      </c>
      <c r="G52" s="28">
        <f t="shared" si="14"/>
        <v>8490.99</v>
      </c>
      <c r="H52" s="28">
        <f t="shared" si="14"/>
        <v>8490.99</v>
      </c>
      <c r="I52" s="28">
        <f t="shared" si="14"/>
        <v>8472.71</v>
      </c>
      <c r="J52" s="28">
        <f t="shared" si="14"/>
        <v>8472.71</v>
      </c>
      <c r="K52" s="28">
        <f t="shared" si="14"/>
        <v>8472.71</v>
      </c>
      <c r="L52" s="28">
        <f t="shared" si="14"/>
        <v>8472.71</v>
      </c>
      <c r="M52" s="28">
        <f t="shared" si="14"/>
        <v>8472.71</v>
      </c>
      <c r="N52" s="28">
        <f t="shared" si="14"/>
        <v>101401.48</v>
      </c>
      <c r="O52" s="175"/>
      <c r="P52" s="175"/>
    </row>
    <row r="53" ht="13.5" customHeight="1">
      <c r="A53" s="79" t="s">
        <v>56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170"/>
      <c r="P53" s="170"/>
    </row>
    <row r="54" ht="13.5" customHeight="1">
      <c r="A54" s="32" t="s">
        <v>57</v>
      </c>
      <c r="B54" s="87">
        <v>475.0</v>
      </c>
      <c r="C54" s="87">
        <v>475.0</v>
      </c>
      <c r="D54" s="87">
        <v>475.0</v>
      </c>
      <c r="E54" s="87">
        <v>475.0</v>
      </c>
      <c r="F54" s="87">
        <v>475.0</v>
      </c>
      <c r="G54" s="87">
        <v>475.0</v>
      </c>
      <c r="H54" s="87">
        <v>475.0</v>
      </c>
      <c r="I54" s="87">
        <v>475.0</v>
      </c>
      <c r="J54" s="87">
        <v>475.0</v>
      </c>
      <c r="K54" s="87">
        <v>475.0</v>
      </c>
      <c r="L54" s="87">
        <v>475.0</v>
      </c>
      <c r="M54" s="87">
        <v>475.0</v>
      </c>
      <c r="N54" s="17">
        <f t="shared" ref="N54:N69" si="15">SUM(B54:M54)</f>
        <v>5700</v>
      </c>
      <c r="O54" s="153"/>
      <c r="P54" s="153"/>
    </row>
    <row r="55" ht="13.5" customHeight="1">
      <c r="A55" s="32" t="s">
        <v>58</v>
      </c>
      <c r="B55" s="87">
        <v>1075.0</v>
      </c>
      <c r="C55" s="87">
        <v>1600.0</v>
      </c>
      <c r="D55" s="87">
        <v>1600.0</v>
      </c>
      <c r="E55" s="87">
        <v>1600.0</v>
      </c>
      <c r="F55" s="87">
        <v>1600.0</v>
      </c>
      <c r="G55" s="87">
        <v>1600.0</v>
      </c>
      <c r="H55" s="87">
        <v>1600.0</v>
      </c>
      <c r="I55" s="87">
        <v>1600.0</v>
      </c>
      <c r="J55" s="87">
        <v>1600.0</v>
      </c>
      <c r="K55" s="87">
        <v>1600.0</v>
      </c>
      <c r="L55" s="87">
        <v>1600.0</v>
      </c>
      <c r="M55" s="87">
        <v>1600.0</v>
      </c>
      <c r="N55" s="17">
        <f t="shared" si="15"/>
        <v>18675</v>
      </c>
      <c r="O55" s="153"/>
      <c r="P55" s="153"/>
    </row>
    <row r="56" ht="13.5" customHeight="1">
      <c r="A56" s="31" t="s">
        <v>59</v>
      </c>
      <c r="B56" s="87">
        <f t="shared" ref="B56:M56" si="16">1250</f>
        <v>1250</v>
      </c>
      <c r="C56" s="87">
        <f t="shared" si="16"/>
        <v>1250</v>
      </c>
      <c r="D56" s="87">
        <f t="shared" si="16"/>
        <v>1250</v>
      </c>
      <c r="E56" s="87">
        <f t="shared" si="16"/>
        <v>1250</v>
      </c>
      <c r="F56" s="87">
        <f t="shared" si="16"/>
        <v>1250</v>
      </c>
      <c r="G56" s="87">
        <f t="shared" si="16"/>
        <v>1250</v>
      </c>
      <c r="H56" s="87">
        <f t="shared" si="16"/>
        <v>1250</v>
      </c>
      <c r="I56" s="87">
        <f t="shared" si="16"/>
        <v>1250</v>
      </c>
      <c r="J56" s="87">
        <f t="shared" si="16"/>
        <v>1250</v>
      </c>
      <c r="K56" s="87">
        <f t="shared" si="16"/>
        <v>1250</v>
      </c>
      <c r="L56" s="87">
        <f t="shared" si="16"/>
        <v>1250</v>
      </c>
      <c r="M56" s="87">
        <f t="shared" si="16"/>
        <v>1250</v>
      </c>
      <c r="N56" s="17">
        <f t="shared" si="15"/>
        <v>15000</v>
      </c>
      <c r="O56" s="153"/>
      <c r="P56" s="153"/>
    </row>
    <row r="57" ht="13.5" customHeight="1">
      <c r="A57" s="31" t="s">
        <v>133</v>
      </c>
      <c r="B57" s="87">
        <v>0.0</v>
      </c>
      <c r="C57" s="87">
        <v>0.0</v>
      </c>
      <c r="D57" s="87">
        <v>0.0</v>
      </c>
      <c r="E57" s="87">
        <v>0.0</v>
      </c>
      <c r="F57" s="87">
        <v>0.0</v>
      </c>
      <c r="G57" s="87">
        <v>0.0</v>
      </c>
      <c r="H57" s="87">
        <v>0.0</v>
      </c>
      <c r="I57" s="87">
        <v>0.0</v>
      </c>
      <c r="J57" s="87">
        <v>0.0</v>
      </c>
      <c r="K57" s="87">
        <v>0.0</v>
      </c>
      <c r="L57" s="87">
        <v>0.0</v>
      </c>
      <c r="M57" s="87">
        <v>0.0</v>
      </c>
      <c r="N57" s="17">
        <f t="shared" si="15"/>
        <v>0</v>
      </c>
      <c r="O57" s="153"/>
      <c r="P57" s="153"/>
    </row>
    <row r="58" ht="13.5" customHeight="1">
      <c r="A58" s="31" t="s">
        <v>134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17">
        <f t="shared" si="15"/>
        <v>0</v>
      </c>
      <c r="O58" s="153"/>
      <c r="P58" s="153"/>
    </row>
    <row r="59" ht="13.5" customHeight="1">
      <c r="A59" s="31" t="s">
        <v>135</v>
      </c>
      <c r="B59" s="87">
        <v>312.5</v>
      </c>
      <c r="C59" s="87">
        <v>312.5</v>
      </c>
      <c r="D59" s="87">
        <v>312.5</v>
      </c>
      <c r="E59" s="87">
        <v>312.5</v>
      </c>
      <c r="F59" s="87">
        <v>312.5</v>
      </c>
      <c r="G59" s="87">
        <v>312.5</v>
      </c>
      <c r="H59" s="87">
        <v>312.5</v>
      </c>
      <c r="I59" s="87">
        <v>312.5</v>
      </c>
      <c r="J59" s="87">
        <v>312.5</v>
      </c>
      <c r="K59" s="87">
        <v>312.5</v>
      </c>
      <c r="L59" s="87">
        <v>312.5</v>
      </c>
      <c r="M59" s="87">
        <v>312.5</v>
      </c>
      <c r="N59" s="17">
        <f t="shared" si="15"/>
        <v>3750</v>
      </c>
      <c r="O59" s="153"/>
      <c r="P59" s="153"/>
    </row>
    <row r="60" ht="13.5" customHeight="1">
      <c r="A60" s="32" t="s">
        <v>136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17">
        <f t="shared" si="15"/>
        <v>0</v>
      </c>
      <c r="O60" s="153"/>
      <c r="P60" s="153"/>
    </row>
    <row r="61" ht="13.5" customHeight="1">
      <c r="A61" s="32" t="s">
        <v>137</v>
      </c>
      <c r="B61" s="87"/>
      <c r="C61" s="87"/>
      <c r="D61" s="87"/>
      <c r="E61" s="87"/>
      <c r="F61" s="87"/>
      <c r="G61" s="87"/>
      <c r="H61" s="46"/>
      <c r="I61" s="46"/>
      <c r="J61" s="46"/>
      <c r="K61" s="46"/>
      <c r="L61" s="46"/>
      <c r="M61" s="46"/>
      <c r="N61" s="17">
        <f t="shared" si="15"/>
        <v>0</v>
      </c>
      <c r="O61" s="153"/>
      <c r="P61" s="153"/>
    </row>
    <row r="62" ht="13.5" customHeight="1">
      <c r="A62" s="32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15"/>
        <v>0</v>
      </c>
      <c r="O62" s="153"/>
      <c r="P62" s="153"/>
    </row>
    <row r="63" ht="13.5" customHeight="1">
      <c r="A63" s="31" t="s">
        <v>64</v>
      </c>
      <c r="B63" s="87">
        <f t="shared" ref="B63:M63" si="17">3250+1000</f>
        <v>4250</v>
      </c>
      <c r="C63" s="87">
        <f t="shared" si="17"/>
        <v>4250</v>
      </c>
      <c r="D63" s="87">
        <f t="shared" si="17"/>
        <v>4250</v>
      </c>
      <c r="E63" s="87">
        <f t="shared" si="17"/>
        <v>4250</v>
      </c>
      <c r="F63" s="87">
        <f t="shared" si="17"/>
        <v>4250</v>
      </c>
      <c r="G63" s="87">
        <f t="shared" si="17"/>
        <v>4250</v>
      </c>
      <c r="H63" s="87">
        <f t="shared" si="17"/>
        <v>4250</v>
      </c>
      <c r="I63" s="87">
        <f t="shared" si="17"/>
        <v>4250</v>
      </c>
      <c r="J63" s="87">
        <f t="shared" si="17"/>
        <v>4250</v>
      </c>
      <c r="K63" s="87">
        <f t="shared" si="17"/>
        <v>4250</v>
      </c>
      <c r="L63" s="87">
        <f t="shared" si="17"/>
        <v>4250</v>
      </c>
      <c r="M63" s="87">
        <f t="shared" si="17"/>
        <v>4250</v>
      </c>
      <c r="N63" s="17">
        <f t="shared" si="15"/>
        <v>51000</v>
      </c>
      <c r="O63" s="153"/>
      <c r="P63" s="153"/>
    </row>
    <row r="64" ht="13.5" customHeight="1">
      <c r="A64" s="32" t="s">
        <v>65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17">
        <f t="shared" si="15"/>
        <v>0</v>
      </c>
      <c r="O64" s="153"/>
      <c r="P64" s="153"/>
    </row>
    <row r="65" ht="13.5" customHeight="1">
      <c r="A65" s="31" t="s">
        <v>66</v>
      </c>
      <c r="B65" s="46"/>
      <c r="C65" s="46"/>
      <c r="D65" s="46"/>
      <c r="E65" s="46"/>
      <c r="F65" s="46"/>
      <c r="G65" s="87"/>
      <c r="H65" s="46"/>
      <c r="I65" s="46"/>
      <c r="J65" s="46"/>
      <c r="K65" s="46"/>
      <c r="L65" s="46"/>
      <c r="M65" s="46"/>
      <c r="N65" s="17">
        <f t="shared" si="15"/>
        <v>0</v>
      </c>
      <c r="O65" s="153"/>
      <c r="P65" s="153"/>
    </row>
    <row r="66" ht="13.5" customHeight="1">
      <c r="A66" s="31" t="s">
        <v>67</v>
      </c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17">
        <f t="shared" si="15"/>
        <v>0</v>
      </c>
      <c r="O66" s="153"/>
      <c r="P66" s="153"/>
    </row>
    <row r="67" ht="13.5" customHeight="1">
      <c r="A67" s="25" t="s">
        <v>284</v>
      </c>
      <c r="B67" s="28"/>
      <c r="C67" s="28"/>
      <c r="D67" s="28"/>
      <c r="E67" s="28"/>
      <c r="F67" s="167"/>
      <c r="G67" s="167"/>
      <c r="H67" s="167"/>
      <c r="I67" s="87"/>
      <c r="J67" s="87"/>
      <c r="K67" s="87"/>
      <c r="L67" s="87"/>
      <c r="M67" s="87"/>
      <c r="N67" s="17">
        <f t="shared" si="15"/>
        <v>0</v>
      </c>
      <c r="O67" s="153"/>
      <c r="P67" s="153"/>
    </row>
    <row r="68" ht="13.5" customHeight="1">
      <c r="A68" s="25" t="s">
        <v>69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17">
        <f t="shared" si="15"/>
        <v>0</v>
      </c>
      <c r="O68" s="153"/>
      <c r="P68" s="153"/>
    </row>
    <row r="69" ht="13.5" customHeight="1">
      <c r="A69" s="39" t="s">
        <v>70</v>
      </c>
      <c r="B69" s="28"/>
      <c r="C69" s="28"/>
      <c r="D69" s="28"/>
      <c r="E69" s="28"/>
      <c r="F69" s="28"/>
      <c r="G69" s="28"/>
      <c r="H69" s="87"/>
      <c r="I69" s="87"/>
      <c r="J69" s="87"/>
      <c r="K69" s="87"/>
      <c r="L69" s="87"/>
      <c r="M69" s="87"/>
      <c r="N69" s="17">
        <f t="shared" si="15"/>
        <v>0</v>
      </c>
      <c r="O69" s="153"/>
      <c r="P69" s="153"/>
    </row>
    <row r="70" ht="13.5" customHeight="1">
      <c r="A70" s="91" t="s">
        <v>23</v>
      </c>
      <c r="B70" s="28">
        <f t="shared" ref="B70:M70" si="18">SUM(B54:B69)</f>
        <v>7362.5</v>
      </c>
      <c r="C70" s="28">
        <f t="shared" si="18"/>
        <v>7887.5</v>
      </c>
      <c r="D70" s="28">
        <f t="shared" si="18"/>
        <v>7887.5</v>
      </c>
      <c r="E70" s="28">
        <f t="shared" si="18"/>
        <v>7887.5</v>
      </c>
      <c r="F70" s="28">
        <f t="shared" si="18"/>
        <v>7887.5</v>
      </c>
      <c r="G70" s="28">
        <f t="shared" si="18"/>
        <v>7887.5</v>
      </c>
      <c r="H70" s="28">
        <f t="shared" si="18"/>
        <v>7887.5</v>
      </c>
      <c r="I70" s="28">
        <f t="shared" si="18"/>
        <v>7887.5</v>
      </c>
      <c r="J70" s="28">
        <f t="shared" si="18"/>
        <v>7887.5</v>
      </c>
      <c r="K70" s="28">
        <f t="shared" si="18"/>
        <v>7887.5</v>
      </c>
      <c r="L70" s="28">
        <f t="shared" si="18"/>
        <v>7887.5</v>
      </c>
      <c r="M70" s="28">
        <f t="shared" si="18"/>
        <v>7887.5</v>
      </c>
      <c r="N70" s="28">
        <f>SUM(N54:N66)</f>
        <v>94125</v>
      </c>
      <c r="O70" s="175"/>
      <c r="P70" s="175"/>
    </row>
    <row r="71" ht="13.5" customHeight="1">
      <c r="A71" s="79" t="s">
        <v>71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170"/>
      <c r="P71" s="170"/>
    </row>
    <row r="72" ht="13.5" customHeight="1">
      <c r="A72" s="32" t="s">
        <v>138</v>
      </c>
      <c r="B72" s="87">
        <v>0.0</v>
      </c>
      <c r="C72" s="87">
        <v>0.0</v>
      </c>
      <c r="D72" s="87">
        <v>0.0</v>
      </c>
      <c r="E72" s="87">
        <v>0.0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0.0</v>
      </c>
      <c r="L72" s="87">
        <v>0.0</v>
      </c>
      <c r="M72" s="87">
        <v>0.0</v>
      </c>
      <c r="N72" s="17">
        <f t="shared" ref="N72:N83" si="19">SUM(B72:M72)</f>
        <v>0</v>
      </c>
      <c r="O72" s="153"/>
      <c r="P72" s="153"/>
    </row>
    <row r="73" ht="13.5" customHeight="1">
      <c r="A73" s="31" t="s">
        <v>73</v>
      </c>
      <c r="B73" s="87">
        <v>0.0</v>
      </c>
      <c r="C73" s="87">
        <v>0.0</v>
      </c>
      <c r="D73" s="87">
        <v>0.0</v>
      </c>
      <c r="E73" s="87">
        <v>0.0</v>
      </c>
      <c r="F73" s="87">
        <v>0.0</v>
      </c>
      <c r="G73" s="87">
        <v>0.0</v>
      </c>
      <c r="H73" s="87">
        <v>0.0</v>
      </c>
      <c r="I73" s="87">
        <v>0.0</v>
      </c>
      <c r="J73" s="87">
        <v>0.0</v>
      </c>
      <c r="K73" s="87">
        <v>0.0</v>
      </c>
      <c r="L73" s="87">
        <v>0.0</v>
      </c>
      <c r="M73" s="87">
        <v>0.0</v>
      </c>
      <c r="N73" s="17">
        <f t="shared" si="19"/>
        <v>0</v>
      </c>
      <c r="O73" s="153"/>
      <c r="P73" s="153"/>
    </row>
    <row r="74" ht="13.5" customHeight="1">
      <c r="A74" s="32" t="s">
        <v>139</v>
      </c>
      <c r="B74" s="87">
        <v>312.5</v>
      </c>
      <c r="C74" s="87">
        <v>312.5</v>
      </c>
      <c r="D74" s="87">
        <v>312.5</v>
      </c>
      <c r="E74" s="87">
        <v>312.5</v>
      </c>
      <c r="F74" s="87">
        <v>312.5</v>
      </c>
      <c r="G74" s="87">
        <v>312.5</v>
      </c>
      <c r="H74" s="87">
        <v>312.5</v>
      </c>
      <c r="I74" s="87">
        <v>312.5</v>
      </c>
      <c r="J74" s="87">
        <v>312.5</v>
      </c>
      <c r="K74" s="87">
        <v>312.5</v>
      </c>
      <c r="L74" s="87">
        <v>312.5</v>
      </c>
      <c r="M74" s="87">
        <v>312.5</v>
      </c>
      <c r="N74" s="17">
        <f t="shared" si="19"/>
        <v>3750</v>
      </c>
      <c r="O74" s="153"/>
      <c r="P74" s="153"/>
    </row>
    <row r="75" ht="13.5" customHeight="1">
      <c r="A75" s="31" t="s">
        <v>137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17">
        <f t="shared" si="19"/>
        <v>0</v>
      </c>
      <c r="O75" s="153"/>
      <c r="P75" s="153"/>
    </row>
    <row r="76" ht="13.5" customHeight="1">
      <c r="A76" s="32" t="s">
        <v>136</v>
      </c>
      <c r="B76" s="46"/>
      <c r="C76" s="46"/>
      <c r="D76" s="46"/>
      <c r="E76" s="46"/>
      <c r="F76" s="87">
        <v>0.0</v>
      </c>
      <c r="G76" s="46"/>
      <c r="H76" s="46"/>
      <c r="I76" s="46"/>
      <c r="J76" s="46"/>
      <c r="K76" s="46"/>
      <c r="L76" s="46"/>
      <c r="M76" s="46"/>
      <c r="N76" s="17">
        <f t="shared" si="19"/>
        <v>0</v>
      </c>
      <c r="O76" s="153"/>
      <c r="P76" s="153"/>
    </row>
    <row r="77" ht="13.5" customHeight="1">
      <c r="A77" s="32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17">
        <f t="shared" si="19"/>
        <v>0</v>
      </c>
      <c r="O77" s="153"/>
      <c r="P77" s="153"/>
    </row>
    <row r="78" ht="13.5" customHeight="1">
      <c r="A78" s="31" t="s">
        <v>140</v>
      </c>
      <c r="B78" s="87">
        <v>0.0</v>
      </c>
      <c r="C78" s="87">
        <v>0.0</v>
      </c>
      <c r="D78" s="87">
        <v>0.0</v>
      </c>
      <c r="E78" s="87">
        <v>0.0</v>
      </c>
      <c r="F78" s="87">
        <v>0.0</v>
      </c>
      <c r="G78" s="87">
        <v>0.0</v>
      </c>
      <c r="H78" s="87">
        <v>0.0</v>
      </c>
      <c r="I78" s="87">
        <v>0.0</v>
      </c>
      <c r="J78" s="87">
        <v>0.0</v>
      </c>
      <c r="K78" s="87">
        <v>0.0</v>
      </c>
      <c r="L78" s="87">
        <v>0.0</v>
      </c>
      <c r="M78" s="87">
        <v>0.0</v>
      </c>
      <c r="N78" s="17">
        <f t="shared" si="19"/>
        <v>0</v>
      </c>
      <c r="O78" s="153"/>
      <c r="P78" s="153"/>
    </row>
    <row r="79" ht="13.5" customHeight="1">
      <c r="A79" s="27" t="s">
        <v>141</v>
      </c>
      <c r="B79" s="87">
        <v>198.33</v>
      </c>
      <c r="C79" s="87">
        <v>1087.825</v>
      </c>
      <c r="D79" s="87">
        <v>1087.825</v>
      </c>
      <c r="E79" s="87">
        <v>1087.825</v>
      </c>
      <c r="F79" s="87">
        <v>1087.825</v>
      </c>
      <c r="G79" s="87">
        <v>1087.825</v>
      </c>
      <c r="H79" s="87">
        <v>1087.825</v>
      </c>
      <c r="I79" s="87">
        <v>1087.825</v>
      </c>
      <c r="J79" s="87">
        <v>1087.825</v>
      </c>
      <c r="K79" s="87">
        <v>1087.825</v>
      </c>
      <c r="L79" s="87">
        <v>1087.825</v>
      </c>
      <c r="M79" s="87">
        <v>1087.825</v>
      </c>
      <c r="N79" s="17">
        <f t="shared" si="19"/>
        <v>12164.405</v>
      </c>
      <c r="O79" s="153"/>
      <c r="P79" s="153"/>
    </row>
    <row r="80" ht="13.5" customHeight="1">
      <c r="A80" s="42" t="s">
        <v>79</v>
      </c>
      <c r="B80" s="146">
        <v>250.0</v>
      </c>
      <c r="C80" s="105">
        <v>250.0</v>
      </c>
      <c r="D80" s="105">
        <v>250.0</v>
      </c>
      <c r="E80" s="105">
        <v>250.0</v>
      </c>
      <c r="F80" s="105">
        <v>250.0</v>
      </c>
      <c r="G80" s="105">
        <v>250.0</v>
      </c>
      <c r="H80" s="105">
        <v>250.0</v>
      </c>
      <c r="I80" s="105">
        <v>250.0</v>
      </c>
      <c r="J80" s="105">
        <v>250.0</v>
      </c>
      <c r="K80" s="105">
        <v>250.0</v>
      </c>
      <c r="L80" s="105">
        <v>250.0</v>
      </c>
      <c r="M80" s="105">
        <v>250.0</v>
      </c>
      <c r="N80" s="17">
        <f t="shared" si="19"/>
        <v>3000</v>
      </c>
      <c r="O80" s="153"/>
      <c r="P80" s="153"/>
    </row>
    <row r="81" ht="13.5" customHeight="1">
      <c r="A81" s="43" t="s">
        <v>80</v>
      </c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17">
        <f t="shared" si="19"/>
        <v>0</v>
      </c>
      <c r="O81" s="153"/>
      <c r="P81" s="153"/>
    </row>
    <row r="82" ht="13.5" customHeight="1">
      <c r="A82" s="91" t="s">
        <v>23</v>
      </c>
      <c r="B82" s="28">
        <f t="shared" ref="B82:M82" si="20">SUM(B72:B81)</f>
        <v>760.83</v>
      </c>
      <c r="C82" s="28">
        <f t="shared" si="20"/>
        <v>1650.325</v>
      </c>
      <c r="D82" s="28">
        <f t="shared" si="20"/>
        <v>1650.325</v>
      </c>
      <c r="E82" s="28">
        <f t="shared" si="20"/>
        <v>1650.325</v>
      </c>
      <c r="F82" s="28">
        <f t="shared" si="20"/>
        <v>1650.325</v>
      </c>
      <c r="G82" s="28">
        <f t="shared" si="20"/>
        <v>1650.325</v>
      </c>
      <c r="H82" s="28">
        <f t="shared" si="20"/>
        <v>1650.325</v>
      </c>
      <c r="I82" s="28">
        <f t="shared" si="20"/>
        <v>1650.325</v>
      </c>
      <c r="J82" s="28">
        <f t="shared" si="20"/>
        <v>1650.325</v>
      </c>
      <c r="K82" s="28">
        <f t="shared" si="20"/>
        <v>1650.325</v>
      </c>
      <c r="L82" s="28">
        <f t="shared" si="20"/>
        <v>1650.325</v>
      </c>
      <c r="M82" s="28">
        <f t="shared" si="20"/>
        <v>1650.325</v>
      </c>
      <c r="N82" s="44">
        <f t="shared" si="19"/>
        <v>18914.405</v>
      </c>
      <c r="O82" s="174"/>
      <c r="P82" s="174"/>
    </row>
    <row r="83" ht="13.5" customHeight="1">
      <c r="A83" s="99" t="s">
        <v>81</v>
      </c>
      <c r="B83" s="28">
        <f t="shared" ref="B83:M83" si="21">B52+B70+B82</f>
        <v>16514.57</v>
      </c>
      <c r="C83" s="28">
        <f t="shared" si="21"/>
        <v>17929.065</v>
      </c>
      <c r="D83" s="28">
        <f t="shared" si="21"/>
        <v>17929.065</v>
      </c>
      <c r="E83" s="28">
        <f t="shared" si="21"/>
        <v>17929.065</v>
      </c>
      <c r="F83" s="28">
        <f t="shared" si="21"/>
        <v>18028.815</v>
      </c>
      <c r="G83" s="28">
        <f t="shared" si="21"/>
        <v>18028.815</v>
      </c>
      <c r="H83" s="28">
        <f t="shared" si="21"/>
        <v>18028.815</v>
      </c>
      <c r="I83" s="28">
        <f t="shared" si="21"/>
        <v>18010.535</v>
      </c>
      <c r="J83" s="28">
        <f t="shared" si="21"/>
        <v>18010.535</v>
      </c>
      <c r="K83" s="28">
        <f t="shared" si="21"/>
        <v>18010.535</v>
      </c>
      <c r="L83" s="28">
        <f t="shared" si="21"/>
        <v>18010.535</v>
      </c>
      <c r="M83" s="28">
        <f t="shared" si="21"/>
        <v>18010.535</v>
      </c>
      <c r="N83" s="44">
        <f t="shared" si="19"/>
        <v>214440.885</v>
      </c>
      <c r="O83" s="174"/>
      <c r="P83" s="174"/>
    </row>
    <row r="84" ht="13.5" customHeight="1">
      <c r="A84" s="99" t="s">
        <v>82</v>
      </c>
      <c r="B84" s="46">
        <f t="shared" ref="B84:N84" si="22">B83/B112</f>
        <v>300.2649091</v>
      </c>
      <c r="C84" s="46">
        <f t="shared" si="22"/>
        <v>298.81775</v>
      </c>
      <c r="D84" s="46">
        <f t="shared" si="22"/>
        <v>275.8317692</v>
      </c>
      <c r="E84" s="46">
        <f t="shared" si="22"/>
        <v>239.0542</v>
      </c>
      <c r="F84" s="46">
        <f t="shared" si="22"/>
        <v>240.3842</v>
      </c>
      <c r="G84" s="46">
        <f t="shared" si="22"/>
        <v>240.3842</v>
      </c>
      <c r="H84" s="46">
        <f t="shared" si="22"/>
        <v>240.3842</v>
      </c>
      <c r="I84" s="46">
        <f t="shared" si="22"/>
        <v>240.1404667</v>
      </c>
      <c r="J84" s="46">
        <f t="shared" si="22"/>
        <v>225.1316875</v>
      </c>
      <c r="K84" s="46">
        <f t="shared" si="22"/>
        <v>211.8886471</v>
      </c>
      <c r="L84" s="46">
        <f t="shared" si="22"/>
        <v>225.1316875</v>
      </c>
      <c r="M84" s="46">
        <f t="shared" si="22"/>
        <v>211.8886471</v>
      </c>
      <c r="N84" s="15">
        <f t="shared" si="22"/>
        <v>242.3060847</v>
      </c>
      <c r="O84" s="77"/>
      <c r="P84" s="77"/>
    </row>
    <row r="85" ht="13.5" customHeight="1">
      <c r="A85" s="79" t="s">
        <v>83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170"/>
      <c r="P85" s="170"/>
    </row>
    <row r="86" ht="13.5" customHeight="1">
      <c r="A86" s="15" t="s">
        <v>84</v>
      </c>
      <c r="B86" s="87">
        <v>420.0</v>
      </c>
      <c r="C86" s="87">
        <v>420.0</v>
      </c>
      <c r="D86" s="87">
        <v>420.0</v>
      </c>
      <c r="E86" s="87">
        <v>420.0</v>
      </c>
      <c r="F86" s="87">
        <v>420.0</v>
      </c>
      <c r="G86" s="87">
        <v>420.0</v>
      </c>
      <c r="H86" s="87">
        <v>420.0</v>
      </c>
      <c r="I86" s="87">
        <v>420.0</v>
      </c>
      <c r="J86" s="87">
        <v>420.0</v>
      </c>
      <c r="K86" s="87">
        <v>420.0</v>
      </c>
      <c r="L86" s="87">
        <v>420.0</v>
      </c>
      <c r="M86" s="87">
        <v>420.0</v>
      </c>
      <c r="N86" s="17">
        <f t="shared" ref="N86:N89" si="23">SUM(B86:M86)</f>
        <v>5040</v>
      </c>
      <c r="O86" s="153"/>
      <c r="P86" s="153"/>
    </row>
    <row r="87" ht="13.5" customHeight="1">
      <c r="A87" s="15" t="s">
        <v>142</v>
      </c>
      <c r="B87" s="46"/>
      <c r="C87" s="46"/>
      <c r="D87" s="46"/>
      <c r="E87" s="87"/>
      <c r="F87" s="46"/>
      <c r="G87" s="46"/>
      <c r="H87" s="46"/>
      <c r="I87" s="46"/>
      <c r="J87" s="46"/>
      <c r="K87" s="46"/>
      <c r="L87" s="46"/>
      <c r="M87" s="46"/>
      <c r="N87" s="17">
        <f t="shared" si="23"/>
        <v>0</v>
      </c>
      <c r="O87" s="153"/>
      <c r="P87" s="153"/>
    </row>
    <row r="88" ht="13.5" customHeight="1">
      <c r="A88" s="39" t="s">
        <v>86</v>
      </c>
      <c r="B88" s="46"/>
      <c r="C88" s="46"/>
      <c r="D88" s="46"/>
      <c r="E88" s="87"/>
      <c r="F88" s="46"/>
      <c r="G88" s="46"/>
      <c r="H88" s="46"/>
      <c r="I88" s="46"/>
      <c r="J88" s="46"/>
      <c r="K88" s="46"/>
      <c r="L88" s="46"/>
      <c r="M88" s="46"/>
      <c r="N88" s="17">
        <f t="shared" si="23"/>
        <v>0</v>
      </c>
      <c r="O88" s="153"/>
      <c r="P88" s="153"/>
    </row>
    <row r="89" ht="13.5" customHeight="1">
      <c r="A89" s="39" t="s">
        <v>87</v>
      </c>
      <c r="B89" s="46"/>
      <c r="C89" s="46"/>
      <c r="D89" s="46"/>
      <c r="E89" s="46"/>
      <c r="F89" s="46"/>
      <c r="G89" s="46"/>
      <c r="H89" s="46"/>
      <c r="I89" s="87"/>
      <c r="J89" s="46"/>
      <c r="K89" s="46"/>
      <c r="L89" s="46"/>
      <c r="M89" s="46"/>
      <c r="N89" s="17">
        <f t="shared" si="23"/>
        <v>0</v>
      </c>
      <c r="O89" s="153"/>
      <c r="P89" s="153"/>
    </row>
    <row r="90" ht="13.5" customHeight="1">
      <c r="A90" s="91" t="s">
        <v>23</v>
      </c>
      <c r="B90" s="28">
        <f t="shared" ref="B90:N90" si="24">SUM(B86:B89)</f>
        <v>420</v>
      </c>
      <c r="C90" s="28">
        <f t="shared" si="24"/>
        <v>420</v>
      </c>
      <c r="D90" s="28">
        <f t="shared" si="24"/>
        <v>420</v>
      </c>
      <c r="E90" s="28">
        <f t="shared" si="24"/>
        <v>420</v>
      </c>
      <c r="F90" s="28">
        <f t="shared" si="24"/>
        <v>420</v>
      </c>
      <c r="G90" s="28">
        <f t="shared" si="24"/>
        <v>420</v>
      </c>
      <c r="H90" s="28">
        <f t="shared" si="24"/>
        <v>420</v>
      </c>
      <c r="I90" s="28">
        <f t="shared" si="24"/>
        <v>420</v>
      </c>
      <c r="J90" s="28">
        <f t="shared" si="24"/>
        <v>420</v>
      </c>
      <c r="K90" s="28">
        <f t="shared" si="24"/>
        <v>420</v>
      </c>
      <c r="L90" s="28">
        <f t="shared" si="24"/>
        <v>420</v>
      </c>
      <c r="M90" s="28">
        <f t="shared" si="24"/>
        <v>420</v>
      </c>
      <c r="N90" s="28">
        <f t="shared" si="24"/>
        <v>5040</v>
      </c>
      <c r="O90" s="175"/>
      <c r="P90" s="175"/>
    </row>
    <row r="91" ht="13.5" customHeight="1">
      <c r="A91" s="89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170"/>
      <c r="P91" s="170"/>
    </row>
    <row r="92" ht="13.5" customHeight="1">
      <c r="A92" s="31" t="s">
        <v>89</v>
      </c>
      <c r="B92" s="101">
        <f>PRODUCTION!Z18</f>
        <v>650</v>
      </c>
      <c r="C92" s="162">
        <f>PRODUCTION!Z19</f>
        <v>650</v>
      </c>
      <c r="D92" s="162">
        <f>PRODUCTION!Z20</f>
        <v>650</v>
      </c>
      <c r="E92" s="162">
        <f>PRODUCTION!Z21</f>
        <v>650</v>
      </c>
      <c r="F92" s="162">
        <f>PRODUCTION!Z22</f>
        <v>650</v>
      </c>
      <c r="G92" s="162">
        <f>PRODUCTION!Z23</f>
        <v>650</v>
      </c>
      <c r="H92" s="162">
        <f>PRODUCTION!Z24</f>
        <v>650</v>
      </c>
      <c r="I92" s="162">
        <f>PRODUCTION!Z25</f>
        <v>650</v>
      </c>
      <c r="J92" s="162">
        <f>PRODUCTION!Z26</f>
        <v>650</v>
      </c>
      <c r="K92" s="162">
        <f>PRODUCTION!Z27</f>
        <v>650</v>
      </c>
      <c r="L92" s="162">
        <f>PRODUCTION!Z28</f>
        <v>650</v>
      </c>
      <c r="M92" s="162">
        <f>PRODUCTION!Z29</f>
        <v>650</v>
      </c>
      <c r="N92" s="17">
        <f t="shared" ref="N92:N104" si="25">SUM(B92:M92)</f>
        <v>7800</v>
      </c>
      <c r="O92" s="153"/>
      <c r="P92" s="153"/>
    </row>
    <row r="93" ht="13.5" customHeight="1">
      <c r="A93" s="31" t="s">
        <v>90</v>
      </c>
      <c r="B93" s="46"/>
      <c r="C93" s="87"/>
      <c r="D93" s="87"/>
      <c r="E93" s="87"/>
      <c r="F93" s="87"/>
      <c r="G93" s="46"/>
      <c r="H93" s="46"/>
      <c r="I93" s="46"/>
      <c r="J93" s="46"/>
      <c r="K93" s="87"/>
      <c r="L93" s="46"/>
      <c r="M93" s="87"/>
      <c r="N93" s="17">
        <f t="shared" si="25"/>
        <v>0</v>
      </c>
      <c r="O93" s="153"/>
      <c r="P93" s="153"/>
    </row>
    <row r="94" ht="13.5" customHeight="1">
      <c r="A94" s="31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17">
        <f t="shared" si="25"/>
        <v>2360</v>
      </c>
      <c r="O94" s="153"/>
      <c r="P94" s="153"/>
    </row>
    <row r="95" ht="13.5" customHeight="1">
      <c r="A95" s="31" t="s">
        <v>92</v>
      </c>
      <c r="B95" s="97">
        <v>200.0</v>
      </c>
      <c r="C95" s="97">
        <f>200+60.75</f>
        <v>260.75</v>
      </c>
      <c r="D95" s="105">
        <v>0.0</v>
      </c>
      <c r="E95" s="105">
        <v>0.0</v>
      </c>
      <c r="F95" s="104">
        <v>150.0</v>
      </c>
      <c r="G95" s="97">
        <f>150+167</f>
        <v>317</v>
      </c>
      <c r="H95" s="97">
        <v>0.0</v>
      </c>
      <c r="I95" s="104">
        <v>104.251</v>
      </c>
      <c r="J95" s="97">
        <v>200.0</v>
      </c>
      <c r="K95" s="104">
        <v>182.01</v>
      </c>
      <c r="L95" s="97">
        <v>200.0</v>
      </c>
      <c r="M95" s="97">
        <v>200.0</v>
      </c>
      <c r="N95" s="17">
        <f t="shared" si="25"/>
        <v>1814.011</v>
      </c>
      <c r="O95" s="153"/>
      <c r="P95" s="153"/>
    </row>
    <row r="96" ht="13.5" customHeight="1">
      <c r="A96" s="32" t="s">
        <v>143</v>
      </c>
      <c r="B96" s="46"/>
      <c r="C96" s="46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17">
        <f t="shared" si="25"/>
        <v>0</v>
      </c>
      <c r="O96" s="153"/>
      <c r="P96" s="153"/>
    </row>
    <row r="97" ht="13.5" customHeight="1">
      <c r="A97" s="32" t="s">
        <v>94</v>
      </c>
      <c r="B97" s="46"/>
      <c r="C97" s="46"/>
      <c r="D97" s="46"/>
      <c r="E97" s="87"/>
      <c r="F97" s="87"/>
      <c r="G97" s="87"/>
      <c r="H97" s="87"/>
      <c r="I97" s="87"/>
      <c r="J97" s="87"/>
      <c r="K97" s="87"/>
      <c r="L97" s="87"/>
      <c r="M97" s="87"/>
      <c r="N97" s="17">
        <f t="shared" si="25"/>
        <v>0</v>
      </c>
      <c r="O97" s="153"/>
      <c r="P97" s="153"/>
    </row>
    <row r="98" ht="13.5" customHeight="1">
      <c r="A98" s="32" t="s">
        <v>95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17">
        <f t="shared" si="25"/>
        <v>0</v>
      </c>
      <c r="O98" s="153"/>
      <c r="P98" s="153"/>
    </row>
    <row r="99" ht="13.5" customHeight="1">
      <c r="A99" s="31" t="s">
        <v>96</v>
      </c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17">
        <f t="shared" si="25"/>
        <v>0</v>
      </c>
      <c r="O99" s="153"/>
      <c r="P99" s="153"/>
    </row>
    <row r="100" ht="13.5" customHeight="1">
      <c r="A100" s="31" t="s">
        <v>97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17">
        <f t="shared" si="25"/>
        <v>0</v>
      </c>
      <c r="O100" s="153"/>
      <c r="P100" s="153"/>
    </row>
    <row r="101" ht="13.5" customHeight="1">
      <c r="A101" s="32" t="s">
        <v>98</v>
      </c>
      <c r="B101" s="87">
        <v>0.0</v>
      </c>
      <c r="C101" s="87">
        <v>0.0</v>
      </c>
      <c r="D101" s="87">
        <v>0.0</v>
      </c>
      <c r="E101" s="87">
        <v>0.0</v>
      </c>
      <c r="F101" s="87">
        <v>0.0</v>
      </c>
      <c r="G101" s="87">
        <v>0.0</v>
      </c>
      <c r="H101" s="87">
        <v>0.0</v>
      </c>
      <c r="I101" s="87">
        <v>0.0</v>
      </c>
      <c r="J101" s="87">
        <v>0.0</v>
      </c>
      <c r="K101" s="87">
        <v>0.0</v>
      </c>
      <c r="L101" s="87">
        <v>0.0</v>
      </c>
      <c r="M101" s="87">
        <v>0.0</v>
      </c>
      <c r="N101" s="17">
        <f t="shared" si="25"/>
        <v>0</v>
      </c>
      <c r="O101" s="153"/>
      <c r="P101" s="153"/>
    </row>
    <row r="102" ht="13.5" customHeight="1">
      <c r="A102" s="31" t="s">
        <v>99</v>
      </c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17">
        <f t="shared" si="25"/>
        <v>0</v>
      </c>
      <c r="O102" s="153"/>
      <c r="P102" s="153"/>
    </row>
    <row r="103" ht="13.5" customHeight="1">
      <c r="A103" s="32" t="s">
        <v>100</v>
      </c>
      <c r="B103" s="87">
        <v>100.0</v>
      </c>
      <c r="C103" s="87">
        <v>217.5</v>
      </c>
      <c r="D103" s="87">
        <f>100+113.64</f>
        <v>213.64</v>
      </c>
      <c r="E103" s="87">
        <v>100.0</v>
      </c>
      <c r="F103" s="87">
        <v>100.0</v>
      </c>
      <c r="G103" s="87">
        <v>590.0</v>
      </c>
      <c r="H103" s="87">
        <v>590.0</v>
      </c>
      <c r="I103" s="87">
        <v>100.0</v>
      </c>
      <c r="J103" s="87">
        <f>435+100</f>
        <v>535</v>
      </c>
      <c r="K103" s="87">
        <v>100.0</v>
      </c>
      <c r="L103" s="87">
        <v>100.0</v>
      </c>
      <c r="M103" s="87">
        <v>100.0</v>
      </c>
      <c r="N103" s="17">
        <f t="shared" si="25"/>
        <v>2846.14</v>
      </c>
      <c r="O103" s="153"/>
      <c r="P103" s="153"/>
    </row>
    <row r="104" ht="13.5" customHeight="1">
      <c r="A104" s="27" t="s">
        <v>101</v>
      </c>
      <c r="B104" s="87">
        <v>175.0</v>
      </c>
      <c r="C104" s="87">
        <v>175.0</v>
      </c>
      <c r="D104" s="87">
        <v>175.0</v>
      </c>
      <c r="E104" s="87">
        <v>175.0</v>
      </c>
      <c r="F104" s="87">
        <v>175.0</v>
      </c>
      <c r="G104" s="87">
        <v>175.0</v>
      </c>
      <c r="H104" s="87">
        <v>175.0</v>
      </c>
      <c r="I104" s="87">
        <v>175.0</v>
      </c>
      <c r="J104" s="87">
        <v>175.0</v>
      </c>
      <c r="K104" s="87">
        <v>175.0</v>
      </c>
      <c r="L104" s="87">
        <v>175.0</v>
      </c>
      <c r="M104" s="87">
        <v>175.0</v>
      </c>
      <c r="N104" s="17">
        <f t="shared" si="25"/>
        <v>2100</v>
      </c>
      <c r="O104" s="153"/>
      <c r="P104" s="153"/>
    </row>
    <row r="105" ht="13.5" customHeight="1">
      <c r="A105" s="27" t="s">
        <v>102</v>
      </c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17"/>
      <c r="O105" s="153"/>
      <c r="P105" s="153"/>
    </row>
    <row r="106" ht="13.5" customHeight="1">
      <c r="A106" s="39" t="s">
        <v>280</v>
      </c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17">
        <f>SUM(B106:M106)</f>
        <v>0</v>
      </c>
      <c r="O106" s="153"/>
      <c r="P106" s="153"/>
    </row>
    <row r="107" ht="13.5" customHeight="1">
      <c r="A107" s="91" t="s">
        <v>23</v>
      </c>
      <c r="B107" s="28">
        <f t="shared" ref="B107:N107" si="26">SUM(B92:B106)</f>
        <v>1305</v>
      </c>
      <c r="C107" s="28">
        <f t="shared" si="26"/>
        <v>1483.25</v>
      </c>
      <c r="D107" s="28">
        <f t="shared" si="26"/>
        <v>1218.64</v>
      </c>
      <c r="E107" s="28">
        <f t="shared" si="26"/>
        <v>1105</v>
      </c>
      <c r="F107" s="28">
        <f t="shared" si="26"/>
        <v>1255</v>
      </c>
      <c r="G107" s="28">
        <f t="shared" si="26"/>
        <v>1912</v>
      </c>
      <c r="H107" s="28">
        <f t="shared" si="26"/>
        <v>1595</v>
      </c>
      <c r="I107" s="28">
        <f t="shared" si="26"/>
        <v>1209.251</v>
      </c>
      <c r="J107" s="28">
        <f t="shared" si="26"/>
        <v>1740</v>
      </c>
      <c r="K107" s="28">
        <f t="shared" si="26"/>
        <v>1487.01</v>
      </c>
      <c r="L107" s="28">
        <f t="shared" si="26"/>
        <v>1305</v>
      </c>
      <c r="M107" s="28">
        <f t="shared" si="26"/>
        <v>1305</v>
      </c>
      <c r="N107" s="28">
        <f t="shared" si="26"/>
        <v>16920.151</v>
      </c>
      <c r="O107" s="175"/>
      <c r="P107" s="175"/>
    </row>
    <row r="108" ht="13.5" customHeight="1">
      <c r="A108" s="91" t="s">
        <v>104</v>
      </c>
      <c r="B108" s="107">
        <v>-10400.0</v>
      </c>
      <c r="C108" s="108">
        <v>-11200.0</v>
      </c>
      <c r="D108" s="108">
        <v>-9800.0</v>
      </c>
      <c r="E108" s="108">
        <v>-13400.0</v>
      </c>
      <c r="F108" s="108">
        <v>-7000.0</v>
      </c>
      <c r="G108" s="108">
        <v>-4781.37</v>
      </c>
      <c r="H108" s="108">
        <v>-5000.0</v>
      </c>
      <c r="I108" s="108">
        <v>-3400.0</v>
      </c>
      <c r="J108" s="108">
        <v>9200.0</v>
      </c>
      <c r="K108" s="110">
        <v>-4800.0</v>
      </c>
      <c r="L108" s="110">
        <v>-7800.0</v>
      </c>
      <c r="M108" s="110">
        <v>-6800.0</v>
      </c>
      <c r="N108" s="44">
        <f>SUM(B108:M108)</f>
        <v>-75181.37</v>
      </c>
      <c r="O108" s="375" t="s">
        <v>281</v>
      </c>
      <c r="P108" s="174">
        <f>SUM(N108:N109)</f>
        <v>242067.7021</v>
      </c>
    </row>
    <row r="109" ht="13.5" customHeight="1">
      <c r="A109" s="112" t="s">
        <v>105</v>
      </c>
      <c r="B109" s="50">
        <f t="shared" ref="B109:N109" si="27">B107+B90+B83+B32+B21+B13</f>
        <v>22664.21815</v>
      </c>
      <c r="C109" s="50">
        <f t="shared" si="27"/>
        <v>24416.22593</v>
      </c>
      <c r="D109" s="50">
        <f t="shared" si="27"/>
        <v>26339.5118</v>
      </c>
      <c r="E109" s="50">
        <f t="shared" si="27"/>
        <v>26237.44103</v>
      </c>
      <c r="F109" s="50">
        <f t="shared" si="27"/>
        <v>28054.11061</v>
      </c>
      <c r="G109" s="50">
        <f t="shared" si="27"/>
        <v>28027.54804</v>
      </c>
      <c r="H109" s="50">
        <f t="shared" si="27"/>
        <v>25255.89927</v>
      </c>
      <c r="I109" s="50">
        <f t="shared" si="27"/>
        <v>24851.87027</v>
      </c>
      <c r="J109" s="50">
        <f t="shared" si="27"/>
        <v>27299.93842</v>
      </c>
      <c r="K109" s="50">
        <f t="shared" si="27"/>
        <v>27393.88977</v>
      </c>
      <c r="L109" s="50">
        <f t="shared" si="27"/>
        <v>28354.2094</v>
      </c>
      <c r="M109" s="50">
        <f t="shared" si="27"/>
        <v>28354.2094</v>
      </c>
      <c r="N109" s="50">
        <f t="shared" si="27"/>
        <v>317249.0721</v>
      </c>
      <c r="O109" s="176"/>
      <c r="P109" s="176"/>
    </row>
    <row r="110" ht="13.5" customHeight="1">
      <c r="A110" s="35" t="s">
        <v>106</v>
      </c>
      <c r="B110" s="377">
        <v>40.0</v>
      </c>
      <c r="C110" s="378">
        <v>40.0</v>
      </c>
      <c r="D110" s="378">
        <v>45.0</v>
      </c>
      <c r="E110" s="378">
        <v>50.0</v>
      </c>
      <c r="F110" s="378">
        <v>50.0</v>
      </c>
      <c r="G110" s="378">
        <v>50.0</v>
      </c>
      <c r="H110" s="378">
        <v>50.0</v>
      </c>
      <c r="I110" s="378">
        <v>50.0</v>
      </c>
      <c r="J110" s="378">
        <v>55.0</v>
      </c>
      <c r="K110" s="116">
        <v>60.0</v>
      </c>
      <c r="L110" s="116">
        <v>55.0</v>
      </c>
      <c r="M110" s="116">
        <v>60.0</v>
      </c>
      <c r="N110" s="149">
        <f t="shared" ref="N110:N112" si="28">SUM(B110:M110)</f>
        <v>605</v>
      </c>
      <c r="O110" s="152"/>
      <c r="P110" s="152"/>
    </row>
    <row r="111" ht="13.5" customHeight="1">
      <c r="A111" s="35" t="s">
        <v>107</v>
      </c>
      <c r="B111" s="378">
        <v>15.0</v>
      </c>
      <c r="C111" s="379">
        <v>20.0</v>
      </c>
      <c r="D111" s="378">
        <v>20.0</v>
      </c>
      <c r="E111" s="378">
        <v>25.0</v>
      </c>
      <c r="F111" s="378">
        <v>25.0</v>
      </c>
      <c r="G111" s="378">
        <v>25.0</v>
      </c>
      <c r="H111" s="378">
        <v>25.0</v>
      </c>
      <c r="I111" s="378">
        <v>25.0</v>
      </c>
      <c r="J111" s="378">
        <v>25.0</v>
      </c>
      <c r="K111" s="121">
        <v>25.0</v>
      </c>
      <c r="L111" s="121">
        <v>25.0</v>
      </c>
      <c r="M111" s="151">
        <v>25.0</v>
      </c>
      <c r="N111" s="149">
        <f t="shared" si="28"/>
        <v>280</v>
      </c>
      <c r="O111" s="152"/>
      <c r="P111" s="152"/>
    </row>
    <row r="112" ht="13.5" customHeight="1">
      <c r="A112" s="91" t="s">
        <v>23</v>
      </c>
      <c r="B112" s="122">
        <f t="shared" ref="B112:M112" si="29">B110+B111</f>
        <v>55</v>
      </c>
      <c r="C112" s="122">
        <f t="shared" si="29"/>
        <v>60</v>
      </c>
      <c r="D112" s="122">
        <f t="shared" si="29"/>
        <v>65</v>
      </c>
      <c r="E112" s="122">
        <f t="shared" si="29"/>
        <v>75</v>
      </c>
      <c r="F112" s="123">
        <f t="shared" si="29"/>
        <v>75</v>
      </c>
      <c r="G112" s="123">
        <f t="shared" si="29"/>
        <v>75</v>
      </c>
      <c r="H112" s="123">
        <f t="shared" si="29"/>
        <v>75</v>
      </c>
      <c r="I112" s="123">
        <f t="shared" si="29"/>
        <v>75</v>
      </c>
      <c r="J112" s="123">
        <f t="shared" si="29"/>
        <v>80</v>
      </c>
      <c r="K112" s="123">
        <f t="shared" si="29"/>
        <v>85</v>
      </c>
      <c r="L112" s="123">
        <f t="shared" si="29"/>
        <v>80</v>
      </c>
      <c r="M112" s="124">
        <f t="shared" si="29"/>
        <v>85</v>
      </c>
      <c r="N112" s="125">
        <f t="shared" si="28"/>
        <v>885</v>
      </c>
      <c r="O112" s="178"/>
      <c r="P112" s="178"/>
    </row>
    <row r="113" ht="13.5" customHeight="1">
      <c r="A113" s="126" t="s">
        <v>108</v>
      </c>
      <c r="B113" s="58">
        <f t="shared" ref="B113:N113" si="30">B109/B112</f>
        <v>412.0766936</v>
      </c>
      <c r="C113" s="58">
        <f t="shared" si="30"/>
        <v>406.9370988</v>
      </c>
      <c r="D113" s="58">
        <f t="shared" si="30"/>
        <v>405.2232585</v>
      </c>
      <c r="E113" s="58">
        <f t="shared" si="30"/>
        <v>349.832547</v>
      </c>
      <c r="F113" s="58">
        <f t="shared" si="30"/>
        <v>374.0548082</v>
      </c>
      <c r="G113" s="58">
        <f t="shared" si="30"/>
        <v>373.7006406</v>
      </c>
      <c r="H113" s="58">
        <f t="shared" si="30"/>
        <v>336.7453236</v>
      </c>
      <c r="I113" s="58">
        <f t="shared" si="30"/>
        <v>331.3582703</v>
      </c>
      <c r="J113" s="58">
        <f t="shared" si="30"/>
        <v>341.2492303</v>
      </c>
      <c r="K113" s="58">
        <f t="shared" si="30"/>
        <v>322.2810562</v>
      </c>
      <c r="L113" s="58">
        <f t="shared" si="30"/>
        <v>354.4276174</v>
      </c>
      <c r="M113" s="58">
        <f t="shared" si="30"/>
        <v>333.5789341</v>
      </c>
      <c r="N113" s="179">
        <f t="shared" si="30"/>
        <v>358.4735278</v>
      </c>
      <c r="O113" s="180"/>
      <c r="P113" s="180"/>
    </row>
    <row r="114" ht="13.5" customHeight="1">
      <c r="A114" s="79" t="s">
        <v>109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170"/>
      <c r="P114" s="170"/>
    </row>
    <row r="115" ht="13.5" customHeight="1">
      <c r="A115" s="59" t="s">
        <v>110</v>
      </c>
      <c r="B115" s="46">
        <f t="shared" ref="B115:M115" si="31">1295</f>
        <v>1295</v>
      </c>
      <c r="C115" s="46">
        <f t="shared" si="31"/>
        <v>1295</v>
      </c>
      <c r="D115" s="46">
        <f t="shared" si="31"/>
        <v>1295</v>
      </c>
      <c r="E115" s="46">
        <f t="shared" si="31"/>
        <v>1295</v>
      </c>
      <c r="F115" s="46">
        <f t="shared" si="31"/>
        <v>1295</v>
      </c>
      <c r="G115" s="46">
        <f t="shared" si="31"/>
        <v>1295</v>
      </c>
      <c r="H115" s="46">
        <f t="shared" si="31"/>
        <v>1295</v>
      </c>
      <c r="I115" s="46">
        <f t="shared" si="31"/>
        <v>1295</v>
      </c>
      <c r="J115" s="46">
        <f t="shared" si="31"/>
        <v>1295</v>
      </c>
      <c r="K115" s="46">
        <f t="shared" si="31"/>
        <v>1295</v>
      </c>
      <c r="L115" s="46">
        <f t="shared" si="31"/>
        <v>1295</v>
      </c>
      <c r="M115" s="46">
        <f t="shared" si="31"/>
        <v>1295</v>
      </c>
      <c r="N115" s="17">
        <f t="shared" ref="N115:N120" si="32">SUM(B115:M115)</f>
        <v>15540</v>
      </c>
      <c r="O115" s="153"/>
      <c r="P115" s="153"/>
    </row>
    <row r="116" ht="13.5" customHeight="1">
      <c r="A116" s="60" t="s">
        <v>111</v>
      </c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17">
        <f t="shared" si="32"/>
        <v>0</v>
      </c>
      <c r="O116" s="153"/>
      <c r="P116" s="153"/>
    </row>
    <row r="117" ht="13.5" customHeight="1">
      <c r="A117" s="59" t="s">
        <v>112</v>
      </c>
      <c r="B117" s="87">
        <f>836.64+500+954
</f>
        <v>2290.64</v>
      </c>
      <c r="C117" s="87">
        <v>500.0</v>
      </c>
      <c r="D117" s="87">
        <v>500.0</v>
      </c>
      <c r="E117" s="87">
        <f>836.64+500+954
</f>
        <v>2290.64</v>
      </c>
      <c r="F117" s="87">
        <v>500.0</v>
      </c>
      <c r="G117" s="87">
        <v>500.0</v>
      </c>
      <c r="H117" s="87">
        <f>836.64+500+954
</f>
        <v>2290.64</v>
      </c>
      <c r="I117" s="87">
        <v>500.0</v>
      </c>
      <c r="J117" s="87">
        <v>500.0</v>
      </c>
      <c r="K117" s="87">
        <f>500+851.76</f>
        <v>1351.76</v>
      </c>
      <c r="L117" s="87">
        <v>500.0</v>
      </c>
      <c r="M117" s="87">
        <v>500.0</v>
      </c>
      <c r="N117" s="17">
        <f t="shared" si="32"/>
        <v>12223.68</v>
      </c>
      <c r="O117" s="153"/>
      <c r="P117" s="153"/>
    </row>
    <row r="118" ht="13.5" customHeight="1">
      <c r="A118" s="59" t="s">
        <v>161</v>
      </c>
      <c r="B118" s="87">
        <f t="shared" ref="B118:M118" si="33">699+117+666</f>
        <v>1482</v>
      </c>
      <c r="C118" s="87">
        <f t="shared" si="33"/>
        <v>1482</v>
      </c>
      <c r="D118" s="87">
        <f t="shared" si="33"/>
        <v>1482</v>
      </c>
      <c r="E118" s="87">
        <f t="shared" si="33"/>
        <v>1482</v>
      </c>
      <c r="F118" s="87">
        <f t="shared" si="33"/>
        <v>1482</v>
      </c>
      <c r="G118" s="87">
        <f t="shared" si="33"/>
        <v>1482</v>
      </c>
      <c r="H118" s="87">
        <f t="shared" si="33"/>
        <v>1482</v>
      </c>
      <c r="I118" s="87">
        <f t="shared" si="33"/>
        <v>1482</v>
      </c>
      <c r="J118" s="87">
        <f t="shared" si="33"/>
        <v>1482</v>
      </c>
      <c r="K118" s="87">
        <f t="shared" si="33"/>
        <v>1482</v>
      </c>
      <c r="L118" s="87">
        <f t="shared" si="33"/>
        <v>1482</v>
      </c>
      <c r="M118" s="87">
        <f t="shared" si="33"/>
        <v>1482</v>
      </c>
      <c r="N118" s="17">
        <f t="shared" si="32"/>
        <v>17784</v>
      </c>
      <c r="O118" s="153"/>
      <c r="P118" s="153"/>
    </row>
    <row r="119" ht="13.5" customHeight="1">
      <c r="A119" s="61" t="s">
        <v>113</v>
      </c>
      <c r="B119" s="87">
        <v>395.0</v>
      </c>
      <c r="C119" s="87">
        <v>395.0</v>
      </c>
      <c r="D119" s="87">
        <v>395.0</v>
      </c>
      <c r="E119" s="87">
        <v>395.0</v>
      </c>
      <c r="F119" s="87">
        <v>395.0</v>
      </c>
      <c r="G119" s="87">
        <v>395.0</v>
      </c>
      <c r="H119" s="87">
        <v>395.0</v>
      </c>
      <c r="I119" s="87">
        <v>395.0</v>
      </c>
      <c r="J119" s="87">
        <v>395.0</v>
      </c>
      <c r="K119" s="87">
        <v>395.0</v>
      </c>
      <c r="L119" s="87">
        <v>395.0</v>
      </c>
      <c r="M119" s="87">
        <v>395.0</v>
      </c>
      <c r="N119" s="17">
        <f t="shared" si="32"/>
        <v>4740</v>
      </c>
      <c r="O119" s="153"/>
      <c r="P119" s="153"/>
    </row>
    <row r="120" ht="13.5" customHeight="1">
      <c r="A120" s="132" t="s">
        <v>114</v>
      </c>
      <c r="B120" s="87">
        <v>1295.0</v>
      </c>
      <c r="C120" s="87">
        <v>1295.0</v>
      </c>
      <c r="D120" s="87">
        <v>1295.0</v>
      </c>
      <c r="E120" s="87">
        <v>1295.0</v>
      </c>
      <c r="F120" s="87">
        <v>1295.0</v>
      </c>
      <c r="G120" s="87">
        <v>1295.0</v>
      </c>
      <c r="H120" s="87">
        <v>1295.0</v>
      </c>
      <c r="I120" s="87">
        <v>1295.0</v>
      </c>
      <c r="J120" s="87">
        <v>1295.0</v>
      </c>
      <c r="K120" s="87">
        <v>1295.0</v>
      </c>
      <c r="L120" s="87">
        <v>1295.0</v>
      </c>
      <c r="M120" s="87">
        <v>1295.0</v>
      </c>
      <c r="N120" s="17">
        <f t="shared" si="32"/>
        <v>15540</v>
      </c>
      <c r="O120" s="153"/>
      <c r="P120" s="153"/>
    </row>
    <row r="121" ht="13.5" customHeight="1">
      <c r="A121" s="99" t="s">
        <v>23</v>
      </c>
      <c r="B121" s="63">
        <f t="shared" ref="B121:N121" si="34">SUM(B115:B120)</f>
        <v>6757.64</v>
      </c>
      <c r="C121" s="63">
        <f t="shared" si="34"/>
        <v>4967</v>
      </c>
      <c r="D121" s="63">
        <f t="shared" si="34"/>
        <v>4967</v>
      </c>
      <c r="E121" s="63">
        <f t="shared" si="34"/>
        <v>6757.64</v>
      </c>
      <c r="F121" s="63">
        <f t="shared" si="34"/>
        <v>4967</v>
      </c>
      <c r="G121" s="63">
        <f t="shared" si="34"/>
        <v>4967</v>
      </c>
      <c r="H121" s="63">
        <f t="shared" si="34"/>
        <v>6757.64</v>
      </c>
      <c r="I121" s="63">
        <f t="shared" si="34"/>
        <v>4967</v>
      </c>
      <c r="J121" s="63">
        <f t="shared" si="34"/>
        <v>4967</v>
      </c>
      <c r="K121" s="63">
        <f t="shared" si="34"/>
        <v>5818.76</v>
      </c>
      <c r="L121" s="63">
        <f t="shared" si="34"/>
        <v>4967</v>
      </c>
      <c r="M121" s="63">
        <f t="shared" si="34"/>
        <v>4967</v>
      </c>
      <c r="N121" s="63">
        <f t="shared" si="34"/>
        <v>65827.68</v>
      </c>
      <c r="O121" s="135"/>
      <c r="P121" s="135"/>
    </row>
    <row r="122" ht="13.5" customHeight="1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</row>
    <row r="123" ht="13.5" customHeight="1">
      <c r="A123" s="134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</row>
    <row r="124" ht="13.5" customHeight="1">
      <c r="A124" s="64" t="s">
        <v>115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</row>
    <row r="125" ht="13.5" customHeight="1">
      <c r="A125" s="64" t="s">
        <v>116</v>
      </c>
      <c r="B125" s="67">
        <f t="shared" ref="B125:M125" si="35">+B13*0.7+B21*0.7+B32*0.7+B52*0.6+B70+B107*0.6</f>
        <v>16277.4977</v>
      </c>
      <c r="C125" s="67">
        <f t="shared" si="35"/>
        <v>17020.93165</v>
      </c>
      <c r="D125" s="67">
        <f t="shared" si="35"/>
        <v>18393.69276</v>
      </c>
      <c r="E125" s="67">
        <f t="shared" si="35"/>
        <v>18333.60722</v>
      </c>
      <c r="F125" s="67">
        <f t="shared" si="35"/>
        <v>19580.30093</v>
      </c>
      <c r="G125" s="67">
        <f t="shared" si="35"/>
        <v>19496.00713</v>
      </c>
      <c r="H125" s="67">
        <f t="shared" si="35"/>
        <v>17587.55299</v>
      </c>
      <c r="I125" s="67">
        <f t="shared" si="35"/>
        <v>17345.13559</v>
      </c>
      <c r="J125" s="67">
        <f t="shared" si="35"/>
        <v>19005.70839</v>
      </c>
      <c r="K125" s="67">
        <f t="shared" si="35"/>
        <v>19096.77334</v>
      </c>
      <c r="L125" s="67">
        <f t="shared" si="35"/>
        <v>19787.19808</v>
      </c>
      <c r="M125" s="67">
        <f t="shared" si="35"/>
        <v>19787.19808</v>
      </c>
      <c r="N125" s="67">
        <f t="shared" ref="N125:N126" si="37">SUM(B125:M125)</f>
        <v>221711.6039</v>
      </c>
      <c r="O125" s="67"/>
      <c r="P125" s="67"/>
    </row>
    <row r="126" ht="13.5" customHeight="1">
      <c r="A126" s="64" t="s">
        <v>117</v>
      </c>
      <c r="B126" s="67">
        <f t="shared" ref="B126:M126" si="36">+B13*0.3+B21*0.3+B32*0.3+B52*0.4+B82+B90+B107*0.4</f>
        <v>6386.720444</v>
      </c>
      <c r="C126" s="67">
        <f t="shared" si="36"/>
        <v>7395.294279</v>
      </c>
      <c r="D126" s="67">
        <f t="shared" si="36"/>
        <v>7945.819041</v>
      </c>
      <c r="E126" s="67">
        <f t="shared" si="36"/>
        <v>7903.833808</v>
      </c>
      <c r="F126" s="67">
        <f t="shared" si="36"/>
        <v>8473.809684</v>
      </c>
      <c r="G126" s="67">
        <f t="shared" si="36"/>
        <v>8531.540913</v>
      </c>
      <c r="H126" s="67">
        <f t="shared" si="36"/>
        <v>7668.346281</v>
      </c>
      <c r="I126" s="67">
        <f t="shared" si="36"/>
        <v>7506.734681</v>
      </c>
      <c r="J126" s="67">
        <f t="shared" si="36"/>
        <v>8294.230026</v>
      </c>
      <c r="K126" s="67">
        <f t="shared" si="36"/>
        <v>8297.116432</v>
      </c>
      <c r="L126" s="67">
        <f t="shared" si="36"/>
        <v>8567.011319</v>
      </c>
      <c r="M126" s="67">
        <f t="shared" si="36"/>
        <v>8567.011319</v>
      </c>
      <c r="N126" s="67">
        <f t="shared" si="37"/>
        <v>95537.46823</v>
      </c>
      <c r="O126" s="67"/>
      <c r="P126" s="67"/>
    </row>
    <row r="127" ht="13.5" customHeight="1">
      <c r="A127" s="64" t="s">
        <v>23</v>
      </c>
      <c r="B127" s="67">
        <f t="shared" ref="B127:N127" si="38">SUM(B125:B126)</f>
        <v>22664.21815</v>
      </c>
      <c r="C127" s="67">
        <f t="shared" si="38"/>
        <v>24416.22593</v>
      </c>
      <c r="D127" s="67">
        <f t="shared" si="38"/>
        <v>26339.5118</v>
      </c>
      <c r="E127" s="67">
        <f t="shared" si="38"/>
        <v>26237.44103</v>
      </c>
      <c r="F127" s="67">
        <f t="shared" si="38"/>
        <v>28054.11061</v>
      </c>
      <c r="G127" s="67">
        <f t="shared" si="38"/>
        <v>28027.54804</v>
      </c>
      <c r="H127" s="67">
        <f t="shared" si="38"/>
        <v>25255.89927</v>
      </c>
      <c r="I127" s="67">
        <f t="shared" si="38"/>
        <v>24851.87027</v>
      </c>
      <c r="J127" s="67">
        <f t="shared" si="38"/>
        <v>27299.93842</v>
      </c>
      <c r="K127" s="67">
        <f t="shared" si="38"/>
        <v>27393.88977</v>
      </c>
      <c r="L127" s="67">
        <f t="shared" si="38"/>
        <v>28354.2094</v>
      </c>
      <c r="M127" s="67">
        <f t="shared" si="38"/>
        <v>28354.2094</v>
      </c>
      <c r="N127" s="67">
        <f t="shared" si="38"/>
        <v>317249.0721</v>
      </c>
      <c r="O127" s="67"/>
      <c r="P127" s="67"/>
    </row>
    <row r="128" ht="13.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</row>
    <row r="129" ht="13.5" customHeight="1">
      <c r="A129" s="69" t="s">
        <v>118</v>
      </c>
      <c r="B129" s="70">
        <f t="shared" ref="B129:N129" si="39">+B109</f>
        <v>22664.21815</v>
      </c>
      <c r="C129" s="70">
        <f t="shared" si="39"/>
        <v>24416.22593</v>
      </c>
      <c r="D129" s="70">
        <f t="shared" si="39"/>
        <v>26339.5118</v>
      </c>
      <c r="E129" s="70">
        <f t="shared" si="39"/>
        <v>26237.44103</v>
      </c>
      <c r="F129" s="70">
        <f t="shared" si="39"/>
        <v>28054.11061</v>
      </c>
      <c r="G129" s="70">
        <f t="shared" si="39"/>
        <v>28027.54804</v>
      </c>
      <c r="H129" s="70">
        <f t="shared" si="39"/>
        <v>25255.89927</v>
      </c>
      <c r="I129" s="70">
        <f t="shared" si="39"/>
        <v>24851.87027</v>
      </c>
      <c r="J129" s="70">
        <f t="shared" si="39"/>
        <v>27299.93842</v>
      </c>
      <c r="K129" s="70">
        <f t="shared" si="39"/>
        <v>27393.88977</v>
      </c>
      <c r="L129" s="70">
        <f t="shared" si="39"/>
        <v>28354.2094</v>
      </c>
      <c r="M129" s="70">
        <f t="shared" si="39"/>
        <v>28354.2094</v>
      </c>
      <c r="N129" s="70">
        <f t="shared" si="39"/>
        <v>317249.0721</v>
      </c>
      <c r="O129" s="70"/>
      <c r="P129" s="70"/>
    </row>
    <row r="130" ht="13.5" customHeight="1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</row>
    <row r="131" ht="13.5" customHeight="1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390" t="s">
        <v>285</v>
      </c>
      <c r="O131" s="390">
        <f>HSU!N109+HVW!N109+MZ!N109+BUGMC!N109</f>
        <v>1636704.183</v>
      </c>
      <c r="P131" s="135"/>
    </row>
  </sheetData>
  <mergeCells count="1">
    <mergeCell ref="A1:N1"/>
  </mergeCells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7.38"/>
    <col customWidth="1" min="2" max="13" width="9.75"/>
    <col customWidth="1" min="14" max="16" width="10.75"/>
  </cols>
  <sheetData>
    <row r="1" ht="13.5" customHeight="1">
      <c r="A1" s="76" t="s">
        <v>286</v>
      </c>
      <c r="O1" s="76"/>
      <c r="P1" s="76"/>
    </row>
    <row r="2" ht="13.5" customHeight="1">
      <c r="A2" s="16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</row>
    <row r="3" ht="13.5" customHeight="1">
      <c r="A3" s="16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  <c r="O3" s="7"/>
      <c r="P3" s="7"/>
    </row>
    <row r="4" ht="13.5" customHeight="1">
      <c r="A4" s="79" t="s">
        <v>14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170"/>
      <c r="P4" s="170"/>
    </row>
    <row r="5" ht="13.5" customHeight="1">
      <c r="A5" s="15" t="s">
        <v>15</v>
      </c>
      <c r="B5" s="46">
        <f>FORMULAS!S55</f>
        <v>2342.857143</v>
      </c>
      <c r="C5" s="46">
        <f>FORMULAS!W55</f>
        <v>2342.857143</v>
      </c>
      <c r="D5" s="46">
        <f>FORMULAS!AA55</f>
        <v>2342.857143</v>
      </c>
      <c r="E5" s="46">
        <f>FORMULAS!AE55</f>
        <v>3147.60068</v>
      </c>
      <c r="F5" s="46">
        <f>FORMULAS!AI55</f>
        <v>4441.289422</v>
      </c>
      <c r="G5" s="46">
        <f>FORMULAS!AM55</f>
        <v>4052.67445</v>
      </c>
      <c r="H5" s="46">
        <f>FORMULAS!AQ55</f>
        <v>2750.029091</v>
      </c>
      <c r="I5" s="46">
        <f>FORMULAS!AU55</f>
        <v>2750.029091</v>
      </c>
      <c r="J5" s="46">
        <f>FORMULAS!AY55</f>
        <v>3473.720957</v>
      </c>
      <c r="K5" s="46">
        <f>FORMULAS!BC55</f>
        <v>3473.720957</v>
      </c>
      <c r="L5" s="46">
        <f>FORMULAS!BG55</f>
        <v>4052.67445</v>
      </c>
      <c r="M5" s="46">
        <f>FORMULAS!BK55</f>
        <v>4052.67445</v>
      </c>
      <c r="N5" s="17">
        <f t="shared" ref="N5:N12" si="1">SUM(B5:M5)</f>
        <v>39222.98498</v>
      </c>
      <c r="O5" s="153"/>
      <c r="P5" s="153"/>
    </row>
    <row r="6" ht="13.5" customHeight="1">
      <c r="A6" s="15" t="s">
        <v>123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17">
        <f t="shared" si="1"/>
        <v>0</v>
      </c>
      <c r="O6" s="153"/>
      <c r="P6" s="153"/>
    </row>
    <row r="7" ht="13.5" customHeight="1">
      <c r="A7" s="15" t="s">
        <v>17</v>
      </c>
      <c r="B7" s="46">
        <f>FORMULAS!S279+FORMULAS!P312</f>
        <v>0</v>
      </c>
      <c r="C7" s="46">
        <f>FORMULAS!W279+FORMULAS!T312</f>
        <v>0</v>
      </c>
      <c r="D7" s="46">
        <f>FORMULAS!AA279+FORMULAS!X312</f>
        <v>0</v>
      </c>
      <c r="E7" s="46">
        <f>FORMULAS!AE279+FORMULAS!AB312</f>
        <v>0</v>
      </c>
      <c r="F7" s="46">
        <f>FORMULAS!AI279+FORMULAS!AF312</f>
        <v>0</v>
      </c>
      <c r="G7" s="46">
        <f>FORMULAS!AM279+FORMULAS!AJ312</f>
        <v>0</v>
      </c>
      <c r="H7" s="46">
        <f>FORMULAS!AQ279+FORMULAS!AN312</f>
        <v>0</v>
      </c>
      <c r="I7" s="46">
        <f>FORMULAS!AU279+FORMULAS!AR312</f>
        <v>0</v>
      </c>
      <c r="J7" s="46">
        <f>FORMULAS!AY279+FORMULAS!AV312</f>
        <v>0</v>
      </c>
      <c r="K7" s="46">
        <f>FORMULAS!BC279+FORMULAS!AZ312</f>
        <v>0</v>
      </c>
      <c r="L7" s="46">
        <f>FORMULAS!BG279+FORMULAS!BD312</f>
        <v>0</v>
      </c>
      <c r="M7" s="46">
        <f>FORMULAS!BK279+FORMULAS!BH312</f>
        <v>0</v>
      </c>
      <c r="N7" s="17">
        <f t="shared" si="1"/>
        <v>0</v>
      </c>
      <c r="O7" s="153"/>
      <c r="P7" s="153"/>
    </row>
    <row r="8" ht="13.5" customHeight="1">
      <c r="A8" s="15" t="s">
        <v>18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17">
        <f t="shared" si="1"/>
        <v>0</v>
      </c>
      <c r="O8" s="153"/>
      <c r="P8" s="153"/>
    </row>
    <row r="9" ht="13.5" customHeight="1">
      <c r="A9" s="20" t="s">
        <v>168</v>
      </c>
      <c r="B9" s="46">
        <f>FORMULAS!S103+FORMULAS!P313</f>
        <v>209.1836735</v>
      </c>
      <c r="C9" s="46">
        <f>FORMULAS!W103+FORMULAS!T313</f>
        <v>209.1836735</v>
      </c>
      <c r="D9" s="46">
        <f>FORMULAS!AA103+FORMULAS!X313</f>
        <v>209.1836735</v>
      </c>
      <c r="E9" s="46">
        <f>FORMULAS!AE103+FORMULAS!AB313</f>
        <v>1162.348889</v>
      </c>
      <c r="F9" s="46">
        <f>FORMULAS!AI103+FORMULAS!AF313</f>
        <v>2025.227976</v>
      </c>
      <c r="G9" s="46">
        <f>FORMULAS!AM103+FORMULAS!AJ313</f>
        <v>1848.019549</v>
      </c>
      <c r="H9" s="46">
        <f>FORMULAS!AQ103+FORMULAS!AN313</f>
        <v>1060.642799</v>
      </c>
      <c r="I9" s="46">
        <f>FORMULAS!AU103+FORMULAS!AR313</f>
        <v>1060.642799</v>
      </c>
      <c r="J9" s="46">
        <f>FORMULAS!AY103+FORMULAS!AV313</f>
        <v>1454.331174</v>
      </c>
      <c r="K9" s="46">
        <f>FORMULAS!BC103+FORMULAS!AZ313</f>
        <v>1454.331174</v>
      </c>
      <c r="L9" s="46">
        <f>FORMULAS!BG103+FORMULAS!BD313</f>
        <v>1848.019549</v>
      </c>
      <c r="M9" s="46">
        <f>FORMULAS!BK103+FORMULAS!BH313</f>
        <v>1848.019549</v>
      </c>
      <c r="N9" s="17">
        <f t="shared" si="1"/>
        <v>14389.13448</v>
      </c>
      <c r="O9" s="153"/>
      <c r="P9" s="153"/>
    </row>
    <row r="10" ht="13.5" customHeight="1">
      <c r="A10" s="19" t="s">
        <v>278</v>
      </c>
      <c r="B10" s="46">
        <f>FORMULAS!S79</f>
        <v>898.792517</v>
      </c>
      <c r="C10" s="46">
        <f>FORMULAS!W79</f>
        <v>658.5938776</v>
      </c>
      <c r="D10" s="46">
        <f>FORMULAS!AA79</f>
        <v>953.2081633</v>
      </c>
      <c r="E10" s="46">
        <f>FORMULAS!AE79</f>
        <v>857.6530612</v>
      </c>
      <c r="F10" s="46">
        <f>FORMULAS!AI79</f>
        <v>0</v>
      </c>
      <c r="G10" s="46">
        <f>FORMULAS!AM79</f>
        <v>0</v>
      </c>
      <c r="H10" s="46">
        <f>FORMULAS!AQ79</f>
        <v>0</v>
      </c>
      <c r="I10" s="46">
        <f>FORMULAS!AU79</f>
        <v>0</v>
      </c>
      <c r="J10" s="46">
        <f>FORMULAS!AY79</f>
        <v>0</v>
      </c>
      <c r="K10" s="46">
        <f>FORMULAS!BC79</f>
        <v>810.53489</v>
      </c>
      <c r="L10" s="46">
        <f>FORMULAS!BG79</f>
        <v>810.53489</v>
      </c>
      <c r="M10" s="46">
        <f>FORMULAS!BK79</f>
        <v>810.53489</v>
      </c>
      <c r="N10" s="17">
        <f t="shared" si="1"/>
        <v>5799.852289</v>
      </c>
      <c r="O10" s="153"/>
      <c r="P10" s="153"/>
    </row>
    <row r="11" ht="13.5" customHeight="1">
      <c r="A11" s="15" t="s">
        <v>21</v>
      </c>
      <c r="B11" s="87">
        <v>194.0</v>
      </c>
      <c r="C11" s="87">
        <v>291.22</v>
      </c>
      <c r="D11" s="87">
        <v>194.0</v>
      </c>
      <c r="E11" s="87">
        <v>194.0</v>
      </c>
      <c r="F11" s="87">
        <v>194.0</v>
      </c>
      <c r="G11" s="87">
        <v>194.0</v>
      </c>
      <c r="H11" s="87">
        <v>194.0</v>
      </c>
      <c r="I11" s="87">
        <v>194.0</v>
      </c>
      <c r="J11" s="87">
        <v>194.0</v>
      </c>
      <c r="K11" s="87">
        <v>194.0</v>
      </c>
      <c r="L11" s="87">
        <v>194.0</v>
      </c>
      <c r="M11" s="87">
        <v>194.0</v>
      </c>
      <c r="N11" s="17">
        <f t="shared" si="1"/>
        <v>2425.22</v>
      </c>
      <c r="O11" s="153"/>
      <c r="P11" s="153"/>
    </row>
    <row r="12" ht="13.5" customHeight="1">
      <c r="A12" s="15" t="s">
        <v>22</v>
      </c>
      <c r="B12" s="101">
        <f>PRODUCTION!AA3</f>
        <v>200</v>
      </c>
      <c r="C12" s="102">
        <f>PRODUCTION!AA4</f>
        <v>542.6</v>
      </c>
      <c r="D12" s="102">
        <f>PRODUCTION!AA5</f>
        <v>542.6</v>
      </c>
      <c r="E12" s="102">
        <f>PRODUCTION!AA6</f>
        <v>542.6</v>
      </c>
      <c r="F12" s="102">
        <f>PRODUCTION!AA7</f>
        <v>542.6</v>
      </c>
      <c r="G12" s="102">
        <f>PRODUCTION!AA8</f>
        <v>542.6</v>
      </c>
      <c r="H12" s="102">
        <f>PRODUCTION!AA9</f>
        <v>542.6</v>
      </c>
      <c r="I12" s="102">
        <f>PRODUCTION!AA10</f>
        <v>542.6</v>
      </c>
      <c r="J12" s="102">
        <f>PRODUCTION!AA11</f>
        <v>542.6</v>
      </c>
      <c r="K12" s="102">
        <f>PRODUCTION!AA12</f>
        <v>542.6</v>
      </c>
      <c r="L12" s="102">
        <f>PRODUCTION!AA13</f>
        <v>542.6</v>
      </c>
      <c r="M12" s="102">
        <f>PRODUCTION!AA14</f>
        <v>542.6</v>
      </c>
      <c r="N12" s="17">
        <f t="shared" si="1"/>
        <v>6168.6</v>
      </c>
      <c r="O12" s="153"/>
      <c r="P12" s="153"/>
    </row>
    <row r="13" ht="13.5" customHeight="1">
      <c r="A13" s="21" t="s">
        <v>23</v>
      </c>
      <c r="B13" s="22">
        <f t="shared" ref="B13:N13" si="2">SUM(B5:B12)</f>
        <v>3844.833333</v>
      </c>
      <c r="C13" s="22">
        <f t="shared" si="2"/>
        <v>4044.454694</v>
      </c>
      <c r="D13" s="22">
        <f t="shared" si="2"/>
        <v>4241.84898</v>
      </c>
      <c r="E13" s="22">
        <f t="shared" si="2"/>
        <v>5904.20263</v>
      </c>
      <c r="F13" s="22">
        <f t="shared" si="2"/>
        <v>7203.117398</v>
      </c>
      <c r="G13" s="22">
        <f t="shared" si="2"/>
        <v>6637.293999</v>
      </c>
      <c r="H13" s="22">
        <f t="shared" si="2"/>
        <v>4547.27189</v>
      </c>
      <c r="I13" s="22">
        <f t="shared" si="2"/>
        <v>4547.27189</v>
      </c>
      <c r="J13" s="22">
        <f t="shared" si="2"/>
        <v>5664.652131</v>
      </c>
      <c r="K13" s="22">
        <f t="shared" si="2"/>
        <v>6475.187021</v>
      </c>
      <c r="L13" s="22">
        <f t="shared" si="2"/>
        <v>7447.828889</v>
      </c>
      <c r="M13" s="22">
        <f t="shared" si="2"/>
        <v>7447.828889</v>
      </c>
      <c r="N13" s="22">
        <f t="shared" si="2"/>
        <v>68005.79175</v>
      </c>
      <c r="O13" s="190"/>
      <c r="P13" s="190"/>
    </row>
    <row r="14" ht="13.5" customHeight="1">
      <c r="A14" s="89" t="s">
        <v>24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83"/>
      <c r="O14" s="170"/>
      <c r="P14" s="170"/>
    </row>
    <row r="15" ht="13.5" customHeight="1">
      <c r="A15" s="35" t="s">
        <v>153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17">
        <f t="shared" ref="N15:N20" si="3">SUM(B15:M15)</f>
        <v>0</v>
      </c>
      <c r="O15" s="153"/>
      <c r="P15" s="153"/>
    </row>
    <row r="16" ht="13.5" customHeight="1">
      <c r="A16" s="35" t="s">
        <v>26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17">
        <f t="shared" si="3"/>
        <v>0</v>
      </c>
      <c r="O16" s="153"/>
      <c r="P16" s="153"/>
    </row>
    <row r="17" ht="13.5" customHeight="1">
      <c r="A17" s="3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17">
        <f t="shared" si="3"/>
        <v>0</v>
      </c>
      <c r="O17" s="153"/>
      <c r="P17" s="153"/>
    </row>
    <row r="18" ht="13.5" customHeight="1">
      <c r="A18" s="3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17">
        <f t="shared" si="3"/>
        <v>0</v>
      </c>
      <c r="O18" s="153"/>
      <c r="P18" s="153"/>
    </row>
    <row r="19" ht="13.5" customHeight="1">
      <c r="A19" s="27" t="s">
        <v>29</v>
      </c>
      <c r="B19" s="103"/>
      <c r="C19" s="103"/>
      <c r="D19" s="46"/>
      <c r="E19" s="87"/>
      <c r="F19" s="46"/>
      <c r="G19" s="46"/>
      <c r="H19" s="46"/>
      <c r="I19" s="46"/>
      <c r="J19" s="46"/>
      <c r="K19" s="46"/>
      <c r="L19" s="46"/>
      <c r="M19" s="46"/>
      <c r="N19" s="17">
        <f t="shared" si="3"/>
        <v>0</v>
      </c>
      <c r="O19" s="153"/>
      <c r="P19" s="153"/>
    </row>
    <row r="20" ht="13.5" customHeight="1">
      <c r="A20" s="3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17">
        <f t="shared" si="3"/>
        <v>0</v>
      </c>
      <c r="O20" s="153"/>
      <c r="P20" s="153"/>
    </row>
    <row r="21" ht="13.5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  <c r="O21" s="175"/>
      <c r="P21" s="175"/>
    </row>
    <row r="22" ht="13.5" customHeight="1">
      <c r="A22" s="89" t="s">
        <v>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3"/>
      <c r="O22" s="170"/>
      <c r="P22" s="170"/>
    </row>
    <row r="23" ht="13.5" customHeight="1">
      <c r="A23" s="26" t="s">
        <v>31</v>
      </c>
      <c r="B23" s="87">
        <v>0.0</v>
      </c>
      <c r="C23" s="87">
        <v>0.0</v>
      </c>
      <c r="D23" s="87">
        <v>2000.0</v>
      </c>
      <c r="E23" s="87">
        <v>0.0</v>
      </c>
      <c r="F23" s="87">
        <v>0.0</v>
      </c>
      <c r="G23" s="87">
        <v>0.0</v>
      </c>
      <c r="H23" s="87">
        <v>0.0</v>
      </c>
      <c r="I23" s="87">
        <v>0.0</v>
      </c>
      <c r="J23" s="87">
        <v>0.0</v>
      </c>
      <c r="K23" s="87">
        <v>0.0</v>
      </c>
      <c r="L23" s="87">
        <v>0.0</v>
      </c>
      <c r="M23" s="87">
        <v>0.0</v>
      </c>
      <c r="N23" s="17">
        <f t="shared" ref="N23:N31" si="5">SUM(B23:M23)</f>
        <v>2000</v>
      </c>
      <c r="O23" s="153"/>
      <c r="P23" s="153"/>
    </row>
    <row r="24" ht="13.5" customHeight="1">
      <c r="A24" s="32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17">
        <f t="shared" si="5"/>
        <v>0</v>
      </c>
      <c r="O24" s="153"/>
      <c r="P24" s="153"/>
    </row>
    <row r="25" ht="13.5" customHeight="1">
      <c r="A25" s="15" t="s">
        <v>127</v>
      </c>
      <c r="B25" s="46"/>
      <c r="C25" s="46"/>
      <c r="D25" s="46"/>
      <c r="E25" s="46"/>
      <c r="F25" s="46"/>
      <c r="G25" s="46"/>
      <c r="H25" s="46"/>
      <c r="I25" s="87"/>
      <c r="J25" s="46"/>
      <c r="K25" s="46"/>
      <c r="L25" s="46"/>
      <c r="M25" s="46"/>
      <c r="N25" s="17">
        <f t="shared" si="5"/>
        <v>0</v>
      </c>
      <c r="O25" s="153"/>
      <c r="P25" s="153"/>
    </row>
    <row r="26" ht="13.5" customHeight="1">
      <c r="A26" s="32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17">
        <f t="shared" si="5"/>
        <v>0</v>
      </c>
      <c r="O26" s="153"/>
      <c r="P26" s="153"/>
    </row>
    <row r="27" ht="13.5" customHeight="1">
      <c r="A27" s="31" t="s">
        <v>34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17">
        <f t="shared" si="5"/>
        <v>0</v>
      </c>
      <c r="O27" s="153"/>
      <c r="P27" s="153"/>
    </row>
    <row r="28" ht="13.5" customHeight="1">
      <c r="A28" s="33" t="s">
        <v>35</v>
      </c>
      <c r="B28" s="46"/>
      <c r="C28" s="46"/>
      <c r="D28" s="46"/>
      <c r="E28" s="46"/>
      <c r="F28" s="46"/>
      <c r="G28" s="46"/>
      <c r="H28" s="46"/>
      <c r="I28" s="46"/>
      <c r="J28" s="87"/>
      <c r="K28" s="87"/>
      <c r="L28" s="46"/>
      <c r="M28" s="46"/>
      <c r="N28" s="17">
        <f t="shared" si="5"/>
        <v>0</v>
      </c>
      <c r="O28" s="153"/>
      <c r="P28" s="153"/>
    </row>
    <row r="29" ht="13.5" customHeight="1">
      <c r="A29" s="27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17">
        <f t="shared" si="5"/>
        <v>0</v>
      </c>
      <c r="O29" s="153"/>
      <c r="P29" s="153"/>
    </row>
    <row r="30" ht="13.5" customHeight="1">
      <c r="A30" s="31" t="s">
        <v>37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17">
        <f t="shared" si="5"/>
        <v>0</v>
      </c>
      <c r="O30" s="153"/>
      <c r="P30" s="153"/>
    </row>
    <row r="31" ht="13.5" customHeight="1">
      <c r="A31" s="32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17">
        <f t="shared" si="5"/>
        <v>0</v>
      </c>
      <c r="O31" s="153"/>
      <c r="P31" s="153"/>
    </row>
    <row r="32" ht="13.5" customHeight="1">
      <c r="A32" s="91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2000</v>
      </c>
      <c r="E32" s="28">
        <f t="shared" si="6"/>
        <v>0</v>
      </c>
      <c r="F32" s="28">
        <f t="shared" si="6"/>
        <v>0</v>
      </c>
      <c r="G32" s="28">
        <f t="shared" si="6"/>
        <v>0</v>
      </c>
      <c r="H32" s="28">
        <f t="shared" si="6"/>
        <v>0</v>
      </c>
      <c r="I32" s="28">
        <f t="shared" si="6"/>
        <v>0</v>
      </c>
      <c r="J32" s="28">
        <f t="shared" si="6"/>
        <v>0</v>
      </c>
      <c r="K32" s="28">
        <f t="shared" si="6"/>
        <v>0</v>
      </c>
      <c r="L32" s="28">
        <f t="shared" si="6"/>
        <v>0</v>
      </c>
      <c r="M32" s="28">
        <f t="shared" si="6"/>
        <v>0</v>
      </c>
      <c r="N32" s="28">
        <f t="shared" si="6"/>
        <v>2000</v>
      </c>
      <c r="O32" s="175"/>
      <c r="P32" s="175"/>
    </row>
    <row r="33" ht="13.5" customHeight="1">
      <c r="A33" s="79" t="s">
        <v>38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170"/>
      <c r="P33" s="170"/>
    </row>
    <row r="34" ht="13.5" customHeight="1">
      <c r="A34" s="15" t="s">
        <v>39</v>
      </c>
      <c r="B34" s="87">
        <f t="shared" ref="B34:M34" si="7">1499+124.75+425</f>
        <v>2048.75</v>
      </c>
      <c r="C34" s="87">
        <f t="shared" si="7"/>
        <v>2048.75</v>
      </c>
      <c r="D34" s="87">
        <f t="shared" si="7"/>
        <v>2048.75</v>
      </c>
      <c r="E34" s="87">
        <f t="shared" si="7"/>
        <v>2048.75</v>
      </c>
      <c r="F34" s="87">
        <f t="shared" si="7"/>
        <v>2048.75</v>
      </c>
      <c r="G34" s="87">
        <f t="shared" si="7"/>
        <v>2048.75</v>
      </c>
      <c r="H34" s="87">
        <f t="shared" si="7"/>
        <v>2048.75</v>
      </c>
      <c r="I34" s="87">
        <f t="shared" si="7"/>
        <v>2048.75</v>
      </c>
      <c r="J34" s="87">
        <f t="shared" si="7"/>
        <v>2048.75</v>
      </c>
      <c r="K34" s="87">
        <f t="shared" si="7"/>
        <v>2048.75</v>
      </c>
      <c r="L34" s="87">
        <f t="shared" si="7"/>
        <v>2048.75</v>
      </c>
      <c r="M34" s="87">
        <f t="shared" si="7"/>
        <v>2048.75</v>
      </c>
      <c r="N34" s="17">
        <f t="shared" ref="N34:N51" si="8">SUM(B34:M34)</f>
        <v>24585</v>
      </c>
      <c r="O34" s="153"/>
      <c r="P34" s="153"/>
    </row>
    <row r="35" ht="13.5" customHeight="1">
      <c r="A35" s="19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17">
        <f t="shared" si="8"/>
        <v>0</v>
      </c>
      <c r="O35" s="153"/>
      <c r="P35" s="153"/>
    </row>
    <row r="36" ht="13.5" customHeight="1">
      <c r="A36" s="35" t="s">
        <v>41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17">
        <f t="shared" si="8"/>
        <v>0</v>
      </c>
      <c r="O36" s="153"/>
      <c r="P36" s="153"/>
    </row>
    <row r="37" ht="13.5" customHeight="1">
      <c r="A37" s="35" t="s">
        <v>42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17">
        <f t="shared" si="8"/>
        <v>0</v>
      </c>
      <c r="O37" s="153"/>
      <c r="P37" s="153"/>
    </row>
    <row r="38" ht="13.5" customHeight="1">
      <c r="A38" s="35" t="s">
        <v>43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17">
        <f t="shared" si="8"/>
        <v>0</v>
      </c>
      <c r="O38" s="153"/>
      <c r="P38" s="153"/>
    </row>
    <row r="39" ht="13.5" customHeight="1">
      <c r="A39" s="35" t="s">
        <v>44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17">
        <f t="shared" si="8"/>
        <v>0</v>
      </c>
      <c r="O39" s="153"/>
      <c r="P39" s="153"/>
    </row>
    <row r="40" ht="13.5" customHeight="1">
      <c r="A40" s="35" t="s">
        <v>45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17">
        <f t="shared" si="8"/>
        <v>0</v>
      </c>
      <c r="O40" s="153"/>
      <c r="P40" s="153"/>
    </row>
    <row r="41" ht="13.5" customHeight="1">
      <c r="A41" s="35" t="s">
        <v>46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17">
        <f t="shared" si="8"/>
        <v>0</v>
      </c>
      <c r="O41" s="153"/>
      <c r="P41" s="153"/>
    </row>
    <row r="42" ht="13.5" customHeight="1">
      <c r="A42" s="19" t="s">
        <v>146</v>
      </c>
      <c r="B42" s="87">
        <v>91.25</v>
      </c>
      <c r="C42" s="87">
        <v>91.25</v>
      </c>
      <c r="D42" s="87">
        <v>91.25</v>
      </c>
      <c r="E42" s="87">
        <v>91.25</v>
      </c>
      <c r="F42" s="87">
        <v>91.25</v>
      </c>
      <c r="G42" s="87">
        <v>91.25</v>
      </c>
      <c r="H42" s="87">
        <v>91.25</v>
      </c>
      <c r="I42" s="87">
        <v>91.25</v>
      </c>
      <c r="J42" s="87">
        <v>91.25</v>
      </c>
      <c r="K42" s="87">
        <v>91.25</v>
      </c>
      <c r="L42" s="87">
        <v>91.25</v>
      </c>
      <c r="M42" s="87">
        <v>91.25</v>
      </c>
      <c r="N42" s="17">
        <f t="shared" si="8"/>
        <v>1095</v>
      </c>
      <c r="O42" s="153"/>
      <c r="P42" s="153"/>
    </row>
    <row r="43" ht="13.5" customHeight="1">
      <c r="A43" s="19" t="s">
        <v>248</v>
      </c>
      <c r="B43" s="87">
        <v>362.25</v>
      </c>
      <c r="C43" s="87">
        <v>362.25</v>
      </c>
      <c r="D43" s="87">
        <v>362.25</v>
      </c>
      <c r="E43" s="87">
        <v>362.25</v>
      </c>
      <c r="F43" s="87">
        <v>362.25</v>
      </c>
      <c r="G43" s="87">
        <v>362.25</v>
      </c>
      <c r="H43" s="87">
        <v>362.25</v>
      </c>
      <c r="I43" s="87">
        <v>687.94</v>
      </c>
      <c r="J43" s="87">
        <v>687.94</v>
      </c>
      <c r="K43" s="87">
        <v>687.94</v>
      </c>
      <c r="L43" s="87">
        <v>687.94</v>
      </c>
      <c r="M43" s="87">
        <v>687.94</v>
      </c>
      <c r="N43" s="17">
        <f t="shared" si="8"/>
        <v>5975.45</v>
      </c>
      <c r="O43" s="153"/>
      <c r="P43" s="153"/>
    </row>
    <row r="44" ht="13.5" customHeight="1">
      <c r="A44" s="19" t="s">
        <v>249</v>
      </c>
      <c r="B44" s="87">
        <f t="shared" ref="B44:M44" si="9">133</f>
        <v>133</v>
      </c>
      <c r="C44" s="87">
        <f t="shared" si="9"/>
        <v>133</v>
      </c>
      <c r="D44" s="87">
        <f t="shared" si="9"/>
        <v>133</v>
      </c>
      <c r="E44" s="87">
        <f t="shared" si="9"/>
        <v>133</v>
      </c>
      <c r="F44" s="87">
        <f t="shared" si="9"/>
        <v>133</v>
      </c>
      <c r="G44" s="87">
        <f t="shared" si="9"/>
        <v>133</v>
      </c>
      <c r="H44" s="87">
        <f t="shared" si="9"/>
        <v>133</v>
      </c>
      <c r="I44" s="87">
        <f t="shared" si="9"/>
        <v>133</v>
      </c>
      <c r="J44" s="87">
        <f t="shared" si="9"/>
        <v>133</v>
      </c>
      <c r="K44" s="87">
        <f t="shared" si="9"/>
        <v>133</v>
      </c>
      <c r="L44" s="87">
        <f t="shared" si="9"/>
        <v>133</v>
      </c>
      <c r="M44" s="87">
        <f t="shared" si="9"/>
        <v>133</v>
      </c>
      <c r="N44" s="17">
        <f t="shared" si="8"/>
        <v>1596</v>
      </c>
      <c r="O44" s="153"/>
      <c r="P44" s="153"/>
    </row>
    <row r="45" ht="13.5" customHeight="1">
      <c r="A45" s="156" t="s">
        <v>50</v>
      </c>
      <c r="B45" s="46">
        <f t="shared" ref="B45:M45" si="10">45+97.5</f>
        <v>142.5</v>
      </c>
      <c r="C45" s="46">
        <f t="shared" si="10"/>
        <v>142.5</v>
      </c>
      <c r="D45" s="46">
        <f t="shared" si="10"/>
        <v>142.5</v>
      </c>
      <c r="E45" s="46">
        <f t="shared" si="10"/>
        <v>142.5</v>
      </c>
      <c r="F45" s="46">
        <f t="shared" si="10"/>
        <v>142.5</v>
      </c>
      <c r="G45" s="46">
        <f t="shared" si="10"/>
        <v>142.5</v>
      </c>
      <c r="H45" s="46">
        <f t="shared" si="10"/>
        <v>142.5</v>
      </c>
      <c r="I45" s="46">
        <f t="shared" si="10"/>
        <v>142.5</v>
      </c>
      <c r="J45" s="46">
        <f t="shared" si="10"/>
        <v>142.5</v>
      </c>
      <c r="K45" s="46">
        <f t="shared" si="10"/>
        <v>142.5</v>
      </c>
      <c r="L45" s="46">
        <f t="shared" si="10"/>
        <v>142.5</v>
      </c>
      <c r="M45" s="46">
        <f t="shared" si="10"/>
        <v>142.5</v>
      </c>
      <c r="N45" s="17">
        <f t="shared" si="8"/>
        <v>1710</v>
      </c>
      <c r="O45" s="153"/>
      <c r="P45" s="153"/>
    </row>
    <row r="46" ht="13.5" customHeight="1">
      <c r="A46" s="15" t="s">
        <v>51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17">
        <f t="shared" si="8"/>
        <v>0</v>
      </c>
      <c r="O46" s="153"/>
      <c r="P46" s="153"/>
    </row>
    <row r="47" ht="13.5" customHeight="1">
      <c r="A47" s="19" t="s">
        <v>52</v>
      </c>
      <c r="B47" s="87">
        <f t="shared" ref="B47:M47" si="11">212.5+750+1750</f>
        <v>2712.5</v>
      </c>
      <c r="C47" s="87">
        <f t="shared" si="11"/>
        <v>2712.5</v>
      </c>
      <c r="D47" s="87">
        <f t="shared" si="11"/>
        <v>2712.5</v>
      </c>
      <c r="E47" s="87">
        <f t="shared" si="11"/>
        <v>2712.5</v>
      </c>
      <c r="F47" s="87">
        <f t="shared" si="11"/>
        <v>2712.5</v>
      </c>
      <c r="G47" s="87">
        <f t="shared" si="11"/>
        <v>2712.5</v>
      </c>
      <c r="H47" s="87">
        <f t="shared" si="11"/>
        <v>2712.5</v>
      </c>
      <c r="I47" s="87">
        <f t="shared" si="11"/>
        <v>2712.5</v>
      </c>
      <c r="J47" s="87">
        <f t="shared" si="11"/>
        <v>2712.5</v>
      </c>
      <c r="K47" s="87">
        <f t="shared" si="11"/>
        <v>2712.5</v>
      </c>
      <c r="L47" s="87">
        <f t="shared" si="11"/>
        <v>2712.5</v>
      </c>
      <c r="M47" s="87">
        <f t="shared" si="11"/>
        <v>2712.5</v>
      </c>
      <c r="N47" s="17">
        <f t="shared" si="8"/>
        <v>32550</v>
      </c>
      <c r="O47" s="153"/>
      <c r="P47" s="153"/>
    </row>
    <row r="48" ht="13.5" customHeight="1">
      <c r="A48" s="19" t="s">
        <v>131</v>
      </c>
      <c r="B48" s="87">
        <f t="shared" ref="B48:M48" si="12">350.33+55.66</f>
        <v>405.99</v>
      </c>
      <c r="C48" s="87">
        <f t="shared" si="12"/>
        <v>405.99</v>
      </c>
      <c r="D48" s="87">
        <f t="shared" si="12"/>
        <v>405.99</v>
      </c>
      <c r="E48" s="87">
        <f t="shared" si="12"/>
        <v>405.99</v>
      </c>
      <c r="F48" s="87">
        <f t="shared" si="12"/>
        <v>405.99</v>
      </c>
      <c r="G48" s="87">
        <f t="shared" si="12"/>
        <v>405.99</v>
      </c>
      <c r="H48" s="87">
        <f t="shared" si="12"/>
        <v>405.99</v>
      </c>
      <c r="I48" s="87">
        <f t="shared" si="12"/>
        <v>405.99</v>
      </c>
      <c r="J48" s="87">
        <f t="shared" si="12"/>
        <v>405.99</v>
      </c>
      <c r="K48" s="87">
        <f t="shared" si="12"/>
        <v>405.99</v>
      </c>
      <c r="L48" s="87">
        <f t="shared" si="12"/>
        <v>405.99</v>
      </c>
      <c r="M48" s="87">
        <f t="shared" si="12"/>
        <v>405.99</v>
      </c>
      <c r="N48" s="17">
        <f t="shared" si="8"/>
        <v>4871.88</v>
      </c>
      <c r="O48" s="153"/>
      <c r="P48" s="153"/>
    </row>
    <row r="49" ht="13.5" customHeight="1">
      <c r="A49" s="35" t="s">
        <v>54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17">
        <f t="shared" si="8"/>
        <v>0</v>
      </c>
      <c r="O49" s="153"/>
      <c r="P49" s="153"/>
    </row>
    <row r="50" ht="13.5" customHeight="1">
      <c r="A50" s="19" t="s">
        <v>240</v>
      </c>
      <c r="B50" s="87">
        <f t="shared" ref="B50:M50" si="13">1650+295</f>
        <v>1945</v>
      </c>
      <c r="C50" s="87">
        <f t="shared" si="13"/>
        <v>1945</v>
      </c>
      <c r="D50" s="87">
        <f t="shared" si="13"/>
        <v>1945</v>
      </c>
      <c r="E50" s="87">
        <f t="shared" si="13"/>
        <v>1945</v>
      </c>
      <c r="F50" s="87">
        <f t="shared" si="13"/>
        <v>1945</v>
      </c>
      <c r="G50" s="87">
        <f t="shared" si="13"/>
        <v>1945</v>
      </c>
      <c r="H50" s="87">
        <f t="shared" si="13"/>
        <v>1945</v>
      </c>
      <c r="I50" s="87">
        <f t="shared" si="13"/>
        <v>1945</v>
      </c>
      <c r="J50" s="87">
        <f t="shared" si="13"/>
        <v>1945</v>
      </c>
      <c r="K50" s="87">
        <f t="shared" si="13"/>
        <v>1945</v>
      </c>
      <c r="L50" s="87">
        <f t="shared" si="13"/>
        <v>1945</v>
      </c>
      <c r="M50" s="87">
        <f t="shared" si="13"/>
        <v>1945</v>
      </c>
      <c r="N50" s="17">
        <f t="shared" si="8"/>
        <v>23340</v>
      </c>
      <c r="O50" s="153"/>
      <c r="P50" s="153"/>
    </row>
    <row r="51" ht="13.5" customHeight="1">
      <c r="A51" s="15" t="s">
        <v>160</v>
      </c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17">
        <f t="shared" si="8"/>
        <v>0</v>
      </c>
      <c r="O51" s="153"/>
      <c r="P51" s="153"/>
    </row>
    <row r="52" ht="13.5" customHeight="1">
      <c r="A52" s="91" t="s">
        <v>23</v>
      </c>
      <c r="B52" s="28">
        <f t="shared" ref="B52:N52" si="14">SUM(B34:B51)</f>
        <v>7841.24</v>
      </c>
      <c r="C52" s="28">
        <f t="shared" si="14"/>
        <v>7841.24</v>
      </c>
      <c r="D52" s="28">
        <f t="shared" si="14"/>
        <v>7841.24</v>
      </c>
      <c r="E52" s="28">
        <f t="shared" si="14"/>
        <v>7841.24</v>
      </c>
      <c r="F52" s="28">
        <f t="shared" si="14"/>
        <v>7841.24</v>
      </c>
      <c r="G52" s="28">
        <f t="shared" si="14"/>
        <v>7841.24</v>
      </c>
      <c r="H52" s="28">
        <f t="shared" si="14"/>
        <v>7841.24</v>
      </c>
      <c r="I52" s="28">
        <f t="shared" si="14"/>
        <v>8166.93</v>
      </c>
      <c r="J52" s="28">
        <f t="shared" si="14"/>
        <v>8166.93</v>
      </c>
      <c r="K52" s="28">
        <f t="shared" si="14"/>
        <v>8166.93</v>
      </c>
      <c r="L52" s="28">
        <f t="shared" si="14"/>
        <v>8166.93</v>
      </c>
      <c r="M52" s="28">
        <f t="shared" si="14"/>
        <v>8166.93</v>
      </c>
      <c r="N52" s="28">
        <f t="shared" si="14"/>
        <v>95723.33</v>
      </c>
      <c r="O52" s="175"/>
      <c r="P52" s="175"/>
    </row>
    <row r="53" ht="13.5" customHeight="1">
      <c r="A53" s="79" t="s">
        <v>56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170"/>
      <c r="P53" s="170"/>
    </row>
    <row r="54" ht="13.5" customHeight="1">
      <c r="A54" s="32" t="s">
        <v>57</v>
      </c>
      <c r="B54" s="87">
        <v>7473.0</v>
      </c>
      <c r="C54" s="87">
        <f t="shared" ref="C54:D54" si="15">1732+1790</f>
        <v>3522</v>
      </c>
      <c r="D54" s="87">
        <f t="shared" si="15"/>
        <v>3522</v>
      </c>
      <c r="E54" s="87">
        <v>2345.0</v>
      </c>
      <c r="F54" s="87">
        <v>2345.0</v>
      </c>
      <c r="G54" s="87">
        <v>2345.0</v>
      </c>
      <c r="H54" s="87">
        <v>2345.0</v>
      </c>
      <c r="I54" s="87">
        <v>2345.0</v>
      </c>
      <c r="J54" s="87">
        <v>2345.0</v>
      </c>
      <c r="K54" s="87">
        <v>50.0</v>
      </c>
      <c r="L54" s="87">
        <v>50.0</v>
      </c>
      <c r="M54" s="87">
        <v>50.0</v>
      </c>
      <c r="N54" s="17">
        <f t="shared" ref="N54:N69" si="16">SUM(B54:M54)</f>
        <v>28737</v>
      </c>
      <c r="O54" s="153"/>
      <c r="P54" s="153"/>
    </row>
    <row r="55" ht="13.5" customHeight="1">
      <c r="A55" s="32" t="s">
        <v>58</v>
      </c>
      <c r="B55" s="87">
        <v>1075.0</v>
      </c>
      <c r="C55" s="87">
        <v>1600.0</v>
      </c>
      <c r="D55" s="87">
        <v>1600.0</v>
      </c>
      <c r="E55" s="87">
        <v>1600.0</v>
      </c>
      <c r="F55" s="87">
        <v>1600.0</v>
      </c>
      <c r="G55" s="87">
        <v>1600.0</v>
      </c>
      <c r="H55" s="87">
        <v>1600.0</v>
      </c>
      <c r="I55" s="87">
        <v>1600.0</v>
      </c>
      <c r="J55" s="87">
        <v>1600.0</v>
      </c>
      <c r="K55" s="87">
        <v>1600.0</v>
      </c>
      <c r="L55" s="87">
        <v>1600.0</v>
      </c>
      <c r="M55" s="87">
        <v>1600.0</v>
      </c>
      <c r="N55" s="17">
        <f t="shared" si="16"/>
        <v>18675</v>
      </c>
      <c r="O55" s="153"/>
      <c r="P55" s="153"/>
    </row>
    <row r="56" ht="13.5" customHeight="1">
      <c r="A56" s="31" t="s">
        <v>59</v>
      </c>
      <c r="B56" s="87">
        <v>1200.0</v>
      </c>
      <c r="C56" s="87">
        <v>1000.0</v>
      </c>
      <c r="D56" s="87">
        <v>1000.0</v>
      </c>
      <c r="E56" s="87">
        <v>1000.0</v>
      </c>
      <c r="F56" s="87">
        <v>1000.0</v>
      </c>
      <c r="G56" s="87">
        <v>1000.0</v>
      </c>
      <c r="H56" s="87">
        <v>1000.0</v>
      </c>
      <c r="I56" s="87">
        <v>1000.0</v>
      </c>
      <c r="J56" s="87">
        <v>1000.0</v>
      </c>
      <c r="K56" s="87">
        <v>1000.0</v>
      </c>
      <c r="L56" s="87">
        <v>1000.0</v>
      </c>
      <c r="M56" s="87">
        <v>1000.0</v>
      </c>
      <c r="N56" s="17">
        <f t="shared" si="16"/>
        <v>12200</v>
      </c>
      <c r="O56" s="153"/>
      <c r="P56" s="153"/>
    </row>
    <row r="57" ht="13.5" customHeight="1">
      <c r="A57" s="31" t="s">
        <v>133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17">
        <f t="shared" si="16"/>
        <v>0</v>
      </c>
      <c r="O57" s="153"/>
      <c r="P57" s="153"/>
    </row>
    <row r="58" ht="13.5" customHeight="1">
      <c r="A58" s="31" t="s">
        <v>134</v>
      </c>
      <c r="B58" s="87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17">
        <f t="shared" si="16"/>
        <v>0</v>
      </c>
      <c r="O58" s="153"/>
      <c r="P58" s="153"/>
    </row>
    <row r="59" ht="13.5" customHeight="1">
      <c r="A59" s="31" t="s">
        <v>135</v>
      </c>
      <c r="B59" s="87">
        <v>312.5</v>
      </c>
      <c r="C59" s="87">
        <v>312.5</v>
      </c>
      <c r="D59" s="87">
        <v>312.5</v>
      </c>
      <c r="E59" s="87">
        <v>312.5</v>
      </c>
      <c r="F59" s="87">
        <v>312.5</v>
      </c>
      <c r="G59" s="87">
        <v>312.5</v>
      </c>
      <c r="H59" s="87">
        <v>312.5</v>
      </c>
      <c r="I59" s="87">
        <v>312.5</v>
      </c>
      <c r="J59" s="87">
        <v>312.5</v>
      </c>
      <c r="K59" s="87">
        <v>312.5</v>
      </c>
      <c r="L59" s="87">
        <v>312.5</v>
      </c>
      <c r="M59" s="87">
        <v>312.5</v>
      </c>
      <c r="N59" s="17">
        <f t="shared" si="16"/>
        <v>3750</v>
      </c>
      <c r="O59" s="153"/>
      <c r="P59" s="153"/>
    </row>
    <row r="60" ht="13.5" customHeight="1">
      <c r="A60" s="32" t="s">
        <v>136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17">
        <f t="shared" si="16"/>
        <v>0</v>
      </c>
      <c r="O60" s="153"/>
      <c r="P60" s="153"/>
    </row>
    <row r="61" ht="13.5" customHeight="1">
      <c r="A61" s="32" t="s">
        <v>137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17">
        <f t="shared" si="16"/>
        <v>0</v>
      </c>
      <c r="O61" s="153"/>
      <c r="P61" s="153"/>
    </row>
    <row r="62" ht="13.5" customHeight="1">
      <c r="A62" s="32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16"/>
        <v>0</v>
      </c>
      <c r="O62" s="153"/>
      <c r="P62" s="153"/>
    </row>
    <row r="63" ht="13.5" customHeight="1">
      <c r="A63" s="31" t="s">
        <v>64</v>
      </c>
      <c r="B63" s="87">
        <v>6100.0</v>
      </c>
      <c r="C63" s="87">
        <v>6100.0</v>
      </c>
      <c r="D63" s="87">
        <v>6100.0</v>
      </c>
      <c r="E63" s="87">
        <v>6100.0</v>
      </c>
      <c r="F63" s="87">
        <v>6100.0</v>
      </c>
      <c r="G63" s="87">
        <v>6100.0</v>
      </c>
      <c r="H63" s="87">
        <v>6100.0</v>
      </c>
      <c r="I63" s="87">
        <v>6100.0</v>
      </c>
      <c r="J63" s="87">
        <v>6100.0</v>
      </c>
      <c r="K63" s="87">
        <v>6100.0</v>
      </c>
      <c r="L63" s="87">
        <v>6100.0</v>
      </c>
      <c r="M63" s="87">
        <v>6100.0</v>
      </c>
      <c r="N63" s="17">
        <f t="shared" si="16"/>
        <v>73200</v>
      </c>
      <c r="O63" s="153"/>
      <c r="P63" s="153"/>
    </row>
    <row r="64" ht="13.5" customHeight="1">
      <c r="A64" s="32" t="s">
        <v>65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17">
        <f t="shared" si="16"/>
        <v>0</v>
      </c>
      <c r="O64" s="153"/>
      <c r="P64" s="153"/>
    </row>
    <row r="65" ht="13.5" customHeight="1">
      <c r="A65" s="31" t="s">
        <v>66</v>
      </c>
      <c r="B65" s="46"/>
      <c r="C65" s="46"/>
      <c r="D65" s="46"/>
      <c r="E65" s="46"/>
      <c r="F65" s="46"/>
      <c r="G65" s="87"/>
      <c r="H65" s="46"/>
      <c r="I65" s="46"/>
      <c r="J65" s="46"/>
      <c r="K65" s="46"/>
      <c r="L65" s="46"/>
      <c r="M65" s="46"/>
      <c r="N65" s="17">
        <f t="shared" si="16"/>
        <v>0</v>
      </c>
      <c r="O65" s="153"/>
      <c r="P65" s="153"/>
    </row>
    <row r="66" ht="13.5" customHeight="1">
      <c r="A66" s="31" t="s">
        <v>67</v>
      </c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17">
        <f t="shared" si="16"/>
        <v>0</v>
      </c>
      <c r="O66" s="153"/>
      <c r="P66" s="153"/>
    </row>
    <row r="67" ht="13.5" customHeight="1">
      <c r="A67" s="25" t="s">
        <v>165</v>
      </c>
      <c r="B67" s="28"/>
      <c r="C67" s="28"/>
      <c r="D67" s="28"/>
      <c r="E67" s="28"/>
      <c r="F67" s="167"/>
      <c r="G67" s="167"/>
      <c r="H67" s="167"/>
      <c r="I67" s="87"/>
      <c r="J67" s="87"/>
      <c r="K67" s="87"/>
      <c r="L67" s="87"/>
      <c r="M67" s="87"/>
      <c r="N67" s="17">
        <f t="shared" si="16"/>
        <v>0</v>
      </c>
      <c r="O67" s="153"/>
      <c r="P67" s="153"/>
    </row>
    <row r="68" ht="13.5" customHeight="1">
      <c r="A68" s="25" t="s">
        <v>69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17">
        <f t="shared" si="16"/>
        <v>0</v>
      </c>
      <c r="O68" s="153"/>
      <c r="P68" s="153"/>
    </row>
    <row r="69" ht="13.5" customHeight="1">
      <c r="A69" s="39" t="s">
        <v>70</v>
      </c>
      <c r="B69" s="28"/>
      <c r="C69" s="28"/>
      <c r="D69" s="28"/>
      <c r="E69" s="28"/>
      <c r="F69" s="28"/>
      <c r="G69" s="28"/>
      <c r="H69" s="87"/>
      <c r="I69" s="87"/>
      <c r="J69" s="87"/>
      <c r="K69" s="87"/>
      <c r="L69" s="87"/>
      <c r="M69" s="87"/>
      <c r="N69" s="17">
        <f t="shared" si="16"/>
        <v>0</v>
      </c>
      <c r="O69" s="153"/>
      <c r="P69" s="153"/>
    </row>
    <row r="70" ht="13.5" customHeight="1">
      <c r="A70" s="91" t="s">
        <v>23</v>
      </c>
      <c r="B70" s="28">
        <f t="shared" ref="B70:M70" si="17">SUM(B54:B69)</f>
        <v>16160.5</v>
      </c>
      <c r="C70" s="28">
        <f t="shared" si="17"/>
        <v>12534.5</v>
      </c>
      <c r="D70" s="28">
        <f t="shared" si="17"/>
        <v>12534.5</v>
      </c>
      <c r="E70" s="28">
        <f t="shared" si="17"/>
        <v>11357.5</v>
      </c>
      <c r="F70" s="28">
        <f t="shared" si="17"/>
        <v>11357.5</v>
      </c>
      <c r="G70" s="28">
        <f t="shared" si="17"/>
        <v>11357.5</v>
      </c>
      <c r="H70" s="28">
        <f t="shared" si="17"/>
        <v>11357.5</v>
      </c>
      <c r="I70" s="28">
        <f t="shared" si="17"/>
        <v>11357.5</v>
      </c>
      <c r="J70" s="28">
        <f t="shared" si="17"/>
        <v>11357.5</v>
      </c>
      <c r="K70" s="28">
        <f t="shared" si="17"/>
        <v>9062.5</v>
      </c>
      <c r="L70" s="28">
        <f t="shared" si="17"/>
        <v>9062.5</v>
      </c>
      <c r="M70" s="28">
        <f t="shared" si="17"/>
        <v>9062.5</v>
      </c>
      <c r="N70" s="28">
        <f>SUM(N54:N66)</f>
        <v>136562</v>
      </c>
      <c r="O70" s="175"/>
      <c r="P70" s="175"/>
    </row>
    <row r="71" ht="13.5" customHeight="1">
      <c r="A71" s="79" t="s">
        <v>71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170"/>
      <c r="P71" s="170"/>
    </row>
    <row r="72" ht="13.5" customHeight="1">
      <c r="A72" s="32" t="s">
        <v>138</v>
      </c>
      <c r="B72" s="87">
        <v>0.0</v>
      </c>
      <c r="C72" s="87">
        <v>0.0</v>
      </c>
      <c r="D72" s="87">
        <v>0.0</v>
      </c>
      <c r="E72" s="87">
        <v>0.0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0.0</v>
      </c>
      <c r="L72" s="87">
        <v>0.0</v>
      </c>
      <c r="M72" s="87">
        <v>0.0</v>
      </c>
      <c r="N72" s="17">
        <f t="shared" ref="N72:N83" si="18">SUM(B72:M72)</f>
        <v>0</v>
      </c>
      <c r="O72" s="153"/>
      <c r="P72" s="153"/>
    </row>
    <row r="73" ht="13.5" customHeight="1">
      <c r="A73" s="31" t="s">
        <v>73</v>
      </c>
      <c r="B73" s="87">
        <v>0.0</v>
      </c>
      <c r="C73" s="87">
        <v>0.0</v>
      </c>
      <c r="D73" s="87">
        <v>0.0</v>
      </c>
      <c r="E73" s="87">
        <v>0.0</v>
      </c>
      <c r="F73" s="87">
        <v>0.0</v>
      </c>
      <c r="G73" s="87">
        <v>0.0</v>
      </c>
      <c r="H73" s="87">
        <v>0.0</v>
      </c>
      <c r="I73" s="87">
        <v>0.0</v>
      </c>
      <c r="J73" s="87">
        <v>0.0</v>
      </c>
      <c r="K73" s="87">
        <v>0.0</v>
      </c>
      <c r="L73" s="87">
        <v>0.0</v>
      </c>
      <c r="M73" s="87">
        <v>0.0</v>
      </c>
      <c r="N73" s="17">
        <f t="shared" si="18"/>
        <v>0</v>
      </c>
      <c r="O73" s="153"/>
      <c r="P73" s="153"/>
    </row>
    <row r="74" ht="13.5" customHeight="1">
      <c r="A74" s="32" t="s">
        <v>139</v>
      </c>
      <c r="B74" s="87">
        <v>312.5</v>
      </c>
      <c r="C74" s="87">
        <v>312.5</v>
      </c>
      <c r="D74" s="87">
        <v>312.5</v>
      </c>
      <c r="E74" s="87">
        <v>312.5</v>
      </c>
      <c r="F74" s="87">
        <v>312.5</v>
      </c>
      <c r="G74" s="87">
        <v>312.5</v>
      </c>
      <c r="H74" s="87">
        <v>312.5</v>
      </c>
      <c r="I74" s="87">
        <v>312.5</v>
      </c>
      <c r="J74" s="87">
        <v>312.5</v>
      </c>
      <c r="K74" s="87">
        <v>312.5</v>
      </c>
      <c r="L74" s="87">
        <v>312.5</v>
      </c>
      <c r="M74" s="87">
        <v>312.5</v>
      </c>
      <c r="N74" s="17">
        <f t="shared" si="18"/>
        <v>3750</v>
      </c>
      <c r="O74" s="153"/>
      <c r="P74" s="153"/>
    </row>
    <row r="75" ht="13.5" customHeight="1">
      <c r="A75" s="31" t="s">
        <v>137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17">
        <f t="shared" si="18"/>
        <v>0</v>
      </c>
      <c r="O75" s="153"/>
      <c r="P75" s="153"/>
    </row>
    <row r="76" ht="13.5" customHeight="1">
      <c r="A76" s="32" t="s">
        <v>136</v>
      </c>
      <c r="B76" s="46"/>
      <c r="C76" s="46"/>
      <c r="D76" s="46"/>
      <c r="E76" s="46"/>
      <c r="F76" s="87"/>
      <c r="G76" s="46"/>
      <c r="H76" s="46"/>
      <c r="I76" s="46"/>
      <c r="J76" s="46"/>
      <c r="K76" s="46"/>
      <c r="L76" s="46"/>
      <c r="M76" s="46"/>
      <c r="N76" s="17">
        <f t="shared" si="18"/>
        <v>0</v>
      </c>
      <c r="O76" s="153"/>
      <c r="P76" s="153"/>
    </row>
    <row r="77" ht="13.5" customHeight="1">
      <c r="A77" s="32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17">
        <f t="shared" si="18"/>
        <v>0</v>
      </c>
      <c r="O77" s="153"/>
      <c r="P77" s="153"/>
    </row>
    <row r="78" ht="13.5" customHeight="1">
      <c r="A78" s="31" t="s">
        <v>140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17">
        <f t="shared" si="18"/>
        <v>0</v>
      </c>
      <c r="O78" s="153"/>
      <c r="P78" s="153"/>
    </row>
    <row r="79" ht="13.5" customHeight="1">
      <c r="A79" s="27" t="s">
        <v>141</v>
      </c>
      <c r="B79" s="87">
        <v>198.33</v>
      </c>
      <c r="C79" s="87">
        <v>1087.825</v>
      </c>
      <c r="D79" s="87">
        <v>1087.825</v>
      </c>
      <c r="E79" s="87">
        <v>1087.825</v>
      </c>
      <c r="F79" s="87">
        <v>1087.825</v>
      </c>
      <c r="G79" s="87">
        <v>1087.825</v>
      </c>
      <c r="H79" s="87">
        <v>1087.825</v>
      </c>
      <c r="I79" s="87">
        <v>1087.825</v>
      </c>
      <c r="J79" s="87">
        <v>1087.825</v>
      </c>
      <c r="K79" s="87">
        <v>1087.825</v>
      </c>
      <c r="L79" s="87">
        <v>1087.825</v>
      </c>
      <c r="M79" s="87">
        <v>1087.825</v>
      </c>
      <c r="N79" s="17">
        <f t="shared" si="18"/>
        <v>12164.405</v>
      </c>
      <c r="O79" s="153"/>
      <c r="P79" s="153"/>
    </row>
    <row r="80" ht="13.5" customHeight="1">
      <c r="A80" s="42" t="s">
        <v>79</v>
      </c>
      <c r="B80" s="87">
        <v>250.0</v>
      </c>
      <c r="C80" s="87">
        <v>250.0</v>
      </c>
      <c r="D80" s="87">
        <v>250.0</v>
      </c>
      <c r="E80" s="87">
        <v>250.0</v>
      </c>
      <c r="F80" s="87">
        <v>250.0</v>
      </c>
      <c r="G80" s="87">
        <v>250.0</v>
      </c>
      <c r="H80" s="87">
        <v>250.0</v>
      </c>
      <c r="I80" s="87">
        <v>250.0</v>
      </c>
      <c r="J80" s="87">
        <v>250.0</v>
      </c>
      <c r="K80" s="87">
        <v>250.0</v>
      </c>
      <c r="L80" s="87">
        <v>250.0</v>
      </c>
      <c r="M80" s="87">
        <v>250.0</v>
      </c>
      <c r="N80" s="17">
        <f t="shared" si="18"/>
        <v>3000</v>
      </c>
      <c r="O80" s="153"/>
      <c r="P80" s="153"/>
    </row>
    <row r="81" ht="13.5" customHeight="1">
      <c r="A81" s="43" t="s">
        <v>80</v>
      </c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17">
        <f t="shared" si="18"/>
        <v>0</v>
      </c>
      <c r="O81" s="153"/>
      <c r="P81" s="153"/>
    </row>
    <row r="82" ht="13.5" customHeight="1">
      <c r="A82" s="91" t="s">
        <v>23</v>
      </c>
      <c r="B82" s="28">
        <f t="shared" ref="B82:M82" si="19">SUM(B72:B81)</f>
        <v>760.83</v>
      </c>
      <c r="C82" s="28">
        <f t="shared" si="19"/>
        <v>1650.325</v>
      </c>
      <c r="D82" s="28">
        <f t="shared" si="19"/>
        <v>1650.325</v>
      </c>
      <c r="E82" s="28">
        <f t="shared" si="19"/>
        <v>1650.325</v>
      </c>
      <c r="F82" s="28">
        <f t="shared" si="19"/>
        <v>1650.325</v>
      </c>
      <c r="G82" s="28">
        <f t="shared" si="19"/>
        <v>1650.325</v>
      </c>
      <c r="H82" s="28">
        <f t="shared" si="19"/>
        <v>1650.325</v>
      </c>
      <c r="I82" s="28">
        <f t="shared" si="19"/>
        <v>1650.325</v>
      </c>
      <c r="J82" s="28">
        <f t="shared" si="19"/>
        <v>1650.325</v>
      </c>
      <c r="K82" s="28">
        <f t="shared" si="19"/>
        <v>1650.325</v>
      </c>
      <c r="L82" s="28">
        <f t="shared" si="19"/>
        <v>1650.325</v>
      </c>
      <c r="M82" s="28">
        <f t="shared" si="19"/>
        <v>1650.325</v>
      </c>
      <c r="N82" s="44">
        <f t="shared" si="18"/>
        <v>18914.405</v>
      </c>
      <c r="O82" s="174"/>
      <c r="P82" s="174"/>
    </row>
    <row r="83" ht="13.5" customHeight="1">
      <c r="A83" s="99" t="s">
        <v>81</v>
      </c>
      <c r="B83" s="28">
        <f t="shared" ref="B83:M83" si="20">B52+B70+B82</f>
        <v>24762.57</v>
      </c>
      <c r="C83" s="28">
        <f t="shared" si="20"/>
        <v>22026.065</v>
      </c>
      <c r="D83" s="28">
        <f t="shared" si="20"/>
        <v>22026.065</v>
      </c>
      <c r="E83" s="28">
        <f t="shared" si="20"/>
        <v>20849.065</v>
      </c>
      <c r="F83" s="28">
        <f t="shared" si="20"/>
        <v>20849.065</v>
      </c>
      <c r="G83" s="28">
        <f t="shared" si="20"/>
        <v>20849.065</v>
      </c>
      <c r="H83" s="28">
        <f t="shared" si="20"/>
        <v>20849.065</v>
      </c>
      <c r="I83" s="28">
        <f t="shared" si="20"/>
        <v>21174.755</v>
      </c>
      <c r="J83" s="28">
        <f t="shared" si="20"/>
        <v>21174.755</v>
      </c>
      <c r="K83" s="28">
        <f t="shared" si="20"/>
        <v>18879.755</v>
      </c>
      <c r="L83" s="28">
        <f t="shared" si="20"/>
        <v>18879.755</v>
      </c>
      <c r="M83" s="28">
        <f t="shared" si="20"/>
        <v>18879.755</v>
      </c>
      <c r="N83" s="44">
        <f t="shared" si="18"/>
        <v>251199.735</v>
      </c>
      <c r="O83" s="174"/>
      <c r="P83" s="174"/>
    </row>
    <row r="84" ht="13.5" customHeight="1">
      <c r="A84" s="99" t="s">
        <v>82</v>
      </c>
      <c r="B84" s="46">
        <f t="shared" ref="B84:N84" si="21">B83/B112</f>
        <v>550.2793333</v>
      </c>
      <c r="C84" s="46">
        <f t="shared" si="21"/>
        <v>400.4739091</v>
      </c>
      <c r="D84" s="46">
        <f t="shared" si="21"/>
        <v>440.5213</v>
      </c>
      <c r="E84" s="46">
        <f t="shared" si="21"/>
        <v>521.226625</v>
      </c>
      <c r="F84" s="46">
        <f t="shared" si="21"/>
        <v>521.226625</v>
      </c>
      <c r="G84" s="46">
        <f t="shared" si="21"/>
        <v>463.3125556</v>
      </c>
      <c r="H84" s="46">
        <f t="shared" si="21"/>
        <v>416.9813</v>
      </c>
      <c r="I84" s="46">
        <f t="shared" si="21"/>
        <v>470.5501111</v>
      </c>
      <c r="J84" s="46">
        <f t="shared" si="21"/>
        <v>423.4951</v>
      </c>
      <c r="K84" s="46">
        <f t="shared" si="21"/>
        <v>377.5951</v>
      </c>
      <c r="L84" s="46">
        <f t="shared" si="21"/>
        <v>377.5951</v>
      </c>
      <c r="M84" s="46">
        <f t="shared" si="21"/>
        <v>377.5951</v>
      </c>
      <c r="N84" s="15">
        <f t="shared" si="21"/>
        <v>440.7012895</v>
      </c>
      <c r="O84" s="77"/>
      <c r="P84" s="77"/>
    </row>
    <row r="85" ht="13.5" customHeight="1">
      <c r="A85" s="79" t="s">
        <v>83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170"/>
      <c r="P85" s="170"/>
    </row>
    <row r="86" ht="13.5" customHeight="1">
      <c r="A86" s="15" t="s">
        <v>84</v>
      </c>
      <c r="B86" s="87">
        <v>420.0</v>
      </c>
      <c r="C86" s="87">
        <v>420.0</v>
      </c>
      <c r="D86" s="87">
        <v>420.0</v>
      </c>
      <c r="E86" s="87">
        <v>420.0</v>
      </c>
      <c r="F86" s="87">
        <v>420.0</v>
      </c>
      <c r="G86" s="87">
        <v>420.0</v>
      </c>
      <c r="H86" s="87">
        <v>420.0</v>
      </c>
      <c r="I86" s="87">
        <v>420.0</v>
      </c>
      <c r="J86" s="87">
        <v>420.0</v>
      </c>
      <c r="K86" s="87">
        <v>420.0</v>
      </c>
      <c r="L86" s="87">
        <v>420.0</v>
      </c>
      <c r="M86" s="87">
        <v>420.0</v>
      </c>
      <c r="N86" s="17">
        <f t="shared" ref="N86:N89" si="22">SUM(B86:M86)</f>
        <v>5040</v>
      </c>
      <c r="O86" s="153"/>
      <c r="P86" s="153"/>
    </row>
    <row r="87" ht="13.5" customHeight="1">
      <c r="A87" s="15" t="s">
        <v>142</v>
      </c>
      <c r="B87" s="46"/>
      <c r="C87" s="46"/>
      <c r="D87" s="46"/>
      <c r="E87" s="87"/>
      <c r="F87" s="46"/>
      <c r="G87" s="46"/>
      <c r="H87" s="46"/>
      <c r="I87" s="46"/>
      <c r="J87" s="46"/>
      <c r="K87" s="46"/>
      <c r="L87" s="46"/>
      <c r="M87" s="46"/>
      <c r="N87" s="17">
        <f t="shared" si="22"/>
        <v>0</v>
      </c>
      <c r="O87" s="153"/>
      <c r="P87" s="153"/>
    </row>
    <row r="88" ht="13.5" customHeight="1">
      <c r="A88" s="39" t="s">
        <v>86</v>
      </c>
      <c r="B88" s="46"/>
      <c r="C88" s="46"/>
      <c r="D88" s="46"/>
      <c r="E88" s="87"/>
      <c r="F88" s="46"/>
      <c r="G88" s="46"/>
      <c r="H88" s="46"/>
      <c r="I88" s="46"/>
      <c r="J88" s="46"/>
      <c r="K88" s="46"/>
      <c r="L88" s="46"/>
      <c r="M88" s="46"/>
      <c r="N88" s="17">
        <f t="shared" si="22"/>
        <v>0</v>
      </c>
      <c r="O88" s="153"/>
      <c r="P88" s="153"/>
    </row>
    <row r="89" ht="13.5" customHeight="1">
      <c r="A89" s="39" t="s">
        <v>87</v>
      </c>
      <c r="B89" s="46"/>
      <c r="C89" s="46"/>
      <c r="D89" s="46"/>
      <c r="E89" s="46"/>
      <c r="F89" s="46"/>
      <c r="G89" s="46"/>
      <c r="H89" s="46"/>
      <c r="I89" s="87"/>
      <c r="J89" s="46"/>
      <c r="K89" s="46"/>
      <c r="L89" s="46"/>
      <c r="M89" s="46"/>
      <c r="N89" s="17">
        <f t="shared" si="22"/>
        <v>0</v>
      </c>
      <c r="O89" s="153"/>
      <c r="P89" s="153"/>
    </row>
    <row r="90" ht="13.5" customHeight="1">
      <c r="A90" s="91" t="s">
        <v>23</v>
      </c>
      <c r="B90" s="28">
        <f t="shared" ref="B90:N90" si="23">SUM(B86:B89)</f>
        <v>420</v>
      </c>
      <c r="C90" s="28">
        <f t="shared" si="23"/>
        <v>420</v>
      </c>
      <c r="D90" s="28">
        <f t="shared" si="23"/>
        <v>420</v>
      </c>
      <c r="E90" s="28">
        <f t="shared" si="23"/>
        <v>420</v>
      </c>
      <c r="F90" s="28">
        <f t="shared" si="23"/>
        <v>420</v>
      </c>
      <c r="G90" s="28">
        <f t="shared" si="23"/>
        <v>420</v>
      </c>
      <c r="H90" s="28">
        <f t="shared" si="23"/>
        <v>420</v>
      </c>
      <c r="I90" s="28">
        <f t="shared" si="23"/>
        <v>420</v>
      </c>
      <c r="J90" s="28">
        <f t="shared" si="23"/>
        <v>420</v>
      </c>
      <c r="K90" s="28">
        <f t="shared" si="23"/>
        <v>420</v>
      </c>
      <c r="L90" s="28">
        <f t="shared" si="23"/>
        <v>420</v>
      </c>
      <c r="M90" s="28">
        <f t="shared" si="23"/>
        <v>420</v>
      </c>
      <c r="N90" s="28">
        <f t="shared" si="23"/>
        <v>5040</v>
      </c>
      <c r="O90" s="175"/>
      <c r="P90" s="175"/>
    </row>
    <row r="91" ht="13.5" customHeight="1">
      <c r="A91" s="89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170"/>
      <c r="P91" s="170"/>
    </row>
    <row r="92" ht="13.5" customHeight="1">
      <c r="A92" s="31" t="s">
        <v>89</v>
      </c>
      <c r="B92" s="101">
        <f>PRODUCTION!AA18</f>
        <v>650</v>
      </c>
      <c r="C92" s="102">
        <f>PRODUCTION!AA19</f>
        <v>650</v>
      </c>
      <c r="D92" s="102">
        <f>PRODUCTION!AA20</f>
        <v>650</v>
      </c>
      <c r="E92" s="102">
        <f>PRODUCTION!AA21</f>
        <v>650</v>
      </c>
      <c r="F92" s="102">
        <f>PRODUCTION!AA22</f>
        <v>650</v>
      </c>
      <c r="G92" s="102">
        <f>PRODUCTION!AA23</f>
        <v>650</v>
      </c>
      <c r="H92" s="102">
        <f>PRODUCTION!AA24</f>
        <v>650</v>
      </c>
      <c r="I92" s="102">
        <f>PRODUCTION!AA25</f>
        <v>650</v>
      </c>
      <c r="J92" s="102">
        <f>PRODUCTION!AA26</f>
        <v>650</v>
      </c>
      <c r="K92" s="102">
        <f>PRODUCTION!AA27</f>
        <v>650</v>
      </c>
      <c r="L92" s="102">
        <f>PRODUCTION!AA28</f>
        <v>650</v>
      </c>
      <c r="M92" s="102">
        <f>PRODUCTION!AA29</f>
        <v>650</v>
      </c>
      <c r="N92" s="17">
        <f t="shared" ref="N92:N104" si="24">SUM(B92:M92)</f>
        <v>7800</v>
      </c>
      <c r="O92" s="153"/>
      <c r="P92" s="153"/>
    </row>
    <row r="93" ht="13.5" customHeight="1">
      <c r="A93" s="31" t="s">
        <v>90</v>
      </c>
      <c r="B93" s="46"/>
      <c r="C93" s="87"/>
      <c r="D93" s="87"/>
      <c r="E93" s="87"/>
      <c r="F93" s="87"/>
      <c r="G93" s="46"/>
      <c r="H93" s="46"/>
      <c r="I93" s="46"/>
      <c r="J93" s="46"/>
      <c r="K93" s="87"/>
      <c r="L93" s="46"/>
      <c r="M93" s="87"/>
      <c r="N93" s="17">
        <f t="shared" si="24"/>
        <v>0</v>
      </c>
      <c r="O93" s="153"/>
      <c r="P93" s="153"/>
    </row>
    <row r="94" ht="13.5" customHeight="1">
      <c r="A94" s="31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17">
        <f t="shared" si="24"/>
        <v>2360</v>
      </c>
      <c r="O94" s="153"/>
      <c r="P94" s="153"/>
    </row>
    <row r="95" ht="13.5" customHeight="1">
      <c r="A95" s="31" t="s">
        <v>92</v>
      </c>
      <c r="B95" s="97">
        <v>200.0</v>
      </c>
      <c r="C95" s="97">
        <f>200+60.75</f>
        <v>260.75</v>
      </c>
      <c r="D95" s="105">
        <v>0.0</v>
      </c>
      <c r="E95" s="105">
        <v>0.0</v>
      </c>
      <c r="F95" s="104">
        <v>150.0</v>
      </c>
      <c r="G95" s="97">
        <f>150+167</f>
        <v>317</v>
      </c>
      <c r="H95" s="97">
        <v>0.0</v>
      </c>
      <c r="I95" s="104">
        <v>104.251</v>
      </c>
      <c r="J95" s="97">
        <v>200.0</v>
      </c>
      <c r="K95" s="104">
        <v>182.01</v>
      </c>
      <c r="L95" s="97">
        <v>200.0</v>
      </c>
      <c r="M95" s="97">
        <v>200.0</v>
      </c>
      <c r="N95" s="17">
        <f t="shared" si="24"/>
        <v>1814.011</v>
      </c>
      <c r="O95" s="153"/>
      <c r="P95" s="153"/>
    </row>
    <row r="96" ht="13.5" customHeight="1">
      <c r="A96" s="32" t="s">
        <v>143</v>
      </c>
      <c r="B96" s="46"/>
      <c r="C96" s="46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17">
        <f t="shared" si="24"/>
        <v>0</v>
      </c>
      <c r="O96" s="153"/>
      <c r="P96" s="153"/>
    </row>
    <row r="97" ht="13.5" customHeight="1">
      <c r="A97" s="32" t="s">
        <v>94</v>
      </c>
      <c r="B97" s="46"/>
      <c r="C97" s="46"/>
      <c r="D97" s="46"/>
      <c r="E97" s="87"/>
      <c r="F97" s="87"/>
      <c r="G97" s="87"/>
      <c r="H97" s="87"/>
      <c r="I97" s="87"/>
      <c r="J97" s="87"/>
      <c r="K97" s="87"/>
      <c r="L97" s="87"/>
      <c r="M97" s="87"/>
      <c r="N97" s="17">
        <f t="shared" si="24"/>
        <v>0</v>
      </c>
      <c r="O97" s="153"/>
      <c r="P97" s="153"/>
    </row>
    <row r="98" ht="13.5" customHeight="1">
      <c r="A98" s="32" t="s">
        <v>95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17">
        <f t="shared" si="24"/>
        <v>0</v>
      </c>
      <c r="O98" s="153"/>
      <c r="P98" s="153"/>
    </row>
    <row r="99" ht="13.5" customHeight="1">
      <c r="A99" s="31" t="s">
        <v>96</v>
      </c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17">
        <f t="shared" si="24"/>
        <v>0</v>
      </c>
      <c r="O99" s="153"/>
      <c r="P99" s="153"/>
    </row>
    <row r="100" ht="13.5" customHeight="1">
      <c r="A100" s="31" t="s">
        <v>97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17">
        <f t="shared" si="24"/>
        <v>0</v>
      </c>
      <c r="O100" s="153"/>
      <c r="P100" s="153"/>
    </row>
    <row r="101" ht="13.5" customHeight="1">
      <c r="A101" s="32" t="s">
        <v>98</v>
      </c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17">
        <f t="shared" si="24"/>
        <v>0</v>
      </c>
      <c r="O101" s="153"/>
      <c r="P101" s="153"/>
    </row>
    <row r="102" ht="13.5" customHeight="1">
      <c r="A102" s="31" t="s">
        <v>99</v>
      </c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17">
        <f t="shared" si="24"/>
        <v>0</v>
      </c>
      <c r="O102" s="153"/>
      <c r="P102" s="153"/>
    </row>
    <row r="103" ht="13.5" customHeight="1">
      <c r="A103" s="32" t="s">
        <v>100</v>
      </c>
      <c r="B103" s="87">
        <v>100.0</v>
      </c>
      <c r="C103" s="87">
        <v>217.5</v>
      </c>
      <c r="D103" s="87">
        <f>100+113.64</f>
        <v>213.64</v>
      </c>
      <c r="E103" s="87">
        <v>100.0</v>
      </c>
      <c r="F103" s="87">
        <v>100.0</v>
      </c>
      <c r="G103" s="87">
        <v>590.0</v>
      </c>
      <c r="H103" s="87">
        <v>590.0</v>
      </c>
      <c r="I103" s="87">
        <v>100.0</v>
      </c>
      <c r="J103" s="87">
        <f>435+100</f>
        <v>535</v>
      </c>
      <c r="K103" s="87">
        <v>100.0</v>
      </c>
      <c r="L103" s="87">
        <v>100.0</v>
      </c>
      <c r="M103" s="87">
        <v>100.0</v>
      </c>
      <c r="N103" s="17">
        <f t="shared" si="24"/>
        <v>2846.14</v>
      </c>
      <c r="O103" s="153"/>
      <c r="P103" s="153"/>
    </row>
    <row r="104" ht="13.5" customHeight="1">
      <c r="A104" s="27" t="s">
        <v>101</v>
      </c>
      <c r="B104" s="87">
        <v>175.0</v>
      </c>
      <c r="C104" s="87">
        <v>175.0</v>
      </c>
      <c r="D104" s="87">
        <v>175.0</v>
      </c>
      <c r="E104" s="87">
        <v>175.0</v>
      </c>
      <c r="F104" s="87">
        <v>175.0</v>
      </c>
      <c r="G104" s="87">
        <v>175.0</v>
      </c>
      <c r="H104" s="87">
        <v>175.0</v>
      </c>
      <c r="I104" s="87">
        <v>175.0</v>
      </c>
      <c r="J104" s="87">
        <v>175.0</v>
      </c>
      <c r="K104" s="87">
        <v>175.0</v>
      </c>
      <c r="L104" s="87">
        <v>175.0</v>
      </c>
      <c r="M104" s="87">
        <v>175.0</v>
      </c>
      <c r="N104" s="17">
        <f t="shared" si="24"/>
        <v>2100</v>
      </c>
      <c r="O104" s="153"/>
      <c r="P104" s="153"/>
    </row>
    <row r="105" ht="13.5" customHeight="1">
      <c r="A105" s="27" t="s">
        <v>102</v>
      </c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17"/>
      <c r="O105" s="153"/>
      <c r="P105" s="153"/>
    </row>
    <row r="106" ht="13.5" customHeight="1">
      <c r="A106" s="39" t="s">
        <v>280</v>
      </c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17">
        <f>SUM(B106:M106)</f>
        <v>0</v>
      </c>
      <c r="O106" s="153"/>
      <c r="P106" s="153"/>
    </row>
    <row r="107" ht="13.5" customHeight="1">
      <c r="A107" s="91" t="s">
        <v>23</v>
      </c>
      <c r="B107" s="28">
        <f t="shared" ref="B107:N107" si="25">SUM(B92:B106)</f>
        <v>1305</v>
      </c>
      <c r="C107" s="28">
        <f t="shared" si="25"/>
        <v>1483.25</v>
      </c>
      <c r="D107" s="28">
        <f t="shared" si="25"/>
        <v>1218.64</v>
      </c>
      <c r="E107" s="28">
        <f t="shared" si="25"/>
        <v>1105</v>
      </c>
      <c r="F107" s="28">
        <f t="shared" si="25"/>
        <v>1255</v>
      </c>
      <c r="G107" s="28">
        <f t="shared" si="25"/>
        <v>1912</v>
      </c>
      <c r="H107" s="28">
        <f t="shared" si="25"/>
        <v>1595</v>
      </c>
      <c r="I107" s="28">
        <f t="shared" si="25"/>
        <v>1209.251</v>
      </c>
      <c r="J107" s="28">
        <f t="shared" si="25"/>
        <v>1740</v>
      </c>
      <c r="K107" s="28">
        <f t="shared" si="25"/>
        <v>1487.01</v>
      </c>
      <c r="L107" s="28">
        <f t="shared" si="25"/>
        <v>1305</v>
      </c>
      <c r="M107" s="28">
        <f t="shared" si="25"/>
        <v>1305</v>
      </c>
      <c r="N107" s="28">
        <f t="shared" si="25"/>
        <v>16920.151</v>
      </c>
      <c r="O107" s="175"/>
      <c r="P107" s="175"/>
    </row>
    <row r="108" ht="13.5" customHeight="1">
      <c r="A108" s="91" t="s">
        <v>104</v>
      </c>
      <c r="B108" s="107">
        <v>-20036.62</v>
      </c>
      <c r="C108" s="108">
        <v>-19602.0</v>
      </c>
      <c r="D108" s="108">
        <v>-17927.92</v>
      </c>
      <c r="E108" s="108">
        <v>-15092.22</v>
      </c>
      <c r="F108" s="108">
        <v>-23396.29</v>
      </c>
      <c r="G108" s="108">
        <v>-8493.03</v>
      </c>
      <c r="H108" s="108">
        <v>-11132.68</v>
      </c>
      <c r="I108" s="108">
        <v>-20393.45</v>
      </c>
      <c r="J108" s="108">
        <v>-19719.1</v>
      </c>
      <c r="K108" s="109">
        <v>-28888.87</v>
      </c>
      <c r="L108" s="110">
        <v>-6800.0</v>
      </c>
      <c r="M108" s="110">
        <v>-6800.0</v>
      </c>
      <c r="N108" s="44">
        <f>SUM(B108:M108)</f>
        <v>-198282.18</v>
      </c>
      <c r="O108" s="375" t="s">
        <v>281</v>
      </c>
      <c r="P108" s="174">
        <f>SUM(N108:N109)</f>
        <v>144883.4977</v>
      </c>
    </row>
    <row r="109" ht="13.5" customHeight="1">
      <c r="A109" s="112" t="s">
        <v>105</v>
      </c>
      <c r="B109" s="50">
        <f t="shared" ref="B109:N109" si="26">B107+B90+B83+B32+B21+B13</f>
        <v>30332.40333</v>
      </c>
      <c r="C109" s="50">
        <f t="shared" si="26"/>
        <v>27973.76969</v>
      </c>
      <c r="D109" s="50">
        <f t="shared" si="26"/>
        <v>29906.55398</v>
      </c>
      <c r="E109" s="50">
        <f t="shared" si="26"/>
        <v>28278.26763</v>
      </c>
      <c r="F109" s="50">
        <f t="shared" si="26"/>
        <v>29727.1824</v>
      </c>
      <c r="G109" s="50">
        <f t="shared" si="26"/>
        <v>29818.359</v>
      </c>
      <c r="H109" s="50">
        <f t="shared" si="26"/>
        <v>27411.33689</v>
      </c>
      <c r="I109" s="50">
        <f t="shared" si="26"/>
        <v>27351.27789</v>
      </c>
      <c r="J109" s="50">
        <f t="shared" si="26"/>
        <v>28999.40713</v>
      </c>
      <c r="K109" s="50">
        <f t="shared" si="26"/>
        <v>27261.95202</v>
      </c>
      <c r="L109" s="50">
        <f t="shared" si="26"/>
        <v>28052.58389</v>
      </c>
      <c r="M109" s="50">
        <f t="shared" si="26"/>
        <v>28052.58389</v>
      </c>
      <c r="N109" s="50">
        <f t="shared" si="26"/>
        <v>343165.6777</v>
      </c>
      <c r="O109" s="176"/>
      <c r="P109" s="176"/>
    </row>
    <row r="110" ht="13.5" customHeight="1">
      <c r="A110" s="35" t="s">
        <v>106</v>
      </c>
      <c r="B110" s="391">
        <v>35.0</v>
      </c>
      <c r="C110" s="378">
        <v>45.0</v>
      </c>
      <c r="D110" s="378">
        <v>40.0</v>
      </c>
      <c r="E110" s="378">
        <v>30.0</v>
      </c>
      <c r="F110" s="378">
        <v>30.0</v>
      </c>
      <c r="G110" s="378">
        <v>35.0</v>
      </c>
      <c r="H110" s="378">
        <v>40.0</v>
      </c>
      <c r="I110" s="378">
        <v>35.0</v>
      </c>
      <c r="J110" s="378">
        <v>40.0</v>
      </c>
      <c r="K110" s="116">
        <v>40.0</v>
      </c>
      <c r="L110" s="116">
        <v>40.0</v>
      </c>
      <c r="M110" s="116">
        <v>40.0</v>
      </c>
      <c r="N110" s="149">
        <f t="shared" ref="N110:N112" si="27">SUM(B110:M110)</f>
        <v>450</v>
      </c>
      <c r="O110" s="152"/>
      <c r="P110" s="152"/>
    </row>
    <row r="111" ht="13.5" customHeight="1">
      <c r="A111" s="35" t="s">
        <v>107</v>
      </c>
      <c r="B111" s="378">
        <v>10.0</v>
      </c>
      <c r="C111" s="378">
        <v>10.0</v>
      </c>
      <c r="D111" s="378">
        <v>10.0</v>
      </c>
      <c r="E111" s="378">
        <v>10.0</v>
      </c>
      <c r="F111" s="378">
        <v>10.0</v>
      </c>
      <c r="G111" s="378">
        <v>10.0</v>
      </c>
      <c r="H111" s="378">
        <v>10.0</v>
      </c>
      <c r="I111" s="378">
        <v>10.0</v>
      </c>
      <c r="J111" s="378">
        <v>10.0</v>
      </c>
      <c r="K111" s="121">
        <v>10.0</v>
      </c>
      <c r="L111" s="151">
        <v>10.0</v>
      </c>
      <c r="M111" s="121">
        <v>10.0</v>
      </c>
      <c r="N111" s="149">
        <f t="shared" si="27"/>
        <v>120</v>
      </c>
      <c r="O111" s="152"/>
      <c r="P111" s="152"/>
    </row>
    <row r="112" ht="13.5" customHeight="1">
      <c r="A112" s="91" t="s">
        <v>23</v>
      </c>
      <c r="B112" s="122">
        <f t="shared" ref="B112:M112" si="28">B110+B111</f>
        <v>45</v>
      </c>
      <c r="C112" s="122">
        <f t="shared" si="28"/>
        <v>55</v>
      </c>
      <c r="D112" s="122">
        <f t="shared" si="28"/>
        <v>50</v>
      </c>
      <c r="E112" s="122">
        <f t="shared" si="28"/>
        <v>40</v>
      </c>
      <c r="F112" s="123">
        <f t="shared" si="28"/>
        <v>40</v>
      </c>
      <c r="G112" s="123">
        <f t="shared" si="28"/>
        <v>45</v>
      </c>
      <c r="H112" s="123">
        <f t="shared" si="28"/>
        <v>50</v>
      </c>
      <c r="I112" s="123">
        <f t="shared" si="28"/>
        <v>45</v>
      </c>
      <c r="J112" s="123">
        <f t="shared" si="28"/>
        <v>50</v>
      </c>
      <c r="K112" s="123">
        <f t="shared" si="28"/>
        <v>50</v>
      </c>
      <c r="L112" s="123">
        <f t="shared" si="28"/>
        <v>50</v>
      </c>
      <c r="M112" s="124">
        <f t="shared" si="28"/>
        <v>50</v>
      </c>
      <c r="N112" s="125">
        <f t="shared" si="27"/>
        <v>570</v>
      </c>
      <c r="O112" s="178"/>
      <c r="P112" s="178"/>
    </row>
    <row r="113" ht="13.5" customHeight="1">
      <c r="A113" s="126" t="s">
        <v>108</v>
      </c>
      <c r="B113" s="58">
        <f t="shared" ref="B113:N113" si="29">B109/B112</f>
        <v>674.0534074</v>
      </c>
      <c r="C113" s="58">
        <f t="shared" si="29"/>
        <v>508.6139944</v>
      </c>
      <c r="D113" s="58">
        <f t="shared" si="29"/>
        <v>598.1310796</v>
      </c>
      <c r="E113" s="58">
        <f t="shared" si="29"/>
        <v>706.9566908</v>
      </c>
      <c r="F113" s="58">
        <f t="shared" si="29"/>
        <v>743.1795599</v>
      </c>
      <c r="G113" s="58">
        <f t="shared" si="29"/>
        <v>662.6302</v>
      </c>
      <c r="H113" s="58">
        <f t="shared" si="29"/>
        <v>548.2267378</v>
      </c>
      <c r="I113" s="58">
        <f t="shared" si="29"/>
        <v>607.8061753</v>
      </c>
      <c r="J113" s="58">
        <f t="shared" si="29"/>
        <v>579.9881426</v>
      </c>
      <c r="K113" s="58">
        <f t="shared" si="29"/>
        <v>545.2390404</v>
      </c>
      <c r="L113" s="58">
        <f t="shared" si="29"/>
        <v>561.0516778</v>
      </c>
      <c r="M113" s="58">
        <f t="shared" si="29"/>
        <v>561.0516778</v>
      </c>
      <c r="N113" s="179">
        <f t="shared" si="29"/>
        <v>602.0450487</v>
      </c>
      <c r="O113" s="180"/>
      <c r="P113" s="180"/>
    </row>
    <row r="114" ht="13.5" customHeight="1">
      <c r="A114" s="79" t="s">
        <v>109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170"/>
      <c r="P114" s="170"/>
    </row>
    <row r="115" ht="13.5" customHeight="1">
      <c r="A115" s="59" t="s">
        <v>110</v>
      </c>
      <c r="B115" s="46">
        <v>1295.0</v>
      </c>
      <c r="C115" s="46">
        <v>1295.0</v>
      </c>
      <c r="D115" s="46">
        <v>1295.0</v>
      </c>
      <c r="E115" s="46">
        <v>1295.0</v>
      </c>
      <c r="F115" s="46">
        <v>1295.0</v>
      </c>
      <c r="G115" s="46">
        <v>1295.0</v>
      </c>
      <c r="H115" s="46">
        <v>1295.0</v>
      </c>
      <c r="I115" s="46">
        <v>1295.0</v>
      </c>
      <c r="J115" s="46">
        <v>1295.0</v>
      </c>
      <c r="K115" s="46">
        <v>1295.0</v>
      </c>
      <c r="L115" s="46">
        <v>1295.0</v>
      </c>
      <c r="M115" s="46">
        <f>1295</f>
        <v>1295</v>
      </c>
      <c r="N115" s="17">
        <f t="shared" ref="N115:N120" si="30">SUM(B115:M115)</f>
        <v>15540</v>
      </c>
      <c r="O115" s="153"/>
      <c r="P115" s="153"/>
    </row>
    <row r="116" ht="13.5" customHeight="1">
      <c r="A116" s="60" t="s">
        <v>111</v>
      </c>
      <c r="B116" s="87">
        <v>1200.0</v>
      </c>
      <c r="C116" s="87">
        <v>1200.0</v>
      </c>
      <c r="D116" s="87">
        <v>1200.0</v>
      </c>
      <c r="E116" s="87">
        <v>1200.0</v>
      </c>
      <c r="F116" s="87">
        <v>1200.0</v>
      </c>
      <c r="G116" s="87">
        <v>1200.0</v>
      </c>
      <c r="H116" s="87">
        <v>1200.0</v>
      </c>
      <c r="I116" s="87">
        <v>1200.0</v>
      </c>
      <c r="J116" s="87">
        <v>1200.0</v>
      </c>
      <c r="K116" s="87">
        <v>1200.0</v>
      </c>
      <c r="L116" s="87">
        <v>1200.0</v>
      </c>
      <c r="M116" s="87">
        <v>1200.0</v>
      </c>
      <c r="N116" s="17">
        <f t="shared" si="30"/>
        <v>14400</v>
      </c>
      <c r="O116" s="153"/>
      <c r="P116" s="153"/>
    </row>
    <row r="117" ht="13.5" customHeight="1">
      <c r="A117" s="59" t="s">
        <v>112</v>
      </c>
      <c r="B117" s="87">
        <f>250+764.64+660.24
</f>
        <v>1674.88</v>
      </c>
      <c r="C117" s="87">
        <v>250.0</v>
      </c>
      <c r="D117" s="87">
        <v>250.0</v>
      </c>
      <c r="E117" s="87">
        <f>250+764.64+660.24
</f>
        <v>1674.88</v>
      </c>
      <c r="F117" s="87">
        <v>250.0</v>
      </c>
      <c r="G117" s="87">
        <v>250.0</v>
      </c>
      <c r="H117" s="87">
        <f>250+764.64+660.24
</f>
        <v>1674.88</v>
      </c>
      <c r="I117" s="87">
        <v>250.0</v>
      </c>
      <c r="J117" s="87">
        <v>250.0</v>
      </c>
      <c r="K117" s="87">
        <f>250+729.36</f>
        <v>979.36</v>
      </c>
      <c r="L117" s="87">
        <v>250.0</v>
      </c>
      <c r="M117" s="87">
        <v>250.0</v>
      </c>
      <c r="N117" s="17">
        <f t="shared" si="30"/>
        <v>8004</v>
      </c>
      <c r="O117" s="153"/>
      <c r="P117" s="153"/>
    </row>
    <row r="118" ht="13.5" customHeight="1">
      <c r="A118" s="59" t="s">
        <v>161</v>
      </c>
      <c r="B118" s="87">
        <f t="shared" ref="B118:M118" si="31">700+116+666</f>
        <v>1482</v>
      </c>
      <c r="C118" s="87">
        <f t="shared" si="31"/>
        <v>1482</v>
      </c>
      <c r="D118" s="87">
        <f t="shared" si="31"/>
        <v>1482</v>
      </c>
      <c r="E118" s="87">
        <f t="shared" si="31"/>
        <v>1482</v>
      </c>
      <c r="F118" s="87">
        <f t="shared" si="31"/>
        <v>1482</v>
      </c>
      <c r="G118" s="87">
        <f t="shared" si="31"/>
        <v>1482</v>
      </c>
      <c r="H118" s="87">
        <f t="shared" si="31"/>
        <v>1482</v>
      </c>
      <c r="I118" s="87">
        <f t="shared" si="31"/>
        <v>1482</v>
      </c>
      <c r="J118" s="87">
        <f t="shared" si="31"/>
        <v>1482</v>
      </c>
      <c r="K118" s="87">
        <f t="shared" si="31"/>
        <v>1482</v>
      </c>
      <c r="L118" s="87">
        <f t="shared" si="31"/>
        <v>1482</v>
      </c>
      <c r="M118" s="87">
        <f t="shared" si="31"/>
        <v>1482</v>
      </c>
      <c r="N118" s="17">
        <f t="shared" si="30"/>
        <v>17784</v>
      </c>
      <c r="O118" s="153"/>
      <c r="P118" s="153"/>
    </row>
    <row r="119" ht="13.5" customHeight="1">
      <c r="A119" s="61" t="s">
        <v>113</v>
      </c>
      <c r="B119" s="87">
        <v>395.0</v>
      </c>
      <c r="C119" s="87">
        <v>395.0</v>
      </c>
      <c r="D119" s="87">
        <v>395.0</v>
      </c>
      <c r="E119" s="87">
        <v>395.0</v>
      </c>
      <c r="F119" s="87">
        <v>395.0</v>
      </c>
      <c r="G119" s="87">
        <v>395.0</v>
      </c>
      <c r="H119" s="87">
        <v>395.0</v>
      </c>
      <c r="I119" s="87">
        <v>395.0</v>
      </c>
      <c r="J119" s="87">
        <v>395.0</v>
      </c>
      <c r="K119" s="87">
        <v>395.0</v>
      </c>
      <c r="L119" s="87">
        <v>395.0</v>
      </c>
      <c r="M119" s="87">
        <v>395.0</v>
      </c>
      <c r="N119" s="17">
        <f t="shared" si="30"/>
        <v>4740</v>
      </c>
      <c r="O119" s="153"/>
      <c r="P119" s="153"/>
    </row>
    <row r="120" ht="13.5" customHeight="1">
      <c r="A120" s="132" t="s">
        <v>114</v>
      </c>
      <c r="B120" s="87">
        <v>1750.0</v>
      </c>
      <c r="C120" s="87">
        <v>1750.0</v>
      </c>
      <c r="D120" s="87">
        <v>1750.0</v>
      </c>
      <c r="E120" s="87">
        <v>1750.0</v>
      </c>
      <c r="F120" s="87">
        <v>1750.0</v>
      </c>
      <c r="G120" s="87">
        <v>1750.0</v>
      </c>
      <c r="H120" s="87">
        <v>1750.0</v>
      </c>
      <c r="I120" s="87">
        <v>1750.0</v>
      </c>
      <c r="J120" s="87">
        <v>1750.0</v>
      </c>
      <c r="K120" s="87">
        <v>1750.0</v>
      </c>
      <c r="L120" s="87">
        <v>1750.0</v>
      </c>
      <c r="M120" s="87">
        <v>1750.0</v>
      </c>
      <c r="N120" s="17">
        <f t="shared" si="30"/>
        <v>21000</v>
      </c>
      <c r="O120" s="153"/>
      <c r="P120" s="153"/>
    </row>
    <row r="121" ht="13.5" customHeight="1">
      <c r="A121" s="99" t="s">
        <v>23</v>
      </c>
      <c r="B121" s="63">
        <f t="shared" ref="B121:N121" si="32">SUM(B115:B120)</f>
        <v>7796.88</v>
      </c>
      <c r="C121" s="63">
        <f t="shared" si="32"/>
        <v>6372</v>
      </c>
      <c r="D121" s="63">
        <f t="shared" si="32"/>
        <v>6372</v>
      </c>
      <c r="E121" s="63">
        <f t="shared" si="32"/>
        <v>7796.88</v>
      </c>
      <c r="F121" s="63">
        <f t="shared" si="32"/>
        <v>6372</v>
      </c>
      <c r="G121" s="63">
        <f t="shared" si="32"/>
        <v>6372</v>
      </c>
      <c r="H121" s="63">
        <f t="shared" si="32"/>
        <v>7796.88</v>
      </c>
      <c r="I121" s="63">
        <f t="shared" si="32"/>
        <v>6372</v>
      </c>
      <c r="J121" s="63">
        <f t="shared" si="32"/>
        <v>6372</v>
      </c>
      <c r="K121" s="63">
        <f t="shared" si="32"/>
        <v>7101.36</v>
      </c>
      <c r="L121" s="63">
        <f t="shared" si="32"/>
        <v>6372</v>
      </c>
      <c r="M121" s="63">
        <f t="shared" si="32"/>
        <v>6372</v>
      </c>
      <c r="N121" s="63">
        <f t="shared" si="32"/>
        <v>81468</v>
      </c>
      <c r="O121" s="135"/>
      <c r="P121" s="135"/>
    </row>
    <row r="122" ht="13.5" customHeight="1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</row>
    <row r="123" ht="13.5" customHeight="1">
      <c r="A123" s="134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</row>
    <row r="124" ht="13.5" customHeight="1">
      <c r="A124" s="64" t="s">
        <v>115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</row>
    <row r="125" ht="13.5" customHeight="1">
      <c r="A125" s="64" t="s">
        <v>116</v>
      </c>
      <c r="B125" s="67">
        <f t="shared" ref="B125:M125" si="33">+B13*0.7+B21*0.7+B32*0.7+B52*0.6+B70+B107*0.6</f>
        <v>24339.62733</v>
      </c>
      <c r="C125" s="67">
        <f t="shared" si="33"/>
        <v>20960.31229</v>
      </c>
      <c r="D125" s="67">
        <f t="shared" si="33"/>
        <v>22339.72229</v>
      </c>
      <c r="E125" s="67">
        <f t="shared" si="33"/>
        <v>20858.18584</v>
      </c>
      <c r="F125" s="67">
        <f t="shared" si="33"/>
        <v>21857.42618</v>
      </c>
      <c r="G125" s="67">
        <f t="shared" si="33"/>
        <v>21855.5498</v>
      </c>
      <c r="H125" s="67">
        <f t="shared" si="33"/>
        <v>20202.33432</v>
      </c>
      <c r="I125" s="67">
        <f t="shared" si="33"/>
        <v>20166.29892</v>
      </c>
      <c r="J125" s="67">
        <f t="shared" si="33"/>
        <v>21266.91449</v>
      </c>
      <c r="K125" s="67">
        <f t="shared" si="33"/>
        <v>19387.49492</v>
      </c>
      <c r="L125" s="67">
        <f t="shared" si="33"/>
        <v>19959.13822</v>
      </c>
      <c r="M125" s="67">
        <f t="shared" si="33"/>
        <v>19959.13822</v>
      </c>
      <c r="N125" s="67">
        <f t="shared" ref="N125:N126" si="35">SUM(B125:M125)</f>
        <v>253152.1428</v>
      </c>
      <c r="O125" s="67"/>
      <c r="P125" s="67"/>
    </row>
    <row r="126" ht="13.5" customHeight="1">
      <c r="A126" s="64" t="s">
        <v>117</v>
      </c>
      <c r="B126" s="67">
        <f t="shared" ref="B126:M126" si="34">+B13*0.3+B21*0.3+B32*0.3+B52*0.4+B82+B90+B107*0.4</f>
        <v>5992.776</v>
      </c>
      <c r="C126" s="67">
        <f t="shared" si="34"/>
        <v>7013.457408</v>
      </c>
      <c r="D126" s="67">
        <f t="shared" si="34"/>
        <v>7566.831694</v>
      </c>
      <c r="E126" s="67">
        <f t="shared" si="34"/>
        <v>7420.081789</v>
      </c>
      <c r="F126" s="67">
        <f t="shared" si="34"/>
        <v>7869.756219</v>
      </c>
      <c r="G126" s="67">
        <f t="shared" si="34"/>
        <v>7962.8092</v>
      </c>
      <c r="H126" s="67">
        <f t="shared" si="34"/>
        <v>7209.002567</v>
      </c>
      <c r="I126" s="67">
        <f t="shared" si="34"/>
        <v>7184.978967</v>
      </c>
      <c r="J126" s="67">
        <f t="shared" si="34"/>
        <v>7732.492639</v>
      </c>
      <c r="K126" s="67">
        <f t="shared" si="34"/>
        <v>7874.457106</v>
      </c>
      <c r="L126" s="67">
        <f t="shared" si="34"/>
        <v>8093.445667</v>
      </c>
      <c r="M126" s="67">
        <f t="shared" si="34"/>
        <v>8093.445667</v>
      </c>
      <c r="N126" s="67">
        <f t="shared" si="35"/>
        <v>90013.53492</v>
      </c>
      <c r="O126" s="67"/>
      <c r="P126" s="67"/>
    </row>
    <row r="127" ht="13.5" customHeight="1">
      <c r="A127" s="64" t="s">
        <v>23</v>
      </c>
      <c r="B127" s="67">
        <f t="shared" ref="B127:N127" si="36">SUM(B125:B126)</f>
        <v>30332.40333</v>
      </c>
      <c r="C127" s="67">
        <f t="shared" si="36"/>
        <v>27973.76969</v>
      </c>
      <c r="D127" s="67">
        <f t="shared" si="36"/>
        <v>29906.55398</v>
      </c>
      <c r="E127" s="67">
        <f t="shared" si="36"/>
        <v>28278.26763</v>
      </c>
      <c r="F127" s="67">
        <f t="shared" si="36"/>
        <v>29727.1824</v>
      </c>
      <c r="G127" s="67">
        <f t="shared" si="36"/>
        <v>29818.359</v>
      </c>
      <c r="H127" s="67">
        <f t="shared" si="36"/>
        <v>27411.33689</v>
      </c>
      <c r="I127" s="67">
        <f t="shared" si="36"/>
        <v>27351.27789</v>
      </c>
      <c r="J127" s="67">
        <f t="shared" si="36"/>
        <v>28999.40713</v>
      </c>
      <c r="K127" s="67">
        <f t="shared" si="36"/>
        <v>27261.95202</v>
      </c>
      <c r="L127" s="67">
        <f t="shared" si="36"/>
        <v>28052.58389</v>
      </c>
      <c r="M127" s="67">
        <f t="shared" si="36"/>
        <v>28052.58389</v>
      </c>
      <c r="N127" s="67">
        <f t="shared" si="36"/>
        <v>343165.6777</v>
      </c>
      <c r="O127" s="67"/>
      <c r="P127" s="67"/>
    </row>
    <row r="128" ht="13.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</row>
    <row r="129" ht="13.5" customHeight="1">
      <c r="A129" s="69" t="s">
        <v>118</v>
      </c>
      <c r="B129" s="70">
        <f t="shared" ref="B129:N129" si="37">+B109</f>
        <v>30332.40333</v>
      </c>
      <c r="C129" s="70">
        <f t="shared" si="37"/>
        <v>27973.76969</v>
      </c>
      <c r="D129" s="70">
        <f t="shared" si="37"/>
        <v>29906.55398</v>
      </c>
      <c r="E129" s="70">
        <f t="shared" si="37"/>
        <v>28278.26763</v>
      </c>
      <c r="F129" s="70">
        <f t="shared" si="37"/>
        <v>29727.1824</v>
      </c>
      <c r="G129" s="70">
        <f t="shared" si="37"/>
        <v>29818.359</v>
      </c>
      <c r="H129" s="70">
        <f t="shared" si="37"/>
        <v>27411.33689</v>
      </c>
      <c r="I129" s="70">
        <f t="shared" si="37"/>
        <v>27351.27789</v>
      </c>
      <c r="J129" s="70">
        <f t="shared" si="37"/>
        <v>28999.40713</v>
      </c>
      <c r="K129" s="70">
        <f t="shared" si="37"/>
        <v>27261.95202</v>
      </c>
      <c r="L129" s="70">
        <f t="shared" si="37"/>
        <v>28052.58389</v>
      </c>
      <c r="M129" s="70">
        <f t="shared" si="37"/>
        <v>28052.58389</v>
      </c>
      <c r="N129" s="70">
        <f t="shared" si="37"/>
        <v>343165.6777</v>
      </c>
      <c r="O129" s="70"/>
      <c r="P129" s="70"/>
    </row>
    <row r="130" ht="13.5" customHeight="1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</row>
    <row r="131" ht="13.5" customHeight="1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390" t="s">
        <v>285</v>
      </c>
      <c r="O131" s="390">
        <f>HSU!N109+HVW!N109+MZ!N109+BUGMC!N109</f>
        <v>1636704.183</v>
      </c>
      <c r="P131" s="135"/>
    </row>
  </sheetData>
  <mergeCells count="1">
    <mergeCell ref="A1:N1"/>
  </mergeCells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7.38"/>
    <col customWidth="1" min="2" max="13" width="9.75"/>
    <col customWidth="1" min="14" max="16" width="10.75"/>
  </cols>
  <sheetData>
    <row r="1" ht="13.5" customHeight="1">
      <c r="A1" s="76" t="s">
        <v>287</v>
      </c>
      <c r="O1" s="76"/>
      <c r="P1" s="76"/>
    </row>
    <row r="2" ht="13.5" customHeight="1">
      <c r="A2" s="16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</row>
    <row r="3" ht="13.5" customHeight="1">
      <c r="A3" s="16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  <c r="O3" s="7"/>
      <c r="P3" s="7"/>
    </row>
    <row r="4" ht="13.5" customHeight="1">
      <c r="A4" s="79" t="s">
        <v>14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170"/>
      <c r="P4" s="170"/>
    </row>
    <row r="5" ht="13.5" customHeight="1">
      <c r="A5" s="15" t="s">
        <v>15</v>
      </c>
      <c r="B5" s="46">
        <f>FORMULAS!S56</f>
        <v>2284.444444</v>
      </c>
      <c r="C5" s="46">
        <f>FORMULAS!W56</f>
        <v>2284.444444</v>
      </c>
      <c r="D5" s="46">
        <f>FORMULAS!AA56</f>
        <v>2284.444444</v>
      </c>
      <c r="E5" s="46">
        <f>FORMULAS!AE56</f>
        <v>3069.123915</v>
      </c>
      <c r="F5" s="46">
        <f>FORMULAS!AI56</f>
        <v>4324.375655</v>
      </c>
      <c r="G5" s="46">
        <f>FORMULAS!AM56</f>
        <v>3947.759978</v>
      </c>
      <c r="H5" s="46">
        <f>FORMULAS!AQ56</f>
        <v>2678.837128</v>
      </c>
      <c r="I5" s="46">
        <f>FORMULAS!AU56</f>
        <v>2678.837128</v>
      </c>
      <c r="J5" s="46">
        <f>FORMULAS!AY56</f>
        <v>3383.794267</v>
      </c>
      <c r="K5" s="46">
        <f>FORMULAS!BC56</f>
        <v>3383.794267</v>
      </c>
      <c r="L5" s="46">
        <f>FORMULAS!BG56</f>
        <v>3947.759978</v>
      </c>
      <c r="M5" s="46">
        <f>FORMULAS!BK56</f>
        <v>3947.759978</v>
      </c>
      <c r="N5" s="17">
        <f t="shared" ref="N5:N12" si="1">SUM(B5:M5)</f>
        <v>38215.37563</v>
      </c>
      <c r="O5" s="153"/>
      <c r="P5" s="153"/>
    </row>
    <row r="6" ht="13.5" customHeight="1">
      <c r="A6" s="15" t="s">
        <v>123</v>
      </c>
      <c r="B6" s="46"/>
      <c r="C6" s="46"/>
      <c r="D6" s="46"/>
      <c r="E6" s="46"/>
      <c r="F6" s="46"/>
      <c r="G6" s="46"/>
      <c r="H6" s="46"/>
      <c r="I6" s="46"/>
      <c r="J6" s="87"/>
      <c r="K6" s="87"/>
      <c r="L6" s="87"/>
      <c r="M6" s="87"/>
      <c r="N6" s="17">
        <f t="shared" si="1"/>
        <v>0</v>
      </c>
      <c r="O6" s="153"/>
      <c r="P6" s="153"/>
    </row>
    <row r="7" ht="13.5" customHeight="1">
      <c r="A7" s="15" t="s">
        <v>17</v>
      </c>
      <c r="B7" s="46">
        <f>FORMULAS!S281</f>
        <v>0</v>
      </c>
      <c r="C7" s="46">
        <f>FORMULAS!W281</f>
        <v>0</v>
      </c>
      <c r="D7" s="46">
        <f>FORMULAS!AA281</f>
        <v>0</v>
      </c>
      <c r="E7" s="46">
        <f>FORMULAS!AE281</f>
        <v>0</v>
      </c>
      <c r="F7" s="46">
        <f>FORMULAS!AI281</f>
        <v>0</v>
      </c>
      <c r="G7" s="46">
        <f>FORMULAS!AM281</f>
        <v>0</v>
      </c>
      <c r="H7" s="46">
        <f>FORMULAS!AQ281</f>
        <v>0</v>
      </c>
      <c r="I7" s="46">
        <f>FORMULAS!AU281</f>
        <v>0</v>
      </c>
      <c r="J7" s="46">
        <f>FORMULAS!AY281</f>
        <v>0</v>
      </c>
      <c r="K7" s="46">
        <f>FORMULAS!BC281</f>
        <v>0</v>
      </c>
      <c r="L7" s="46">
        <f>FORMULAS!BG281</f>
        <v>0</v>
      </c>
      <c r="M7" s="46">
        <f>FORMULAS!BK281</f>
        <v>0</v>
      </c>
      <c r="N7" s="17">
        <f t="shared" si="1"/>
        <v>0</v>
      </c>
      <c r="O7" s="153"/>
      <c r="P7" s="153"/>
    </row>
    <row r="8" ht="13.5" customHeight="1">
      <c r="A8" s="15" t="s">
        <v>18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17">
        <f t="shared" si="1"/>
        <v>0</v>
      </c>
      <c r="O8" s="153"/>
      <c r="P8" s="153"/>
    </row>
    <row r="9" ht="13.5" customHeight="1">
      <c r="A9" s="20" t="s">
        <v>168</v>
      </c>
      <c r="B9" s="46">
        <f>FORMULAS!S104</f>
        <v>203.968254</v>
      </c>
      <c r="C9" s="46">
        <f>FORMULAS!W104</f>
        <v>203.968254</v>
      </c>
      <c r="D9" s="46">
        <f>FORMULAS!AA104</f>
        <v>203.968254</v>
      </c>
      <c r="E9" s="46">
        <f>FORMULAS!AE104</f>
        <v>1131.750886</v>
      </c>
      <c r="F9" s="46">
        <f>FORMULAS!AI104</f>
        <v>1971.915298</v>
      </c>
      <c r="G9" s="46">
        <f>FORMULAS!AM104</f>
        <v>1800.17855</v>
      </c>
      <c r="H9" s="46">
        <f>FORMULAS!AQ104</f>
        <v>1033.185183</v>
      </c>
      <c r="I9" s="46">
        <f>FORMULAS!AU104</f>
        <v>1033.185183</v>
      </c>
      <c r="J9" s="46">
        <f>FORMULAS!AY104</f>
        <v>1416.681866</v>
      </c>
      <c r="K9" s="46">
        <f>FORMULAS!BC104</f>
        <v>1416.681866</v>
      </c>
      <c r="L9" s="46">
        <f>FORMULAS!BG104</f>
        <v>1800.17855</v>
      </c>
      <c r="M9" s="46">
        <f>FORMULAS!BK104</f>
        <v>1800.17855</v>
      </c>
      <c r="N9" s="17">
        <f t="shared" si="1"/>
        <v>14015.8407</v>
      </c>
      <c r="O9" s="153"/>
      <c r="P9" s="153"/>
    </row>
    <row r="10" ht="13.5" customHeight="1">
      <c r="A10" s="19" t="s">
        <v>278</v>
      </c>
      <c r="B10" s="46">
        <f>FORMULAS!S80</f>
        <v>876.3835979</v>
      </c>
      <c r="C10" s="46">
        <f>FORMULAS!W80</f>
        <v>642.1736508</v>
      </c>
      <c r="D10" s="46">
        <f>FORMULAS!AA80</f>
        <v>929.4425397</v>
      </c>
      <c r="E10" s="46">
        <f>FORMULAS!AE80</f>
        <v>836.2698413</v>
      </c>
      <c r="F10" s="46">
        <f>FORMULAS!AI80</f>
        <v>0</v>
      </c>
      <c r="G10" s="46">
        <f>FORMULAS!AM80</f>
        <v>0</v>
      </c>
      <c r="H10" s="46">
        <f>FORMULAS!AQ80</f>
        <v>0</v>
      </c>
      <c r="I10" s="46">
        <f>FORMULAS!AU80</f>
        <v>0</v>
      </c>
      <c r="J10" s="46">
        <f>FORMULAS!AY80</f>
        <v>0</v>
      </c>
      <c r="K10" s="46">
        <f>FORMULAS!BC80</f>
        <v>789.5519957</v>
      </c>
      <c r="L10" s="46">
        <f>FORMULAS!BG80</f>
        <v>789.5519957</v>
      </c>
      <c r="M10" s="46">
        <f>FORMULAS!BK80</f>
        <v>789.5519957</v>
      </c>
      <c r="N10" s="17">
        <f t="shared" si="1"/>
        <v>5652.925617</v>
      </c>
      <c r="O10" s="153"/>
      <c r="P10" s="153"/>
    </row>
    <row r="11" ht="13.5" customHeight="1">
      <c r="A11" s="15" t="s">
        <v>21</v>
      </c>
      <c r="B11" s="87">
        <v>194.0</v>
      </c>
      <c r="C11" s="87">
        <v>291.22</v>
      </c>
      <c r="D11" s="87">
        <v>194.0</v>
      </c>
      <c r="E11" s="87">
        <v>194.0</v>
      </c>
      <c r="F11" s="87">
        <v>194.0</v>
      </c>
      <c r="G11" s="87">
        <v>194.0</v>
      </c>
      <c r="H11" s="87">
        <v>194.0</v>
      </c>
      <c r="I11" s="87">
        <v>194.0</v>
      </c>
      <c r="J11" s="87">
        <v>194.0</v>
      </c>
      <c r="K11" s="87">
        <v>194.0</v>
      </c>
      <c r="L11" s="87">
        <v>194.0</v>
      </c>
      <c r="M11" s="87">
        <v>194.0</v>
      </c>
      <c r="N11" s="17">
        <f t="shared" si="1"/>
        <v>2425.22</v>
      </c>
      <c r="O11" s="153"/>
      <c r="P11" s="153"/>
    </row>
    <row r="12" ht="13.5" customHeight="1">
      <c r="A12" s="15" t="s">
        <v>22</v>
      </c>
      <c r="B12" s="101">
        <f>PRODUCTION!AB3</f>
        <v>200</v>
      </c>
      <c r="C12" s="102">
        <f>PRODUCTION!AB4</f>
        <v>542.6</v>
      </c>
      <c r="D12" s="102">
        <f>PRODUCTION!AB5</f>
        <v>542.6</v>
      </c>
      <c r="E12" s="102">
        <f>PRODUCTION!AB6</f>
        <v>542.6</v>
      </c>
      <c r="F12" s="102">
        <f>PRODUCTION!AB7</f>
        <v>542.6</v>
      </c>
      <c r="G12" s="102">
        <f>PRODUCTION!AB8</f>
        <v>542.6</v>
      </c>
      <c r="H12" s="102">
        <f>PRODUCTION!AB9</f>
        <v>542.6</v>
      </c>
      <c r="I12" s="102">
        <f>PRODUCTION!AB10</f>
        <v>542.6</v>
      </c>
      <c r="J12" s="102">
        <f>PRODUCTION!AB11</f>
        <v>542.6</v>
      </c>
      <c r="K12" s="102">
        <f>PRODUCTION!AB12</f>
        <v>542.6</v>
      </c>
      <c r="L12" s="102">
        <f>PRODUCTION!AB13</f>
        <v>542.6</v>
      </c>
      <c r="M12" s="102">
        <f>PRODUCTION!AB14</f>
        <v>542.6</v>
      </c>
      <c r="N12" s="17">
        <f t="shared" si="1"/>
        <v>6168.6</v>
      </c>
      <c r="O12" s="153"/>
      <c r="P12" s="153"/>
    </row>
    <row r="13" ht="13.5" customHeight="1">
      <c r="A13" s="21" t="s">
        <v>23</v>
      </c>
      <c r="B13" s="22">
        <f t="shared" ref="B13:N13" si="2">SUM(B5:B12)</f>
        <v>3758.796296</v>
      </c>
      <c r="C13" s="22">
        <f t="shared" si="2"/>
        <v>3964.406349</v>
      </c>
      <c r="D13" s="22">
        <f t="shared" si="2"/>
        <v>4154.455238</v>
      </c>
      <c r="E13" s="22">
        <f t="shared" si="2"/>
        <v>5773.744642</v>
      </c>
      <c r="F13" s="22">
        <f t="shared" si="2"/>
        <v>7032.890953</v>
      </c>
      <c r="G13" s="22">
        <f t="shared" si="2"/>
        <v>6484.538528</v>
      </c>
      <c r="H13" s="22">
        <f t="shared" si="2"/>
        <v>4448.622311</v>
      </c>
      <c r="I13" s="22">
        <f t="shared" si="2"/>
        <v>4448.622311</v>
      </c>
      <c r="J13" s="22">
        <f t="shared" si="2"/>
        <v>5537.076134</v>
      </c>
      <c r="K13" s="22">
        <f t="shared" si="2"/>
        <v>6326.628129</v>
      </c>
      <c r="L13" s="22">
        <f t="shared" si="2"/>
        <v>7274.090524</v>
      </c>
      <c r="M13" s="22">
        <f t="shared" si="2"/>
        <v>7274.090524</v>
      </c>
      <c r="N13" s="22">
        <f t="shared" si="2"/>
        <v>66477.96194</v>
      </c>
      <c r="O13" s="190"/>
      <c r="P13" s="190"/>
    </row>
    <row r="14" ht="13.5" customHeight="1">
      <c r="A14" s="89" t="s">
        <v>24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83"/>
      <c r="O14" s="170"/>
      <c r="P14" s="170"/>
    </row>
    <row r="15" ht="13.5" customHeight="1">
      <c r="A15" s="35" t="s">
        <v>153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17">
        <f t="shared" ref="N15:N20" si="3">SUM(B15:M15)</f>
        <v>0</v>
      </c>
      <c r="O15" s="153"/>
      <c r="P15" s="153"/>
    </row>
    <row r="16" ht="13.5" customHeight="1">
      <c r="A16" s="35" t="s">
        <v>26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17">
        <f t="shared" si="3"/>
        <v>0</v>
      </c>
      <c r="O16" s="153"/>
      <c r="P16" s="153"/>
    </row>
    <row r="17" ht="13.5" customHeight="1">
      <c r="A17" s="3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17">
        <f t="shared" si="3"/>
        <v>0</v>
      </c>
      <c r="O17" s="153"/>
      <c r="P17" s="153"/>
    </row>
    <row r="18" ht="13.5" customHeight="1">
      <c r="A18" s="3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17">
        <f t="shared" si="3"/>
        <v>0</v>
      </c>
      <c r="O18" s="153"/>
      <c r="P18" s="153"/>
    </row>
    <row r="19" ht="13.5" customHeight="1">
      <c r="A19" s="27" t="s">
        <v>29</v>
      </c>
      <c r="B19" s="103"/>
      <c r="C19" s="103"/>
      <c r="D19" s="46"/>
      <c r="E19" s="87"/>
      <c r="F19" s="46"/>
      <c r="G19" s="46"/>
      <c r="H19" s="46"/>
      <c r="I19" s="46"/>
      <c r="J19" s="46"/>
      <c r="K19" s="46"/>
      <c r="L19" s="46"/>
      <c r="M19" s="46"/>
      <c r="N19" s="17">
        <f t="shared" si="3"/>
        <v>0</v>
      </c>
      <c r="O19" s="153"/>
      <c r="P19" s="153"/>
    </row>
    <row r="20" ht="13.5" customHeight="1">
      <c r="A20" s="3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17">
        <f t="shared" si="3"/>
        <v>0</v>
      </c>
      <c r="O20" s="153"/>
      <c r="P20" s="153"/>
    </row>
    <row r="21" ht="13.5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  <c r="O21" s="175"/>
      <c r="P21" s="175"/>
    </row>
    <row r="22" ht="13.5" customHeight="1">
      <c r="A22" s="89" t="s">
        <v>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3"/>
      <c r="O22" s="170"/>
      <c r="P22" s="170"/>
    </row>
    <row r="23" ht="13.5" customHeight="1">
      <c r="A23" s="26" t="s">
        <v>31</v>
      </c>
      <c r="B23" s="87">
        <v>0.0</v>
      </c>
      <c r="C23" s="87">
        <v>0.0</v>
      </c>
      <c r="D23" s="87">
        <v>1974.0</v>
      </c>
      <c r="E23" s="87">
        <v>0.0</v>
      </c>
      <c r="F23" s="87">
        <v>0.0</v>
      </c>
      <c r="G23" s="87">
        <v>0.0</v>
      </c>
      <c r="H23" s="87">
        <v>0.0</v>
      </c>
      <c r="I23" s="87">
        <v>0.0</v>
      </c>
      <c r="J23" s="87">
        <v>0.0</v>
      </c>
      <c r="K23" s="87">
        <v>0.0</v>
      </c>
      <c r="L23" s="87">
        <v>0.0</v>
      </c>
      <c r="M23" s="87">
        <v>0.0</v>
      </c>
      <c r="N23" s="17">
        <f t="shared" ref="N23:N31" si="5">SUM(B23:M23)</f>
        <v>1974</v>
      </c>
      <c r="O23" s="153"/>
      <c r="P23" s="153"/>
    </row>
    <row r="24" ht="13.5" customHeight="1">
      <c r="A24" s="32"/>
      <c r="B24" s="46"/>
      <c r="C24" s="46"/>
      <c r="D24" s="46"/>
      <c r="E24" s="46"/>
      <c r="F24" s="87"/>
      <c r="G24" s="46"/>
      <c r="H24" s="46"/>
      <c r="I24" s="46"/>
      <c r="J24" s="46"/>
      <c r="K24" s="46"/>
      <c r="L24" s="46"/>
      <c r="M24" s="46"/>
      <c r="N24" s="17">
        <f t="shared" si="5"/>
        <v>0</v>
      </c>
      <c r="O24" s="153"/>
      <c r="P24" s="153"/>
    </row>
    <row r="25" ht="13.5" customHeight="1">
      <c r="A25" s="15" t="s">
        <v>127</v>
      </c>
      <c r="B25" s="46"/>
      <c r="C25" s="46"/>
      <c r="D25" s="46"/>
      <c r="E25" s="46"/>
      <c r="F25" s="46"/>
      <c r="G25" s="46"/>
      <c r="H25" s="46"/>
      <c r="I25" s="87"/>
      <c r="J25" s="46"/>
      <c r="K25" s="46"/>
      <c r="L25" s="46"/>
      <c r="M25" s="46"/>
      <c r="N25" s="17">
        <f t="shared" si="5"/>
        <v>0</v>
      </c>
      <c r="O25" s="153"/>
      <c r="P25" s="153"/>
    </row>
    <row r="26" ht="13.5" customHeight="1">
      <c r="A26" s="32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17">
        <f t="shared" si="5"/>
        <v>0</v>
      </c>
      <c r="O26" s="153"/>
      <c r="P26" s="153"/>
    </row>
    <row r="27" ht="13.5" customHeight="1">
      <c r="A27" s="31" t="s">
        <v>34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17">
        <f t="shared" si="5"/>
        <v>0</v>
      </c>
      <c r="O27" s="153"/>
      <c r="P27" s="153"/>
    </row>
    <row r="28" ht="13.5" customHeight="1">
      <c r="A28" s="33" t="s">
        <v>35</v>
      </c>
      <c r="B28" s="46"/>
      <c r="C28" s="46"/>
      <c r="D28" s="46"/>
      <c r="E28" s="46"/>
      <c r="F28" s="46"/>
      <c r="G28" s="46"/>
      <c r="H28" s="46"/>
      <c r="I28" s="46"/>
      <c r="J28" s="87"/>
      <c r="K28" s="87"/>
      <c r="L28" s="46"/>
      <c r="M28" s="46"/>
      <c r="N28" s="17">
        <f t="shared" si="5"/>
        <v>0</v>
      </c>
      <c r="O28" s="153"/>
      <c r="P28" s="153"/>
    </row>
    <row r="29" ht="13.5" customHeight="1">
      <c r="A29" s="27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17">
        <f t="shared" si="5"/>
        <v>0</v>
      </c>
      <c r="O29" s="153"/>
      <c r="P29" s="153"/>
    </row>
    <row r="30" ht="13.5" customHeight="1">
      <c r="A30" s="31" t="s">
        <v>37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17">
        <f t="shared" si="5"/>
        <v>0</v>
      </c>
      <c r="O30" s="153"/>
      <c r="P30" s="153"/>
    </row>
    <row r="31" ht="13.5" customHeight="1">
      <c r="A31" s="32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17">
        <f t="shared" si="5"/>
        <v>0</v>
      </c>
      <c r="O31" s="153"/>
      <c r="P31" s="153"/>
    </row>
    <row r="32" ht="13.5" customHeight="1">
      <c r="A32" s="91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1974</v>
      </c>
      <c r="E32" s="28">
        <f t="shared" si="6"/>
        <v>0</v>
      </c>
      <c r="F32" s="28">
        <f t="shared" si="6"/>
        <v>0</v>
      </c>
      <c r="G32" s="28">
        <f t="shared" si="6"/>
        <v>0</v>
      </c>
      <c r="H32" s="28">
        <f t="shared" si="6"/>
        <v>0</v>
      </c>
      <c r="I32" s="28">
        <f t="shared" si="6"/>
        <v>0</v>
      </c>
      <c r="J32" s="28">
        <f t="shared" si="6"/>
        <v>0</v>
      </c>
      <c r="K32" s="28">
        <f t="shared" si="6"/>
        <v>0</v>
      </c>
      <c r="L32" s="28">
        <f t="shared" si="6"/>
        <v>0</v>
      </c>
      <c r="M32" s="28">
        <f t="shared" si="6"/>
        <v>0</v>
      </c>
      <c r="N32" s="28">
        <f t="shared" si="6"/>
        <v>1974</v>
      </c>
      <c r="O32" s="175"/>
      <c r="P32" s="175"/>
    </row>
    <row r="33" ht="13.5" customHeight="1">
      <c r="A33" s="79" t="s">
        <v>38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170"/>
      <c r="P33" s="170"/>
    </row>
    <row r="34" ht="13.5" customHeight="1">
      <c r="A34" s="15" t="s">
        <v>39</v>
      </c>
      <c r="B34" s="87">
        <f t="shared" ref="B34:E34" si="7">1163+124.75+425</f>
        <v>1712.75</v>
      </c>
      <c r="C34" s="87">
        <f t="shared" si="7"/>
        <v>1712.75</v>
      </c>
      <c r="D34" s="87">
        <f t="shared" si="7"/>
        <v>1712.75</v>
      </c>
      <c r="E34" s="87">
        <f t="shared" si="7"/>
        <v>1712.75</v>
      </c>
      <c r="F34" s="87">
        <f t="shared" ref="F34:M34" si="8">1163+224.5+425</f>
        <v>1812.5</v>
      </c>
      <c r="G34" s="87">
        <f t="shared" si="8"/>
        <v>1812.5</v>
      </c>
      <c r="H34" s="87">
        <f t="shared" si="8"/>
        <v>1812.5</v>
      </c>
      <c r="I34" s="87">
        <f t="shared" si="8"/>
        <v>1812.5</v>
      </c>
      <c r="J34" s="87">
        <f t="shared" si="8"/>
        <v>1812.5</v>
      </c>
      <c r="K34" s="87">
        <f t="shared" si="8"/>
        <v>1812.5</v>
      </c>
      <c r="L34" s="87">
        <f t="shared" si="8"/>
        <v>1812.5</v>
      </c>
      <c r="M34" s="87">
        <f t="shared" si="8"/>
        <v>1812.5</v>
      </c>
      <c r="N34" s="17">
        <f t="shared" ref="N34:N51" si="9">SUM(B34:M34)</f>
        <v>21351</v>
      </c>
      <c r="O34" s="153"/>
      <c r="P34" s="153"/>
    </row>
    <row r="35" ht="13.5" customHeight="1">
      <c r="A35" s="19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17">
        <f t="shared" si="9"/>
        <v>0</v>
      </c>
      <c r="O35" s="153"/>
      <c r="P35" s="153"/>
    </row>
    <row r="36" ht="13.5" customHeight="1">
      <c r="A36" s="35" t="s">
        <v>41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17">
        <f t="shared" si="9"/>
        <v>0</v>
      </c>
      <c r="O36" s="153"/>
      <c r="P36" s="153"/>
    </row>
    <row r="37" ht="13.5" customHeight="1">
      <c r="A37" s="35" t="s">
        <v>42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17">
        <f t="shared" si="9"/>
        <v>0</v>
      </c>
      <c r="O37" s="153"/>
      <c r="P37" s="153"/>
    </row>
    <row r="38" ht="13.5" customHeight="1">
      <c r="A38" s="35" t="s">
        <v>43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17">
        <f t="shared" si="9"/>
        <v>0</v>
      </c>
      <c r="O38" s="153"/>
      <c r="P38" s="153"/>
    </row>
    <row r="39" ht="13.5" customHeight="1">
      <c r="A39" s="35" t="s">
        <v>44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17">
        <f t="shared" si="9"/>
        <v>0</v>
      </c>
      <c r="O39" s="153"/>
      <c r="P39" s="153"/>
    </row>
    <row r="40" ht="13.5" customHeight="1">
      <c r="A40" s="35" t="s">
        <v>45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17">
        <f t="shared" si="9"/>
        <v>0</v>
      </c>
      <c r="O40" s="153"/>
      <c r="P40" s="153"/>
    </row>
    <row r="41" ht="13.5" customHeight="1">
      <c r="A41" s="35" t="s">
        <v>46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17">
        <f t="shared" si="9"/>
        <v>0</v>
      </c>
      <c r="O41" s="153"/>
      <c r="P41" s="153"/>
    </row>
    <row r="42" ht="13.5" customHeight="1">
      <c r="A42" s="19" t="s">
        <v>146</v>
      </c>
      <c r="B42" s="87">
        <v>91.25</v>
      </c>
      <c r="C42" s="87">
        <v>91.25</v>
      </c>
      <c r="D42" s="87">
        <v>91.25</v>
      </c>
      <c r="E42" s="87">
        <v>91.25</v>
      </c>
      <c r="F42" s="87">
        <v>91.25</v>
      </c>
      <c r="G42" s="87">
        <v>91.25</v>
      </c>
      <c r="H42" s="87">
        <v>91.25</v>
      </c>
      <c r="I42" s="87">
        <v>91.25</v>
      </c>
      <c r="J42" s="87">
        <v>91.25</v>
      </c>
      <c r="K42" s="87">
        <v>91.25</v>
      </c>
      <c r="L42" s="87">
        <v>91.25</v>
      </c>
      <c r="M42" s="87">
        <v>91.25</v>
      </c>
      <c r="N42" s="17">
        <f t="shared" si="9"/>
        <v>1095</v>
      </c>
      <c r="O42" s="153"/>
      <c r="P42" s="153"/>
    </row>
    <row r="43" ht="13.5" customHeight="1">
      <c r="A43" s="19" t="s">
        <v>248</v>
      </c>
      <c r="B43" s="87">
        <v>362.25</v>
      </c>
      <c r="C43" s="87">
        <v>362.25</v>
      </c>
      <c r="D43" s="87">
        <v>362.25</v>
      </c>
      <c r="E43" s="87">
        <v>362.25</v>
      </c>
      <c r="F43" s="87">
        <v>362.25</v>
      </c>
      <c r="G43" s="87">
        <v>362.25</v>
      </c>
      <c r="H43" s="87">
        <v>362.25</v>
      </c>
      <c r="I43" s="87">
        <v>343.97</v>
      </c>
      <c r="J43" s="87">
        <v>343.97</v>
      </c>
      <c r="K43" s="87">
        <v>343.97</v>
      </c>
      <c r="L43" s="87">
        <v>343.97</v>
      </c>
      <c r="M43" s="87">
        <v>343.97</v>
      </c>
      <c r="N43" s="17">
        <f t="shared" si="9"/>
        <v>4255.6</v>
      </c>
      <c r="O43" s="153"/>
      <c r="P43" s="153"/>
    </row>
    <row r="44" ht="13.5" customHeight="1">
      <c r="A44" s="19" t="s">
        <v>249</v>
      </c>
      <c r="B44" s="87">
        <v>199.0</v>
      </c>
      <c r="C44" s="87">
        <v>199.0</v>
      </c>
      <c r="D44" s="87">
        <v>199.0</v>
      </c>
      <c r="E44" s="87">
        <v>199.0</v>
      </c>
      <c r="F44" s="87">
        <v>199.0</v>
      </c>
      <c r="G44" s="87">
        <v>199.0</v>
      </c>
      <c r="H44" s="87">
        <v>199.0</v>
      </c>
      <c r="I44" s="87">
        <v>199.0</v>
      </c>
      <c r="J44" s="87">
        <v>199.0</v>
      </c>
      <c r="K44" s="87">
        <v>199.0</v>
      </c>
      <c r="L44" s="87">
        <v>199.0</v>
      </c>
      <c r="M44" s="87">
        <v>199.0</v>
      </c>
      <c r="N44" s="17">
        <f t="shared" si="9"/>
        <v>2388</v>
      </c>
      <c r="O44" s="153"/>
      <c r="P44" s="153"/>
    </row>
    <row r="45" ht="13.5" customHeight="1">
      <c r="A45" s="156" t="s">
        <v>50</v>
      </c>
      <c r="B45" s="46">
        <f t="shared" ref="B45:M45" si="10">45+97.5+99</f>
        <v>241.5</v>
      </c>
      <c r="C45" s="46">
        <f t="shared" si="10"/>
        <v>241.5</v>
      </c>
      <c r="D45" s="46">
        <f t="shared" si="10"/>
        <v>241.5</v>
      </c>
      <c r="E45" s="46">
        <f t="shared" si="10"/>
        <v>241.5</v>
      </c>
      <c r="F45" s="46">
        <f t="shared" si="10"/>
        <v>241.5</v>
      </c>
      <c r="G45" s="46">
        <f t="shared" si="10"/>
        <v>241.5</v>
      </c>
      <c r="H45" s="46">
        <f t="shared" si="10"/>
        <v>241.5</v>
      </c>
      <c r="I45" s="46">
        <f t="shared" si="10"/>
        <v>241.5</v>
      </c>
      <c r="J45" s="46">
        <f t="shared" si="10"/>
        <v>241.5</v>
      </c>
      <c r="K45" s="46">
        <f t="shared" si="10"/>
        <v>241.5</v>
      </c>
      <c r="L45" s="46">
        <f t="shared" si="10"/>
        <v>241.5</v>
      </c>
      <c r="M45" s="46">
        <f t="shared" si="10"/>
        <v>241.5</v>
      </c>
      <c r="N45" s="17">
        <f t="shared" si="9"/>
        <v>2898</v>
      </c>
      <c r="O45" s="153"/>
      <c r="P45" s="153"/>
    </row>
    <row r="46" ht="13.5" customHeight="1">
      <c r="A46" s="15" t="s">
        <v>51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17">
        <f t="shared" si="9"/>
        <v>0</v>
      </c>
      <c r="O46" s="153"/>
      <c r="P46" s="153"/>
    </row>
    <row r="47" ht="13.5" customHeight="1">
      <c r="A47" s="19" t="s">
        <v>52</v>
      </c>
      <c r="B47" s="87">
        <f t="shared" ref="B47:M47" si="11">212.5</f>
        <v>212.5</v>
      </c>
      <c r="C47" s="87">
        <f t="shared" si="11"/>
        <v>212.5</v>
      </c>
      <c r="D47" s="87">
        <f t="shared" si="11"/>
        <v>212.5</v>
      </c>
      <c r="E47" s="87">
        <f t="shared" si="11"/>
        <v>212.5</v>
      </c>
      <c r="F47" s="87">
        <f t="shared" si="11"/>
        <v>212.5</v>
      </c>
      <c r="G47" s="87">
        <f t="shared" si="11"/>
        <v>212.5</v>
      </c>
      <c r="H47" s="87">
        <f t="shared" si="11"/>
        <v>212.5</v>
      </c>
      <c r="I47" s="87">
        <f t="shared" si="11"/>
        <v>212.5</v>
      </c>
      <c r="J47" s="87">
        <f t="shared" si="11"/>
        <v>212.5</v>
      </c>
      <c r="K47" s="87">
        <f t="shared" si="11"/>
        <v>212.5</v>
      </c>
      <c r="L47" s="87">
        <f t="shared" si="11"/>
        <v>212.5</v>
      </c>
      <c r="M47" s="87">
        <f t="shared" si="11"/>
        <v>212.5</v>
      </c>
      <c r="N47" s="17">
        <f t="shared" si="9"/>
        <v>2550</v>
      </c>
      <c r="O47" s="153"/>
      <c r="P47" s="153"/>
    </row>
    <row r="48" ht="13.5" customHeight="1">
      <c r="A48" s="19" t="s">
        <v>131</v>
      </c>
      <c r="B48" s="87">
        <f t="shared" ref="B48:M48" si="12">350.33+55.66</f>
        <v>405.99</v>
      </c>
      <c r="C48" s="87">
        <f t="shared" si="12"/>
        <v>405.99</v>
      </c>
      <c r="D48" s="87">
        <f t="shared" si="12"/>
        <v>405.99</v>
      </c>
      <c r="E48" s="87">
        <f t="shared" si="12"/>
        <v>405.99</v>
      </c>
      <c r="F48" s="87">
        <f t="shared" si="12"/>
        <v>405.99</v>
      </c>
      <c r="G48" s="87">
        <f t="shared" si="12"/>
        <v>405.99</v>
      </c>
      <c r="H48" s="87">
        <f t="shared" si="12"/>
        <v>405.99</v>
      </c>
      <c r="I48" s="87">
        <f t="shared" si="12"/>
        <v>405.99</v>
      </c>
      <c r="J48" s="87">
        <f t="shared" si="12"/>
        <v>405.99</v>
      </c>
      <c r="K48" s="87">
        <f t="shared" si="12"/>
        <v>405.99</v>
      </c>
      <c r="L48" s="87">
        <f t="shared" si="12"/>
        <v>405.99</v>
      </c>
      <c r="M48" s="87">
        <f t="shared" si="12"/>
        <v>405.99</v>
      </c>
      <c r="N48" s="17">
        <f t="shared" si="9"/>
        <v>4871.88</v>
      </c>
      <c r="O48" s="153"/>
      <c r="P48" s="153"/>
    </row>
    <row r="49" ht="13.5" customHeight="1">
      <c r="A49" s="35" t="s">
        <v>54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17">
        <f t="shared" si="9"/>
        <v>0</v>
      </c>
      <c r="O49" s="153"/>
      <c r="P49" s="153"/>
    </row>
    <row r="50" ht="13.5" customHeight="1">
      <c r="A50" s="19" t="s">
        <v>240</v>
      </c>
      <c r="B50" s="46"/>
      <c r="C50" s="46"/>
      <c r="D50" s="46"/>
      <c r="E50" s="87"/>
      <c r="F50" s="87"/>
      <c r="G50" s="87"/>
      <c r="H50" s="87"/>
      <c r="I50" s="87"/>
      <c r="J50" s="87"/>
      <c r="K50" s="87"/>
      <c r="L50" s="87"/>
      <c r="M50" s="87"/>
      <c r="N50" s="17">
        <f t="shared" si="9"/>
        <v>0</v>
      </c>
      <c r="O50" s="153"/>
      <c r="P50" s="153"/>
    </row>
    <row r="51" ht="13.5" customHeight="1">
      <c r="A51" s="15" t="s">
        <v>160</v>
      </c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17">
        <f t="shared" si="9"/>
        <v>0</v>
      </c>
      <c r="O51" s="153"/>
      <c r="P51" s="153"/>
    </row>
    <row r="52" ht="13.5" customHeight="1">
      <c r="A52" s="91" t="s">
        <v>23</v>
      </c>
      <c r="B52" s="28">
        <f t="shared" ref="B52:N52" si="13">SUM(B34:B51)</f>
        <v>3225.24</v>
      </c>
      <c r="C52" s="28">
        <f t="shared" si="13"/>
        <v>3225.24</v>
      </c>
      <c r="D52" s="28">
        <f t="shared" si="13"/>
        <v>3225.24</v>
      </c>
      <c r="E52" s="28">
        <f t="shared" si="13"/>
        <v>3225.24</v>
      </c>
      <c r="F52" s="28">
        <f t="shared" si="13"/>
        <v>3324.99</v>
      </c>
      <c r="G52" s="28">
        <f t="shared" si="13"/>
        <v>3324.99</v>
      </c>
      <c r="H52" s="28">
        <f t="shared" si="13"/>
        <v>3324.99</v>
      </c>
      <c r="I52" s="28">
        <f t="shared" si="13"/>
        <v>3306.71</v>
      </c>
      <c r="J52" s="28">
        <f t="shared" si="13"/>
        <v>3306.71</v>
      </c>
      <c r="K52" s="28">
        <f t="shared" si="13"/>
        <v>3306.71</v>
      </c>
      <c r="L52" s="28">
        <f t="shared" si="13"/>
        <v>3306.71</v>
      </c>
      <c r="M52" s="28">
        <f t="shared" si="13"/>
        <v>3306.71</v>
      </c>
      <c r="N52" s="28">
        <f t="shared" si="13"/>
        <v>39409.48</v>
      </c>
      <c r="O52" s="175"/>
      <c r="P52" s="175"/>
    </row>
    <row r="53" ht="13.5" customHeight="1">
      <c r="A53" s="79" t="s">
        <v>56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170"/>
      <c r="P53" s="170"/>
    </row>
    <row r="54" ht="13.5" customHeight="1">
      <c r="A54" s="32" t="s">
        <v>57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17">
        <f t="shared" ref="N54:N69" si="14">SUM(B54:M54)</f>
        <v>0</v>
      </c>
      <c r="O54" s="153"/>
      <c r="P54" s="153"/>
    </row>
    <row r="55" ht="13.5" customHeight="1">
      <c r="A55" s="32" t="s">
        <v>58</v>
      </c>
      <c r="B55" s="87">
        <v>1075.0</v>
      </c>
      <c r="C55" s="87">
        <v>1050.0</v>
      </c>
      <c r="D55" s="87">
        <v>1050.0</v>
      </c>
      <c r="E55" s="87">
        <v>1050.0</v>
      </c>
      <c r="F55" s="87">
        <v>1050.0</v>
      </c>
      <c r="G55" s="87">
        <v>1050.0</v>
      </c>
      <c r="H55" s="87">
        <v>950.0</v>
      </c>
      <c r="I55" s="87">
        <v>1075.0</v>
      </c>
      <c r="J55" s="87">
        <v>1600.0</v>
      </c>
      <c r="K55" s="87">
        <v>1600.0</v>
      </c>
      <c r="L55" s="87">
        <v>1600.0</v>
      </c>
      <c r="M55" s="87">
        <v>1600.0</v>
      </c>
      <c r="N55" s="17">
        <f t="shared" si="14"/>
        <v>14750</v>
      </c>
      <c r="O55" s="153"/>
      <c r="P55" s="153"/>
    </row>
    <row r="56" ht="13.5" customHeight="1">
      <c r="A56" s="31" t="s">
        <v>59</v>
      </c>
      <c r="B56" s="87">
        <v>420.0</v>
      </c>
      <c r="C56" s="87">
        <v>420.0</v>
      </c>
      <c r="D56" s="87">
        <v>420.0</v>
      </c>
      <c r="E56" s="87">
        <v>420.0</v>
      </c>
      <c r="F56" s="87">
        <v>420.0</v>
      </c>
      <c r="G56" s="87">
        <v>420.0</v>
      </c>
      <c r="H56" s="87">
        <v>420.0</v>
      </c>
      <c r="I56" s="87">
        <v>420.0</v>
      </c>
      <c r="J56" s="87">
        <v>420.0</v>
      </c>
      <c r="K56" s="87">
        <v>420.0</v>
      </c>
      <c r="L56" s="87">
        <v>420.0</v>
      </c>
      <c r="M56" s="87">
        <v>420.0</v>
      </c>
      <c r="N56" s="17">
        <f t="shared" si="14"/>
        <v>5040</v>
      </c>
      <c r="O56" s="153"/>
      <c r="P56" s="153"/>
    </row>
    <row r="57" ht="13.5" customHeight="1">
      <c r="A57" s="31" t="s">
        <v>133</v>
      </c>
      <c r="B57" s="87">
        <v>0.0</v>
      </c>
      <c r="C57" s="87">
        <v>0.0</v>
      </c>
      <c r="D57" s="87">
        <v>0.0</v>
      </c>
      <c r="E57" s="87">
        <v>0.0</v>
      </c>
      <c r="F57" s="87">
        <v>0.0</v>
      </c>
      <c r="G57" s="87">
        <v>0.0</v>
      </c>
      <c r="H57" s="87">
        <v>0.0</v>
      </c>
      <c r="I57" s="87">
        <v>0.0</v>
      </c>
      <c r="J57" s="87">
        <v>0.0</v>
      </c>
      <c r="K57" s="87">
        <v>0.0</v>
      </c>
      <c r="L57" s="87">
        <v>0.0</v>
      </c>
      <c r="M57" s="87">
        <v>0.0</v>
      </c>
      <c r="N57" s="17">
        <f t="shared" si="14"/>
        <v>0</v>
      </c>
      <c r="O57" s="153"/>
      <c r="P57" s="153"/>
    </row>
    <row r="58" ht="13.5" customHeight="1">
      <c r="A58" s="31" t="s">
        <v>134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17">
        <f t="shared" si="14"/>
        <v>0</v>
      </c>
      <c r="O58" s="153"/>
      <c r="P58" s="153"/>
    </row>
    <row r="59" ht="13.5" customHeight="1">
      <c r="A59" s="31" t="s">
        <v>135</v>
      </c>
      <c r="B59" s="87">
        <v>312.5</v>
      </c>
      <c r="C59" s="87">
        <v>312.5</v>
      </c>
      <c r="D59" s="87">
        <v>312.5</v>
      </c>
      <c r="E59" s="87">
        <v>312.5</v>
      </c>
      <c r="F59" s="87">
        <v>312.5</v>
      </c>
      <c r="G59" s="87">
        <v>312.5</v>
      </c>
      <c r="H59" s="87">
        <v>312.5</v>
      </c>
      <c r="I59" s="87">
        <v>312.5</v>
      </c>
      <c r="J59" s="87">
        <v>312.5</v>
      </c>
      <c r="K59" s="87">
        <v>312.5</v>
      </c>
      <c r="L59" s="87">
        <v>312.5</v>
      </c>
      <c r="M59" s="87">
        <v>312.5</v>
      </c>
      <c r="N59" s="17">
        <f t="shared" si="14"/>
        <v>3750</v>
      </c>
      <c r="O59" s="153"/>
      <c r="P59" s="153"/>
    </row>
    <row r="60" ht="13.5" customHeight="1">
      <c r="A60" s="32" t="s">
        <v>136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17">
        <f t="shared" si="14"/>
        <v>0</v>
      </c>
      <c r="O60" s="153"/>
      <c r="P60" s="153"/>
    </row>
    <row r="61" ht="13.5" customHeight="1">
      <c r="A61" s="32" t="s">
        <v>137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17">
        <f t="shared" si="14"/>
        <v>0</v>
      </c>
      <c r="O61" s="153"/>
      <c r="P61" s="153"/>
    </row>
    <row r="62" ht="13.5" customHeight="1">
      <c r="A62" s="32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14"/>
        <v>0</v>
      </c>
      <c r="O62" s="153"/>
      <c r="P62" s="153"/>
    </row>
    <row r="63" ht="13.5" customHeight="1">
      <c r="A63" s="31" t="s">
        <v>64</v>
      </c>
      <c r="B63" s="87">
        <v>3400.0</v>
      </c>
      <c r="C63" s="87">
        <v>3400.0</v>
      </c>
      <c r="D63" s="87">
        <v>3400.0</v>
      </c>
      <c r="E63" s="87">
        <v>3400.0</v>
      </c>
      <c r="F63" s="87">
        <v>3400.0</v>
      </c>
      <c r="G63" s="87">
        <v>3400.0</v>
      </c>
      <c r="H63" s="87">
        <v>3400.0</v>
      </c>
      <c r="I63" s="87">
        <v>3400.0</v>
      </c>
      <c r="J63" s="87">
        <v>3400.0</v>
      </c>
      <c r="K63" s="87">
        <v>3400.0</v>
      </c>
      <c r="L63" s="87">
        <v>3400.0</v>
      </c>
      <c r="M63" s="87">
        <v>3400.0</v>
      </c>
      <c r="N63" s="17">
        <f t="shared" si="14"/>
        <v>40800</v>
      </c>
      <c r="O63" s="153"/>
      <c r="P63" s="153"/>
    </row>
    <row r="64" ht="13.5" customHeight="1">
      <c r="A64" s="32" t="s">
        <v>65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17">
        <f t="shared" si="14"/>
        <v>0</v>
      </c>
      <c r="O64" s="153"/>
      <c r="P64" s="153"/>
    </row>
    <row r="65" ht="13.5" customHeight="1">
      <c r="A65" s="31" t="s">
        <v>66</v>
      </c>
      <c r="B65" s="46"/>
      <c r="C65" s="46"/>
      <c r="D65" s="46"/>
      <c r="E65" s="46"/>
      <c r="F65" s="46"/>
      <c r="G65" s="87"/>
      <c r="H65" s="46"/>
      <c r="I65" s="46"/>
      <c r="J65" s="46"/>
      <c r="K65" s="46"/>
      <c r="L65" s="46"/>
      <c r="M65" s="46"/>
      <c r="N65" s="17">
        <f t="shared" si="14"/>
        <v>0</v>
      </c>
      <c r="O65" s="153"/>
      <c r="P65" s="153"/>
    </row>
    <row r="66" ht="13.5" customHeight="1">
      <c r="A66" s="31" t="s">
        <v>67</v>
      </c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17">
        <f t="shared" si="14"/>
        <v>0</v>
      </c>
      <c r="O66" s="153"/>
      <c r="P66" s="153"/>
    </row>
    <row r="67" ht="13.5" customHeight="1">
      <c r="A67" s="25" t="s">
        <v>165</v>
      </c>
      <c r="B67" s="28"/>
      <c r="C67" s="28"/>
      <c r="D67" s="28"/>
      <c r="E67" s="28"/>
      <c r="F67" s="167"/>
      <c r="G67" s="167"/>
      <c r="H67" s="167"/>
      <c r="I67" s="87"/>
      <c r="J67" s="87"/>
      <c r="K67" s="87"/>
      <c r="L67" s="87"/>
      <c r="M67" s="87"/>
      <c r="N67" s="17">
        <f t="shared" si="14"/>
        <v>0</v>
      </c>
      <c r="O67" s="153"/>
      <c r="P67" s="153"/>
    </row>
    <row r="68" ht="13.5" customHeight="1">
      <c r="A68" s="25" t="s">
        <v>69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17">
        <f t="shared" si="14"/>
        <v>0</v>
      </c>
      <c r="O68" s="153"/>
      <c r="P68" s="153"/>
    </row>
    <row r="69" ht="13.5" customHeight="1">
      <c r="A69" s="39" t="s">
        <v>70</v>
      </c>
      <c r="B69" s="28"/>
      <c r="C69" s="28"/>
      <c r="D69" s="28"/>
      <c r="E69" s="28"/>
      <c r="F69" s="28"/>
      <c r="G69" s="28"/>
      <c r="H69" s="87"/>
      <c r="I69" s="87"/>
      <c r="J69" s="87"/>
      <c r="K69" s="87"/>
      <c r="L69" s="87"/>
      <c r="M69" s="87"/>
      <c r="N69" s="17">
        <f t="shared" si="14"/>
        <v>0</v>
      </c>
      <c r="O69" s="153"/>
      <c r="P69" s="153"/>
    </row>
    <row r="70" ht="13.5" customHeight="1">
      <c r="A70" s="91" t="s">
        <v>23</v>
      </c>
      <c r="B70" s="28">
        <f t="shared" ref="B70:M70" si="15">SUM(B54:B69)</f>
        <v>5207.5</v>
      </c>
      <c r="C70" s="28">
        <f t="shared" si="15"/>
        <v>5182.5</v>
      </c>
      <c r="D70" s="28">
        <f t="shared" si="15"/>
        <v>5182.5</v>
      </c>
      <c r="E70" s="28">
        <f t="shared" si="15"/>
        <v>5182.5</v>
      </c>
      <c r="F70" s="28">
        <f t="shared" si="15"/>
        <v>5182.5</v>
      </c>
      <c r="G70" s="28">
        <f t="shared" si="15"/>
        <v>5182.5</v>
      </c>
      <c r="H70" s="28">
        <f t="shared" si="15"/>
        <v>5082.5</v>
      </c>
      <c r="I70" s="28">
        <f t="shared" si="15"/>
        <v>5207.5</v>
      </c>
      <c r="J70" s="28">
        <f t="shared" si="15"/>
        <v>5732.5</v>
      </c>
      <c r="K70" s="28">
        <f t="shared" si="15"/>
        <v>5732.5</v>
      </c>
      <c r="L70" s="28">
        <f t="shared" si="15"/>
        <v>5732.5</v>
      </c>
      <c r="M70" s="28">
        <f t="shared" si="15"/>
        <v>5732.5</v>
      </c>
      <c r="N70" s="28">
        <f>SUM(N54:N66)</f>
        <v>64340</v>
      </c>
      <c r="O70" s="175"/>
      <c r="P70" s="175"/>
    </row>
    <row r="71" ht="13.5" customHeight="1">
      <c r="A71" s="79" t="s">
        <v>71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170"/>
      <c r="P71" s="170"/>
    </row>
    <row r="72" ht="13.5" customHeight="1">
      <c r="A72" s="32" t="s">
        <v>138</v>
      </c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17">
        <f t="shared" ref="N72:N83" si="16">SUM(B72:M72)</f>
        <v>0</v>
      </c>
      <c r="O72" s="153"/>
      <c r="P72" s="153"/>
    </row>
    <row r="73" ht="13.5" customHeight="1">
      <c r="A73" s="31" t="s">
        <v>73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17">
        <f t="shared" si="16"/>
        <v>0</v>
      </c>
      <c r="O73" s="153"/>
      <c r="P73" s="153"/>
    </row>
    <row r="74" ht="13.5" customHeight="1">
      <c r="A74" s="32" t="s">
        <v>139</v>
      </c>
      <c r="B74" s="87">
        <v>312.5</v>
      </c>
      <c r="C74" s="87">
        <v>312.5</v>
      </c>
      <c r="D74" s="87">
        <v>312.5</v>
      </c>
      <c r="E74" s="87">
        <v>312.5</v>
      </c>
      <c r="F74" s="87">
        <v>312.5</v>
      </c>
      <c r="G74" s="87">
        <v>312.5</v>
      </c>
      <c r="H74" s="87">
        <v>312.5</v>
      </c>
      <c r="I74" s="87">
        <v>312.5</v>
      </c>
      <c r="J74" s="87">
        <v>312.5</v>
      </c>
      <c r="K74" s="87">
        <v>312.5</v>
      </c>
      <c r="L74" s="87">
        <v>312.5</v>
      </c>
      <c r="M74" s="87">
        <v>312.5</v>
      </c>
      <c r="N74" s="17">
        <f t="shared" si="16"/>
        <v>3750</v>
      </c>
      <c r="O74" s="153"/>
      <c r="P74" s="153"/>
    </row>
    <row r="75" ht="13.5" customHeight="1">
      <c r="A75" s="31" t="s">
        <v>137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17">
        <f t="shared" si="16"/>
        <v>0</v>
      </c>
      <c r="O75" s="153"/>
      <c r="P75" s="153"/>
    </row>
    <row r="76" ht="13.5" customHeight="1">
      <c r="A76" s="32" t="s">
        <v>136</v>
      </c>
      <c r="B76" s="46"/>
      <c r="C76" s="46"/>
      <c r="D76" s="46"/>
      <c r="E76" s="46"/>
      <c r="F76" s="87"/>
      <c r="G76" s="46"/>
      <c r="H76" s="46"/>
      <c r="I76" s="46"/>
      <c r="J76" s="46"/>
      <c r="K76" s="46"/>
      <c r="L76" s="46"/>
      <c r="M76" s="46"/>
      <c r="N76" s="17">
        <f t="shared" si="16"/>
        <v>0</v>
      </c>
      <c r="O76" s="153"/>
      <c r="P76" s="153"/>
    </row>
    <row r="77" ht="13.5" customHeight="1">
      <c r="A77" s="32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17">
        <f t="shared" si="16"/>
        <v>0</v>
      </c>
      <c r="O77" s="153"/>
      <c r="P77" s="153"/>
    </row>
    <row r="78" ht="13.5" customHeight="1">
      <c r="A78" s="31" t="s">
        <v>140</v>
      </c>
      <c r="B78" s="87">
        <v>0.0</v>
      </c>
      <c r="C78" s="87">
        <v>0.0</v>
      </c>
      <c r="D78" s="87">
        <v>0.0</v>
      </c>
      <c r="E78" s="87">
        <v>0.0</v>
      </c>
      <c r="F78" s="87">
        <v>0.0</v>
      </c>
      <c r="G78" s="87">
        <v>0.0</v>
      </c>
      <c r="H78" s="87">
        <v>0.0</v>
      </c>
      <c r="I78" s="87">
        <v>0.0</v>
      </c>
      <c r="J78" s="87">
        <v>0.0</v>
      </c>
      <c r="K78" s="87">
        <v>0.0</v>
      </c>
      <c r="L78" s="87">
        <v>0.0</v>
      </c>
      <c r="M78" s="87">
        <v>0.0</v>
      </c>
      <c r="N78" s="17">
        <f t="shared" si="16"/>
        <v>0</v>
      </c>
      <c r="O78" s="153"/>
      <c r="P78" s="153"/>
    </row>
    <row r="79" ht="13.5" customHeight="1">
      <c r="A79" s="27" t="s">
        <v>141</v>
      </c>
      <c r="B79" s="28"/>
      <c r="C79" s="87">
        <v>1087.825</v>
      </c>
      <c r="D79" s="87">
        <v>1087.825</v>
      </c>
      <c r="E79" s="87">
        <v>1087.825</v>
      </c>
      <c r="F79" s="87">
        <v>1087.825</v>
      </c>
      <c r="G79" s="87">
        <v>1087.825</v>
      </c>
      <c r="H79" s="87">
        <v>1087.825</v>
      </c>
      <c r="I79" s="87">
        <v>1087.825</v>
      </c>
      <c r="J79" s="87">
        <v>1087.825</v>
      </c>
      <c r="K79" s="87">
        <v>1087.825</v>
      </c>
      <c r="L79" s="87">
        <v>1087.825</v>
      </c>
      <c r="M79" s="87">
        <v>1087.825</v>
      </c>
      <c r="N79" s="17">
        <f t="shared" si="16"/>
        <v>11966.075</v>
      </c>
      <c r="O79" s="153"/>
      <c r="P79" s="153"/>
    </row>
    <row r="80" ht="13.5" customHeight="1">
      <c r="A80" s="42" t="s">
        <v>79</v>
      </c>
      <c r="B80" s="146">
        <v>250.0</v>
      </c>
      <c r="C80" s="105">
        <v>250.0</v>
      </c>
      <c r="D80" s="105">
        <v>250.0</v>
      </c>
      <c r="E80" s="105">
        <v>250.0</v>
      </c>
      <c r="F80" s="105">
        <v>250.0</v>
      </c>
      <c r="G80" s="105">
        <v>250.0</v>
      </c>
      <c r="H80" s="105">
        <v>250.0</v>
      </c>
      <c r="I80" s="105">
        <v>250.0</v>
      </c>
      <c r="J80" s="105">
        <v>250.0</v>
      </c>
      <c r="K80" s="105">
        <v>250.0</v>
      </c>
      <c r="L80" s="105">
        <v>250.0</v>
      </c>
      <c r="M80" s="105">
        <v>250.0</v>
      </c>
      <c r="N80" s="17">
        <f t="shared" si="16"/>
        <v>3000</v>
      </c>
      <c r="O80" s="153"/>
      <c r="P80" s="153"/>
    </row>
    <row r="81" ht="13.5" customHeight="1">
      <c r="A81" s="43" t="s">
        <v>80</v>
      </c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17">
        <f t="shared" si="16"/>
        <v>0</v>
      </c>
      <c r="O81" s="153"/>
      <c r="P81" s="153"/>
    </row>
    <row r="82" ht="13.5" customHeight="1">
      <c r="A82" s="91" t="s">
        <v>23</v>
      </c>
      <c r="B82" s="28">
        <f t="shared" ref="B82:M82" si="17">SUM(B72:B81)</f>
        <v>562.5</v>
      </c>
      <c r="C82" s="28">
        <f t="shared" si="17"/>
        <v>1650.325</v>
      </c>
      <c r="D82" s="28">
        <f t="shared" si="17"/>
        <v>1650.325</v>
      </c>
      <c r="E82" s="28">
        <f t="shared" si="17"/>
        <v>1650.325</v>
      </c>
      <c r="F82" s="28">
        <f t="shared" si="17"/>
        <v>1650.325</v>
      </c>
      <c r="G82" s="28">
        <f t="shared" si="17"/>
        <v>1650.325</v>
      </c>
      <c r="H82" s="28">
        <f t="shared" si="17"/>
        <v>1650.325</v>
      </c>
      <c r="I82" s="28">
        <f t="shared" si="17"/>
        <v>1650.325</v>
      </c>
      <c r="J82" s="28">
        <f t="shared" si="17"/>
        <v>1650.325</v>
      </c>
      <c r="K82" s="28">
        <f t="shared" si="17"/>
        <v>1650.325</v>
      </c>
      <c r="L82" s="28">
        <f t="shared" si="17"/>
        <v>1650.325</v>
      </c>
      <c r="M82" s="28">
        <f t="shared" si="17"/>
        <v>1650.325</v>
      </c>
      <c r="N82" s="44">
        <f t="shared" si="16"/>
        <v>18716.075</v>
      </c>
      <c r="O82" s="174"/>
      <c r="P82" s="174"/>
    </row>
    <row r="83" ht="13.5" customHeight="1">
      <c r="A83" s="99" t="s">
        <v>81</v>
      </c>
      <c r="B83" s="28">
        <f t="shared" ref="B83:M83" si="18">B52+B70+B82</f>
        <v>8995.24</v>
      </c>
      <c r="C83" s="28">
        <f t="shared" si="18"/>
        <v>10058.065</v>
      </c>
      <c r="D83" s="28">
        <f t="shared" si="18"/>
        <v>10058.065</v>
      </c>
      <c r="E83" s="28">
        <f t="shared" si="18"/>
        <v>10058.065</v>
      </c>
      <c r="F83" s="28">
        <f t="shared" si="18"/>
        <v>10157.815</v>
      </c>
      <c r="G83" s="28">
        <f t="shared" si="18"/>
        <v>10157.815</v>
      </c>
      <c r="H83" s="28">
        <f t="shared" si="18"/>
        <v>10057.815</v>
      </c>
      <c r="I83" s="28">
        <f t="shared" si="18"/>
        <v>10164.535</v>
      </c>
      <c r="J83" s="28">
        <f t="shared" si="18"/>
        <v>10689.535</v>
      </c>
      <c r="K83" s="28">
        <f t="shared" si="18"/>
        <v>10689.535</v>
      </c>
      <c r="L83" s="28">
        <f t="shared" si="18"/>
        <v>10689.535</v>
      </c>
      <c r="M83" s="28">
        <f t="shared" si="18"/>
        <v>10689.535</v>
      </c>
      <c r="N83" s="44">
        <f t="shared" si="16"/>
        <v>122465.555</v>
      </c>
      <c r="O83" s="174"/>
      <c r="P83" s="174"/>
    </row>
    <row r="84" ht="13.5" customHeight="1">
      <c r="A84" s="99" t="s">
        <v>82</v>
      </c>
      <c r="B84" s="46">
        <f t="shared" ref="B84:N84" si="19">B83/B112</f>
        <v>112.4405</v>
      </c>
      <c r="C84" s="46">
        <f t="shared" si="19"/>
        <v>122.6593293</v>
      </c>
      <c r="D84" s="46">
        <f t="shared" si="19"/>
        <v>102.6333163</v>
      </c>
      <c r="E84" s="46">
        <f t="shared" si="19"/>
        <v>102.6333163</v>
      </c>
      <c r="F84" s="46">
        <f t="shared" si="19"/>
        <v>94.05384259</v>
      </c>
      <c r="G84" s="46">
        <f t="shared" si="19"/>
        <v>98.61956311</v>
      </c>
      <c r="H84" s="46">
        <f t="shared" si="19"/>
        <v>97.64868932</v>
      </c>
      <c r="I84" s="46">
        <f t="shared" si="19"/>
        <v>99.65230392</v>
      </c>
      <c r="J84" s="46">
        <f t="shared" si="19"/>
        <v>118.7726111</v>
      </c>
      <c r="K84" s="46">
        <f t="shared" si="19"/>
        <v>125.7592353</v>
      </c>
      <c r="L84" s="46">
        <f t="shared" si="19"/>
        <v>112.5214211</v>
      </c>
      <c r="M84" s="46">
        <f t="shared" si="19"/>
        <v>109.0768878</v>
      </c>
      <c r="N84" s="15">
        <f t="shared" si="19"/>
        <v>107.237789</v>
      </c>
      <c r="O84" s="77"/>
      <c r="P84" s="77"/>
    </row>
    <row r="85" ht="13.5" customHeight="1">
      <c r="A85" s="79" t="s">
        <v>83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170"/>
      <c r="P85" s="170"/>
    </row>
    <row r="86" ht="13.5" customHeight="1">
      <c r="A86" s="15" t="s">
        <v>84</v>
      </c>
      <c r="B86" s="87">
        <v>420.0</v>
      </c>
      <c r="C86" s="87">
        <v>420.0</v>
      </c>
      <c r="D86" s="87">
        <v>420.0</v>
      </c>
      <c r="E86" s="87">
        <v>420.0</v>
      </c>
      <c r="F86" s="87">
        <v>420.0</v>
      </c>
      <c r="G86" s="87">
        <v>420.0</v>
      </c>
      <c r="H86" s="87">
        <v>420.0</v>
      </c>
      <c r="I86" s="87">
        <v>420.0</v>
      </c>
      <c r="J86" s="87">
        <v>420.0</v>
      </c>
      <c r="K86" s="87">
        <v>420.0</v>
      </c>
      <c r="L86" s="87">
        <v>420.0</v>
      </c>
      <c r="M86" s="87">
        <v>420.0</v>
      </c>
      <c r="N86" s="17">
        <f t="shared" ref="N86:N89" si="20">SUM(B86:M86)</f>
        <v>5040</v>
      </c>
      <c r="O86" s="153"/>
      <c r="P86" s="153"/>
    </row>
    <row r="87" ht="13.5" customHeight="1">
      <c r="A87" s="15" t="s">
        <v>142</v>
      </c>
      <c r="B87" s="46"/>
      <c r="C87" s="46"/>
      <c r="D87" s="46"/>
      <c r="E87" s="87"/>
      <c r="F87" s="46"/>
      <c r="G87" s="46"/>
      <c r="H87" s="46"/>
      <c r="I87" s="46"/>
      <c r="J87" s="46"/>
      <c r="K87" s="46"/>
      <c r="L87" s="46"/>
      <c r="M87" s="46"/>
      <c r="N87" s="17">
        <f t="shared" si="20"/>
        <v>0</v>
      </c>
      <c r="O87" s="153"/>
      <c r="P87" s="153"/>
    </row>
    <row r="88" ht="13.5" customHeight="1">
      <c r="A88" s="39" t="s">
        <v>86</v>
      </c>
      <c r="B88" s="46"/>
      <c r="C88" s="46"/>
      <c r="D88" s="46"/>
      <c r="E88" s="87"/>
      <c r="F88" s="46"/>
      <c r="G88" s="46"/>
      <c r="H88" s="46"/>
      <c r="I88" s="46"/>
      <c r="J88" s="46"/>
      <c r="K88" s="46"/>
      <c r="L88" s="46"/>
      <c r="M88" s="46"/>
      <c r="N88" s="17">
        <f t="shared" si="20"/>
        <v>0</v>
      </c>
      <c r="O88" s="153"/>
      <c r="P88" s="153"/>
    </row>
    <row r="89" ht="13.5" customHeight="1">
      <c r="A89" s="39" t="s">
        <v>87</v>
      </c>
      <c r="B89" s="46"/>
      <c r="C89" s="46"/>
      <c r="D89" s="46"/>
      <c r="E89" s="46"/>
      <c r="F89" s="46"/>
      <c r="G89" s="46"/>
      <c r="H89" s="46"/>
      <c r="I89" s="87"/>
      <c r="J89" s="46"/>
      <c r="K89" s="46"/>
      <c r="L89" s="46"/>
      <c r="M89" s="46"/>
      <c r="N89" s="17">
        <f t="shared" si="20"/>
        <v>0</v>
      </c>
      <c r="O89" s="153"/>
      <c r="P89" s="153"/>
    </row>
    <row r="90" ht="13.5" customHeight="1">
      <c r="A90" s="91" t="s">
        <v>23</v>
      </c>
      <c r="B90" s="28">
        <f t="shared" ref="B90:N90" si="21">SUM(B86:B89)</f>
        <v>420</v>
      </c>
      <c r="C90" s="28">
        <f t="shared" si="21"/>
        <v>420</v>
      </c>
      <c r="D90" s="28">
        <f t="shared" si="21"/>
        <v>420</v>
      </c>
      <c r="E90" s="28">
        <f t="shared" si="21"/>
        <v>420</v>
      </c>
      <c r="F90" s="28">
        <f t="shared" si="21"/>
        <v>420</v>
      </c>
      <c r="G90" s="28">
        <f t="shared" si="21"/>
        <v>420</v>
      </c>
      <c r="H90" s="28">
        <f t="shared" si="21"/>
        <v>420</v>
      </c>
      <c r="I90" s="28">
        <f t="shared" si="21"/>
        <v>420</v>
      </c>
      <c r="J90" s="28">
        <f t="shared" si="21"/>
        <v>420</v>
      </c>
      <c r="K90" s="28">
        <f t="shared" si="21"/>
        <v>420</v>
      </c>
      <c r="L90" s="28">
        <f t="shared" si="21"/>
        <v>420</v>
      </c>
      <c r="M90" s="28">
        <f t="shared" si="21"/>
        <v>420</v>
      </c>
      <c r="N90" s="28">
        <f t="shared" si="21"/>
        <v>5040</v>
      </c>
      <c r="O90" s="175"/>
      <c r="P90" s="175"/>
    </row>
    <row r="91" ht="13.5" customHeight="1">
      <c r="A91" s="89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170"/>
      <c r="P91" s="170"/>
    </row>
    <row r="92" ht="13.5" customHeight="1">
      <c r="A92" s="31" t="s">
        <v>89</v>
      </c>
      <c r="B92" s="102">
        <f>PRODUCTION!AB18</f>
        <v>650</v>
      </c>
      <c r="C92" s="102">
        <f>PRODUCTION!AB19</f>
        <v>650</v>
      </c>
      <c r="D92" s="102">
        <f>PRODUCTION!AB20</f>
        <v>650</v>
      </c>
      <c r="E92" s="102">
        <f>PRODUCTION!AB21</f>
        <v>650</v>
      </c>
      <c r="F92" s="102">
        <f>PRODUCTION!AB22</f>
        <v>650</v>
      </c>
      <c r="G92" s="102">
        <f>PRODUCTION!AB23</f>
        <v>650</v>
      </c>
      <c r="H92" s="102">
        <f>PRODUCTION!AB24</f>
        <v>650</v>
      </c>
      <c r="I92" s="102">
        <f>PRODUCTION!AB25</f>
        <v>650</v>
      </c>
      <c r="J92" s="102">
        <f>PRODUCTION!AB26</f>
        <v>650</v>
      </c>
      <c r="K92" s="102">
        <f>PRODUCTION!AB27</f>
        <v>650</v>
      </c>
      <c r="L92" s="102">
        <f>PRODUCTION!AB28</f>
        <v>650</v>
      </c>
      <c r="M92" s="102">
        <f>PRODUCTION!AB29</f>
        <v>650</v>
      </c>
      <c r="N92" s="17">
        <f t="shared" ref="N92:N104" si="22">SUM(B92:M92)</f>
        <v>7800</v>
      </c>
      <c r="O92" s="153"/>
      <c r="P92" s="153"/>
    </row>
    <row r="93" ht="13.5" customHeight="1">
      <c r="A93" s="31" t="s">
        <v>90</v>
      </c>
      <c r="B93" s="46"/>
      <c r="C93" s="87"/>
      <c r="D93" s="87"/>
      <c r="E93" s="87"/>
      <c r="F93" s="87"/>
      <c r="G93" s="46"/>
      <c r="H93" s="46"/>
      <c r="I93" s="46"/>
      <c r="J93" s="46"/>
      <c r="K93" s="87"/>
      <c r="L93" s="46"/>
      <c r="M93" s="87"/>
      <c r="N93" s="17">
        <f t="shared" si="22"/>
        <v>0</v>
      </c>
      <c r="O93" s="153"/>
      <c r="P93" s="153"/>
    </row>
    <row r="94" ht="13.5" customHeight="1">
      <c r="A94" s="31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17">
        <f t="shared" si="22"/>
        <v>2360</v>
      </c>
      <c r="O94" s="153"/>
      <c r="P94" s="153"/>
    </row>
    <row r="95" ht="13.5" customHeight="1">
      <c r="A95" s="31" t="s">
        <v>92</v>
      </c>
      <c r="B95" s="97">
        <v>200.0</v>
      </c>
      <c r="C95" s="97">
        <f>200+60.75</f>
        <v>260.75</v>
      </c>
      <c r="D95" s="105">
        <v>0.0</v>
      </c>
      <c r="E95" s="105">
        <v>0.0</v>
      </c>
      <c r="F95" s="104">
        <v>150.0</v>
      </c>
      <c r="G95" s="97">
        <f>150+167</f>
        <v>317</v>
      </c>
      <c r="H95" s="97">
        <v>0.0</v>
      </c>
      <c r="I95" s="218">
        <f>220.48+3.233</f>
        <v>223.713</v>
      </c>
      <c r="J95" s="97">
        <v>200.0</v>
      </c>
      <c r="K95" s="104">
        <v>372.1</v>
      </c>
      <c r="L95" s="97">
        <v>200.0</v>
      </c>
      <c r="M95" s="97">
        <v>200.0</v>
      </c>
      <c r="N95" s="17">
        <f t="shared" si="22"/>
        <v>2123.563</v>
      </c>
      <c r="O95" s="153"/>
      <c r="P95" s="153"/>
    </row>
    <row r="96" ht="13.5" customHeight="1">
      <c r="A96" s="32" t="s">
        <v>143</v>
      </c>
      <c r="B96" s="46"/>
      <c r="C96" s="46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17">
        <f t="shared" si="22"/>
        <v>0</v>
      </c>
      <c r="O96" s="153"/>
      <c r="P96" s="153"/>
    </row>
    <row r="97" ht="13.5" customHeight="1">
      <c r="A97" s="32" t="s">
        <v>94</v>
      </c>
      <c r="B97" s="46"/>
      <c r="C97" s="46"/>
      <c r="D97" s="46"/>
      <c r="E97" s="87"/>
      <c r="F97" s="87"/>
      <c r="G97" s="87"/>
      <c r="H97" s="87"/>
      <c r="I97" s="87"/>
      <c r="J97" s="87"/>
      <c r="K97" s="87"/>
      <c r="L97" s="87"/>
      <c r="M97" s="87"/>
      <c r="N97" s="17">
        <f t="shared" si="22"/>
        <v>0</v>
      </c>
      <c r="O97" s="153"/>
      <c r="P97" s="153"/>
    </row>
    <row r="98" ht="13.5" customHeight="1">
      <c r="A98" s="32" t="s">
        <v>95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17">
        <f t="shared" si="22"/>
        <v>0</v>
      </c>
      <c r="O98" s="153"/>
      <c r="P98" s="153"/>
    </row>
    <row r="99" ht="13.5" customHeight="1">
      <c r="A99" s="31" t="s">
        <v>96</v>
      </c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17">
        <f t="shared" si="22"/>
        <v>0</v>
      </c>
      <c r="O99" s="153"/>
      <c r="P99" s="153"/>
    </row>
    <row r="100" ht="13.5" customHeight="1">
      <c r="A100" s="31" t="s">
        <v>97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17">
        <f t="shared" si="22"/>
        <v>0</v>
      </c>
      <c r="O100" s="153"/>
      <c r="P100" s="153"/>
    </row>
    <row r="101" ht="13.5" customHeight="1">
      <c r="A101" s="32" t="s">
        <v>98</v>
      </c>
      <c r="B101" s="87">
        <v>0.0</v>
      </c>
      <c r="C101" s="87">
        <v>0.0</v>
      </c>
      <c r="D101" s="87">
        <v>0.0</v>
      </c>
      <c r="E101" s="87">
        <v>0.0</v>
      </c>
      <c r="F101" s="87">
        <v>0.0</v>
      </c>
      <c r="G101" s="87">
        <v>0.0</v>
      </c>
      <c r="H101" s="87">
        <v>0.0</v>
      </c>
      <c r="I101" s="87">
        <v>0.0</v>
      </c>
      <c r="J101" s="87">
        <v>0.0</v>
      </c>
      <c r="K101" s="87">
        <v>0.0</v>
      </c>
      <c r="L101" s="87">
        <v>0.0</v>
      </c>
      <c r="M101" s="87">
        <v>0.0</v>
      </c>
      <c r="N101" s="17">
        <f t="shared" si="22"/>
        <v>0</v>
      </c>
      <c r="O101" s="153"/>
      <c r="P101" s="153"/>
    </row>
    <row r="102" ht="13.5" customHeight="1">
      <c r="A102" s="31" t="s">
        <v>99</v>
      </c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17">
        <f t="shared" si="22"/>
        <v>0</v>
      </c>
      <c r="O102" s="153"/>
      <c r="P102" s="153"/>
    </row>
    <row r="103" ht="13.5" customHeight="1">
      <c r="A103" s="32" t="s">
        <v>100</v>
      </c>
      <c r="B103" s="87">
        <v>100.0</v>
      </c>
      <c r="C103" s="87">
        <v>217.5</v>
      </c>
      <c r="D103" s="87">
        <f>100+113.64</f>
        <v>213.64</v>
      </c>
      <c r="E103" s="87">
        <v>100.0</v>
      </c>
      <c r="F103" s="87">
        <v>100.0</v>
      </c>
      <c r="G103" s="87">
        <v>590.0</v>
      </c>
      <c r="H103" s="87">
        <v>590.0</v>
      </c>
      <c r="I103" s="87">
        <v>100.0</v>
      </c>
      <c r="J103" s="87">
        <f>435+100</f>
        <v>535</v>
      </c>
      <c r="K103" s="87">
        <v>100.0</v>
      </c>
      <c r="L103" s="87">
        <v>100.0</v>
      </c>
      <c r="M103" s="87">
        <v>100.0</v>
      </c>
      <c r="N103" s="17">
        <f t="shared" si="22"/>
        <v>2846.14</v>
      </c>
      <c r="O103" s="153"/>
      <c r="P103" s="153"/>
    </row>
    <row r="104" ht="13.5" customHeight="1">
      <c r="A104" s="27" t="s">
        <v>101</v>
      </c>
      <c r="B104" s="87">
        <v>175.0</v>
      </c>
      <c r="C104" s="87">
        <v>175.0</v>
      </c>
      <c r="D104" s="87">
        <v>175.0</v>
      </c>
      <c r="E104" s="87">
        <v>175.0</v>
      </c>
      <c r="F104" s="87">
        <v>175.0</v>
      </c>
      <c r="G104" s="87">
        <v>175.0</v>
      </c>
      <c r="H104" s="87">
        <v>175.0</v>
      </c>
      <c r="I104" s="87">
        <v>175.0</v>
      </c>
      <c r="J104" s="87">
        <v>175.0</v>
      </c>
      <c r="K104" s="87">
        <v>175.0</v>
      </c>
      <c r="L104" s="87">
        <v>175.0</v>
      </c>
      <c r="M104" s="87">
        <v>175.0</v>
      </c>
      <c r="N104" s="17">
        <f t="shared" si="22"/>
        <v>2100</v>
      </c>
      <c r="O104" s="153"/>
      <c r="P104" s="153"/>
    </row>
    <row r="105" ht="13.5" customHeight="1">
      <c r="A105" s="27" t="s">
        <v>102</v>
      </c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17"/>
      <c r="O105" s="153"/>
      <c r="P105" s="153"/>
    </row>
    <row r="106" ht="13.5" customHeight="1">
      <c r="A106" s="39" t="s">
        <v>280</v>
      </c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17">
        <f>SUM(B106:M106)</f>
        <v>0</v>
      </c>
      <c r="O106" s="153"/>
      <c r="P106" s="153"/>
    </row>
    <row r="107" ht="13.5" customHeight="1">
      <c r="A107" s="91" t="s">
        <v>23</v>
      </c>
      <c r="B107" s="28">
        <f t="shared" ref="B107:N107" si="23">SUM(B92:B106)</f>
        <v>1305</v>
      </c>
      <c r="C107" s="28">
        <f t="shared" si="23"/>
        <v>1483.25</v>
      </c>
      <c r="D107" s="28">
        <f t="shared" si="23"/>
        <v>1218.64</v>
      </c>
      <c r="E107" s="28">
        <f t="shared" si="23"/>
        <v>1105</v>
      </c>
      <c r="F107" s="28">
        <f t="shared" si="23"/>
        <v>1255</v>
      </c>
      <c r="G107" s="28">
        <f t="shared" si="23"/>
        <v>1912</v>
      </c>
      <c r="H107" s="28">
        <f t="shared" si="23"/>
        <v>1595</v>
      </c>
      <c r="I107" s="28">
        <f t="shared" si="23"/>
        <v>1328.713</v>
      </c>
      <c r="J107" s="28">
        <f t="shared" si="23"/>
        <v>1740</v>
      </c>
      <c r="K107" s="28">
        <f t="shared" si="23"/>
        <v>1677.1</v>
      </c>
      <c r="L107" s="28">
        <f t="shared" si="23"/>
        <v>1305</v>
      </c>
      <c r="M107" s="28">
        <f t="shared" si="23"/>
        <v>1305</v>
      </c>
      <c r="N107" s="28">
        <f t="shared" si="23"/>
        <v>17229.703</v>
      </c>
      <c r="O107" s="175"/>
      <c r="P107" s="175"/>
    </row>
    <row r="108" ht="13.5" customHeight="1">
      <c r="A108" s="91" t="s">
        <v>104</v>
      </c>
      <c r="B108" s="107">
        <v>-8237.18</v>
      </c>
      <c r="C108" s="108">
        <v>-7233.95</v>
      </c>
      <c r="D108" s="108">
        <v>-7794.29</v>
      </c>
      <c r="E108" s="108">
        <v>-7111.03</v>
      </c>
      <c r="F108" s="108">
        <v>-7601.75</v>
      </c>
      <c r="G108" s="108">
        <v>-6647.47</v>
      </c>
      <c r="H108" s="108">
        <v>-22012.81</v>
      </c>
      <c r="I108" s="108">
        <v>-9146.56</v>
      </c>
      <c r="J108" s="108">
        <v>-7368.54</v>
      </c>
      <c r="K108" s="109">
        <v>-16001.75</v>
      </c>
      <c r="L108" s="109">
        <v>-6039.69</v>
      </c>
      <c r="M108" s="110">
        <v>-6980.0</v>
      </c>
      <c r="N108" s="44">
        <f>SUM(B108:M108)</f>
        <v>-112175.02</v>
      </c>
      <c r="O108" s="375" t="s">
        <v>281</v>
      </c>
      <c r="P108" s="174">
        <f>SUM(N108:N109)</f>
        <v>101012.1999</v>
      </c>
    </row>
    <row r="109" ht="13.5" customHeight="1">
      <c r="A109" s="112" t="s">
        <v>105</v>
      </c>
      <c r="B109" s="50">
        <f t="shared" ref="B109:N109" si="24">B107+B90+B83+B32+B21+B13</f>
        <v>14479.0363</v>
      </c>
      <c r="C109" s="50">
        <f t="shared" si="24"/>
        <v>15925.72135</v>
      </c>
      <c r="D109" s="50">
        <f t="shared" si="24"/>
        <v>17825.16024</v>
      </c>
      <c r="E109" s="50">
        <f t="shared" si="24"/>
        <v>17356.80964</v>
      </c>
      <c r="F109" s="50">
        <f t="shared" si="24"/>
        <v>18865.70595</v>
      </c>
      <c r="G109" s="50">
        <f t="shared" si="24"/>
        <v>18974.35353</v>
      </c>
      <c r="H109" s="50">
        <f t="shared" si="24"/>
        <v>16521.43731</v>
      </c>
      <c r="I109" s="50">
        <f t="shared" si="24"/>
        <v>16361.87031</v>
      </c>
      <c r="J109" s="50">
        <f t="shared" si="24"/>
        <v>18386.61113</v>
      </c>
      <c r="K109" s="50">
        <f t="shared" si="24"/>
        <v>19113.26313</v>
      </c>
      <c r="L109" s="50">
        <f t="shared" si="24"/>
        <v>19688.62552</v>
      </c>
      <c r="M109" s="50">
        <f t="shared" si="24"/>
        <v>19688.62552</v>
      </c>
      <c r="N109" s="50">
        <f t="shared" si="24"/>
        <v>213187.2199</v>
      </c>
      <c r="O109" s="176"/>
      <c r="P109" s="176"/>
    </row>
    <row r="110" ht="13.5" customHeight="1">
      <c r="A110" s="35" t="s">
        <v>106</v>
      </c>
      <c r="B110" s="391">
        <v>30.0</v>
      </c>
      <c r="C110" s="378">
        <v>32.0</v>
      </c>
      <c r="D110" s="378">
        <v>38.0</v>
      </c>
      <c r="E110" s="378">
        <v>38.0</v>
      </c>
      <c r="F110" s="378">
        <v>43.0</v>
      </c>
      <c r="G110" s="378">
        <v>38.0</v>
      </c>
      <c r="H110" s="378">
        <v>38.0</v>
      </c>
      <c r="I110" s="378">
        <v>37.0</v>
      </c>
      <c r="J110" s="378">
        <v>30.0</v>
      </c>
      <c r="K110" s="116">
        <v>30.0</v>
      </c>
      <c r="L110" s="116">
        <v>35.0</v>
      </c>
      <c r="M110" s="116">
        <v>38.0</v>
      </c>
      <c r="N110" s="149">
        <f t="shared" ref="N110:N112" si="25">SUM(B110:M110)</f>
        <v>427</v>
      </c>
      <c r="O110" s="152"/>
      <c r="P110" s="152"/>
    </row>
    <row r="111" ht="13.5" customHeight="1">
      <c r="A111" s="35" t="s">
        <v>107</v>
      </c>
      <c r="B111" s="378">
        <v>50.0</v>
      </c>
      <c r="C111" s="378">
        <v>50.0</v>
      </c>
      <c r="D111" s="379">
        <v>60.0</v>
      </c>
      <c r="E111" s="378">
        <v>60.0</v>
      </c>
      <c r="F111" s="378">
        <v>65.0</v>
      </c>
      <c r="G111" s="378">
        <v>65.0</v>
      </c>
      <c r="H111" s="378">
        <v>65.0</v>
      </c>
      <c r="I111" s="378">
        <v>65.0</v>
      </c>
      <c r="J111" s="378">
        <v>60.0</v>
      </c>
      <c r="K111" s="121">
        <v>55.0</v>
      </c>
      <c r="L111" s="121">
        <v>60.0</v>
      </c>
      <c r="M111" s="151">
        <v>60.0</v>
      </c>
      <c r="N111" s="149">
        <f t="shared" si="25"/>
        <v>715</v>
      </c>
      <c r="O111" s="152"/>
      <c r="P111" s="152"/>
    </row>
    <row r="112" ht="13.5" customHeight="1">
      <c r="A112" s="91" t="s">
        <v>23</v>
      </c>
      <c r="B112" s="122">
        <f t="shared" ref="B112:M112" si="26">B110+B111</f>
        <v>80</v>
      </c>
      <c r="C112" s="122">
        <f t="shared" si="26"/>
        <v>82</v>
      </c>
      <c r="D112" s="122">
        <f t="shared" si="26"/>
        <v>98</v>
      </c>
      <c r="E112" s="122">
        <f t="shared" si="26"/>
        <v>98</v>
      </c>
      <c r="F112" s="123">
        <f t="shared" si="26"/>
        <v>108</v>
      </c>
      <c r="G112" s="123">
        <f t="shared" si="26"/>
        <v>103</v>
      </c>
      <c r="H112" s="123">
        <f t="shared" si="26"/>
        <v>103</v>
      </c>
      <c r="I112" s="123">
        <f t="shared" si="26"/>
        <v>102</v>
      </c>
      <c r="J112" s="123">
        <f t="shared" si="26"/>
        <v>90</v>
      </c>
      <c r="K112" s="123">
        <f t="shared" si="26"/>
        <v>85</v>
      </c>
      <c r="L112" s="123">
        <f t="shared" si="26"/>
        <v>95</v>
      </c>
      <c r="M112" s="124">
        <f t="shared" si="26"/>
        <v>98</v>
      </c>
      <c r="N112" s="125">
        <f t="shared" si="25"/>
        <v>1142</v>
      </c>
      <c r="O112" s="178"/>
      <c r="P112" s="178"/>
    </row>
    <row r="113" ht="13.5" customHeight="1">
      <c r="A113" s="126" t="s">
        <v>108</v>
      </c>
      <c r="B113" s="58">
        <f t="shared" ref="B113:N113" si="27">B109/B112</f>
        <v>180.9879537</v>
      </c>
      <c r="C113" s="58">
        <f t="shared" si="27"/>
        <v>194.216114</v>
      </c>
      <c r="D113" s="58">
        <f t="shared" si="27"/>
        <v>181.8893902</v>
      </c>
      <c r="E113" s="58">
        <f t="shared" si="27"/>
        <v>177.1103025</v>
      </c>
      <c r="F113" s="58">
        <f t="shared" si="27"/>
        <v>174.6824625</v>
      </c>
      <c r="G113" s="58">
        <f t="shared" si="27"/>
        <v>184.2170245</v>
      </c>
      <c r="H113" s="58">
        <f t="shared" si="27"/>
        <v>160.402304</v>
      </c>
      <c r="I113" s="58">
        <f t="shared" si="27"/>
        <v>160.4104932</v>
      </c>
      <c r="J113" s="58">
        <f t="shared" si="27"/>
        <v>204.2956793</v>
      </c>
      <c r="K113" s="58">
        <f t="shared" si="27"/>
        <v>224.8619192</v>
      </c>
      <c r="L113" s="58">
        <f t="shared" si="27"/>
        <v>207.2486897</v>
      </c>
      <c r="M113" s="58">
        <f t="shared" si="27"/>
        <v>200.9043421</v>
      </c>
      <c r="N113" s="179">
        <f t="shared" si="27"/>
        <v>186.6788266</v>
      </c>
      <c r="O113" s="180"/>
      <c r="P113" s="180"/>
    </row>
    <row r="114" ht="13.5" customHeight="1">
      <c r="A114" s="79" t="s">
        <v>109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170"/>
      <c r="P114" s="170"/>
    </row>
    <row r="115" ht="13.5" customHeight="1">
      <c r="A115" s="59" t="s">
        <v>110</v>
      </c>
      <c r="B115" s="46">
        <f t="shared" ref="B115:M115" si="28">1295</f>
        <v>1295</v>
      </c>
      <c r="C115" s="46">
        <f t="shared" si="28"/>
        <v>1295</v>
      </c>
      <c r="D115" s="46">
        <f t="shared" si="28"/>
        <v>1295</v>
      </c>
      <c r="E115" s="46">
        <f t="shared" si="28"/>
        <v>1295</v>
      </c>
      <c r="F115" s="46">
        <f t="shared" si="28"/>
        <v>1295</v>
      </c>
      <c r="G115" s="46">
        <f t="shared" si="28"/>
        <v>1295</v>
      </c>
      <c r="H115" s="46">
        <f t="shared" si="28"/>
        <v>1295</v>
      </c>
      <c r="I115" s="46">
        <f t="shared" si="28"/>
        <v>1295</v>
      </c>
      <c r="J115" s="46">
        <f t="shared" si="28"/>
        <v>1295</v>
      </c>
      <c r="K115" s="46">
        <f t="shared" si="28"/>
        <v>1295</v>
      </c>
      <c r="L115" s="46">
        <f t="shared" si="28"/>
        <v>1295</v>
      </c>
      <c r="M115" s="46">
        <f t="shared" si="28"/>
        <v>1295</v>
      </c>
      <c r="N115" s="17">
        <f t="shared" ref="N115:N120" si="29">SUM(B115:M115)</f>
        <v>15540</v>
      </c>
      <c r="O115" s="153"/>
      <c r="P115" s="153"/>
    </row>
    <row r="116" ht="13.5" customHeight="1">
      <c r="A116" s="60" t="s">
        <v>111</v>
      </c>
      <c r="B116" s="87">
        <v>1500.0</v>
      </c>
      <c r="C116" s="87">
        <v>1500.0</v>
      </c>
      <c r="D116" s="87">
        <v>1500.0</v>
      </c>
      <c r="E116" s="87">
        <v>1500.0</v>
      </c>
      <c r="F116" s="87">
        <v>1500.0</v>
      </c>
      <c r="G116" s="87">
        <v>1500.0</v>
      </c>
      <c r="H116" s="87">
        <v>1500.0</v>
      </c>
      <c r="I116" s="87">
        <v>1500.0</v>
      </c>
      <c r="J116" s="87">
        <v>1500.0</v>
      </c>
      <c r="K116" s="87">
        <v>1500.0</v>
      </c>
      <c r="L116" s="87">
        <v>1500.0</v>
      </c>
      <c r="M116" s="87">
        <v>1500.0</v>
      </c>
      <c r="N116" s="17">
        <f t="shared" si="29"/>
        <v>18000</v>
      </c>
      <c r="O116" s="153"/>
      <c r="P116" s="153"/>
    </row>
    <row r="117" ht="13.5" customHeight="1">
      <c r="A117" s="59" t="s">
        <v>112</v>
      </c>
      <c r="B117" s="87">
        <v>250.0</v>
      </c>
      <c r="C117" s="87">
        <v>250.0</v>
      </c>
      <c r="D117" s="87">
        <v>250.0</v>
      </c>
      <c r="E117" s="87">
        <v>250.0</v>
      </c>
      <c r="F117" s="87">
        <v>250.0</v>
      </c>
      <c r="G117" s="87">
        <v>250.0</v>
      </c>
      <c r="H117" s="87">
        <v>250.0</v>
      </c>
      <c r="I117" s="87">
        <v>250.0</v>
      </c>
      <c r="J117" s="87">
        <v>250.0</v>
      </c>
      <c r="K117" s="87">
        <f>250+1167.84</f>
        <v>1417.84</v>
      </c>
      <c r="L117" s="87">
        <v>250.0</v>
      </c>
      <c r="M117" s="87">
        <v>250.0</v>
      </c>
      <c r="N117" s="17">
        <f t="shared" si="29"/>
        <v>4167.84</v>
      </c>
      <c r="O117" s="153"/>
      <c r="P117" s="153"/>
    </row>
    <row r="118" ht="13.5" customHeight="1">
      <c r="A118" s="59" t="s">
        <v>161</v>
      </c>
      <c r="B118" s="87">
        <f t="shared" ref="B118:M118" si="30">500+87.5</f>
        <v>587.5</v>
      </c>
      <c r="C118" s="87">
        <f t="shared" si="30"/>
        <v>587.5</v>
      </c>
      <c r="D118" s="87">
        <f t="shared" si="30"/>
        <v>587.5</v>
      </c>
      <c r="E118" s="87">
        <f t="shared" si="30"/>
        <v>587.5</v>
      </c>
      <c r="F118" s="87">
        <f t="shared" si="30"/>
        <v>587.5</v>
      </c>
      <c r="G118" s="87">
        <f t="shared" si="30"/>
        <v>587.5</v>
      </c>
      <c r="H118" s="87">
        <f t="shared" si="30"/>
        <v>587.5</v>
      </c>
      <c r="I118" s="87">
        <f t="shared" si="30"/>
        <v>587.5</v>
      </c>
      <c r="J118" s="87">
        <f t="shared" si="30"/>
        <v>587.5</v>
      </c>
      <c r="K118" s="87">
        <f t="shared" si="30"/>
        <v>587.5</v>
      </c>
      <c r="L118" s="87">
        <f t="shared" si="30"/>
        <v>587.5</v>
      </c>
      <c r="M118" s="87">
        <f t="shared" si="30"/>
        <v>587.5</v>
      </c>
      <c r="N118" s="17">
        <f t="shared" si="29"/>
        <v>7050</v>
      </c>
      <c r="O118" s="153"/>
      <c r="P118" s="153"/>
    </row>
    <row r="119" ht="13.5" customHeight="1">
      <c r="A119" s="61" t="s">
        <v>113</v>
      </c>
      <c r="B119" s="87">
        <v>395.0</v>
      </c>
      <c r="C119" s="87">
        <v>395.0</v>
      </c>
      <c r="D119" s="87">
        <v>395.0</v>
      </c>
      <c r="E119" s="87">
        <v>395.0</v>
      </c>
      <c r="F119" s="87">
        <v>395.0</v>
      </c>
      <c r="G119" s="87">
        <v>395.0</v>
      </c>
      <c r="H119" s="87">
        <v>395.0</v>
      </c>
      <c r="I119" s="87">
        <v>395.0</v>
      </c>
      <c r="J119" s="87">
        <v>395.0</v>
      </c>
      <c r="K119" s="87">
        <v>395.0</v>
      </c>
      <c r="L119" s="87">
        <v>395.0</v>
      </c>
      <c r="M119" s="87">
        <v>395.0</v>
      </c>
      <c r="N119" s="17">
        <f t="shared" si="29"/>
        <v>4740</v>
      </c>
      <c r="O119" s="153"/>
      <c r="P119" s="153"/>
    </row>
    <row r="120" ht="13.5" customHeight="1">
      <c r="A120" s="132" t="s">
        <v>114</v>
      </c>
      <c r="B120" s="87">
        <v>1295.0</v>
      </c>
      <c r="C120" s="87">
        <v>1295.0</v>
      </c>
      <c r="D120" s="87">
        <v>1295.0</v>
      </c>
      <c r="E120" s="87">
        <v>1295.0</v>
      </c>
      <c r="F120" s="87">
        <v>1295.0</v>
      </c>
      <c r="G120" s="87">
        <v>1295.0</v>
      </c>
      <c r="H120" s="87">
        <v>1295.0</v>
      </c>
      <c r="I120" s="87">
        <v>1295.0</v>
      </c>
      <c r="J120" s="87">
        <v>1295.0</v>
      </c>
      <c r="K120" s="87">
        <v>1295.0</v>
      </c>
      <c r="L120" s="87">
        <v>1295.0</v>
      </c>
      <c r="M120" s="87">
        <v>1295.0</v>
      </c>
      <c r="N120" s="17">
        <f t="shared" si="29"/>
        <v>15540</v>
      </c>
      <c r="O120" s="153"/>
      <c r="P120" s="153"/>
    </row>
    <row r="121" ht="13.5" customHeight="1">
      <c r="A121" s="99" t="s">
        <v>23</v>
      </c>
      <c r="B121" s="63">
        <f t="shared" ref="B121:N121" si="31">SUM(B115:B120)</f>
        <v>5322.5</v>
      </c>
      <c r="C121" s="63">
        <f t="shared" si="31"/>
        <v>5322.5</v>
      </c>
      <c r="D121" s="63">
        <f t="shared" si="31"/>
        <v>5322.5</v>
      </c>
      <c r="E121" s="63">
        <f t="shared" si="31"/>
        <v>5322.5</v>
      </c>
      <c r="F121" s="63">
        <f t="shared" si="31"/>
        <v>5322.5</v>
      </c>
      <c r="G121" s="63">
        <f t="shared" si="31"/>
        <v>5322.5</v>
      </c>
      <c r="H121" s="63">
        <f t="shared" si="31"/>
        <v>5322.5</v>
      </c>
      <c r="I121" s="63">
        <f t="shared" si="31"/>
        <v>5322.5</v>
      </c>
      <c r="J121" s="63">
        <f t="shared" si="31"/>
        <v>5322.5</v>
      </c>
      <c r="K121" s="63">
        <f t="shared" si="31"/>
        <v>6490.34</v>
      </c>
      <c r="L121" s="63">
        <f t="shared" si="31"/>
        <v>5322.5</v>
      </c>
      <c r="M121" s="63">
        <f t="shared" si="31"/>
        <v>5322.5</v>
      </c>
      <c r="N121" s="63">
        <f t="shared" si="31"/>
        <v>65037.84</v>
      </c>
      <c r="O121" s="135"/>
      <c r="P121" s="135"/>
    </row>
    <row r="122" ht="13.5" customHeight="1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</row>
    <row r="123" ht="13.5" customHeight="1">
      <c r="A123" s="134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</row>
    <row r="124" ht="13.5" customHeight="1">
      <c r="A124" s="64" t="s">
        <v>115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</row>
    <row r="125" ht="13.5" customHeight="1">
      <c r="A125" s="64" t="s">
        <v>116</v>
      </c>
      <c r="B125" s="67">
        <f t="shared" ref="B125:M125" si="32">+B13*0.7+B21*0.7+B32*0.7+B52*0.6+B70+B107*0.6</f>
        <v>10556.80141</v>
      </c>
      <c r="C125" s="67">
        <f t="shared" si="32"/>
        <v>10782.67844</v>
      </c>
      <c r="D125" s="67">
        <f t="shared" si="32"/>
        <v>12138.74667</v>
      </c>
      <c r="E125" s="67">
        <f t="shared" si="32"/>
        <v>11822.26525</v>
      </c>
      <c r="F125" s="67">
        <f t="shared" si="32"/>
        <v>12853.51767</v>
      </c>
      <c r="G125" s="67">
        <f t="shared" si="32"/>
        <v>12863.87097</v>
      </c>
      <c r="H125" s="67">
        <f t="shared" si="32"/>
        <v>11148.52962</v>
      </c>
      <c r="I125" s="67">
        <f t="shared" si="32"/>
        <v>11102.78942</v>
      </c>
      <c r="J125" s="67">
        <f t="shared" si="32"/>
        <v>12636.47929</v>
      </c>
      <c r="K125" s="67">
        <f t="shared" si="32"/>
        <v>13151.42569</v>
      </c>
      <c r="L125" s="67">
        <f t="shared" si="32"/>
        <v>13591.38937</v>
      </c>
      <c r="M125" s="67">
        <f t="shared" si="32"/>
        <v>13591.38937</v>
      </c>
      <c r="N125" s="67">
        <f t="shared" ref="N125:N126" si="34">SUM(B125:M125)</f>
        <v>146239.8832</v>
      </c>
      <c r="O125" s="67"/>
      <c r="P125" s="67"/>
    </row>
    <row r="126" ht="13.5" customHeight="1">
      <c r="A126" s="64" t="s">
        <v>117</v>
      </c>
      <c r="B126" s="67">
        <f t="shared" ref="B126:M126" si="33">+B13*0.3+B21*0.3+B32*0.3+B52*0.4+B82+B90+B107*0.4</f>
        <v>3922.234889</v>
      </c>
      <c r="C126" s="67">
        <f t="shared" si="33"/>
        <v>5143.042905</v>
      </c>
      <c r="D126" s="67">
        <f t="shared" si="33"/>
        <v>5686.413571</v>
      </c>
      <c r="E126" s="67">
        <f t="shared" si="33"/>
        <v>5534.544393</v>
      </c>
      <c r="F126" s="67">
        <f t="shared" si="33"/>
        <v>6012.188286</v>
      </c>
      <c r="G126" s="67">
        <f t="shared" si="33"/>
        <v>6110.482559</v>
      </c>
      <c r="H126" s="67">
        <f t="shared" si="33"/>
        <v>5372.907693</v>
      </c>
      <c r="I126" s="67">
        <f t="shared" si="33"/>
        <v>5259.080893</v>
      </c>
      <c r="J126" s="67">
        <f t="shared" si="33"/>
        <v>5750.13184</v>
      </c>
      <c r="K126" s="67">
        <f t="shared" si="33"/>
        <v>5961.837439</v>
      </c>
      <c r="L126" s="67">
        <f t="shared" si="33"/>
        <v>6097.236157</v>
      </c>
      <c r="M126" s="67">
        <f t="shared" si="33"/>
        <v>6097.236157</v>
      </c>
      <c r="N126" s="67">
        <f t="shared" si="34"/>
        <v>66947.33678</v>
      </c>
      <c r="O126" s="67"/>
      <c r="P126" s="67"/>
    </row>
    <row r="127" ht="13.5" customHeight="1">
      <c r="A127" s="64" t="s">
        <v>23</v>
      </c>
      <c r="B127" s="67">
        <f t="shared" ref="B127:N127" si="35">SUM(B125:B126)</f>
        <v>14479.0363</v>
      </c>
      <c r="C127" s="67">
        <f t="shared" si="35"/>
        <v>15925.72135</v>
      </c>
      <c r="D127" s="67">
        <f t="shared" si="35"/>
        <v>17825.16024</v>
      </c>
      <c r="E127" s="67">
        <f t="shared" si="35"/>
        <v>17356.80964</v>
      </c>
      <c r="F127" s="67">
        <f t="shared" si="35"/>
        <v>18865.70595</v>
      </c>
      <c r="G127" s="67">
        <f t="shared" si="35"/>
        <v>18974.35353</v>
      </c>
      <c r="H127" s="67">
        <f t="shared" si="35"/>
        <v>16521.43731</v>
      </c>
      <c r="I127" s="67">
        <f t="shared" si="35"/>
        <v>16361.87031</v>
      </c>
      <c r="J127" s="67">
        <f t="shared" si="35"/>
        <v>18386.61113</v>
      </c>
      <c r="K127" s="67">
        <f t="shared" si="35"/>
        <v>19113.26313</v>
      </c>
      <c r="L127" s="67">
        <f t="shared" si="35"/>
        <v>19688.62552</v>
      </c>
      <c r="M127" s="67">
        <f t="shared" si="35"/>
        <v>19688.62552</v>
      </c>
      <c r="N127" s="67">
        <f t="shared" si="35"/>
        <v>213187.2199</v>
      </c>
      <c r="O127" s="67"/>
      <c r="P127" s="67"/>
    </row>
    <row r="128" ht="13.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</row>
    <row r="129" ht="13.5" customHeight="1">
      <c r="A129" s="69" t="s">
        <v>118</v>
      </c>
      <c r="B129" s="70">
        <f t="shared" ref="B129:N129" si="36">+B109</f>
        <v>14479.0363</v>
      </c>
      <c r="C129" s="70">
        <f t="shared" si="36"/>
        <v>15925.72135</v>
      </c>
      <c r="D129" s="70">
        <f t="shared" si="36"/>
        <v>17825.16024</v>
      </c>
      <c r="E129" s="70">
        <f t="shared" si="36"/>
        <v>17356.80964</v>
      </c>
      <c r="F129" s="70">
        <f t="shared" si="36"/>
        <v>18865.70595</v>
      </c>
      <c r="G129" s="70">
        <f t="shared" si="36"/>
        <v>18974.35353</v>
      </c>
      <c r="H129" s="70">
        <f t="shared" si="36"/>
        <v>16521.43731</v>
      </c>
      <c r="I129" s="70">
        <f t="shared" si="36"/>
        <v>16361.87031</v>
      </c>
      <c r="J129" s="70">
        <f t="shared" si="36"/>
        <v>18386.61113</v>
      </c>
      <c r="K129" s="70">
        <f t="shared" si="36"/>
        <v>19113.26313</v>
      </c>
      <c r="L129" s="70">
        <f t="shared" si="36"/>
        <v>19688.62552</v>
      </c>
      <c r="M129" s="70">
        <f t="shared" si="36"/>
        <v>19688.62552</v>
      </c>
      <c r="N129" s="70">
        <f t="shared" si="36"/>
        <v>213187.2199</v>
      </c>
      <c r="O129" s="70"/>
      <c r="P129" s="70"/>
    </row>
    <row r="130" ht="13.5" customHeight="1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</row>
    <row r="131" ht="13.5" customHeight="1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390" t="s">
        <v>285</v>
      </c>
      <c r="O131" s="390">
        <f>HSU!N109+HVW!N109+MZ!N109+BUGMC!N109</f>
        <v>1636704.183</v>
      </c>
      <c r="P131" s="135"/>
    </row>
  </sheetData>
  <mergeCells count="1">
    <mergeCell ref="A1:N1"/>
  </mergeCells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7.38"/>
    <col customWidth="1" min="2" max="13" width="9.75"/>
    <col customWidth="1" min="14" max="16" width="10.75"/>
  </cols>
  <sheetData>
    <row r="1" ht="13.5" customHeight="1">
      <c r="A1" s="76" t="s">
        <v>285</v>
      </c>
      <c r="O1" s="76"/>
      <c r="P1" s="76"/>
    </row>
    <row r="2" ht="13.5" customHeight="1">
      <c r="A2" s="16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</row>
    <row r="3" ht="13.5" customHeight="1">
      <c r="A3" s="16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  <c r="O3" s="7"/>
      <c r="P3" s="7"/>
    </row>
    <row r="4" ht="13.5" customHeight="1">
      <c r="A4" s="79" t="s">
        <v>14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170"/>
      <c r="P4" s="170"/>
    </row>
    <row r="5" ht="13.5" customHeight="1">
      <c r="A5" s="15" t="s">
        <v>15</v>
      </c>
      <c r="B5" s="46">
        <f>HSU!B5+HVW!B5+MZ!B5+BUGMC!B5</f>
        <v>11166.98413</v>
      </c>
      <c r="C5" s="46">
        <f>HSU!C5+HVW!C5+MZ!C5+BUGMC!C5</f>
        <v>11166.98413</v>
      </c>
      <c r="D5" s="46">
        <f>HSU!D5+HVW!D5+MZ!D5+BUGMC!D5</f>
        <v>11166.98413</v>
      </c>
      <c r="E5" s="46">
        <f>HSU!E5+HVW!E5+MZ!E5+BUGMC!E5</f>
        <v>15002.71023</v>
      </c>
      <c r="F5" s="46">
        <f>HSU!F5+HVW!F5+MZ!F5+BUGMC!F5</f>
        <v>21358.98522</v>
      </c>
      <c r="G5" s="46">
        <f>HSU!G5+HVW!G5+MZ!G5+BUGMC!G5</f>
        <v>19435.67744</v>
      </c>
      <c r="H5" s="46">
        <f>HSU!H5+HVW!H5+MZ!H5+BUGMC!H5</f>
        <v>13188.4954</v>
      </c>
      <c r="I5" s="46">
        <f>HSU!I5+HVW!I5+MZ!I5+BUGMC!I5</f>
        <v>13188.4954</v>
      </c>
      <c r="J5" s="46">
        <f>HSU!J5+HVW!J5+MZ!J5+BUGMC!J5</f>
        <v>16659.15209</v>
      </c>
      <c r="K5" s="46">
        <f>HSU!K5+HVW!K5+MZ!K5+BUGMC!K5</f>
        <v>16659.15209</v>
      </c>
      <c r="L5" s="46">
        <f>HSU!L5+HVW!L5+MZ!L5+BUGMC!L5</f>
        <v>19435.67744</v>
      </c>
      <c r="M5" s="46">
        <f>HSU!M5+HVW!M5+MZ!M5+BUGMC!M5</f>
        <v>19435.67744</v>
      </c>
      <c r="N5" s="17">
        <f t="shared" ref="N5:N12" si="1">SUM(B5:M5)</f>
        <v>187864.9751</v>
      </c>
      <c r="O5" s="153"/>
      <c r="P5" s="153"/>
    </row>
    <row r="6" ht="13.5" customHeight="1">
      <c r="A6" s="15" t="s">
        <v>123</v>
      </c>
      <c r="B6" s="46">
        <f>HSU!B6+HVW!B6+MZ!B6+BUGMC!B6</f>
        <v>14280</v>
      </c>
      <c r="C6" s="46">
        <f>HSU!C6+HVW!C6+MZ!C6+BUGMC!C6</f>
        <v>14280</v>
      </c>
      <c r="D6" s="46">
        <f>HSU!D6+HVW!D6+MZ!D6+BUGMC!D6</f>
        <v>14280</v>
      </c>
      <c r="E6" s="46">
        <f>HSU!E6+HVW!E6+MZ!E6+BUGMC!E6</f>
        <v>14280</v>
      </c>
      <c r="F6" s="46">
        <f>HSU!F6+HVW!F6+MZ!F6+BUGMC!F6</f>
        <v>14280</v>
      </c>
      <c r="G6" s="46">
        <f>HSU!G6+HVW!G6+MZ!G6+BUGMC!G6</f>
        <v>14280</v>
      </c>
      <c r="H6" s="46">
        <f>HSU!H6+HVW!H6+MZ!H6+BUGMC!H6</f>
        <v>14280</v>
      </c>
      <c r="I6" s="46">
        <f>HSU!I6+HVW!I6+MZ!I6+BUGMC!I6</f>
        <v>14280</v>
      </c>
      <c r="J6" s="46">
        <f>HSU!J6+HVW!J6+MZ!J6+BUGMC!J6</f>
        <v>14280</v>
      </c>
      <c r="K6" s="46">
        <f>HSU!K6+HVW!K6+MZ!K6+BUGMC!K6</f>
        <v>14280</v>
      </c>
      <c r="L6" s="46">
        <f>HSU!L6+HVW!L6+MZ!L6+BUGMC!L6</f>
        <v>14280</v>
      </c>
      <c r="M6" s="46">
        <f>HSU!M6+HVW!M6+MZ!M6+BUGMC!M6</f>
        <v>14280</v>
      </c>
      <c r="N6" s="17">
        <f t="shared" si="1"/>
        <v>171360</v>
      </c>
      <c r="O6" s="153"/>
      <c r="P6" s="153"/>
    </row>
    <row r="7" ht="13.5" customHeight="1">
      <c r="A7" s="15" t="s">
        <v>17</v>
      </c>
      <c r="B7" s="46">
        <f>HSU!B7+HVW!B7+MZ!B7+BUGMC!B7</f>
        <v>5000</v>
      </c>
      <c r="C7" s="46">
        <f>HSU!C7+HVW!C7+MZ!C7+BUGMC!C7</f>
        <v>5000</v>
      </c>
      <c r="D7" s="46">
        <f>HSU!D7+HVW!D7+MZ!D7+BUGMC!D7</f>
        <v>5000</v>
      </c>
      <c r="E7" s="46">
        <f>HSU!E7+HVW!E7+MZ!E7+BUGMC!E7</f>
        <v>12000</v>
      </c>
      <c r="F7" s="46">
        <f>HSU!F7+HVW!F7+MZ!F7+BUGMC!F7</f>
        <v>14280</v>
      </c>
      <c r="G7" s="46">
        <f>HSU!G7+HVW!G7+MZ!G7+BUGMC!G7</f>
        <v>14280</v>
      </c>
      <c r="H7" s="46">
        <f>HSU!H7+HVW!H7+MZ!H7+BUGMC!H7</f>
        <v>10000</v>
      </c>
      <c r="I7" s="46">
        <f>HSU!I7+HVW!I7+MZ!I7+BUGMC!I7</f>
        <v>10000</v>
      </c>
      <c r="J7" s="46">
        <f>HSU!J7+HVW!J7+MZ!J7+BUGMC!J7</f>
        <v>2500</v>
      </c>
      <c r="K7" s="46">
        <f>HSU!K7+HVW!K7+MZ!K7+BUGMC!K7</f>
        <v>10000</v>
      </c>
      <c r="L7" s="46">
        <f>HSU!L7+HVW!L7+MZ!L7+BUGMC!L7</f>
        <v>12000</v>
      </c>
      <c r="M7" s="46">
        <f>HSU!M7+HVW!M7+MZ!M7+BUGMC!M7</f>
        <v>14280</v>
      </c>
      <c r="N7" s="17">
        <f t="shared" si="1"/>
        <v>114340</v>
      </c>
      <c r="O7" s="153"/>
      <c r="P7" s="153"/>
    </row>
    <row r="8" ht="13.5" customHeight="1">
      <c r="A8" s="15" t="s">
        <v>18</v>
      </c>
      <c r="B8" s="46">
        <f>HSU!B8+HVW!B8+MZ!B8+BUGMC!B8</f>
        <v>0</v>
      </c>
      <c r="C8" s="46">
        <f>HSU!C8+HVW!C8+MZ!C8+BUGMC!C8</f>
        <v>0</v>
      </c>
      <c r="D8" s="46">
        <f>HSU!D8+HVW!D8+MZ!D8+BUGMC!D8</f>
        <v>0</v>
      </c>
      <c r="E8" s="46">
        <f>HSU!E8+HVW!E8+MZ!E8+BUGMC!E8</f>
        <v>0</v>
      </c>
      <c r="F8" s="46">
        <f>HSU!F8+HVW!F8+MZ!F8+BUGMC!F8</f>
        <v>0</v>
      </c>
      <c r="G8" s="46">
        <f>HSU!G8+HVW!G8+MZ!G8+BUGMC!G8</f>
        <v>0</v>
      </c>
      <c r="H8" s="46">
        <f>HSU!H8+HVW!H8+MZ!H8+BUGMC!H8</f>
        <v>0</v>
      </c>
      <c r="I8" s="46">
        <f>HSU!I8+HVW!I8+MZ!I8+BUGMC!I8</f>
        <v>0</v>
      </c>
      <c r="J8" s="46">
        <f>HSU!J8+HVW!J8+MZ!J8+BUGMC!J8</f>
        <v>0</v>
      </c>
      <c r="K8" s="46">
        <f>HSU!K8+HVW!K8+MZ!K8+BUGMC!K8</f>
        <v>0</v>
      </c>
      <c r="L8" s="46">
        <f>HSU!L8+HVW!L8+MZ!L8+BUGMC!L8</f>
        <v>0</v>
      </c>
      <c r="M8" s="46">
        <f>HSU!M8+HVW!M8+MZ!M8+BUGMC!M8</f>
        <v>0</v>
      </c>
      <c r="N8" s="17">
        <f t="shared" si="1"/>
        <v>0</v>
      </c>
      <c r="O8" s="153"/>
      <c r="P8" s="153"/>
    </row>
    <row r="9" ht="13.5" customHeight="1">
      <c r="A9" s="20" t="s">
        <v>168</v>
      </c>
      <c r="B9" s="46">
        <f>HSU!B9+HVW!B9+MZ!B9+BUGMC!B9</f>
        <v>997.0521542</v>
      </c>
      <c r="C9" s="46">
        <f>HSU!C9+HVW!C9+MZ!C9+BUGMC!C9</f>
        <v>997.0521542</v>
      </c>
      <c r="D9" s="46">
        <f>HSU!D9+HVW!D9+MZ!D9+BUGMC!D9</f>
        <v>997.0521542</v>
      </c>
      <c r="E9" s="46">
        <f>HSU!E9+HVW!E9+MZ!E9+BUGMC!E9</f>
        <v>8089.951561</v>
      </c>
      <c r="F9" s="46">
        <f>HSU!F9+HVW!F9+MZ!F9+BUGMC!F9</f>
        <v>14739.69726</v>
      </c>
      <c r="G9" s="46">
        <f>HSU!G9+HVW!G9+MZ!G9+BUGMC!G9</f>
        <v>13862.66891</v>
      </c>
      <c r="H9" s="46">
        <f>HSU!H9+HVW!H9+MZ!H9+BUGMC!H9</f>
        <v>5086.594438</v>
      </c>
      <c r="I9" s="46">
        <f>HSU!I9+HVW!I9+MZ!I9+BUGMC!I9</f>
        <v>5086.594438</v>
      </c>
      <c r="J9" s="46">
        <f>HSU!J9+HVW!J9+MZ!J9+BUGMC!J9</f>
        <v>9474.631674</v>
      </c>
      <c r="K9" s="46">
        <f>HSU!K9+HVW!K9+MZ!K9+BUGMC!K9</f>
        <v>6974.631674</v>
      </c>
      <c r="L9" s="46">
        <f>HSU!L9+HVW!L9+MZ!L9+BUGMC!L9</f>
        <v>11362.66891</v>
      </c>
      <c r="M9" s="46">
        <f>HSU!M9+HVW!M9+MZ!M9+BUGMC!M9</f>
        <v>13862.66891</v>
      </c>
      <c r="N9" s="17">
        <f t="shared" si="1"/>
        <v>91531.26424</v>
      </c>
      <c r="O9" s="153"/>
      <c r="P9" s="153"/>
    </row>
    <row r="10" ht="13.5" customHeight="1">
      <c r="A10" s="19" t="s">
        <v>278</v>
      </c>
      <c r="B10" s="46">
        <f>HSU!B10+HVW!B10+MZ!B10+BUGMC!B10</f>
        <v>4284.000756</v>
      </c>
      <c r="C10" s="46">
        <f>HSU!C10+HVW!C10+MZ!C10+BUGMC!C10</f>
        <v>3139.119002</v>
      </c>
      <c r="D10" s="46">
        <f>HSU!D10+HVW!D10+MZ!D10+BUGMC!D10</f>
        <v>4543.367256</v>
      </c>
      <c r="E10" s="46">
        <f>HSU!E10+HVW!E10+MZ!E10+BUGMC!E10</f>
        <v>4087.913832</v>
      </c>
      <c r="F10" s="46">
        <f>HSU!F10+HVW!F10+MZ!F10+BUGMC!F10</f>
        <v>0</v>
      </c>
      <c r="G10" s="46">
        <f>HSU!G10+HVW!G10+MZ!G10+BUGMC!G10</f>
        <v>0</v>
      </c>
      <c r="H10" s="46">
        <f>HSU!H10+HVW!H10+MZ!H10+BUGMC!H10</f>
        <v>0</v>
      </c>
      <c r="I10" s="46">
        <f>HSU!I10+HVW!I10+MZ!I10+BUGMC!I10</f>
        <v>0</v>
      </c>
      <c r="J10" s="46">
        <f>HSU!J10+HVW!J10+MZ!J10+BUGMC!J10</f>
        <v>605</v>
      </c>
      <c r="K10" s="46">
        <f>HSU!K10+HVW!K10+MZ!K10+BUGMC!K10</f>
        <v>3887.135487</v>
      </c>
      <c r="L10" s="46">
        <f>HSU!L10+HVW!L10+MZ!L10+BUGMC!L10</f>
        <v>3887.135487</v>
      </c>
      <c r="M10" s="46">
        <f>HSU!M10+HVW!M10+MZ!M10+BUGMC!M10</f>
        <v>3887.135487</v>
      </c>
      <c r="N10" s="17">
        <f t="shared" si="1"/>
        <v>28320.80731</v>
      </c>
      <c r="O10" s="153"/>
      <c r="P10" s="153"/>
    </row>
    <row r="11" ht="13.5" customHeight="1">
      <c r="A11" s="15" t="s">
        <v>21</v>
      </c>
      <c r="B11" s="46">
        <f>HSU!B11+HVW!B11+MZ!B11+BUGMC!B11</f>
        <v>776</v>
      </c>
      <c r="C11" s="46">
        <f>HSU!C11+HVW!C11+MZ!C11+BUGMC!C11</f>
        <v>1164.88</v>
      </c>
      <c r="D11" s="46">
        <f>HSU!D11+HVW!D11+MZ!D11+BUGMC!D11</f>
        <v>776</v>
      </c>
      <c r="E11" s="46">
        <f>HSU!E11+HVW!E11+MZ!E11+BUGMC!E11</f>
        <v>776</v>
      </c>
      <c r="F11" s="46">
        <f>HSU!F11+HVW!F11+MZ!F11+BUGMC!F11</f>
        <v>776</v>
      </c>
      <c r="G11" s="46">
        <f>HSU!G11+HVW!G11+MZ!G11+BUGMC!G11</f>
        <v>776</v>
      </c>
      <c r="H11" s="46">
        <f>HSU!H11+HVW!H11+MZ!H11+BUGMC!H11</f>
        <v>776</v>
      </c>
      <c r="I11" s="46">
        <f>HSU!I11+HVW!I11+MZ!I11+BUGMC!I11</f>
        <v>776</v>
      </c>
      <c r="J11" s="46">
        <f>HSU!J11+HVW!J11+MZ!J11+BUGMC!J11</f>
        <v>776</v>
      </c>
      <c r="K11" s="46">
        <f>HSU!K11+HVW!K11+MZ!K11+BUGMC!K11</f>
        <v>776</v>
      </c>
      <c r="L11" s="46">
        <f>HSU!L11+HVW!L11+MZ!L11+BUGMC!L11</f>
        <v>776</v>
      </c>
      <c r="M11" s="46">
        <f>HSU!M11+HVW!M11+MZ!M11+BUGMC!M11</f>
        <v>776</v>
      </c>
      <c r="N11" s="17">
        <f t="shared" si="1"/>
        <v>9700.88</v>
      </c>
      <c r="O11" s="153"/>
      <c r="P11" s="153"/>
    </row>
    <row r="12" ht="13.5" customHeight="1">
      <c r="A12" s="15" t="s">
        <v>22</v>
      </c>
      <c r="B12" s="46">
        <f>HSU!B12+HVW!B12+MZ!B12+BUGMC!B12</f>
        <v>800</v>
      </c>
      <c r="C12" s="46">
        <f>HSU!C12+HVW!C12+MZ!C12+BUGMC!C12</f>
        <v>2170.4</v>
      </c>
      <c r="D12" s="46">
        <f>HSU!D12+HVW!D12+MZ!D12+BUGMC!D12</f>
        <v>2170.4</v>
      </c>
      <c r="E12" s="46">
        <f>HSU!E12+HVW!E12+MZ!E12+BUGMC!E12</f>
        <v>2170.4</v>
      </c>
      <c r="F12" s="46">
        <f>HSU!F12+HVW!F12+MZ!F12+BUGMC!F12</f>
        <v>2170.4</v>
      </c>
      <c r="G12" s="46">
        <f>HSU!G12+HVW!G12+MZ!G12+BUGMC!G12</f>
        <v>2170.4</v>
      </c>
      <c r="H12" s="46">
        <f>HSU!H12+HVW!H12+MZ!H12+BUGMC!H12</f>
        <v>2170.4</v>
      </c>
      <c r="I12" s="46">
        <f>HSU!I12+HVW!I12+MZ!I12+BUGMC!I12</f>
        <v>2170.4</v>
      </c>
      <c r="J12" s="46">
        <f>HSU!J12+HVW!J12+MZ!J12+BUGMC!J12</f>
        <v>2170.4</v>
      </c>
      <c r="K12" s="46">
        <f>HSU!K12+HVW!K12+MZ!K12+BUGMC!K12</f>
        <v>2170.4</v>
      </c>
      <c r="L12" s="46">
        <f>HSU!L12+HVW!L12+MZ!L12+BUGMC!L12</f>
        <v>2170.4</v>
      </c>
      <c r="M12" s="46">
        <f>HSU!M12+HVW!M12+MZ!M12+BUGMC!M12</f>
        <v>2170.4</v>
      </c>
      <c r="N12" s="17">
        <f t="shared" si="1"/>
        <v>24674.4</v>
      </c>
      <c r="O12" s="153"/>
      <c r="P12" s="153"/>
    </row>
    <row r="13" ht="13.5" customHeight="1">
      <c r="A13" s="21" t="s">
        <v>23</v>
      </c>
      <c r="B13" s="22">
        <f t="shared" ref="B13:N13" si="2">SUM(B5:B12)</f>
        <v>37304.03704</v>
      </c>
      <c r="C13" s="22">
        <f t="shared" si="2"/>
        <v>37918.43528</v>
      </c>
      <c r="D13" s="22">
        <f t="shared" si="2"/>
        <v>38933.80354</v>
      </c>
      <c r="E13" s="22">
        <f t="shared" si="2"/>
        <v>56406.97563</v>
      </c>
      <c r="F13" s="22">
        <f t="shared" si="2"/>
        <v>67605.08248</v>
      </c>
      <c r="G13" s="22">
        <f t="shared" si="2"/>
        <v>64804.74635</v>
      </c>
      <c r="H13" s="22">
        <f t="shared" si="2"/>
        <v>45501.48984</v>
      </c>
      <c r="I13" s="22">
        <f t="shared" si="2"/>
        <v>45501.48984</v>
      </c>
      <c r="J13" s="22">
        <f t="shared" si="2"/>
        <v>46465.18376</v>
      </c>
      <c r="K13" s="22">
        <f t="shared" si="2"/>
        <v>54747.31925</v>
      </c>
      <c r="L13" s="22">
        <f t="shared" si="2"/>
        <v>63911.88184</v>
      </c>
      <c r="M13" s="22">
        <f t="shared" si="2"/>
        <v>68691.88184</v>
      </c>
      <c r="N13" s="22">
        <f t="shared" si="2"/>
        <v>627792.3267</v>
      </c>
      <c r="O13" s="190" t="str">
        <f>N14</f>
        <v/>
      </c>
      <c r="P13" s="171">
        <f>N13/N109</f>
        <v>0.3835710407</v>
      </c>
    </row>
    <row r="14" ht="13.5" customHeight="1">
      <c r="A14" s="89" t="s">
        <v>24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83"/>
      <c r="O14" s="170"/>
      <c r="P14" s="170"/>
    </row>
    <row r="15" ht="13.5" customHeight="1">
      <c r="A15" s="35" t="s">
        <v>153</v>
      </c>
      <c r="B15" s="46">
        <f>HSU!B15+HVW!B15+MZ!B15+BUGMC!B15</f>
        <v>0</v>
      </c>
      <c r="C15" s="46">
        <f>HSU!C15+HVW!C15+MZ!C15+BUGMC!C15</f>
        <v>0</v>
      </c>
      <c r="D15" s="46">
        <f>HSU!D15+HVW!D15+MZ!D15+BUGMC!D15</f>
        <v>0</v>
      </c>
      <c r="E15" s="46">
        <f>HSU!E15+HVW!E15+MZ!E15+BUGMC!E15</f>
        <v>0</v>
      </c>
      <c r="F15" s="46">
        <f>HSU!F15+HVW!F15+MZ!F15+BUGMC!F15</f>
        <v>0</v>
      </c>
      <c r="G15" s="46">
        <f>HSU!G15+HVW!G15+MZ!G15+BUGMC!G15</f>
        <v>0</v>
      </c>
      <c r="H15" s="46">
        <f>HSU!H15+HVW!H15+MZ!H15+BUGMC!H15</f>
        <v>0</v>
      </c>
      <c r="I15" s="46">
        <f>HSU!I15+HVW!I15+MZ!I15+BUGMC!I15</f>
        <v>0</v>
      </c>
      <c r="J15" s="46">
        <f>HSU!J15+HVW!J15+MZ!J15+BUGMC!J15</f>
        <v>0</v>
      </c>
      <c r="K15" s="46">
        <f>HSU!K15+HVW!K15+MZ!K15+BUGMC!K15</f>
        <v>0</v>
      </c>
      <c r="L15" s="46">
        <f>HSU!L15+HVW!L15+MZ!L15+BUGMC!L15</f>
        <v>0</v>
      </c>
      <c r="M15" s="46">
        <f>HSU!M15+HVW!M15+MZ!M15+BUGMC!M15</f>
        <v>0</v>
      </c>
      <c r="N15" s="17">
        <f t="shared" ref="N15:N20" si="3">SUM(B15:M15)</f>
        <v>0</v>
      </c>
      <c r="O15" s="153"/>
      <c r="P15" s="153"/>
    </row>
    <row r="16" ht="13.5" customHeight="1">
      <c r="A16" s="35" t="s">
        <v>26</v>
      </c>
      <c r="B16" s="46">
        <f>HSU!B16+HVW!B16+MZ!B16+BUGMC!B16</f>
        <v>0</v>
      </c>
      <c r="C16" s="46">
        <f>HSU!C16+HVW!C16+MZ!C16+BUGMC!C16</f>
        <v>0</v>
      </c>
      <c r="D16" s="46">
        <f>HSU!D16+HVW!D16+MZ!D16+BUGMC!D16</f>
        <v>0</v>
      </c>
      <c r="E16" s="46">
        <f>HSU!E16+HVW!E16+MZ!E16+BUGMC!E16</f>
        <v>0</v>
      </c>
      <c r="F16" s="46">
        <f>HSU!F16+HVW!F16+MZ!F16+BUGMC!F16</f>
        <v>0</v>
      </c>
      <c r="G16" s="46">
        <f>HSU!G16+HVW!G16+MZ!G16+BUGMC!G16</f>
        <v>0</v>
      </c>
      <c r="H16" s="46">
        <f>HSU!H16+HVW!H16+MZ!H16+BUGMC!H16</f>
        <v>0</v>
      </c>
      <c r="I16" s="46">
        <f>HSU!I16+HVW!I16+MZ!I16+BUGMC!I16</f>
        <v>0</v>
      </c>
      <c r="J16" s="46">
        <f>HSU!J16+HVW!J16+MZ!J16+BUGMC!J16</f>
        <v>0</v>
      </c>
      <c r="K16" s="46">
        <f>HSU!K16+HVW!K16+MZ!K16+BUGMC!K16</f>
        <v>0</v>
      </c>
      <c r="L16" s="46">
        <f>HSU!L16+HVW!L16+MZ!L16+BUGMC!L16</f>
        <v>0</v>
      </c>
      <c r="M16" s="46">
        <f>HSU!M16+HVW!M16+MZ!M16+BUGMC!M16</f>
        <v>0</v>
      </c>
      <c r="N16" s="17">
        <f t="shared" si="3"/>
        <v>0</v>
      </c>
      <c r="O16" s="153"/>
      <c r="P16" s="153"/>
    </row>
    <row r="17" ht="13.5" customHeight="1">
      <c r="A17" s="35"/>
      <c r="B17" s="46">
        <f>HSU!B17+HVW!B17+MZ!B17+BUGMC!B17</f>
        <v>0</v>
      </c>
      <c r="C17" s="46">
        <f>HSU!C17+HVW!C17+MZ!C17+BUGMC!C17</f>
        <v>0</v>
      </c>
      <c r="D17" s="46">
        <f>HSU!D17+HVW!D17+MZ!D17+BUGMC!D17</f>
        <v>0</v>
      </c>
      <c r="E17" s="46">
        <f>HSU!E17+HVW!E17+MZ!E17+BUGMC!E17</f>
        <v>0</v>
      </c>
      <c r="F17" s="46">
        <f>HSU!F17+HVW!F17+MZ!F17+BUGMC!F17</f>
        <v>0</v>
      </c>
      <c r="G17" s="46">
        <f>HSU!G17+HVW!G17+MZ!G17+BUGMC!G17</f>
        <v>0</v>
      </c>
      <c r="H17" s="46">
        <f>HSU!H17+HVW!H17+MZ!H17+BUGMC!H17</f>
        <v>0</v>
      </c>
      <c r="I17" s="46">
        <f>HSU!I17+HVW!I17+MZ!I17+BUGMC!I17</f>
        <v>0</v>
      </c>
      <c r="J17" s="46">
        <f>HSU!J17+HVW!J17+MZ!J17+BUGMC!J17</f>
        <v>0</v>
      </c>
      <c r="K17" s="46">
        <f>HSU!K17+HVW!K17+MZ!K17+BUGMC!K17</f>
        <v>0</v>
      </c>
      <c r="L17" s="46">
        <f>HSU!L17+HVW!L17+MZ!L17+BUGMC!L17</f>
        <v>0</v>
      </c>
      <c r="M17" s="46">
        <f>HSU!M17+HVW!M17+MZ!M17+BUGMC!M17</f>
        <v>0</v>
      </c>
      <c r="N17" s="17">
        <f t="shared" si="3"/>
        <v>0</v>
      </c>
      <c r="O17" s="153"/>
      <c r="P17" s="153"/>
    </row>
    <row r="18" ht="13.5" customHeight="1">
      <c r="A18" s="35"/>
      <c r="B18" s="46">
        <f>HSU!B18+HVW!B18+MZ!B18+BUGMC!B18</f>
        <v>0</v>
      </c>
      <c r="C18" s="46">
        <f>HSU!C18+HVW!C19+MZ!C18+BUGMC!C18</f>
        <v>0</v>
      </c>
      <c r="D18" s="46">
        <f>HSU!D18+HVW!D18+MZ!D18+BUGMC!D18</f>
        <v>0</v>
      </c>
      <c r="E18" s="46">
        <f>HSU!E18+HVW!E18+MZ!E18+BUGMC!E18</f>
        <v>0</v>
      </c>
      <c r="F18" s="46">
        <f>HSU!F18+HVW!F18+MZ!F18+BUGMC!F18</f>
        <v>0</v>
      </c>
      <c r="G18" s="46">
        <f>HSU!G18+HVW!G18+MZ!G18+BUGMC!G18</f>
        <v>0</v>
      </c>
      <c r="H18" s="46">
        <f>HSU!H18+HVW!H18+MZ!H18+BUGMC!H18</f>
        <v>0</v>
      </c>
      <c r="I18" s="46">
        <f>HSU!I18+HVW!I18+MZ!I18+BUGMC!I18</f>
        <v>0</v>
      </c>
      <c r="J18" s="46">
        <f>HSU!J18+HVW!J18+MZ!J18+BUGMC!J18</f>
        <v>0</v>
      </c>
      <c r="K18" s="46">
        <f>HSU!K18+HVW!K18+MZ!K18+BUGMC!K18</f>
        <v>0</v>
      </c>
      <c r="L18" s="46">
        <f>HSU!L18+HVW!L18+MZ!L18+BUGMC!L18</f>
        <v>0</v>
      </c>
      <c r="M18" s="46">
        <f>HSU!M18+HVW!M18+MZ!M18+BUGMC!M18</f>
        <v>0</v>
      </c>
      <c r="N18" s="17">
        <f t="shared" si="3"/>
        <v>0</v>
      </c>
      <c r="O18" s="153"/>
      <c r="P18" s="153"/>
    </row>
    <row r="19" ht="13.5" customHeight="1">
      <c r="A19" s="27" t="s">
        <v>29</v>
      </c>
      <c r="B19" s="103">
        <f>HSU!B19+HVW!B19+MZ!B19+BUGMC!B19</f>
        <v>0</v>
      </c>
      <c r="C19" s="103">
        <f>HSU!C19+HVW!C19+MZ!C19+BUGMC!C19</f>
        <v>0</v>
      </c>
      <c r="D19" s="46">
        <f>HSU!D19+HVW!D19+MZ!D19+BUGMC!D19</f>
        <v>0</v>
      </c>
      <c r="E19" s="46">
        <f>HSU!E19+HVW!E19+MZ!E19+BUGMC!E19</f>
        <v>0</v>
      </c>
      <c r="F19" s="46">
        <f>HSU!F19+HVW!F19+MZ!F19+BUGMC!F19</f>
        <v>0</v>
      </c>
      <c r="G19" s="46">
        <f>HSU!G19+HVW!G19+MZ!G19+BUGMC!G19</f>
        <v>0</v>
      </c>
      <c r="H19" s="46">
        <f>HSU!H19+HVW!H19+MZ!H19+BUGMC!H19</f>
        <v>0</v>
      </c>
      <c r="I19" s="46">
        <f>HSU!I19+HVW!I19+MZ!I19+BUGMC!I19</f>
        <v>0</v>
      </c>
      <c r="J19" s="46">
        <f>HSU!J19+HVW!J19+MZ!J19+BUGMC!J19</f>
        <v>0</v>
      </c>
      <c r="K19" s="46">
        <f>HSU!K19+HVW!K19+MZ!K19+BUGMC!K19</f>
        <v>0</v>
      </c>
      <c r="L19" s="46">
        <f>HSU!L19+HVW!L19+MZ!L19+BUGMC!L19</f>
        <v>0</v>
      </c>
      <c r="M19" s="46">
        <f>HSU!M19+HVW!M19+MZ!M19+BUGMC!M19</f>
        <v>0</v>
      </c>
      <c r="N19" s="17">
        <f t="shared" si="3"/>
        <v>0</v>
      </c>
      <c r="O19" s="153"/>
      <c r="P19" s="153"/>
    </row>
    <row r="20" ht="13.5" customHeight="1">
      <c r="A20" s="35"/>
      <c r="B20" s="46">
        <f>HSU!B20+HVW!B20+MZ!B20+BUGMC!B20</f>
        <v>0</v>
      </c>
      <c r="C20" s="46">
        <f>HSU!C20+HVW!C20+MZ!C20+BUGMC!C20</f>
        <v>0</v>
      </c>
      <c r="D20" s="46">
        <f>HSU!D20+HVW!D20+MZ!D20+BUGMC!D20</f>
        <v>0</v>
      </c>
      <c r="E20" s="46">
        <f>HSU!E20+HVW!E20+MZ!E20+BUGMC!E20</f>
        <v>0</v>
      </c>
      <c r="F20" s="46">
        <f>HSU!F20+HVW!F20+MZ!F20+BUGMC!F20</f>
        <v>0</v>
      </c>
      <c r="G20" s="46">
        <f>HSU!G20+HVW!G20+MZ!G20+BUGMC!G20</f>
        <v>0</v>
      </c>
      <c r="H20" s="46">
        <f>HSU!H20+HVW!H20+MZ!H20+BUGMC!H20</f>
        <v>0</v>
      </c>
      <c r="I20" s="46">
        <f>HSU!I20+HVW!I20+MZ!I20+BUGMC!I20</f>
        <v>0</v>
      </c>
      <c r="J20" s="46">
        <f>HSU!J20+HVW!J20+MZ!J20+BUGMC!J20</f>
        <v>0</v>
      </c>
      <c r="K20" s="46">
        <f>HSU!K20+HVW!K20+MZ!K20+BUGMC!K20</f>
        <v>0</v>
      </c>
      <c r="L20" s="46">
        <f>HSU!L20+HVW!L20+MZ!L20+BUGMC!L20</f>
        <v>0</v>
      </c>
      <c r="M20" s="46">
        <f>HSU!M20+HVW!M20+MZ!M20+BUGMC!M20</f>
        <v>0</v>
      </c>
      <c r="N20" s="17">
        <f t="shared" si="3"/>
        <v>0</v>
      </c>
      <c r="O20" s="153"/>
      <c r="P20" s="153"/>
    </row>
    <row r="21" ht="13.5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  <c r="O21" s="175"/>
      <c r="P21" s="171">
        <f>N21/N109</f>
        <v>0</v>
      </c>
    </row>
    <row r="22" ht="13.5" customHeight="1">
      <c r="A22" s="89" t="s">
        <v>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3"/>
      <c r="O22" s="170"/>
      <c r="P22" s="170"/>
    </row>
    <row r="23" ht="13.5" customHeight="1">
      <c r="A23" s="26" t="s">
        <v>31</v>
      </c>
      <c r="B23" s="103">
        <f>HSU!B23+HVW!B23+MZ!B23+BUGMC!B23</f>
        <v>0</v>
      </c>
      <c r="C23" s="103">
        <f>HSU!C23+HVW!C23+MZ!C23+BUGMC!C23</f>
        <v>0</v>
      </c>
      <c r="D23" s="103">
        <f>HSU!D23+HVW!D23+MZ!D23+BUGMC!D23</f>
        <v>11567.2</v>
      </c>
      <c r="E23" s="103">
        <f>HSU!E23+HVW!E23+MZ!E23+BUGMC!E23</f>
        <v>0</v>
      </c>
      <c r="F23" s="103">
        <f>HSU!F23+HVW!F23+MZ!F23+BUGMC!F23</f>
        <v>0</v>
      </c>
      <c r="G23" s="103">
        <f>HSU!G23+HVW!G23+MZ!G23+BUGMC!G23</f>
        <v>0</v>
      </c>
      <c r="H23" s="103">
        <f>HSU!H23+HVW!H23+MZ!H23+BUGMC!H23</f>
        <v>0</v>
      </c>
      <c r="I23" s="103">
        <f>HSU!I23+HVW!I23+MZ!I23+BUGMC!I23</f>
        <v>0</v>
      </c>
      <c r="J23" s="103">
        <f>HSU!J23+HVW!J23+MZ!J23+BUGMC!J23</f>
        <v>0</v>
      </c>
      <c r="K23" s="103">
        <f>HSU!K23+HVW!K23+MZ!K23+BUGMC!K23</f>
        <v>0</v>
      </c>
      <c r="L23" s="103">
        <f>HSU!L23+HVW!L23+MZ!L23+BUGMC!L23</f>
        <v>0</v>
      </c>
      <c r="M23" s="103">
        <f>HSU!M23+HVW!M23+MZ!M23+BUGMC!M23</f>
        <v>0</v>
      </c>
      <c r="N23" s="17">
        <f t="shared" ref="N23:N31" si="5">SUM(B23:M23)</f>
        <v>11567.2</v>
      </c>
      <c r="O23" s="153"/>
      <c r="P23" s="153"/>
    </row>
    <row r="24" ht="13.5" customHeight="1">
      <c r="A24" s="32"/>
      <c r="B24" s="46">
        <f>HSU!B24+HVW!B24+MZ!B24+BUGMC!B24</f>
        <v>0</v>
      </c>
      <c r="C24" s="46">
        <f>HSU!C24+HVW!C24+MZ!C24+BUGMC!C24</f>
        <v>0</v>
      </c>
      <c r="D24" s="46">
        <f>HSU!D24+HVW!D24+MZ!D24+BUGMC!D24</f>
        <v>0</v>
      </c>
      <c r="E24" s="46">
        <f>HSU!E24+HVW!E24+MZ!E24+BUGMC!E24</f>
        <v>0</v>
      </c>
      <c r="F24" s="46">
        <f>HSU!F24+HVW!F24+MZ!F24+BUGMC!F24</f>
        <v>0</v>
      </c>
      <c r="G24" s="46">
        <f>HSU!G24+HVW!G24+MZ!G24+BUGMC!G24</f>
        <v>0</v>
      </c>
      <c r="H24" s="46">
        <f>HSU!H24+HVW!H24+MZ!H24+BUGMC!H24</f>
        <v>0</v>
      </c>
      <c r="I24" s="46">
        <f>HSU!I24+HVW!I24+MZ!I24+BUGMC!I24</f>
        <v>0</v>
      </c>
      <c r="J24" s="46">
        <f>HSU!J24+HVW!J24+MZ!J24+BUGMC!J24</f>
        <v>0</v>
      </c>
      <c r="K24" s="46">
        <f>HSU!K24+HVW!K24+MZ!K24+BUGMC!K24</f>
        <v>0</v>
      </c>
      <c r="L24" s="46">
        <f>HSU!L24+HVW!L24+MZ!L24+BUGMC!L24</f>
        <v>0</v>
      </c>
      <c r="M24" s="46">
        <f>HSU!M24+HVW!M24+MZ!M24+BUGMC!M24</f>
        <v>0</v>
      </c>
      <c r="N24" s="17">
        <f t="shared" si="5"/>
        <v>0</v>
      </c>
      <c r="O24" s="153"/>
      <c r="P24" s="153"/>
    </row>
    <row r="25" ht="13.5" customHeight="1">
      <c r="A25" s="15" t="s">
        <v>127</v>
      </c>
      <c r="B25" s="46">
        <f>HSU!B25+HVW!B25+MZ!B25+BUGMC!B25</f>
        <v>0</v>
      </c>
      <c r="C25" s="46">
        <f>HSU!C25+HVW!C25+MZ!C25+BUGMC!C25</f>
        <v>0</v>
      </c>
      <c r="D25" s="46">
        <f>HSU!D25+HVW!D25+MZ!D25+BUGMC!D25</f>
        <v>0</v>
      </c>
      <c r="E25" s="46">
        <f>HSU!E25+HVW!E25+MZ!E25+BUGMC!E25</f>
        <v>0</v>
      </c>
      <c r="F25" s="46">
        <f>HSU!F25+HVW!F25+MZ!F25+BUGMC!F25</f>
        <v>0</v>
      </c>
      <c r="G25" s="46">
        <f>HSU!G25+HVW!G25+MZ!G25+BUGMC!G25</f>
        <v>0</v>
      </c>
      <c r="H25" s="46">
        <f>HSU!H25+HVW!H25+MZ!H25+BUGMC!H25</f>
        <v>0</v>
      </c>
      <c r="I25" s="46">
        <f>HSU!I25+HVW!I25+MZ!I25+BUGMC!I25</f>
        <v>0</v>
      </c>
      <c r="J25" s="46">
        <f>HSU!J25+HVW!J25+MZ!J25+BUGMC!J25</f>
        <v>0</v>
      </c>
      <c r="K25" s="46">
        <f>HSU!K25+HVW!K25+MZ!K25+BUGMC!K25</f>
        <v>0</v>
      </c>
      <c r="L25" s="46">
        <f>HSU!L25+HVW!L25+MZ!L25+BUGMC!L25</f>
        <v>0</v>
      </c>
      <c r="M25" s="46">
        <f>HSU!M25+HVW!M25+MZ!M25+BUGMC!M25</f>
        <v>0</v>
      </c>
      <c r="N25" s="17">
        <f t="shared" si="5"/>
        <v>0</v>
      </c>
      <c r="O25" s="153"/>
      <c r="P25" s="153"/>
    </row>
    <row r="26" ht="13.5" customHeight="1">
      <c r="A26" s="32"/>
      <c r="B26" s="46">
        <f>HSU!B26+HVW!B26+MZ!B26+BUGMC!B26</f>
        <v>0</v>
      </c>
      <c r="C26" s="46">
        <f>HSU!C26+HVW!C26+MZ!C26+BUGMC!C26</f>
        <v>0</v>
      </c>
      <c r="D26" s="46">
        <f>HSU!D26+HVW!D26+MZ!D26+BUGMC!D26</f>
        <v>0</v>
      </c>
      <c r="E26" s="46">
        <f>HSU!E26+HVW!E26+MZ!E26+BUGMC!E26</f>
        <v>0</v>
      </c>
      <c r="F26" s="46">
        <f>HSU!F26+HVW!F26+MZ!F26+BUGMC!F26</f>
        <v>0</v>
      </c>
      <c r="G26" s="46">
        <f>HSU!G26+HVW!G26+MZ!G26+BUGMC!G26</f>
        <v>0</v>
      </c>
      <c r="H26" s="46">
        <f>HSU!H26+HVW!H26+MZ!H26+BUGMC!H26</f>
        <v>0</v>
      </c>
      <c r="I26" s="46">
        <f>HSU!I26+HVW!I26+MZ!I26+BUGMC!I26</f>
        <v>0</v>
      </c>
      <c r="J26" s="46">
        <f>HSU!J26+HVW!J26+MZ!J26+BUGMC!J26</f>
        <v>0</v>
      </c>
      <c r="K26" s="46">
        <f>HSU!K26+HVW!K26+MZ!K26+BUGMC!K26</f>
        <v>0</v>
      </c>
      <c r="L26" s="46">
        <f>HSU!L26+HVW!L26+MZ!L26+BUGMC!L26</f>
        <v>0</v>
      </c>
      <c r="M26" s="46">
        <f>HSU!M26+HVW!M26+MZ!M26+BUGMC!M26</f>
        <v>0</v>
      </c>
      <c r="N26" s="17">
        <f t="shared" si="5"/>
        <v>0</v>
      </c>
      <c r="O26" s="153"/>
      <c r="P26" s="153"/>
    </row>
    <row r="27" ht="13.5" customHeight="1">
      <c r="A27" s="31" t="s">
        <v>34</v>
      </c>
      <c r="B27" s="46">
        <f>HSU!B27+HVW!B27+MZ!B27+BUGMC!B27</f>
        <v>0</v>
      </c>
      <c r="C27" s="46">
        <f>HSU!C27+HVW!C27+MZ!C27+BUGMC!C27</f>
        <v>0</v>
      </c>
      <c r="D27" s="46">
        <f>HSU!D27+HVW!D27+MZ!D27+BUGMC!D27</f>
        <v>0</v>
      </c>
      <c r="E27" s="46">
        <f>HSU!E27+HVW!E27+MZ!E27+BUGMC!E27</f>
        <v>0</v>
      </c>
      <c r="F27" s="46">
        <f>HSU!F27+HVW!F27+MZ!F27+BUGMC!F27</f>
        <v>0</v>
      </c>
      <c r="G27" s="46">
        <f>HSU!G27+HVW!G27+MZ!G27+BUGMC!G27</f>
        <v>0</v>
      </c>
      <c r="H27" s="46">
        <f>HSU!H27+HVW!H27+MZ!H27+BUGMC!H27</f>
        <v>0</v>
      </c>
      <c r="I27" s="46">
        <f>HSU!I27+HVW!I27+MZ!I27+BUGMC!I27</f>
        <v>0</v>
      </c>
      <c r="J27" s="46">
        <f>HSU!J27+HVW!J27+MZ!J27+BUGMC!J27</f>
        <v>0</v>
      </c>
      <c r="K27" s="46">
        <f>HSU!K27+HVW!K27+MZ!K27+BUGMC!K27</f>
        <v>0</v>
      </c>
      <c r="L27" s="46">
        <f>HSU!L27+HVW!L27+MZ!L27+BUGMC!L27</f>
        <v>0</v>
      </c>
      <c r="M27" s="46">
        <f>HSU!M27+HVW!M27+MZ!M27+BUGMC!M27</f>
        <v>0</v>
      </c>
      <c r="N27" s="17">
        <f t="shared" si="5"/>
        <v>0</v>
      </c>
      <c r="O27" s="153"/>
      <c r="P27" s="153"/>
    </row>
    <row r="28" ht="13.5" customHeight="1">
      <c r="A28" s="33" t="s">
        <v>35</v>
      </c>
      <c r="B28" s="46">
        <f>HSU!B28+HVW!B28+MZ!B28+BUGMC!B28</f>
        <v>0</v>
      </c>
      <c r="C28" s="46">
        <f>HSU!C28+HVW!C28+MZ!C28+BUGMC!C28</f>
        <v>0</v>
      </c>
      <c r="D28" s="46">
        <f>HSU!D28+HVW!D28+MZ!D28+BUGMC!D28</f>
        <v>0</v>
      </c>
      <c r="E28" s="46">
        <f>HSU!E28+HVW!E28+MZ!E28+BUGMC!E28</f>
        <v>0</v>
      </c>
      <c r="F28" s="46">
        <f>HSU!F28+HVW!F28+MZ!F28+BUGMC!F28</f>
        <v>0</v>
      </c>
      <c r="G28" s="46">
        <f>HSU!G28+HVW!G28+MZ!G28+BUGMC!G28</f>
        <v>0</v>
      </c>
      <c r="H28" s="46">
        <f>HSU!H28+HVW!H28+MZ!H28+BUGMC!H28</f>
        <v>0</v>
      </c>
      <c r="I28" s="46">
        <f>HSU!I28+HVW!I28+MZ!I28+BUGMC!I28</f>
        <v>0</v>
      </c>
      <c r="J28" s="46">
        <f>HSU!J28+HVW!J28+MZ!J28+BUGMC!J28</f>
        <v>0</v>
      </c>
      <c r="K28" s="46">
        <f>HSU!K28+HVW!K28+MZ!K28+BUGMC!K28</f>
        <v>0</v>
      </c>
      <c r="L28" s="46">
        <f>HSU!L28+HVW!L28+MZ!L28+BUGMC!L28</f>
        <v>0</v>
      </c>
      <c r="M28" s="46">
        <f>HSU!M28+HVW!M28+MZ!M28+BUGMC!M28</f>
        <v>0</v>
      </c>
      <c r="N28" s="17">
        <f t="shared" si="5"/>
        <v>0</v>
      </c>
      <c r="O28" s="153"/>
      <c r="P28" s="153"/>
    </row>
    <row r="29" ht="13.5" customHeight="1">
      <c r="A29" s="27"/>
      <c r="B29" s="46">
        <f>HSU!B29+HVW!B29+MZ!B29+BUGMC!B29</f>
        <v>0</v>
      </c>
      <c r="C29" s="46">
        <f>HSU!C29+HVW!C29+MZ!C29+BUGMC!C29</f>
        <v>0</v>
      </c>
      <c r="D29" s="46">
        <f>HSU!D29+HVW!D29+MZ!D29+BUGMC!D29</f>
        <v>0</v>
      </c>
      <c r="E29" s="46">
        <f>HSU!E29+HVW!E29+MZ!E29+BUGMC!E29</f>
        <v>0</v>
      </c>
      <c r="F29" s="46">
        <f>HSU!F29+HVW!F29+MZ!F29+BUGMC!F29</f>
        <v>0</v>
      </c>
      <c r="G29" s="46">
        <f>HSU!G29+HVW!G29+MZ!G29+BUGMC!G29</f>
        <v>0</v>
      </c>
      <c r="H29" s="46">
        <f>HSU!H29+HVW!H29+MZ!H29+BUGMC!H29</f>
        <v>0</v>
      </c>
      <c r="I29" s="46">
        <f>HSU!I29+HVW!I29+MZ!I29+BUGMC!I29</f>
        <v>0</v>
      </c>
      <c r="J29" s="46">
        <f>HSU!J29+HVW!J29+MZ!J29+BUGMC!J29</f>
        <v>0</v>
      </c>
      <c r="K29" s="46">
        <f>HSU!K29+HVW!K29+MZ!K29+BUGMC!K29</f>
        <v>0</v>
      </c>
      <c r="L29" s="46">
        <f>HSU!L29+HVW!L29+MZ!L29+BUGMC!L29</f>
        <v>0</v>
      </c>
      <c r="M29" s="46">
        <f>HSU!M29+HVW!M29+MZ!M29+BUGMC!M29</f>
        <v>0</v>
      </c>
      <c r="N29" s="17">
        <f t="shared" si="5"/>
        <v>0</v>
      </c>
      <c r="O29" s="153"/>
      <c r="P29" s="153"/>
    </row>
    <row r="30" ht="13.5" customHeight="1">
      <c r="A30" s="31" t="s">
        <v>37</v>
      </c>
      <c r="B30" s="46">
        <f>HSU!B30+HVW!B30+MZ!B30+BUGMC!B30</f>
        <v>0</v>
      </c>
      <c r="C30" s="46">
        <f>HSU!C30+HVW!C30+MZ!C30+BUGMC!C30</f>
        <v>0</v>
      </c>
      <c r="D30" s="46">
        <f>HSU!D30+HVW!D30+MZ!D30+BUGMC!D30</f>
        <v>0</v>
      </c>
      <c r="E30" s="46">
        <f>HSU!E30+HVW!E30+MZ!E30+BUGMC!E30</f>
        <v>0</v>
      </c>
      <c r="F30" s="46">
        <f>HSU!F30+HVW!F30+MZ!F30+BUGMC!F30</f>
        <v>0</v>
      </c>
      <c r="G30" s="46">
        <f>HSU!G30+HVW!G30+MZ!G30+BUGMC!G30</f>
        <v>0</v>
      </c>
      <c r="H30" s="46">
        <f>HSU!H30+HVW!H30+MZ!H30+BUGMC!H30</f>
        <v>0</v>
      </c>
      <c r="I30" s="46">
        <f>HSU!I30+HVW!I30+MZ!I30+BUGMC!I30</f>
        <v>0</v>
      </c>
      <c r="J30" s="46">
        <f>HSU!J30+HVW!J30+MZ!J30+BUGMC!J30</f>
        <v>0</v>
      </c>
      <c r="K30" s="46">
        <f>HSU!K30+HVW!K30+MZ!K30+BUGMC!K30</f>
        <v>0</v>
      </c>
      <c r="L30" s="46">
        <f>HSU!L30+HVW!L30+MZ!L30+BUGMC!L30</f>
        <v>0</v>
      </c>
      <c r="M30" s="46">
        <f>HSU!M30+HVW!M30+MZ!M30+BUGMC!M30</f>
        <v>0</v>
      </c>
      <c r="N30" s="17">
        <f t="shared" si="5"/>
        <v>0</v>
      </c>
      <c r="O30" s="153"/>
      <c r="P30" s="153"/>
    </row>
    <row r="31" ht="13.5" customHeight="1">
      <c r="A31" s="32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17">
        <f t="shared" si="5"/>
        <v>0</v>
      </c>
      <c r="O31" s="153"/>
      <c r="P31" s="153"/>
    </row>
    <row r="32" ht="13.5" customHeight="1">
      <c r="A32" s="91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11567.2</v>
      </c>
      <c r="E32" s="28">
        <f t="shared" si="6"/>
        <v>0</v>
      </c>
      <c r="F32" s="28">
        <f t="shared" si="6"/>
        <v>0</v>
      </c>
      <c r="G32" s="28">
        <f t="shared" si="6"/>
        <v>0</v>
      </c>
      <c r="H32" s="28">
        <f t="shared" si="6"/>
        <v>0</v>
      </c>
      <c r="I32" s="28">
        <f t="shared" si="6"/>
        <v>0</v>
      </c>
      <c r="J32" s="28">
        <f t="shared" si="6"/>
        <v>0</v>
      </c>
      <c r="K32" s="28">
        <f t="shared" si="6"/>
        <v>0</v>
      </c>
      <c r="L32" s="28">
        <f t="shared" si="6"/>
        <v>0</v>
      </c>
      <c r="M32" s="28">
        <f t="shared" si="6"/>
        <v>0</v>
      </c>
      <c r="N32" s="28">
        <f t="shared" si="6"/>
        <v>11567.2</v>
      </c>
      <c r="O32" s="175"/>
      <c r="P32" s="171">
        <f>N32/N109</f>
        <v>0.007067373642</v>
      </c>
    </row>
    <row r="33" ht="13.5" customHeight="1">
      <c r="A33" s="79" t="s">
        <v>38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170"/>
      <c r="P33" s="170"/>
    </row>
    <row r="34" ht="13.5" customHeight="1">
      <c r="A34" s="15" t="s">
        <v>39</v>
      </c>
      <c r="B34" s="313">
        <f>HSU!B34+HVW!B34+MZ!B34+BUGMC!B34</f>
        <v>8460</v>
      </c>
      <c r="C34" s="313">
        <f>HSU!C34+HVW!C34+MZ!C34+BUGMC!C34</f>
        <v>8460</v>
      </c>
      <c r="D34" s="313">
        <f>HSU!D34+HVW!D34+MZ!D34+BUGMC!D34</f>
        <v>8460</v>
      </c>
      <c r="E34" s="313">
        <f>HSU!E34+HVW!E34+MZ!E34+BUGMC!E34</f>
        <v>8460</v>
      </c>
      <c r="F34" s="313">
        <f>HSU!F34+HVW!F34+MZ!F34+BUGMC!F34</f>
        <v>8759.25</v>
      </c>
      <c r="G34" s="313">
        <f>HSU!G34+HVW!G34+MZ!G34+BUGMC!G34</f>
        <v>8759.25</v>
      </c>
      <c r="H34" s="313">
        <f>HSU!H34+HVW!H34+MZ!H34+BUGMC!H34</f>
        <v>8759.25</v>
      </c>
      <c r="I34" s="313">
        <f>HSU!I34+HVW!I34+MZ!I34+BUGMC!I34</f>
        <v>8759.25</v>
      </c>
      <c r="J34" s="313">
        <f>HSU!J34+HVW!J34+MZ!J34+BUGMC!J34</f>
        <v>8759.25</v>
      </c>
      <c r="K34" s="313">
        <f>HSU!K34+HVW!K34+MZ!K34+BUGMC!K34</f>
        <v>8759.25</v>
      </c>
      <c r="L34" s="313">
        <f>HSU!L34+HVW!L34+MZ!L34+BUGMC!L34</f>
        <v>8759.25</v>
      </c>
      <c r="M34" s="313">
        <f>HSU!M34+HVW!M34+MZ!M34+BUGMC!M34</f>
        <v>8759.25</v>
      </c>
      <c r="N34" s="17">
        <f t="shared" ref="N34:N51" si="7">SUM(B34:M34)</f>
        <v>103914</v>
      </c>
      <c r="O34" s="153"/>
      <c r="P34" s="153"/>
    </row>
    <row r="35" ht="13.5" customHeight="1">
      <c r="A35" s="19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17">
        <f t="shared" si="7"/>
        <v>0</v>
      </c>
      <c r="O35" s="153"/>
      <c r="P35" s="153"/>
    </row>
    <row r="36" ht="13.5" customHeight="1">
      <c r="A36" s="35" t="s">
        <v>41</v>
      </c>
      <c r="B36" s="46">
        <f>HSU!B36+HVW!B36+MZ!B36+BUGMC!B36</f>
        <v>0</v>
      </c>
      <c r="C36" s="46">
        <f>HSU!C36+HVW!C36+MZ!C36+BUGMC!C36</f>
        <v>0</v>
      </c>
      <c r="D36" s="46">
        <f>HSU!D36+HVW!D36+MZ!D36+BUGMC!D36</f>
        <v>0</v>
      </c>
      <c r="E36" s="46">
        <f>HSU!E36+HVW!E36+MZ!E36+BUGMC!E36</f>
        <v>0</v>
      </c>
      <c r="F36" s="46">
        <f>HSU!F36+HVW!F36+MZ!F36+BUGMC!F36</f>
        <v>0</v>
      </c>
      <c r="G36" s="46">
        <f>HSU!G36+HVW!G36+MZ!G36+BUGMC!G36</f>
        <v>0</v>
      </c>
      <c r="H36" s="46">
        <f>HSU!H36+HVW!H36+MZ!H36+BUGMC!H36</f>
        <v>0</v>
      </c>
      <c r="I36" s="46">
        <f>HSU!I36+HVW!I36+MZ!I36+BUGMC!I36</f>
        <v>0</v>
      </c>
      <c r="J36" s="46">
        <f>HSU!J36+HVW!J36+MZ!J36+BUGMC!J36</f>
        <v>0</v>
      </c>
      <c r="K36" s="46">
        <f>HSU!K36+HVW!K36+MZ!K36+BUGMC!K36</f>
        <v>0</v>
      </c>
      <c r="L36" s="46">
        <f>HSU!L36+HVW!L36+MZ!L36+BUGMC!L36</f>
        <v>0</v>
      </c>
      <c r="M36" s="46">
        <f>HSU!M36+HVW!M36+MZ!M36+BUGMC!M36</f>
        <v>0</v>
      </c>
      <c r="N36" s="17">
        <f t="shared" si="7"/>
        <v>0</v>
      </c>
      <c r="O36" s="153"/>
      <c r="P36" s="153"/>
    </row>
    <row r="37" ht="13.5" customHeight="1">
      <c r="A37" s="35" t="s">
        <v>42</v>
      </c>
      <c r="B37" s="46">
        <f>HSU!B37+HVW!B37+MZ!B37+BUGMC!B37</f>
        <v>0</v>
      </c>
      <c r="C37" s="46">
        <f>HSU!C37+HVW!C37+MZ!C37+BUGMC!C37</f>
        <v>0</v>
      </c>
      <c r="D37" s="46">
        <f>HSU!D37+HVW!D37+MZ!D37+BUGMC!D37</f>
        <v>0</v>
      </c>
      <c r="E37" s="46">
        <f>HSU!E37+HVW!E37+MZ!E37+BUGMC!E37</f>
        <v>0</v>
      </c>
      <c r="F37" s="46">
        <f>HSU!F37+HVW!F37+MZ!F37+BUGMC!F37</f>
        <v>0</v>
      </c>
      <c r="G37" s="46">
        <f>HSU!G37+HVW!G37+MZ!G37+BUGMC!G37</f>
        <v>0</v>
      </c>
      <c r="H37" s="46">
        <f>HSU!H37+HVW!H37+MZ!H37+BUGMC!H37</f>
        <v>0</v>
      </c>
      <c r="I37" s="46">
        <f>HSU!I37+HVW!I37+MZ!I37+BUGMC!I37</f>
        <v>0</v>
      </c>
      <c r="J37" s="46">
        <f>HSU!J37+HVW!J37+MZ!J37+BUGMC!J37</f>
        <v>0</v>
      </c>
      <c r="K37" s="46">
        <f>HSU!K37+HVW!K37+MZ!K37+BUGMC!K37</f>
        <v>0</v>
      </c>
      <c r="L37" s="46">
        <f>HSU!L37+HVW!L37+MZ!L37+BUGMC!L37</f>
        <v>0</v>
      </c>
      <c r="M37" s="46">
        <f>HSU!M37+HVW!M37+MZ!M37+BUGMC!M37</f>
        <v>0</v>
      </c>
      <c r="N37" s="17">
        <f t="shared" si="7"/>
        <v>0</v>
      </c>
      <c r="O37" s="153"/>
      <c r="P37" s="153"/>
    </row>
    <row r="38" ht="13.5" customHeight="1">
      <c r="A38" s="35" t="s">
        <v>43</v>
      </c>
      <c r="B38" s="46">
        <f>HSU!B38+HVW!B38+MZ!B38+BUGMC!B38</f>
        <v>0</v>
      </c>
      <c r="C38" s="46">
        <f>HSU!C38+HVW!C38+MZ!C38+BUGMC!C38</f>
        <v>0</v>
      </c>
      <c r="D38" s="46">
        <f>HSU!D38+HVW!D38+MZ!D38+BUGMC!D38</f>
        <v>0</v>
      </c>
      <c r="E38" s="46">
        <f>HSU!E38+HVW!E38+MZ!E38+BUGMC!E38</f>
        <v>0</v>
      </c>
      <c r="F38" s="46">
        <f>HSU!F38+HVW!F38+MZ!F38+BUGMC!F38</f>
        <v>0</v>
      </c>
      <c r="G38" s="46">
        <f>HSU!G38+HVW!G38+MZ!G38+BUGMC!G38</f>
        <v>0</v>
      </c>
      <c r="H38" s="46">
        <f>HSU!H38+HVW!H38+MZ!H38+BUGMC!H38</f>
        <v>0</v>
      </c>
      <c r="I38" s="46">
        <f>HSU!I38+HVW!I38+MZ!I38+BUGMC!I38</f>
        <v>0</v>
      </c>
      <c r="J38" s="46">
        <f>HSU!J38+HVW!J38+MZ!J38+BUGMC!J38</f>
        <v>0</v>
      </c>
      <c r="K38" s="46">
        <f>HSU!K38+HVW!K38+MZ!K38+BUGMC!K38</f>
        <v>0</v>
      </c>
      <c r="L38" s="46">
        <f>HSU!L38+HVW!L38+MZ!L38+BUGMC!L38</f>
        <v>0</v>
      </c>
      <c r="M38" s="46">
        <f>HSU!M38+HVW!M38+MZ!M38+BUGMC!M38</f>
        <v>0</v>
      </c>
      <c r="N38" s="17">
        <f t="shared" si="7"/>
        <v>0</v>
      </c>
      <c r="O38" s="153"/>
      <c r="P38" s="153"/>
    </row>
    <row r="39" ht="13.5" customHeight="1">
      <c r="A39" s="35" t="s">
        <v>44</v>
      </c>
      <c r="B39" s="46">
        <f>HSU!B39+HVW!B39+MZ!B39+BUGMC!B39</f>
        <v>0</v>
      </c>
      <c r="C39" s="46">
        <f>HSU!C39+HVW!C39+MZ!C39+BUGMC!C39</f>
        <v>0</v>
      </c>
      <c r="D39" s="46">
        <f>HSU!D39+HVW!D39+MZ!D39+BUGMC!D39</f>
        <v>0</v>
      </c>
      <c r="E39" s="46">
        <f>HSU!E39+HVW!E39+MZ!E39+BUGMC!E39</f>
        <v>0</v>
      </c>
      <c r="F39" s="46">
        <f>HSU!F39+HVW!F39+MZ!F39+BUGMC!F39</f>
        <v>0</v>
      </c>
      <c r="G39" s="46">
        <f>HSU!G39+HVW!G39+MZ!G39+BUGMC!G39</f>
        <v>0</v>
      </c>
      <c r="H39" s="46">
        <f>HSU!H39+HVW!H39+MZ!H39+BUGMC!H39</f>
        <v>0</v>
      </c>
      <c r="I39" s="46">
        <f>HSU!I39+HVW!I39+MZ!I39+BUGMC!I39</f>
        <v>0</v>
      </c>
      <c r="J39" s="46">
        <f>HSU!J39+HVW!J39+MZ!J39+BUGMC!J39</f>
        <v>0</v>
      </c>
      <c r="K39" s="46">
        <f>HSU!K39+HVW!K39+MZ!K39+BUGMC!K39</f>
        <v>0</v>
      </c>
      <c r="L39" s="46">
        <f>HSU!L39+HVW!L39+MZ!L39+BUGMC!L39</f>
        <v>0</v>
      </c>
      <c r="M39" s="46">
        <f>HSU!M39+HVW!M39+MZ!M39+BUGMC!M39</f>
        <v>0</v>
      </c>
      <c r="N39" s="17">
        <f t="shared" si="7"/>
        <v>0</v>
      </c>
      <c r="O39" s="153"/>
      <c r="P39" s="153"/>
    </row>
    <row r="40" ht="13.5" customHeight="1">
      <c r="A40" s="35" t="s">
        <v>45</v>
      </c>
      <c r="B40" s="46">
        <f>HSU!B40+HVW!B40+MZ!B40+BUGMC!B40</f>
        <v>0</v>
      </c>
      <c r="C40" s="46">
        <f>HSU!C40+HVW!C40+MZ!C40+BUGMC!C40</f>
        <v>0</v>
      </c>
      <c r="D40" s="46">
        <f>HSU!D40+HVW!D40+MZ!D40+BUGMC!D40</f>
        <v>0</v>
      </c>
      <c r="E40" s="46">
        <f>HSU!E40+HVW!E40+MZ!E40+BUGMC!E40</f>
        <v>0</v>
      </c>
      <c r="F40" s="46">
        <f>HSU!F40+HVW!F40+MZ!F40+BUGMC!F40</f>
        <v>0</v>
      </c>
      <c r="G40" s="46">
        <f>HSU!G40+HVW!G40+MZ!G40+BUGMC!G40</f>
        <v>0</v>
      </c>
      <c r="H40" s="46">
        <f>HSU!H40+HVW!H40+MZ!H40+BUGMC!H40</f>
        <v>0</v>
      </c>
      <c r="I40" s="46">
        <f>HSU!I40+HVW!I40+MZ!I40+BUGMC!I40</f>
        <v>0</v>
      </c>
      <c r="J40" s="46">
        <f>HSU!J40+HVW!J40+MZ!J40+BUGMC!J40</f>
        <v>0</v>
      </c>
      <c r="K40" s="46">
        <f>HSU!K40+HVW!K40+MZ!K40+BUGMC!K40</f>
        <v>0</v>
      </c>
      <c r="L40" s="46">
        <f>HSU!L40+HVW!L40+MZ!L40+BUGMC!L40</f>
        <v>0</v>
      </c>
      <c r="M40" s="46">
        <f>HSU!M40+HVW!M40+MZ!M40+BUGMC!M40</f>
        <v>0</v>
      </c>
      <c r="N40" s="17">
        <f t="shared" si="7"/>
        <v>0</v>
      </c>
      <c r="O40" s="153"/>
      <c r="P40" s="153"/>
    </row>
    <row r="41" ht="13.5" customHeight="1">
      <c r="A41" s="35" t="s">
        <v>46</v>
      </c>
      <c r="B41" s="46">
        <f>HSU!B41+HVW!B41+MZ!B41+BUGMC!B41</f>
        <v>0</v>
      </c>
      <c r="C41" s="46">
        <f>HSU!C41+HVW!C41+MZ!C41+BUGMC!C41</f>
        <v>0</v>
      </c>
      <c r="D41" s="46">
        <f>HSU!D41+HVW!D41+MZ!D41+BUGMC!D41</f>
        <v>0</v>
      </c>
      <c r="E41" s="46">
        <f>HSU!E41+HVW!E41+MZ!E41+BUGMC!E41</f>
        <v>0</v>
      </c>
      <c r="F41" s="46">
        <f>HSU!F41+HVW!F41+MZ!F41+BUGMC!F41</f>
        <v>0</v>
      </c>
      <c r="G41" s="46">
        <f>HSU!G41+HVW!G41+MZ!G41+BUGMC!G41</f>
        <v>0</v>
      </c>
      <c r="H41" s="46">
        <f>HSU!H41+HVW!H41+MZ!H41+BUGMC!H41</f>
        <v>0</v>
      </c>
      <c r="I41" s="46">
        <f>HSU!I41+HVW!I41+MZ!I41+BUGMC!I41</f>
        <v>0</v>
      </c>
      <c r="J41" s="46">
        <f>HSU!J41+HVW!J41+MZ!J41+BUGMC!J41</f>
        <v>0</v>
      </c>
      <c r="K41" s="46">
        <f>HSU!K41+HVW!K41+MZ!K41+BUGMC!K41</f>
        <v>0</v>
      </c>
      <c r="L41" s="46">
        <f>HSU!L41+HVW!L41+MZ!L41+BUGMC!L41</f>
        <v>0</v>
      </c>
      <c r="M41" s="46">
        <f>HSU!M41+HVW!M41+MZ!M41+BUGMC!M41</f>
        <v>0</v>
      </c>
      <c r="N41" s="17">
        <f t="shared" si="7"/>
        <v>0</v>
      </c>
      <c r="O41" s="153"/>
      <c r="P41" s="153"/>
    </row>
    <row r="42" ht="13.5" customHeight="1">
      <c r="A42" s="19" t="s">
        <v>146</v>
      </c>
      <c r="B42" s="46">
        <f>HSU!B42+HVW!B42+MZ!B42+BUGMC!B42</f>
        <v>365</v>
      </c>
      <c r="C42" s="46">
        <f>HSU!C42+HVW!C42+MZ!C42+BUGMC!C42</f>
        <v>365</v>
      </c>
      <c r="D42" s="46">
        <f>HSU!D42+HVW!D42+MZ!D42+BUGMC!D42</f>
        <v>365</v>
      </c>
      <c r="E42" s="46">
        <f>HSU!E42+HVW!E42+MZ!E42+BUGMC!E42</f>
        <v>365</v>
      </c>
      <c r="F42" s="46">
        <f>HSU!F42+HVW!F42+MZ!F42+BUGMC!F42</f>
        <v>365</v>
      </c>
      <c r="G42" s="46">
        <f>HSU!G42+HVW!G42+MZ!G42+BUGMC!G42</f>
        <v>365</v>
      </c>
      <c r="H42" s="46">
        <f>HSU!H42+HVW!H42+MZ!H42+BUGMC!H42</f>
        <v>365</v>
      </c>
      <c r="I42" s="46">
        <f>HSU!I42+HVW!I42+MZ!I42+BUGMC!I42</f>
        <v>365</v>
      </c>
      <c r="J42" s="46">
        <f>HSU!J42+HVW!J42+MZ!J42+BUGMC!J42</f>
        <v>365</v>
      </c>
      <c r="K42" s="46">
        <f>HSU!K42+HVW!K42+MZ!K42+BUGMC!K42</f>
        <v>365</v>
      </c>
      <c r="L42" s="46">
        <f>HSU!L42+HVW!L42+MZ!L42+BUGMC!L42</f>
        <v>365</v>
      </c>
      <c r="M42" s="46">
        <f>HSU!M42+HVW!M42+MZ!M42+BUGMC!M42</f>
        <v>365</v>
      </c>
      <c r="N42" s="17">
        <f t="shared" si="7"/>
        <v>4380</v>
      </c>
      <c r="O42" s="153"/>
      <c r="P42" s="153"/>
    </row>
    <row r="43" ht="13.5" customHeight="1">
      <c r="A43" s="19" t="s">
        <v>248</v>
      </c>
      <c r="B43" s="313">
        <f>HSU!B43+HVW!B43+MZ!B43+BUGMC!B43</f>
        <v>1774.69</v>
      </c>
      <c r="C43" s="313">
        <f>HSU!C43+HVW!C43+MZ!C43+BUGMC!C43</f>
        <v>1774.69</v>
      </c>
      <c r="D43" s="313">
        <f>HSU!D43+HVW!D43+MZ!D43+BUGMC!D43</f>
        <v>1774.69</v>
      </c>
      <c r="E43" s="313">
        <f>HSU!E43+HVW!E43+MZ!E43+BUGMC!E43</f>
        <v>1774.69</v>
      </c>
      <c r="F43" s="313">
        <f>HSU!F43+HVW!F43+MZ!F43+BUGMC!F43</f>
        <v>1774.69</v>
      </c>
      <c r="G43" s="313">
        <f>HSU!G43+HVW!G43+MZ!G43+BUGMC!G43</f>
        <v>1774.69</v>
      </c>
      <c r="H43" s="313">
        <f>HSU!H43+HVW!H43+MZ!H43+BUGMC!H43</f>
        <v>1774.69</v>
      </c>
      <c r="I43" s="313">
        <f>HSU!I43+HVW!I43+MZ!I43+BUGMC!I43</f>
        <v>2063.82</v>
      </c>
      <c r="J43" s="313">
        <f>HSU!J43+HVW!J43+MZ!J43+BUGMC!J43</f>
        <v>2063.82</v>
      </c>
      <c r="K43" s="313">
        <f>HSU!K43+HVW!K43+MZ!K43+BUGMC!K43</f>
        <v>2063.82</v>
      </c>
      <c r="L43" s="313">
        <f>HSU!L43+HVW!L43+MZ!L43+BUGMC!L43</f>
        <v>2063.82</v>
      </c>
      <c r="M43" s="313">
        <f>HSU!M43+HVW!M43+MZ!M43+BUGMC!M43</f>
        <v>2063.82</v>
      </c>
      <c r="N43" s="17">
        <f t="shared" si="7"/>
        <v>22741.93</v>
      </c>
      <c r="O43" s="153"/>
      <c r="P43" s="153"/>
    </row>
    <row r="44" ht="13.5" customHeight="1">
      <c r="A44" s="19" t="s">
        <v>249</v>
      </c>
      <c r="B44" s="313">
        <f>HSU!B44+HVW!B44+MZ!B44+BUGMC!B44</f>
        <v>598</v>
      </c>
      <c r="C44" s="313">
        <f>HSU!C44+HVW!C44+MZ!C44+BUGMC!C44</f>
        <v>598</v>
      </c>
      <c r="D44" s="313">
        <f>HSU!D44+HVW!D44+MZ!D44+BUGMC!D44</f>
        <v>598</v>
      </c>
      <c r="E44" s="313">
        <f>HSU!E44+HVW!E44+MZ!E44+BUGMC!E44</f>
        <v>598</v>
      </c>
      <c r="F44" s="313">
        <f>HSU!F44+HVW!F44+MZ!F44+BUGMC!F44</f>
        <v>598</v>
      </c>
      <c r="G44" s="313">
        <f>HSU!G44+HVW!G44+MZ!G44+BUGMC!G44</f>
        <v>598</v>
      </c>
      <c r="H44" s="313">
        <f>HSU!H44+HVW!H44+MZ!H44+BUGMC!H44</f>
        <v>598</v>
      </c>
      <c r="I44" s="313">
        <f>HSU!I44+HVW!I44+MZ!I44+BUGMC!I44</f>
        <v>598</v>
      </c>
      <c r="J44" s="313">
        <f>HSU!J44+HVW!J44+MZ!J44+BUGMC!J44</f>
        <v>598</v>
      </c>
      <c r="K44" s="313">
        <f>HSU!K44+HVW!K44+MZ!K44+BUGMC!K44</f>
        <v>598</v>
      </c>
      <c r="L44" s="313">
        <f>HSU!L44+HVW!L44+MZ!L44+BUGMC!L44</f>
        <v>598</v>
      </c>
      <c r="M44" s="313">
        <f>HSU!M44+HVW!M44+MZ!M44+BUGMC!M44</f>
        <v>598</v>
      </c>
      <c r="N44" s="17">
        <f t="shared" si="7"/>
        <v>7176</v>
      </c>
      <c r="O44" s="153"/>
      <c r="P44" s="153"/>
    </row>
    <row r="45" ht="13.5" customHeight="1">
      <c r="A45" s="156" t="s">
        <v>50</v>
      </c>
      <c r="B45" s="313">
        <f>HSU!B45+HVW!B45+MZ!B45+BUGMC!B45</f>
        <v>669</v>
      </c>
      <c r="C45" s="313">
        <f>HSU!C45+HVW!C45+MZ!C45+BUGMC!C45</f>
        <v>669</v>
      </c>
      <c r="D45" s="313">
        <f>HSU!D45+HVW!D45+MZ!D45+BUGMC!D45</f>
        <v>669</v>
      </c>
      <c r="E45" s="313">
        <f>HSU!E45+HVW!E45+MZ!E45+BUGMC!E45</f>
        <v>669</v>
      </c>
      <c r="F45" s="313">
        <f>HSU!F45+HVW!F45+MZ!F45+BUGMC!F45</f>
        <v>669</v>
      </c>
      <c r="G45" s="313">
        <f>HSU!G45+HVW!G45+MZ!G45+BUGMC!G45</f>
        <v>669</v>
      </c>
      <c r="H45" s="313">
        <f>HSU!H45+HVW!H45+MZ!H45+BUGMC!H45</f>
        <v>669</v>
      </c>
      <c r="I45" s="313">
        <f>HSU!I45+HVW!I45+MZ!I45+BUGMC!I45</f>
        <v>669</v>
      </c>
      <c r="J45" s="313">
        <f>HSU!J45+HVW!J45+MZ!J45+BUGMC!J45</f>
        <v>669</v>
      </c>
      <c r="K45" s="313">
        <f>HSU!K45+HVW!K45+MZ!K45+BUGMC!K45</f>
        <v>669</v>
      </c>
      <c r="L45" s="313">
        <f>HSU!L45+HVW!L45+MZ!L45+BUGMC!L45</f>
        <v>669</v>
      </c>
      <c r="M45" s="313">
        <f>HSU!M45+HVW!M45+MZ!M45+BUGMC!M45</f>
        <v>669</v>
      </c>
      <c r="N45" s="17">
        <f t="shared" si="7"/>
        <v>8028</v>
      </c>
      <c r="O45" s="153"/>
      <c r="P45" s="153"/>
    </row>
    <row r="46" ht="13.5" customHeight="1">
      <c r="A46" s="15" t="s">
        <v>51</v>
      </c>
      <c r="B46" s="46">
        <f>HSU!B46+HVW!B46+MZ!B46+BUGMC!B46</f>
        <v>0</v>
      </c>
      <c r="C46" s="46">
        <f>HSU!C46+HVW!C46+MZ!C46+BUGMC!C46</f>
        <v>0</v>
      </c>
      <c r="D46" s="46">
        <f>HSU!D46+HVW!D46+MZ!D46+BUGMC!D46</f>
        <v>0</v>
      </c>
      <c r="E46" s="46">
        <f>HSU!E46+HVW!E46+MZ!E46+BUGMC!E46</f>
        <v>0</v>
      </c>
      <c r="F46" s="46">
        <f>HSU!F46+HVW!F46+MZ!F46+BUGMC!F46</f>
        <v>0</v>
      </c>
      <c r="G46" s="46">
        <f>HSU!G46+HVW!G46+MZ!G46+BUGMC!G46</f>
        <v>0</v>
      </c>
      <c r="H46" s="46">
        <f>HSU!H46+HVW!H46+MZ!H46+BUGMC!H46</f>
        <v>0</v>
      </c>
      <c r="I46" s="46">
        <f>HSU!I46+HVW!I46+MZ!I46+BUGMC!I46</f>
        <v>0</v>
      </c>
      <c r="J46" s="46">
        <f>HSU!J46+HVW!J46+MZ!J46+BUGMC!J46</f>
        <v>0</v>
      </c>
      <c r="K46" s="46">
        <f>HSU!K46+HVW!K46+MZ!K46+BUGMC!K46</f>
        <v>0</v>
      </c>
      <c r="L46" s="46">
        <f>HSU!L46+HVW!L46+MZ!L46+BUGMC!L46</f>
        <v>0</v>
      </c>
      <c r="M46" s="46">
        <f>HSU!M46+HVW!M46+MZ!M46+BUGMC!M46</f>
        <v>0</v>
      </c>
      <c r="N46" s="17">
        <f t="shared" si="7"/>
        <v>0</v>
      </c>
      <c r="O46" s="153"/>
      <c r="P46" s="153"/>
    </row>
    <row r="47" ht="13.5" customHeight="1">
      <c r="A47" s="19" t="s">
        <v>52</v>
      </c>
      <c r="B47" s="313">
        <f>HSU!B47+HVW!B47+MZ!B47+BUGMC!B47</f>
        <v>9350</v>
      </c>
      <c r="C47" s="313">
        <f>HSU!C47+HVW!C47+MZ!C47+BUGMC!C47</f>
        <v>9350</v>
      </c>
      <c r="D47" s="313">
        <f>HSU!D47+HVW!D47+MZ!D47+BUGMC!D47</f>
        <v>9350</v>
      </c>
      <c r="E47" s="313">
        <f>HSU!E47+HVW!E47+MZ!E47+BUGMC!E47</f>
        <v>9350</v>
      </c>
      <c r="F47" s="313">
        <f>HSU!F47+HVW!F47+MZ!F47+BUGMC!F47</f>
        <v>9350</v>
      </c>
      <c r="G47" s="313">
        <f>HSU!G47+HVW!G47+MZ!G47+BUGMC!G47</f>
        <v>9350</v>
      </c>
      <c r="H47" s="313">
        <f>HSU!H47+HVW!H47+MZ!H47+BUGMC!H47</f>
        <v>9350</v>
      </c>
      <c r="I47" s="313">
        <f>HSU!I47+HVW!I47+MZ!I47+BUGMC!I47</f>
        <v>9350</v>
      </c>
      <c r="J47" s="313">
        <f>HSU!J47+HVW!J47+MZ!J47+BUGMC!J47</f>
        <v>9350</v>
      </c>
      <c r="K47" s="313">
        <f>HSU!K47+HVW!K47+MZ!K47+BUGMC!K47</f>
        <v>9350</v>
      </c>
      <c r="L47" s="313">
        <f>HSU!L47+HVW!L47+MZ!L47+BUGMC!L47</f>
        <v>9350</v>
      </c>
      <c r="M47" s="313">
        <f>HSU!M47+HVW!M47+MZ!M47+BUGMC!M47</f>
        <v>9350</v>
      </c>
      <c r="N47" s="17">
        <f t="shared" si="7"/>
        <v>112200</v>
      </c>
      <c r="O47" s="153"/>
      <c r="P47" s="153"/>
    </row>
    <row r="48" ht="13.5" customHeight="1">
      <c r="A48" s="19" t="s">
        <v>131</v>
      </c>
      <c r="B48" s="313">
        <f>HSU!B48+HVW!B48+MZ!B48+BUGMC!B48</f>
        <v>1454.94</v>
      </c>
      <c r="C48" s="313">
        <f>HSU!C48+HVW!C48+MZ!C48+BUGMC!C48</f>
        <v>1454.94</v>
      </c>
      <c r="D48" s="313">
        <f>HSU!D48+HVW!D48+MZ!D48+BUGMC!D48</f>
        <v>1454.94</v>
      </c>
      <c r="E48" s="313">
        <f>HSU!E48+HVW!E48+MZ!E48+BUGMC!E48</f>
        <v>1454.94</v>
      </c>
      <c r="F48" s="313">
        <f>HSU!F48+HVW!F48+MZ!F48+BUGMC!F48</f>
        <v>1454.94</v>
      </c>
      <c r="G48" s="313">
        <f>HSU!G48+HVW!G48+MZ!G48+BUGMC!G48</f>
        <v>1454.94</v>
      </c>
      <c r="H48" s="313">
        <f>HSU!H48+HVW!H48+MZ!H48+BUGMC!H48</f>
        <v>1454.94</v>
      </c>
      <c r="I48" s="313">
        <f>HSU!I48+HVW!I48+MZ!I48+BUGMC!I48</f>
        <v>1454.94</v>
      </c>
      <c r="J48" s="313">
        <f>HSU!J48+HVW!J48+MZ!J48+BUGMC!J48</f>
        <v>1454.94</v>
      </c>
      <c r="K48" s="313">
        <f>HSU!K48+HVW!K48+MZ!K48+BUGMC!K48</f>
        <v>1454.94</v>
      </c>
      <c r="L48" s="313">
        <f>HSU!L48+HVW!L48+MZ!L48+BUGMC!L48</f>
        <v>1454.94</v>
      </c>
      <c r="M48" s="313">
        <f>HSU!M48+HVW!M48+MZ!M48+BUGMC!M48</f>
        <v>1454.94</v>
      </c>
      <c r="N48" s="17">
        <f t="shared" si="7"/>
        <v>17459.28</v>
      </c>
      <c r="O48" s="153"/>
      <c r="P48" s="153"/>
    </row>
    <row r="49" ht="13.5" customHeight="1">
      <c r="A49" s="35" t="s">
        <v>54</v>
      </c>
      <c r="B49" s="46">
        <f>HSU!B49+HVW!B49+MZ!B49+BUGMC!B49</f>
        <v>0</v>
      </c>
      <c r="C49" s="46">
        <f>HSU!C49+HVW!C49+MZ!C49+BUGMC!C49</f>
        <v>0</v>
      </c>
      <c r="D49" s="46">
        <f>HSU!D49+HVW!D49+MZ!D49+BUGMC!D49</f>
        <v>0</v>
      </c>
      <c r="E49" s="46">
        <f>HSU!E49+HVW!E49+MZ!E49+BUGMC!E49</f>
        <v>0</v>
      </c>
      <c r="F49" s="46">
        <f>HSU!F49+HVW!F49+MZ!F49+BUGMC!F49</f>
        <v>0</v>
      </c>
      <c r="G49" s="46">
        <f>HSU!G49+HVW!G49+MZ!G49+BUGMC!G49</f>
        <v>0</v>
      </c>
      <c r="H49" s="46">
        <f>HSU!H49+HVW!H49+MZ!H49+BUGMC!H49</f>
        <v>0</v>
      </c>
      <c r="I49" s="46">
        <f>HSU!I49+HVW!I49+MZ!I49+BUGMC!I49</f>
        <v>0</v>
      </c>
      <c r="J49" s="46">
        <f>HSU!J49+HVW!J49+MZ!J49+BUGMC!J49</f>
        <v>0</v>
      </c>
      <c r="K49" s="46">
        <f>HSU!K49+HVW!K49+MZ!K49+BUGMC!K49</f>
        <v>0</v>
      </c>
      <c r="L49" s="46">
        <f>HSU!L49+HVW!L49+MZ!L49+BUGMC!L49</f>
        <v>0</v>
      </c>
      <c r="M49" s="46">
        <f>HSU!M49+HVW!M49+MZ!M49+BUGMC!M49</f>
        <v>0</v>
      </c>
      <c r="N49" s="17">
        <f t="shared" si="7"/>
        <v>0</v>
      </c>
      <c r="O49" s="153"/>
      <c r="P49" s="153"/>
    </row>
    <row r="50" ht="13.5" customHeight="1">
      <c r="A50" s="19" t="s">
        <v>155</v>
      </c>
      <c r="B50" s="46">
        <f>HSU!B50+HVW!B50+MZ!B50+BUGMC!B50</f>
        <v>5835</v>
      </c>
      <c r="C50" s="46">
        <f>HSU!C50+HVW!C50+MZ!C50+BUGMC!C50</f>
        <v>5835</v>
      </c>
      <c r="D50" s="46">
        <f>HSU!D50+HVW!D50+MZ!D50+BUGMC!D50</f>
        <v>5835</v>
      </c>
      <c r="E50" s="46">
        <f>HSU!E50+HVW!E50+MZ!E50+BUGMC!E50</f>
        <v>5835</v>
      </c>
      <c r="F50" s="46">
        <f>HSU!F50+HVW!F50+MZ!F50+BUGMC!F50</f>
        <v>5835</v>
      </c>
      <c r="G50" s="46">
        <f>HSU!G50+HVW!G50+MZ!G50+BUGMC!G50</f>
        <v>5835</v>
      </c>
      <c r="H50" s="46">
        <f>HSU!H50+HVW!H50+MZ!H50+BUGMC!H50</f>
        <v>5835</v>
      </c>
      <c r="I50" s="46">
        <f>HSU!I50+HVW!I50+MZ!I50+BUGMC!I50</f>
        <v>5835</v>
      </c>
      <c r="J50" s="46">
        <f>HSU!J50+HVW!J50+MZ!J50+BUGMC!J50</f>
        <v>5835</v>
      </c>
      <c r="K50" s="46">
        <f>HSU!K50+HVW!K50+MZ!K50+BUGMC!K50</f>
        <v>5835</v>
      </c>
      <c r="L50" s="46">
        <f>HSU!L50+HVW!L50+MZ!L50+BUGMC!L50</f>
        <v>5835</v>
      </c>
      <c r="M50" s="46">
        <f>HSU!M50+HVW!M50+MZ!M50+BUGMC!M50</f>
        <v>5835</v>
      </c>
      <c r="N50" s="17">
        <f t="shared" si="7"/>
        <v>70020</v>
      </c>
      <c r="O50" s="153"/>
      <c r="P50" s="153"/>
    </row>
    <row r="51" ht="13.5" customHeight="1">
      <c r="A51" s="15" t="s">
        <v>160</v>
      </c>
      <c r="B51" s="46">
        <f>HSU!B51+HVW!B51+MZ!B51+BUGMC!B51</f>
        <v>0</v>
      </c>
      <c r="C51" s="46">
        <f>HSU!C51+HVW!C51+MZ!C51+BUGMC!C51</f>
        <v>0</v>
      </c>
      <c r="D51" s="46">
        <f>HSU!D51+HVW!D51+MZ!D51+BUGMC!D51</f>
        <v>0</v>
      </c>
      <c r="E51" s="46">
        <f>HSU!E51+HVW!E51+MZ!E51+BUGMC!E51</f>
        <v>0</v>
      </c>
      <c r="F51" s="46">
        <f>HSU!F51+HVW!F51+MZ!F51+BUGMC!F51</f>
        <v>0</v>
      </c>
      <c r="G51" s="46">
        <f>HSU!G51+HVW!G51+MZ!G51+BUGMC!G51</f>
        <v>0</v>
      </c>
      <c r="H51" s="46">
        <f>HSU!H51+HVW!H51+MZ!H51+BUGMC!H51</f>
        <v>0</v>
      </c>
      <c r="I51" s="46">
        <f>HSU!I51+HVW!I51+MZ!I51+BUGMC!I51</f>
        <v>0</v>
      </c>
      <c r="J51" s="46">
        <f>HSU!J51+HVW!J51+MZ!J51+BUGMC!J51</f>
        <v>0</v>
      </c>
      <c r="K51" s="46">
        <f>HSU!K51+HVW!K51+MZ!K51+BUGMC!K51</f>
        <v>0</v>
      </c>
      <c r="L51" s="46">
        <f>HSU!L51+HVW!L51+MZ!L51+BUGMC!L51</f>
        <v>0</v>
      </c>
      <c r="M51" s="46">
        <f>HSU!M51+HVW!M51+MZ!M51+BUGMC!M51</f>
        <v>0</v>
      </c>
      <c r="N51" s="17">
        <f t="shared" si="7"/>
        <v>0</v>
      </c>
      <c r="O51" s="153"/>
      <c r="P51" s="153"/>
    </row>
    <row r="52" ht="13.5" customHeight="1">
      <c r="A52" s="91" t="s">
        <v>23</v>
      </c>
      <c r="B52" s="28">
        <f t="shared" ref="B52:N52" si="8">SUM(B34:B51)</f>
        <v>28506.63</v>
      </c>
      <c r="C52" s="28">
        <f t="shared" si="8"/>
        <v>28506.63</v>
      </c>
      <c r="D52" s="28">
        <f t="shared" si="8"/>
        <v>28506.63</v>
      </c>
      <c r="E52" s="28">
        <f t="shared" si="8"/>
        <v>28506.63</v>
      </c>
      <c r="F52" s="28">
        <f t="shared" si="8"/>
        <v>28805.88</v>
      </c>
      <c r="G52" s="28">
        <f t="shared" si="8"/>
        <v>28805.88</v>
      </c>
      <c r="H52" s="28">
        <f t="shared" si="8"/>
        <v>28805.88</v>
      </c>
      <c r="I52" s="28">
        <f t="shared" si="8"/>
        <v>29095.01</v>
      </c>
      <c r="J52" s="28">
        <f t="shared" si="8"/>
        <v>29095.01</v>
      </c>
      <c r="K52" s="28">
        <f t="shared" si="8"/>
        <v>29095.01</v>
      </c>
      <c r="L52" s="28">
        <f t="shared" si="8"/>
        <v>29095.01</v>
      </c>
      <c r="M52" s="28">
        <f t="shared" si="8"/>
        <v>29095.01</v>
      </c>
      <c r="N52" s="28">
        <f t="shared" si="8"/>
        <v>345919.21</v>
      </c>
      <c r="O52" s="175"/>
      <c r="P52" s="392">
        <f>N52/N109</f>
        <v>0.2113510882</v>
      </c>
    </row>
    <row r="53" ht="13.5" customHeight="1">
      <c r="A53" s="79" t="s">
        <v>56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170"/>
      <c r="P53" s="170"/>
    </row>
    <row r="54" ht="13.5" customHeight="1">
      <c r="A54" s="32" t="s">
        <v>57</v>
      </c>
      <c r="B54" s="313">
        <f>HSU!B54+HVW!B54+MZ!B54+BUGMC!B54</f>
        <v>10048</v>
      </c>
      <c r="C54" s="313">
        <f>HSU!C54+HVW!C54+MZ!C54+BUGMC!C54</f>
        <v>6097</v>
      </c>
      <c r="D54" s="313">
        <f>HSU!D54+HVW!D54+MZ!D54+BUGMC!D54</f>
        <v>6097</v>
      </c>
      <c r="E54" s="313">
        <f>HSU!E54+HVW!E54+MZ!E54+BUGMC!E54</f>
        <v>4920</v>
      </c>
      <c r="F54" s="313">
        <f>HSU!F54+HVW!F54+MZ!F54+BUGMC!F54</f>
        <v>4920</v>
      </c>
      <c r="G54" s="313">
        <f>HSU!G54+HVW!G54+MZ!G54+BUGMC!G54</f>
        <v>4920</v>
      </c>
      <c r="H54" s="313">
        <f>HSU!H54+HVW!H54+MZ!H54+BUGMC!H54</f>
        <v>4920</v>
      </c>
      <c r="I54" s="313">
        <f>HSU!I54+HVW!I54+MZ!I54+BUGMC!I54</f>
        <v>4920</v>
      </c>
      <c r="J54" s="313">
        <f>HSU!J54+HVW!J54+MZ!J54+BUGMC!J54</f>
        <v>4920</v>
      </c>
      <c r="K54" s="313">
        <f>HSU!K54+HVW!K54+MZ!K54+BUGMC!K54</f>
        <v>2625</v>
      </c>
      <c r="L54" s="313">
        <f>HSU!L54+HVW!L54+MZ!L54+BUGMC!L54</f>
        <v>2625</v>
      </c>
      <c r="M54" s="313">
        <f>HSU!M54+HVW!M54+MZ!M54+BUGMC!M54</f>
        <v>2625</v>
      </c>
      <c r="N54" s="17">
        <f t="shared" ref="N54:N69" si="9">SUM(B54:M54)</f>
        <v>59637</v>
      </c>
      <c r="O54" s="153"/>
      <c r="P54" s="153"/>
    </row>
    <row r="55" ht="13.5" customHeight="1">
      <c r="A55" s="32" t="s">
        <v>58</v>
      </c>
      <c r="B55" s="313">
        <f>HSU!B55+HVW!B55+MZ!B55+BUGMC!B55</f>
        <v>4300</v>
      </c>
      <c r="C55" s="313">
        <f>HSU!C55+HVW!C55+MZ!C55+BUGMC!C55</f>
        <v>5850</v>
      </c>
      <c r="D55" s="313">
        <f>HSU!D55+HVW!D55+MZ!D55+BUGMC!D55</f>
        <v>5850</v>
      </c>
      <c r="E55" s="313">
        <f>HSU!E55+HVW!E55+MZ!E55+BUGMC!E55</f>
        <v>5850</v>
      </c>
      <c r="F55" s="313">
        <f>HSU!F55+HVW!F55+MZ!F55+BUGMC!F55</f>
        <v>5850</v>
      </c>
      <c r="G55" s="313">
        <f>HSU!G55+HVW!G55+MZ!G55+BUGMC!G55</f>
        <v>5850</v>
      </c>
      <c r="H55" s="313">
        <f>HSU!H55+HVW!H55+MZ!H55+BUGMC!H55</f>
        <v>5750</v>
      </c>
      <c r="I55" s="313">
        <f>HSU!I55+HVW!I55+MZ!I55+BUGMC!I55</f>
        <v>5875</v>
      </c>
      <c r="J55" s="313">
        <f>HSU!J55+HVW!J55+MZ!J55+BUGMC!J55</f>
        <v>6400</v>
      </c>
      <c r="K55" s="313">
        <f>HSU!K55+HVW!K55+MZ!K55+BUGMC!K55</f>
        <v>6400</v>
      </c>
      <c r="L55" s="313">
        <f>HSU!L55+HVW!L55+MZ!L55+BUGMC!L55</f>
        <v>6400</v>
      </c>
      <c r="M55" s="313">
        <f>HSU!M55+HVW!M55+MZ!M55+BUGMC!M55</f>
        <v>6400</v>
      </c>
      <c r="N55" s="17">
        <f t="shared" si="9"/>
        <v>70775</v>
      </c>
      <c r="O55" s="153"/>
      <c r="P55" s="153"/>
    </row>
    <row r="56" ht="13.5" customHeight="1">
      <c r="A56" s="31" t="s">
        <v>59</v>
      </c>
      <c r="B56" s="313">
        <f>HSU!B56+HVW!B56+MZ!B56+BUGMC!B56</f>
        <v>3677</v>
      </c>
      <c r="C56" s="313">
        <f>HSU!C56+HVW!C56+MZ!C56+BUGMC!C56</f>
        <v>3477</v>
      </c>
      <c r="D56" s="313">
        <f>HSU!D56+HVW!D56+MZ!D56+BUGMC!D56</f>
        <v>3477</v>
      </c>
      <c r="E56" s="313">
        <f>HSU!E56+HVW!E56+MZ!E56+BUGMC!E56</f>
        <v>3477</v>
      </c>
      <c r="F56" s="313">
        <f>HSU!F56+HVW!F56+MZ!F56+BUGMC!F56</f>
        <v>3477</v>
      </c>
      <c r="G56" s="313">
        <f>HSU!G56+HVW!G56+MZ!G56+BUGMC!G56</f>
        <v>3477</v>
      </c>
      <c r="H56" s="313">
        <f>HSU!H56+HVW!H56+MZ!H56+BUGMC!H56</f>
        <v>3477</v>
      </c>
      <c r="I56" s="313">
        <f>HSU!I56+HVW!I56+MZ!I56+BUGMC!I56</f>
        <v>3477</v>
      </c>
      <c r="J56" s="313">
        <f>HSU!J56+HVW!J56+MZ!J56+BUGMC!J56</f>
        <v>3477</v>
      </c>
      <c r="K56" s="313">
        <f>HSU!K56+HVW!K56+MZ!K56+BUGMC!K56</f>
        <v>3477</v>
      </c>
      <c r="L56" s="313">
        <f>HSU!L56+HVW!L56+MZ!L56+BUGMC!L56</f>
        <v>3477</v>
      </c>
      <c r="M56" s="313">
        <f>HSU!M56+HVW!M56+MZ!M56+BUGMC!M56</f>
        <v>3477</v>
      </c>
      <c r="N56" s="17">
        <f t="shared" si="9"/>
        <v>41924</v>
      </c>
      <c r="O56" s="153"/>
      <c r="P56" s="153"/>
    </row>
    <row r="57" ht="13.5" customHeight="1">
      <c r="A57" s="31" t="s">
        <v>133</v>
      </c>
      <c r="B57" s="313">
        <f>HSU!B57+HVW!B57+MZ!B57+BUGMC!B57</f>
        <v>0</v>
      </c>
      <c r="C57" s="313">
        <f>HSU!C57+HVW!C57+MZ!C57+BUGMC!C57</f>
        <v>0</v>
      </c>
      <c r="D57" s="313">
        <f>HSU!D57+HVW!D57+MZ!D57+BUGMC!D57</f>
        <v>0</v>
      </c>
      <c r="E57" s="313">
        <f>HSU!E57+HVW!E57+MZ!E57+BUGMC!E57</f>
        <v>0</v>
      </c>
      <c r="F57" s="313">
        <f>HSU!F57+HVW!F57+MZ!F57+BUGMC!F57</f>
        <v>0</v>
      </c>
      <c r="G57" s="313">
        <f>HSU!G57+HVW!G57+MZ!G57+BUGMC!G57</f>
        <v>0</v>
      </c>
      <c r="H57" s="313">
        <f>HSU!H57+HVW!H57+MZ!H57+BUGMC!H57</f>
        <v>0</v>
      </c>
      <c r="I57" s="313">
        <f>HSU!I57+HVW!I57+MZ!I57+BUGMC!I57</f>
        <v>0</v>
      </c>
      <c r="J57" s="313">
        <f>HSU!J57+HVW!J57+MZ!J57+BUGMC!J57</f>
        <v>0</v>
      </c>
      <c r="K57" s="313">
        <f>HSU!K57+HVW!K57+MZ!K57+BUGMC!K57</f>
        <v>0</v>
      </c>
      <c r="L57" s="313">
        <f>HSU!L57+HVW!L57+MZ!L57+BUGMC!L57</f>
        <v>0</v>
      </c>
      <c r="M57" s="313">
        <f>HSU!M57+HVW!M57+MZ!M57+BUGMC!M57</f>
        <v>0</v>
      </c>
      <c r="N57" s="17">
        <f t="shared" si="9"/>
        <v>0</v>
      </c>
      <c r="O57" s="153"/>
      <c r="P57" s="153"/>
    </row>
    <row r="58" ht="13.5" customHeight="1">
      <c r="A58" s="31" t="s">
        <v>134</v>
      </c>
      <c r="B58" s="46">
        <f>HSU!B58+HVW!B58+MZ!B58+BUGMC!B58</f>
        <v>0</v>
      </c>
      <c r="C58" s="46">
        <f>HSU!C58+HVW!C58+MZ!C58+BUGMC!C58</f>
        <v>0</v>
      </c>
      <c r="D58" s="46">
        <f>HSU!D58+HVW!D58+MZ!D58+BUGMC!D58</f>
        <v>0</v>
      </c>
      <c r="E58" s="46">
        <f>HSU!E58+HVW!E58+MZ!E58+BUGMC!E58</f>
        <v>0</v>
      </c>
      <c r="F58" s="46">
        <f>HSU!F58+HVW!F58+MZ!F58+BUGMC!F58</f>
        <v>0</v>
      </c>
      <c r="G58" s="46">
        <f>HSU!G58+HVW!G58+MZ!G58+BUGMC!G58</f>
        <v>0</v>
      </c>
      <c r="H58" s="46">
        <f>HSU!H58+HVW!H58+MZ!H58+BUGMC!H58</f>
        <v>0</v>
      </c>
      <c r="I58" s="46">
        <f>HSU!I58+HVW!I58+MZ!I58+BUGMC!I58</f>
        <v>0</v>
      </c>
      <c r="J58" s="46">
        <f>HSU!J58+HVW!J58+MZ!J58+BUGMC!J58</f>
        <v>0</v>
      </c>
      <c r="K58" s="46">
        <f>HSU!K58+HVW!K58+MZ!K58+BUGMC!K58</f>
        <v>0</v>
      </c>
      <c r="L58" s="46">
        <f>HSU!L58+HVW!L58+MZ!L58+BUGMC!L58</f>
        <v>0</v>
      </c>
      <c r="M58" s="46">
        <f>HSU!M58+HVW!M58+MZ!M58+BUGMC!M58</f>
        <v>0</v>
      </c>
      <c r="N58" s="17">
        <f t="shared" si="9"/>
        <v>0</v>
      </c>
      <c r="O58" s="153"/>
      <c r="P58" s="153"/>
    </row>
    <row r="59" ht="13.5" customHeight="1">
      <c r="A59" s="31" t="s">
        <v>135</v>
      </c>
      <c r="B59" s="313">
        <f>HSU!B59+HVW!B59+MZ!B59+BUGMC!B59</f>
        <v>1250</v>
      </c>
      <c r="C59" s="313">
        <f>HSU!C59+HVW!C59+MZ!C59+BUGMC!C59</f>
        <v>1250</v>
      </c>
      <c r="D59" s="313">
        <f>HSU!D59+HVW!D59+MZ!D59+BUGMC!D59</f>
        <v>1250</v>
      </c>
      <c r="E59" s="313">
        <f>HSU!E59+HVW!E59+MZ!E59+BUGMC!E59</f>
        <v>1250</v>
      </c>
      <c r="F59" s="313">
        <f>HSU!F59+HVW!F59+MZ!F59+BUGMC!F59</f>
        <v>1250</v>
      </c>
      <c r="G59" s="313">
        <f>HSU!G59+HVW!G59+MZ!G59+BUGMC!G59</f>
        <v>1250</v>
      </c>
      <c r="H59" s="313">
        <f>HSU!H59+HVW!H59+MZ!H59+BUGMC!H59</f>
        <v>1250</v>
      </c>
      <c r="I59" s="313">
        <f>HSU!I59+HVW!I59+MZ!I59+BUGMC!I59</f>
        <v>1250</v>
      </c>
      <c r="J59" s="313">
        <f>HSU!J59+HVW!J59+MZ!J59+BUGMC!J59</f>
        <v>1250</v>
      </c>
      <c r="K59" s="313">
        <f>HSU!K59+HVW!K59+MZ!K59+BUGMC!K59</f>
        <v>1250</v>
      </c>
      <c r="L59" s="313">
        <f>HSU!L59+HVW!L59+MZ!L59+BUGMC!L59</f>
        <v>1250</v>
      </c>
      <c r="M59" s="313">
        <f>HSU!M59+HVW!M59+MZ!M59+BUGMC!M59</f>
        <v>1250</v>
      </c>
      <c r="N59" s="17">
        <f t="shared" si="9"/>
        <v>15000</v>
      </c>
      <c r="O59" s="153"/>
      <c r="P59" s="153"/>
    </row>
    <row r="60" ht="13.5" customHeight="1">
      <c r="A60" s="32" t="s">
        <v>136</v>
      </c>
      <c r="B60" s="46">
        <f>HSU!B60+HVW!B60+MZ!B60+BUGMC!B60</f>
        <v>0</v>
      </c>
      <c r="C60" s="46">
        <f>HSU!C60+HVW!C60+MZ!C60+BUGMC!C60</f>
        <v>0</v>
      </c>
      <c r="D60" s="46">
        <f>HSU!D60+HVW!D60+MZ!D60+BUGMC!D60</f>
        <v>0</v>
      </c>
      <c r="E60" s="46">
        <f>HSU!E60+HVW!E60+MZ!E60+BUGMC!E60</f>
        <v>0</v>
      </c>
      <c r="F60" s="46">
        <f>HSU!F60+HVW!F60+MZ!F60+BUGMC!F60</f>
        <v>0</v>
      </c>
      <c r="G60" s="46">
        <f>HSU!G60+HVW!G60+MZ!G60+BUGMC!G60</f>
        <v>0</v>
      </c>
      <c r="H60" s="46">
        <f>HSU!H60+HVW!H60+MZ!H60+BUGMC!H60</f>
        <v>0</v>
      </c>
      <c r="I60" s="46">
        <f>HSU!I60+HVW!I60+MZ!I60+BUGMC!I60</f>
        <v>0</v>
      </c>
      <c r="J60" s="46">
        <f>HSU!J60+HVW!J60+MZ!J60+BUGMC!J60</f>
        <v>0</v>
      </c>
      <c r="K60" s="46">
        <f>HSU!K60+HVW!K60+MZ!K60+BUGMC!K60</f>
        <v>0</v>
      </c>
      <c r="L60" s="46">
        <f>HSU!L60+HVW!L60+MZ!L60+BUGMC!L60</f>
        <v>0</v>
      </c>
      <c r="M60" s="46">
        <f>HSU!M60+HVW!M60+MZ!M60+BUGMC!M60</f>
        <v>0</v>
      </c>
      <c r="N60" s="17">
        <f t="shared" si="9"/>
        <v>0</v>
      </c>
      <c r="O60" s="153"/>
      <c r="P60" s="153"/>
    </row>
    <row r="61" ht="13.5" customHeight="1">
      <c r="A61" s="32" t="s">
        <v>137</v>
      </c>
      <c r="B61" s="46">
        <f>HSU!B61+HVW!B61+MZ!B61+BUGMC!B61</f>
        <v>0</v>
      </c>
      <c r="C61" s="46">
        <f>HSU!C61+HVW!C61+MZ!C61+BUGMC!C61</f>
        <v>0</v>
      </c>
      <c r="D61" s="46">
        <f>HSU!D61+HVW!D61+MZ!D61+BUGMC!D61</f>
        <v>0</v>
      </c>
      <c r="E61" s="46">
        <f>HSU!E61+HVW!E61+MZ!E61+BUGMC!E61</f>
        <v>0</v>
      </c>
      <c r="F61" s="46">
        <f>HSU!F61+HVW!F61+MZ!F61+BUGMC!F61</f>
        <v>0</v>
      </c>
      <c r="G61" s="46">
        <f>HSU!G61+HVW!G61+MZ!G61+BUGMC!G61</f>
        <v>0</v>
      </c>
      <c r="H61" s="46">
        <f>HSU!H61+HVW!H61+MZ!H61+BUGMC!H61</f>
        <v>0</v>
      </c>
      <c r="I61" s="46">
        <f>HSU!I61+HVW!I61+MZ!I61+BUGMC!I61</f>
        <v>0</v>
      </c>
      <c r="J61" s="46">
        <f>HSU!J61+HVW!J61+MZ!J61+BUGMC!J61</f>
        <v>0</v>
      </c>
      <c r="K61" s="46">
        <f>HSU!K61+HVW!K61+MZ!K61+BUGMC!K61</f>
        <v>0</v>
      </c>
      <c r="L61" s="46">
        <f>HSU!L61+HVW!L61+MZ!L61+BUGMC!L61</f>
        <v>0</v>
      </c>
      <c r="M61" s="46">
        <f>HSU!M61+HVW!M61+MZ!M61+BUGMC!M61</f>
        <v>0</v>
      </c>
      <c r="N61" s="17">
        <f t="shared" si="9"/>
        <v>0</v>
      </c>
      <c r="O61" s="153"/>
      <c r="P61" s="153"/>
    </row>
    <row r="62" ht="13.5" customHeight="1">
      <c r="A62" s="32" t="s">
        <v>63</v>
      </c>
      <c r="B62" s="46">
        <f>HSU!B62+HVW!B62+MZ!B62+BUGMC!B62</f>
        <v>0</v>
      </c>
      <c r="C62" s="46">
        <f>HSU!C62+HVW!C62+MZ!C62+BUGMC!C62</f>
        <v>0</v>
      </c>
      <c r="D62" s="46">
        <f>HSU!D62+HVW!D62+MZ!D62+BUGMC!D62</f>
        <v>0</v>
      </c>
      <c r="E62" s="46">
        <f>HSU!E62+HVW!E62+MZ!E62+BUGMC!E62</f>
        <v>0</v>
      </c>
      <c r="F62" s="46">
        <f>HSU!F62+HVW!F62+MZ!F62+BUGMC!F62</f>
        <v>0</v>
      </c>
      <c r="G62" s="46">
        <f>HSU!G62+HVW!G62+MZ!G62+BUGMC!G62</f>
        <v>0</v>
      </c>
      <c r="H62" s="46">
        <f>HSU!H62+HVW!H62+MZ!H62+BUGMC!H62</f>
        <v>0</v>
      </c>
      <c r="I62" s="46">
        <f>HSU!I62+HVW!I62+MZ!I62+BUGMC!I62</f>
        <v>0</v>
      </c>
      <c r="J62" s="46">
        <f>HSU!J62+HVW!J62+MZ!J62+BUGMC!J62</f>
        <v>0</v>
      </c>
      <c r="K62" s="46">
        <f>HSU!K62+HVW!K62+MZ!K62+BUGMC!K62</f>
        <v>0</v>
      </c>
      <c r="L62" s="46">
        <f>HSU!L62+HVW!L62+MZ!L62+BUGMC!L62</f>
        <v>0</v>
      </c>
      <c r="M62" s="46">
        <f>HSU!M62+HVW!M62+MZ!M62+BUGMC!M62</f>
        <v>0</v>
      </c>
      <c r="N62" s="17">
        <f t="shared" si="9"/>
        <v>0</v>
      </c>
      <c r="O62" s="153"/>
      <c r="P62" s="153"/>
    </row>
    <row r="63" ht="13.5" customHeight="1">
      <c r="A63" s="31" t="s">
        <v>64</v>
      </c>
      <c r="B63" s="313">
        <f>HSU!B63+HVW!B63+MZ!B63+BUGMC!B63</f>
        <v>25040</v>
      </c>
      <c r="C63" s="313">
        <f>HSU!C63+HVW!C63+MZ!C63+BUGMC!C63</f>
        <v>25040</v>
      </c>
      <c r="D63" s="313">
        <f>HSU!D63+HVW!D63+MZ!D63+BUGMC!D63</f>
        <v>25040</v>
      </c>
      <c r="E63" s="313">
        <f>HSU!E63+HVW!E63+MZ!E63+BUGMC!E63</f>
        <v>25040</v>
      </c>
      <c r="F63" s="313">
        <f>HSU!F63+HVW!F63+MZ!F63+BUGMC!F63</f>
        <v>25040</v>
      </c>
      <c r="G63" s="313">
        <f>HSU!G63+HVW!G63+MZ!G63+BUGMC!G63</f>
        <v>25040</v>
      </c>
      <c r="H63" s="313">
        <f>HSU!H63+HVW!H63+MZ!H63+BUGMC!H63</f>
        <v>25040</v>
      </c>
      <c r="I63" s="313">
        <f>HSU!I63+HVW!I63+MZ!I63+BUGMC!I63</f>
        <v>25040</v>
      </c>
      <c r="J63" s="313">
        <f>HSU!J63+HVW!J63+MZ!J63+BUGMC!J63</f>
        <v>25040</v>
      </c>
      <c r="K63" s="313">
        <f>HSU!K63+HVW!K63+MZ!K63+BUGMC!K63</f>
        <v>25040</v>
      </c>
      <c r="L63" s="313">
        <f>HSU!L63+HVW!L63+MZ!L63+BUGMC!L63</f>
        <v>25040</v>
      </c>
      <c r="M63" s="313">
        <f>HSU!M63+HVW!M63+MZ!M63+BUGMC!M63</f>
        <v>25040</v>
      </c>
      <c r="N63" s="17">
        <f t="shared" si="9"/>
        <v>300480</v>
      </c>
      <c r="O63" s="153"/>
      <c r="P63" s="153"/>
    </row>
    <row r="64" ht="13.5" customHeight="1">
      <c r="A64" s="32" t="s">
        <v>65</v>
      </c>
      <c r="B64" s="46">
        <f>HSU!B64+HVW!B64+MZ!B64+BUGMC!B64</f>
        <v>0</v>
      </c>
      <c r="C64" s="46">
        <f>HSU!C64+HVW!C64+MZ!C64+BUGMC!C64</f>
        <v>0</v>
      </c>
      <c r="D64" s="46">
        <f>HSU!D64+HVW!D64+MZ!D64+BUGMC!D64</f>
        <v>0</v>
      </c>
      <c r="E64" s="46">
        <f>HSU!E64+HVW!E64+MZ!E64+BUGMC!E64</f>
        <v>0</v>
      </c>
      <c r="F64" s="46">
        <f>HSU!F64+HVW!F64+MZ!F64+BUGMC!F64</f>
        <v>0</v>
      </c>
      <c r="G64" s="46">
        <f>HSU!G64+HVW!G64+MZ!G64+BUGMC!G64</f>
        <v>0</v>
      </c>
      <c r="H64" s="46">
        <f>HSU!H64+HVW!H64+MZ!H64+BUGMC!H64</f>
        <v>0</v>
      </c>
      <c r="I64" s="46">
        <f>HSU!I64+HVW!I64+MZ!I64+BUGMC!I64</f>
        <v>0</v>
      </c>
      <c r="J64" s="46">
        <f>HSU!J64+HVW!J64+MZ!J64+BUGMC!J64</f>
        <v>0</v>
      </c>
      <c r="K64" s="46">
        <f>HSU!K64+HVW!K64+MZ!K64+BUGMC!K64</f>
        <v>0</v>
      </c>
      <c r="L64" s="46">
        <f>HSU!L64+HVW!L64+MZ!L64+BUGMC!L64</f>
        <v>0</v>
      </c>
      <c r="M64" s="46">
        <f>HSU!M64+HVW!M64+MZ!M64+BUGMC!M64</f>
        <v>0</v>
      </c>
      <c r="N64" s="17">
        <f t="shared" si="9"/>
        <v>0</v>
      </c>
      <c r="O64" s="153"/>
      <c r="P64" s="153"/>
    </row>
    <row r="65" ht="13.5" customHeight="1">
      <c r="A65" s="31" t="s">
        <v>66</v>
      </c>
      <c r="B65" s="46">
        <f>HSU!B65+HVW!B65+MZ!B65+BUGMC!B65</f>
        <v>0</v>
      </c>
      <c r="C65" s="46">
        <f>HSU!C65+HVW!C65+MZ!C65+BUGMC!C65</f>
        <v>0</v>
      </c>
      <c r="D65" s="46">
        <f>HSU!D65+HVW!D65+MZ!D65+BUGMC!D65</f>
        <v>0</v>
      </c>
      <c r="E65" s="46">
        <f>HSU!E65+HVW!E65+MZ!E65+BUGMC!E65</f>
        <v>0</v>
      </c>
      <c r="F65" s="46">
        <f>HSU!F65+HVW!F65+MZ!F65+BUGMC!F65</f>
        <v>0</v>
      </c>
      <c r="G65" s="46">
        <f>HSU!G65+HVW!G65+MZ!G65+BUGMC!G65</f>
        <v>0</v>
      </c>
      <c r="H65" s="46">
        <f>HSU!H65+HVW!H65+MZ!H65+BUGMC!H65</f>
        <v>0</v>
      </c>
      <c r="I65" s="46">
        <f>HSU!I65+HVW!I65+MZ!I65+BUGMC!I65</f>
        <v>0</v>
      </c>
      <c r="J65" s="46">
        <f>HSU!J65+HVW!J65+MZ!J65+BUGMC!J65</f>
        <v>0</v>
      </c>
      <c r="K65" s="46">
        <f>HSU!K65+HVW!K65+MZ!K65+BUGMC!K65</f>
        <v>0</v>
      </c>
      <c r="L65" s="46">
        <f>HSU!L65+HVW!L65+MZ!L65+BUGMC!L65</f>
        <v>0</v>
      </c>
      <c r="M65" s="46">
        <f>HSU!M65+HVW!M65+MZ!M65+BUGMC!M65</f>
        <v>0</v>
      </c>
      <c r="N65" s="17">
        <f t="shared" si="9"/>
        <v>0</v>
      </c>
      <c r="O65" s="153"/>
      <c r="P65" s="153"/>
    </row>
    <row r="66" ht="13.5" customHeight="1">
      <c r="A66" s="31" t="s">
        <v>67</v>
      </c>
      <c r="B66" s="46">
        <f>HSU!B66+HVW!B66+MZ!B66+BUGMC!B66</f>
        <v>0</v>
      </c>
      <c r="C66" s="46">
        <f>HSU!C66+HVW!C66+MZ!C66+BUGMC!C66</f>
        <v>0</v>
      </c>
      <c r="D66" s="46">
        <f>HSU!D66+HVW!D66+MZ!D66+BUGMC!D66</f>
        <v>0</v>
      </c>
      <c r="E66" s="46">
        <f>HSU!E66+HVW!E66+MZ!E66+BUGMC!E66</f>
        <v>0</v>
      </c>
      <c r="F66" s="46">
        <f>HSU!F66+HVW!F66+MZ!F66+BUGMC!F66</f>
        <v>0</v>
      </c>
      <c r="G66" s="46">
        <f>HSU!G66+HVW!G66+MZ!G66+BUGMC!G66</f>
        <v>0</v>
      </c>
      <c r="H66" s="46">
        <f>HSU!H66+HVW!H66+MZ!H66+BUGMC!H66</f>
        <v>0</v>
      </c>
      <c r="I66" s="46">
        <f>HSU!I66+HVW!I66+MZ!I66+BUGMC!I66</f>
        <v>0</v>
      </c>
      <c r="J66" s="46">
        <f>HSU!J66+HVW!J66+MZ!J66+BUGMC!J66</f>
        <v>0</v>
      </c>
      <c r="K66" s="46">
        <f>HSU!K66+HVW!K66+MZ!K66+BUGMC!K66</f>
        <v>0</v>
      </c>
      <c r="L66" s="46">
        <f>HSU!L66+HVW!L66+MZ!L66+BUGMC!L66</f>
        <v>0</v>
      </c>
      <c r="M66" s="46">
        <f>HSU!M66+HVW!M66+MZ!M66+BUGMC!M66</f>
        <v>0</v>
      </c>
      <c r="N66" s="17">
        <f t="shared" si="9"/>
        <v>0</v>
      </c>
      <c r="O66" s="153"/>
      <c r="P66" s="153"/>
    </row>
    <row r="67" ht="13.5" customHeight="1">
      <c r="A67" s="25" t="s">
        <v>165</v>
      </c>
      <c r="B67" s="46">
        <f>HSU!B67+HVW!B67+MZ!B67+BUGMC!B67</f>
        <v>0</v>
      </c>
      <c r="C67" s="46">
        <f>HSU!C67+HVW!C67+MZ!C67+BUGMC!C67</f>
        <v>0</v>
      </c>
      <c r="D67" s="46">
        <f>HSU!D67+HVW!D67+MZ!D67+BUGMC!D67</f>
        <v>0</v>
      </c>
      <c r="E67" s="46">
        <f>HSU!E67+HVW!E67+MZ!E67+BUGMC!E67</f>
        <v>0</v>
      </c>
      <c r="F67" s="46">
        <f>HSU!F67+HVW!F67+MZ!F67+BUGMC!F67</f>
        <v>0</v>
      </c>
      <c r="G67" s="46">
        <f>HSU!G67+HVW!G67+MZ!G67+BUGMC!G67</f>
        <v>0</v>
      </c>
      <c r="H67" s="46">
        <f>HSU!H67+HVW!H67+MZ!H67+BUGMC!H67</f>
        <v>0</v>
      </c>
      <c r="I67" s="46">
        <f>HSU!I67+HVW!I67+MZ!I67+BUGMC!I67</f>
        <v>0</v>
      </c>
      <c r="J67" s="46">
        <f>HSU!J67+HVW!J67+MZ!J67+BUGMC!J67</f>
        <v>0</v>
      </c>
      <c r="K67" s="46">
        <f>HSU!K67+HVW!K67+MZ!K67+BUGMC!K67</f>
        <v>0</v>
      </c>
      <c r="L67" s="46">
        <f>HSU!L67+HVW!L67+MZ!L67+BUGMC!L67</f>
        <v>0</v>
      </c>
      <c r="M67" s="46">
        <f>HSU!M67+HVW!M67+MZ!M67+BUGMC!M67</f>
        <v>0</v>
      </c>
      <c r="N67" s="17">
        <f t="shared" si="9"/>
        <v>0</v>
      </c>
      <c r="O67" s="153"/>
      <c r="P67" s="153"/>
    </row>
    <row r="68" ht="13.5" customHeight="1">
      <c r="A68" s="25" t="s">
        <v>69</v>
      </c>
      <c r="B68" s="46">
        <f>HSU!B68+HVW!B68+MZ!B68+BUGMC!B68</f>
        <v>0</v>
      </c>
      <c r="C68" s="46">
        <f>HSU!C68+HVW!C68+MZ!C68+BUGMC!C68</f>
        <v>0</v>
      </c>
      <c r="D68" s="46">
        <f>HSU!D68+HVW!D68+MZ!D68+BUGMC!D68</f>
        <v>0</v>
      </c>
      <c r="E68" s="46">
        <f>HSU!E68+HVW!E68+MZ!E68+BUGMC!E68</f>
        <v>0</v>
      </c>
      <c r="F68" s="46">
        <f>HSU!F68+HVW!F68+MZ!F68+BUGMC!F68</f>
        <v>0</v>
      </c>
      <c r="G68" s="46">
        <f>HSU!G68+HVW!G68+MZ!G68+BUGMC!G68</f>
        <v>0</v>
      </c>
      <c r="H68" s="46">
        <f>HSU!H68+HVW!H68+MZ!H68+BUGMC!H68</f>
        <v>0</v>
      </c>
      <c r="I68" s="46">
        <f>HSU!I68+HVW!I68+MZ!I68+BUGMC!I68</f>
        <v>0</v>
      </c>
      <c r="J68" s="46">
        <f>HSU!J68+HVW!J68+MZ!J68+BUGMC!J68</f>
        <v>0</v>
      </c>
      <c r="K68" s="46">
        <f>HSU!K68+HVW!K68+MZ!K68+BUGMC!K68</f>
        <v>0</v>
      </c>
      <c r="L68" s="46">
        <f>HSU!L68+HVW!L68+MZ!L68+BUGMC!L68</f>
        <v>0</v>
      </c>
      <c r="M68" s="46">
        <f>HSU!M68+HVW!M68+MZ!M68+BUGMC!M68</f>
        <v>0</v>
      </c>
      <c r="N68" s="17">
        <f t="shared" si="9"/>
        <v>0</v>
      </c>
      <c r="O68" s="153"/>
      <c r="P68" s="153"/>
    </row>
    <row r="69" ht="13.5" customHeight="1">
      <c r="A69" s="39" t="s">
        <v>70</v>
      </c>
      <c r="B69" s="46">
        <f>HSU!B69+HVW!B69+MZ!B69+BUGMC!B69</f>
        <v>0</v>
      </c>
      <c r="C69" s="46">
        <f>HSU!C69+HVW!C69+MZ!C69+BUGMC!C69</f>
        <v>0</v>
      </c>
      <c r="D69" s="46">
        <f>HSU!D69+HVW!D69+MZ!D69+BUGMC!D69</f>
        <v>0</v>
      </c>
      <c r="E69" s="46">
        <f>HSU!E69+HVW!E69+MZ!E69+BUGMC!E69</f>
        <v>0</v>
      </c>
      <c r="F69" s="46">
        <f>HSU!F69+HVW!F69+MZ!F69+BUGMC!F69</f>
        <v>0</v>
      </c>
      <c r="G69" s="46">
        <f>HSU!G69+HVW!G69+MZ!G69+BUGMC!G69</f>
        <v>0</v>
      </c>
      <c r="H69" s="46">
        <f>HSU!H69+HVW!H69+MZ!H69+BUGMC!H69</f>
        <v>0</v>
      </c>
      <c r="I69" s="46">
        <f>HSU!I69+HVW!I69+MZ!I69+BUGMC!I69</f>
        <v>0</v>
      </c>
      <c r="J69" s="46">
        <f>HSU!J69+HVW!J69+MZ!J69+BUGMC!J69</f>
        <v>0</v>
      </c>
      <c r="K69" s="46">
        <f>HSU!K69+HVW!K69+MZ!K69+BUGMC!K69</f>
        <v>0</v>
      </c>
      <c r="L69" s="46">
        <f>HSU!L69+HVW!L69+MZ!L69+BUGMC!L69</f>
        <v>0</v>
      </c>
      <c r="M69" s="46">
        <f>HSU!M69+HVW!M69+MZ!M69+BUGMC!M69</f>
        <v>0</v>
      </c>
      <c r="N69" s="17">
        <f t="shared" si="9"/>
        <v>0</v>
      </c>
      <c r="O69" s="153"/>
      <c r="P69" s="153"/>
    </row>
    <row r="70" ht="13.5" customHeight="1">
      <c r="A70" s="91" t="s">
        <v>23</v>
      </c>
      <c r="B70" s="28">
        <f t="shared" ref="B70:M70" si="10">SUM(B54:B69)</f>
        <v>44315</v>
      </c>
      <c r="C70" s="28">
        <f t="shared" si="10"/>
        <v>41714</v>
      </c>
      <c r="D70" s="28">
        <f t="shared" si="10"/>
        <v>41714</v>
      </c>
      <c r="E70" s="28">
        <f t="shared" si="10"/>
        <v>40537</v>
      </c>
      <c r="F70" s="28">
        <f t="shared" si="10"/>
        <v>40537</v>
      </c>
      <c r="G70" s="28">
        <f t="shared" si="10"/>
        <v>40537</v>
      </c>
      <c r="H70" s="28">
        <f t="shared" si="10"/>
        <v>40437</v>
      </c>
      <c r="I70" s="28">
        <f t="shared" si="10"/>
        <v>40562</v>
      </c>
      <c r="J70" s="28">
        <f t="shared" si="10"/>
        <v>41087</v>
      </c>
      <c r="K70" s="28">
        <f t="shared" si="10"/>
        <v>38792</v>
      </c>
      <c r="L70" s="28">
        <f t="shared" si="10"/>
        <v>38792</v>
      </c>
      <c r="M70" s="28">
        <f t="shared" si="10"/>
        <v>38792</v>
      </c>
      <c r="N70" s="28">
        <f>SUM(N54:N66)</f>
        <v>487816</v>
      </c>
      <c r="O70" s="175"/>
      <c r="P70" s="392">
        <f>N70/N109</f>
        <v>0.2980477506</v>
      </c>
    </row>
    <row r="71" ht="13.5" customHeight="1">
      <c r="A71" s="79" t="s">
        <v>71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170"/>
      <c r="P71" s="170"/>
    </row>
    <row r="72" ht="13.5" customHeight="1">
      <c r="A72" s="32" t="s">
        <v>138</v>
      </c>
      <c r="B72" s="313">
        <f>HSU!B72+HVW!B72+MZ!B72+BUGMC!B72</f>
        <v>0</v>
      </c>
      <c r="C72" s="313">
        <f>HSU!C72+HVW!C72+MZ!C72+BUGMC!C72</f>
        <v>0</v>
      </c>
      <c r="D72" s="313">
        <f>HSU!D72+HVW!D72+MZ!D72+BUGMC!D72</f>
        <v>0</v>
      </c>
      <c r="E72" s="313">
        <f>HSU!E72+HVW!E72+MZ!E72+BUGMC!E72</f>
        <v>0</v>
      </c>
      <c r="F72" s="313">
        <f>HSU!F72+HVW!F72+MZ!F72+BUGMC!F72</f>
        <v>0</v>
      </c>
      <c r="G72" s="313">
        <f>HSU!G72+HVW!G72+MZ!G72+BUGMC!G72</f>
        <v>0</v>
      </c>
      <c r="H72" s="313">
        <f>HSU!H72+HVW!H72+MZ!H72+BUGMC!H72</f>
        <v>0</v>
      </c>
      <c r="I72" s="313">
        <f>HSU!I72+HVW!I72+MZ!I72+BUGMC!I72</f>
        <v>0</v>
      </c>
      <c r="J72" s="313">
        <f>HSU!J72+HVW!J72+MZ!J72+BUGMC!J72</f>
        <v>0</v>
      </c>
      <c r="K72" s="313">
        <f>HSU!K72+HVW!K72+MZ!K72+BUGMC!K72</f>
        <v>0</v>
      </c>
      <c r="L72" s="313">
        <f>HSU!L72+HVW!L72+MZ!L72+BUGMC!L72</f>
        <v>0</v>
      </c>
      <c r="M72" s="313">
        <f>HSU!M72+HVW!M72+MZ!M72+BUGMC!M72</f>
        <v>0</v>
      </c>
      <c r="N72" s="17">
        <f t="shared" ref="N72:N83" si="11">SUM(B72:M72)</f>
        <v>0</v>
      </c>
      <c r="O72" s="153"/>
      <c r="P72" s="153"/>
    </row>
    <row r="73" ht="13.5" customHeight="1">
      <c r="A73" s="31" t="s">
        <v>73</v>
      </c>
      <c r="B73" s="46">
        <f>HSU!B73+HVW!B73+MZ!B73+BUGMC!B73</f>
        <v>0</v>
      </c>
      <c r="C73" s="46">
        <f>HSU!C73+HVW!C73+MZ!C73+BUGMC!C73</f>
        <v>0</v>
      </c>
      <c r="D73" s="46">
        <f>HSU!D73+HVW!D73+MZ!D73+BUGMC!D73</f>
        <v>0</v>
      </c>
      <c r="E73" s="46">
        <f>HSU!E73+HVW!E73+MZ!E73+BUGMC!E73</f>
        <v>0</v>
      </c>
      <c r="F73" s="46">
        <f>HSU!F73+HVW!F73+MZ!F73+BUGMC!F73</f>
        <v>0</v>
      </c>
      <c r="G73" s="46">
        <f>HSU!G73+HVW!G73+MZ!G73+BUGMC!G73</f>
        <v>0</v>
      </c>
      <c r="H73" s="46">
        <f>HSU!H73+HVW!H73+MZ!H73+BUGMC!H73</f>
        <v>0</v>
      </c>
      <c r="I73" s="46">
        <f>HSU!I73+HVW!I73+MZ!I73+BUGMC!I73</f>
        <v>0</v>
      </c>
      <c r="J73" s="46">
        <f>HSU!J73+HVW!J73+MZ!J73+BUGMC!J73</f>
        <v>0</v>
      </c>
      <c r="K73" s="46">
        <f>HSU!K73+HVW!K73+MZ!K73+BUGMC!K73</f>
        <v>0</v>
      </c>
      <c r="L73" s="46">
        <f>HSU!L73+HVW!L73+MZ!L73+BUGMC!L73</f>
        <v>0</v>
      </c>
      <c r="M73" s="46">
        <f>HSU!M73+HVW!M73+MZ!M73+BUGMC!M73</f>
        <v>0</v>
      </c>
      <c r="N73" s="17">
        <f t="shared" si="11"/>
        <v>0</v>
      </c>
      <c r="O73" s="153"/>
      <c r="P73" s="153"/>
    </row>
    <row r="74" ht="13.5" customHeight="1">
      <c r="A74" s="32" t="s">
        <v>139</v>
      </c>
      <c r="B74" s="313">
        <f>HSU!B74+HVW!B74+MZ!B74+BUGMC!B74</f>
        <v>1250</v>
      </c>
      <c r="C74" s="313">
        <f>HSU!C74+HVW!C74+MZ!C74+BUGMC!C74</f>
        <v>1250</v>
      </c>
      <c r="D74" s="313">
        <f>HSU!D74+HVW!D74+MZ!D74+BUGMC!D74</f>
        <v>1250</v>
      </c>
      <c r="E74" s="313">
        <f>HSU!E74+HVW!E74+MZ!E74+BUGMC!E74</f>
        <v>1250</v>
      </c>
      <c r="F74" s="313">
        <f>HSU!F74+HVW!F74+MZ!F74+BUGMC!F74</f>
        <v>1250</v>
      </c>
      <c r="G74" s="313">
        <f>HSU!G74+HVW!G74+MZ!G74+BUGMC!G74</f>
        <v>1250</v>
      </c>
      <c r="H74" s="313">
        <f>HSU!H74+HVW!H74+MZ!H74+BUGMC!H74</f>
        <v>1250</v>
      </c>
      <c r="I74" s="313">
        <f>HSU!I74+HVW!I74+MZ!I74+BUGMC!I74</f>
        <v>1250</v>
      </c>
      <c r="J74" s="313">
        <f>HSU!J74+HVW!J74+MZ!J74+BUGMC!J74</f>
        <v>1250</v>
      </c>
      <c r="K74" s="313">
        <f>HSU!K74+HVW!K74+MZ!K74+BUGMC!K74</f>
        <v>1250</v>
      </c>
      <c r="L74" s="313">
        <f>HSU!L74+HVW!L74+MZ!L74+BUGMC!L74</f>
        <v>1250</v>
      </c>
      <c r="M74" s="313">
        <f>HSU!M74+HVW!M74+MZ!M74+BUGMC!M74</f>
        <v>1250</v>
      </c>
      <c r="N74" s="17">
        <f t="shared" si="11"/>
        <v>15000</v>
      </c>
      <c r="O74" s="153"/>
      <c r="P74" s="153"/>
    </row>
    <row r="75" ht="13.5" customHeight="1">
      <c r="A75" s="31" t="s">
        <v>137</v>
      </c>
      <c r="B75" s="46">
        <f>HSU!B75+HVW!B75+MZ!B75+BUGMC!B75</f>
        <v>0</v>
      </c>
      <c r="C75" s="46">
        <f>HSU!C75+HVW!C75+MZ!C75+BUGMC!C75</f>
        <v>0</v>
      </c>
      <c r="D75" s="46">
        <f>HSU!D75+HVW!D75+MZ!D75+BUGMC!D75</f>
        <v>0</v>
      </c>
      <c r="E75" s="46">
        <f>HSU!E75+HVW!E75+MZ!E75+BUGMC!E75</f>
        <v>0</v>
      </c>
      <c r="F75" s="46">
        <f>HSU!F75+HVW!F75+MZ!F75+BUGMC!F75</f>
        <v>0</v>
      </c>
      <c r="G75" s="46">
        <f>HSU!G75+HVW!G75+MZ!G75+BUGMC!G75</f>
        <v>0</v>
      </c>
      <c r="H75" s="46">
        <f>HSU!H75+HVW!H75+MZ!H75+BUGMC!H75</f>
        <v>0</v>
      </c>
      <c r="I75" s="46">
        <f>HSU!I75+HVW!I75+MZ!I75+BUGMC!I75</f>
        <v>0</v>
      </c>
      <c r="J75" s="46">
        <f>HSU!J75+HVW!J75+MZ!J75+BUGMC!J75</f>
        <v>0</v>
      </c>
      <c r="K75" s="46">
        <f>HSU!K75+HVW!K75+MZ!K75+BUGMC!K75</f>
        <v>0</v>
      </c>
      <c r="L75" s="46">
        <f>HSU!L75+HVW!L75+MZ!L75+BUGMC!L75</f>
        <v>0</v>
      </c>
      <c r="M75" s="46">
        <f>HSU!M75+HVW!M75+MZ!M75+BUGMC!M75</f>
        <v>0</v>
      </c>
      <c r="N75" s="17">
        <f t="shared" si="11"/>
        <v>0</v>
      </c>
      <c r="O75" s="153"/>
      <c r="P75" s="153"/>
    </row>
    <row r="76" ht="13.5" customHeight="1">
      <c r="A76" s="32" t="s">
        <v>136</v>
      </c>
      <c r="B76" s="46">
        <f>HSU!B76+HVW!B76+MZ!B76+BUGMC!B76</f>
        <v>0</v>
      </c>
      <c r="C76" s="46">
        <f>HSU!C76+HVW!C76+MZ!C76+BUGMC!C76</f>
        <v>0</v>
      </c>
      <c r="D76" s="46">
        <f>HSU!D76+HVW!D76+MZ!D76+BUGMC!D76</f>
        <v>0</v>
      </c>
      <c r="E76" s="46">
        <f>HSU!E76+HVW!E76+MZ!E76+BUGMC!E76</f>
        <v>0</v>
      </c>
      <c r="F76" s="46">
        <f>HSU!F76+HVW!F76+MZ!F76+BUGMC!F76</f>
        <v>0</v>
      </c>
      <c r="G76" s="46">
        <f>HSU!G76+HVW!G76+MZ!G76+BUGMC!G76</f>
        <v>0</v>
      </c>
      <c r="H76" s="46">
        <f>HSU!H76+HVW!H76+MZ!H76+BUGMC!H76</f>
        <v>0</v>
      </c>
      <c r="I76" s="46">
        <f>HSU!I76+HVW!I76+MZ!I76+BUGMC!I76</f>
        <v>0</v>
      </c>
      <c r="J76" s="46">
        <f>HSU!J76+HVW!J76+MZ!J76+BUGMC!J76</f>
        <v>0</v>
      </c>
      <c r="K76" s="46">
        <f>HSU!K76+HVW!K76+MZ!K76+BUGMC!K76</f>
        <v>0</v>
      </c>
      <c r="L76" s="46">
        <f>HSU!L76+HVW!L76+MZ!L76+BUGMC!L76</f>
        <v>0</v>
      </c>
      <c r="M76" s="46">
        <f>HSU!M76+HVW!M76+MZ!M76+BUGMC!M76</f>
        <v>0</v>
      </c>
      <c r="N76" s="17">
        <f t="shared" si="11"/>
        <v>0</v>
      </c>
      <c r="O76" s="153"/>
      <c r="P76" s="153"/>
    </row>
    <row r="77" ht="13.5" customHeight="1">
      <c r="A77" s="32" t="s">
        <v>63</v>
      </c>
      <c r="B77" s="46">
        <f>HSU!B77+HVW!B77+MZ!B77+BUGMC!B77</f>
        <v>0</v>
      </c>
      <c r="C77" s="46">
        <f>HSU!C77+HVW!C77+MZ!C77+BUGMC!C77</f>
        <v>0</v>
      </c>
      <c r="D77" s="46">
        <f>HSU!D77+HVW!D77+MZ!D77+BUGMC!D77</f>
        <v>0</v>
      </c>
      <c r="E77" s="46">
        <f>HSU!E77+HVW!E77+MZ!E77+BUGMC!E77</f>
        <v>0</v>
      </c>
      <c r="F77" s="46">
        <f>HSU!F77+HVW!F77+MZ!F77+BUGMC!F77</f>
        <v>0</v>
      </c>
      <c r="G77" s="46">
        <f>HSU!G77+HVW!G77+MZ!G77+BUGMC!G77</f>
        <v>0</v>
      </c>
      <c r="H77" s="46">
        <f>HSU!H77+HVW!H77+MZ!H77+BUGMC!H77</f>
        <v>0</v>
      </c>
      <c r="I77" s="46">
        <f>HSU!I77+HVW!I77+MZ!I77+BUGMC!I77</f>
        <v>0</v>
      </c>
      <c r="J77" s="46">
        <f>HSU!J77+HVW!J77+MZ!J77+BUGMC!J77</f>
        <v>0</v>
      </c>
      <c r="K77" s="46">
        <f>HSU!K77+HVW!K77+MZ!K77+BUGMC!K77</f>
        <v>0</v>
      </c>
      <c r="L77" s="46">
        <f>HSU!L77+HVW!L77+MZ!L77+BUGMC!L77</f>
        <v>0</v>
      </c>
      <c r="M77" s="46">
        <f>HSU!M77+HVW!M77+MZ!M77+BUGMC!M77</f>
        <v>0</v>
      </c>
      <c r="N77" s="17">
        <f t="shared" si="11"/>
        <v>0</v>
      </c>
      <c r="O77" s="153"/>
      <c r="P77" s="153"/>
    </row>
    <row r="78" ht="13.5" customHeight="1">
      <c r="A78" s="31" t="s">
        <v>140</v>
      </c>
      <c r="B78" s="313">
        <f>HSU!B78+HVW!B78+MZ!B78+BUGMC!B78</f>
        <v>0</v>
      </c>
      <c r="C78" s="313">
        <f>HSU!C78+HVW!C78+MZ!C78+BUGMC!C78</f>
        <v>0</v>
      </c>
      <c r="D78" s="313">
        <f>HSU!D78+HVW!D78+MZ!D78+BUGMC!D78</f>
        <v>0</v>
      </c>
      <c r="E78" s="313">
        <f>HSU!E78+HVW!E78+MZ!E78+BUGMC!E78</f>
        <v>0</v>
      </c>
      <c r="F78" s="313">
        <f>HSU!F78+HVW!F78+MZ!F78+BUGMC!F78</f>
        <v>0</v>
      </c>
      <c r="G78" s="313">
        <f>HSU!G78+HVW!G78+MZ!G78+BUGMC!G78</f>
        <v>0</v>
      </c>
      <c r="H78" s="313">
        <f>HSU!H78+HVW!H78+MZ!H78+BUGMC!H78</f>
        <v>0</v>
      </c>
      <c r="I78" s="313">
        <f>HSU!I78+HVW!I78+MZ!I78+BUGMC!I78</f>
        <v>0</v>
      </c>
      <c r="J78" s="313">
        <f>HSU!J78+HVW!J78+MZ!J78+BUGMC!J78</f>
        <v>0</v>
      </c>
      <c r="K78" s="313">
        <f>HSU!K78+HVW!K78+MZ!K78+BUGMC!K78</f>
        <v>0</v>
      </c>
      <c r="L78" s="313">
        <f>HSU!L78+HVW!L78+MZ!L78+BUGMC!L78</f>
        <v>0</v>
      </c>
      <c r="M78" s="313">
        <f>HSU!M78+HVW!M78+MZ!M78+BUGMC!M78</f>
        <v>0</v>
      </c>
      <c r="N78" s="17">
        <f t="shared" si="11"/>
        <v>0</v>
      </c>
      <c r="O78" s="153"/>
      <c r="P78" s="153"/>
    </row>
    <row r="79" ht="13.5" customHeight="1">
      <c r="A79" s="27" t="s">
        <v>141</v>
      </c>
      <c r="B79" s="313">
        <f>HSU!B79+HVW!B79+MZ!B79+BUGMC!B79</f>
        <v>594.99</v>
      </c>
      <c r="C79" s="313">
        <f>HSU!C79+HVW!C79+MZ!C79+BUGMC!C79</f>
        <v>4351.3</v>
      </c>
      <c r="D79" s="313">
        <f>HSU!D79+HVW!D79+MZ!D79+BUGMC!D79</f>
        <v>4351.3</v>
      </c>
      <c r="E79" s="313">
        <f>HSU!E79+HVW!E79+MZ!E79+BUGMC!E79</f>
        <v>4351.3</v>
      </c>
      <c r="F79" s="313">
        <f>HSU!F79+HVW!F79+MZ!F79+BUGMC!F79</f>
        <v>4351.3</v>
      </c>
      <c r="G79" s="313">
        <f>HSU!G79+HVW!G79+MZ!G79+BUGMC!G79</f>
        <v>4351.3</v>
      </c>
      <c r="H79" s="313">
        <f>HSU!H79+HVW!H79+MZ!H79+BUGMC!H79</f>
        <v>4351.3</v>
      </c>
      <c r="I79" s="313">
        <f>HSU!I79+HVW!I79+MZ!I79+BUGMC!I79</f>
        <v>4351.3</v>
      </c>
      <c r="J79" s="313">
        <f>HSU!J79+HVW!J79+MZ!J79+BUGMC!J79</f>
        <v>4351.3</v>
      </c>
      <c r="K79" s="313">
        <f>HSU!K79+HVW!K79+MZ!K79+BUGMC!K79</f>
        <v>4351.3</v>
      </c>
      <c r="L79" s="313">
        <f>HSU!L79+HVW!L79+MZ!L79+BUGMC!L79</f>
        <v>4351.3</v>
      </c>
      <c r="M79" s="313">
        <f>HSU!M79+HVW!M79+MZ!M79+BUGMC!M79</f>
        <v>4351.3</v>
      </c>
      <c r="N79" s="17">
        <f t="shared" si="11"/>
        <v>48459.29</v>
      </c>
      <c r="O79" s="153"/>
      <c r="P79" s="153"/>
    </row>
    <row r="80" ht="13.5" customHeight="1">
      <c r="A80" s="42" t="s">
        <v>79</v>
      </c>
      <c r="B80" s="313">
        <f>HSU!B80+HVW!B80+MZ!B80+BUGMC!B80</f>
        <v>1000</v>
      </c>
      <c r="C80" s="313">
        <f>HSU!C80+HVW!C80+MZ!C80+BUGMC!C80</f>
        <v>1000</v>
      </c>
      <c r="D80" s="313">
        <f>HSU!D80+HVW!D80+MZ!D80+BUGMC!D80</f>
        <v>1000</v>
      </c>
      <c r="E80" s="313">
        <f>HSU!E80+HVW!E80+MZ!E80+BUGMC!E80</f>
        <v>1000</v>
      </c>
      <c r="F80" s="313">
        <f>HSU!F80+HVW!F80+MZ!F80+BUGMC!F80</f>
        <v>1000</v>
      </c>
      <c r="G80" s="313">
        <f>HSU!G80+HVW!G80+MZ!G80+BUGMC!G80</f>
        <v>1000</v>
      </c>
      <c r="H80" s="313">
        <f>HSU!H80+HVW!H80+MZ!H80+BUGMC!H80</f>
        <v>1000</v>
      </c>
      <c r="I80" s="313">
        <f>HSU!I80+HVW!I80+MZ!I80+BUGMC!I80</f>
        <v>1000</v>
      </c>
      <c r="J80" s="313">
        <f>HSU!J80+HVW!J80+MZ!J80+BUGMC!J80</f>
        <v>1000</v>
      </c>
      <c r="K80" s="313">
        <f>HSU!K80+HVW!K80+MZ!K80+BUGMC!K80</f>
        <v>1000</v>
      </c>
      <c r="L80" s="313">
        <f>HSU!L80+HVW!L80+MZ!L80+BUGMC!L80</f>
        <v>1000</v>
      </c>
      <c r="M80" s="313">
        <f>HSU!M80+HVW!M80+MZ!M80+BUGMC!M80</f>
        <v>1000</v>
      </c>
      <c r="N80" s="17">
        <f t="shared" si="11"/>
        <v>12000</v>
      </c>
      <c r="O80" s="153"/>
      <c r="P80" s="153"/>
    </row>
    <row r="81" ht="13.5" customHeight="1">
      <c r="A81" s="43" t="s">
        <v>80</v>
      </c>
      <c r="B81" s="46">
        <f>HSU!B81+HVW!B81+MZ!B81+BUGMC!B81</f>
        <v>0</v>
      </c>
      <c r="C81" s="46">
        <f>HSU!C81+HVW!C81+MZ!C81+BUGMC!C81</f>
        <v>0</v>
      </c>
      <c r="D81" s="46">
        <f>HSU!D81+HVW!D81+MZ!D81+BUGMC!D81</f>
        <v>0</v>
      </c>
      <c r="E81" s="46">
        <f>HSU!E81+HVW!E81+MZ!E81+BUGMC!E81</f>
        <v>0</v>
      </c>
      <c r="F81" s="46">
        <f>HSU!F81+HVW!F81+MZ!F81+BUGMC!F81</f>
        <v>0</v>
      </c>
      <c r="G81" s="46">
        <f>HSU!G81+HVW!G81+MZ!G81+BUGMC!G81</f>
        <v>0</v>
      </c>
      <c r="H81" s="46">
        <f>HSU!H81+HVW!H81+MZ!H81+BUGMC!H81</f>
        <v>0</v>
      </c>
      <c r="I81" s="46">
        <f>HSU!I81+HVW!I81+MZ!I81+BUGMC!I81</f>
        <v>0</v>
      </c>
      <c r="J81" s="46">
        <f>HSU!J81+HVW!J81+MZ!J81+BUGMC!J81</f>
        <v>0</v>
      </c>
      <c r="K81" s="46">
        <f>HSU!K81+HVW!K81+MZ!K81+BUGMC!K81</f>
        <v>0</v>
      </c>
      <c r="L81" s="46">
        <f>HSU!L81+HVW!L81+MZ!L81+BUGMC!L81</f>
        <v>0</v>
      </c>
      <c r="M81" s="46">
        <f>HSU!M81+HVW!M81+MZ!M81+BUGMC!M81</f>
        <v>0</v>
      </c>
      <c r="N81" s="17">
        <f t="shared" si="11"/>
        <v>0</v>
      </c>
      <c r="O81" s="153"/>
      <c r="P81" s="153"/>
    </row>
    <row r="82" ht="13.5" customHeight="1">
      <c r="A82" s="91" t="s">
        <v>23</v>
      </c>
      <c r="B82" s="28">
        <f t="shared" ref="B82:M82" si="12">SUM(B72:B81)</f>
        <v>2844.99</v>
      </c>
      <c r="C82" s="28">
        <f t="shared" si="12"/>
        <v>6601.3</v>
      </c>
      <c r="D82" s="28">
        <f t="shared" si="12"/>
        <v>6601.3</v>
      </c>
      <c r="E82" s="28">
        <f t="shared" si="12"/>
        <v>6601.3</v>
      </c>
      <c r="F82" s="28">
        <f t="shared" si="12"/>
        <v>6601.3</v>
      </c>
      <c r="G82" s="28">
        <f t="shared" si="12"/>
        <v>6601.3</v>
      </c>
      <c r="H82" s="28">
        <f t="shared" si="12"/>
        <v>6601.3</v>
      </c>
      <c r="I82" s="28">
        <f t="shared" si="12"/>
        <v>6601.3</v>
      </c>
      <c r="J82" s="28">
        <f t="shared" si="12"/>
        <v>6601.3</v>
      </c>
      <c r="K82" s="28">
        <f t="shared" si="12"/>
        <v>6601.3</v>
      </c>
      <c r="L82" s="28">
        <f t="shared" si="12"/>
        <v>6601.3</v>
      </c>
      <c r="M82" s="28">
        <f t="shared" si="12"/>
        <v>6601.3</v>
      </c>
      <c r="N82" s="44">
        <f t="shared" si="11"/>
        <v>75459.29</v>
      </c>
      <c r="O82" s="174"/>
      <c r="P82" s="393">
        <f>N82/N109</f>
        <v>0.04610441569</v>
      </c>
    </row>
    <row r="83" ht="13.5" customHeight="1">
      <c r="A83" s="99" t="s">
        <v>81</v>
      </c>
      <c r="B83" s="28">
        <f t="shared" ref="B83:M83" si="13">B52+B70+B82</f>
        <v>75666.62</v>
      </c>
      <c r="C83" s="28">
        <f t="shared" si="13"/>
        <v>76821.93</v>
      </c>
      <c r="D83" s="28">
        <f t="shared" si="13"/>
        <v>76821.93</v>
      </c>
      <c r="E83" s="28">
        <f t="shared" si="13"/>
        <v>75644.93</v>
      </c>
      <c r="F83" s="28">
        <f t="shared" si="13"/>
        <v>75944.18</v>
      </c>
      <c r="G83" s="28">
        <f t="shared" si="13"/>
        <v>75944.18</v>
      </c>
      <c r="H83" s="28">
        <f t="shared" si="13"/>
        <v>75844.18</v>
      </c>
      <c r="I83" s="28">
        <f t="shared" si="13"/>
        <v>76258.31</v>
      </c>
      <c r="J83" s="28">
        <f t="shared" si="13"/>
        <v>76783.31</v>
      </c>
      <c r="K83" s="28">
        <f t="shared" si="13"/>
        <v>74488.31</v>
      </c>
      <c r="L83" s="28">
        <f t="shared" si="13"/>
        <v>74488.31</v>
      </c>
      <c r="M83" s="28">
        <f t="shared" si="13"/>
        <v>74488.31</v>
      </c>
      <c r="N83" s="44">
        <f t="shared" si="11"/>
        <v>909194.5</v>
      </c>
      <c r="O83" s="174"/>
      <c r="P83" s="393"/>
    </row>
    <row r="84" ht="13.5" customHeight="1">
      <c r="A84" s="99" t="s">
        <v>82</v>
      </c>
      <c r="B84" s="46">
        <f t="shared" ref="B84:N84" si="14">B83/B112</f>
        <v>285.5344151</v>
      </c>
      <c r="C84" s="46">
        <f t="shared" si="14"/>
        <v>272.4181915</v>
      </c>
      <c r="D84" s="46">
        <f t="shared" si="14"/>
        <v>249.4218506</v>
      </c>
      <c r="E84" s="46">
        <f t="shared" si="14"/>
        <v>237.8771384</v>
      </c>
      <c r="F84" s="46">
        <f t="shared" si="14"/>
        <v>224.6869231</v>
      </c>
      <c r="G84" s="46">
        <f t="shared" si="14"/>
        <v>221.4116035</v>
      </c>
      <c r="H84" s="46">
        <f t="shared" si="14"/>
        <v>208.937135</v>
      </c>
      <c r="I84" s="46">
        <f t="shared" si="14"/>
        <v>219.7645821</v>
      </c>
      <c r="J84" s="46">
        <f t="shared" si="14"/>
        <v>213.2869722</v>
      </c>
      <c r="K84" s="46">
        <f t="shared" si="14"/>
        <v>215.9081449</v>
      </c>
      <c r="L84" s="46">
        <f t="shared" si="14"/>
        <v>212.8237429</v>
      </c>
      <c r="M84" s="46">
        <f t="shared" si="14"/>
        <v>202.4138859</v>
      </c>
      <c r="N84" s="15">
        <f t="shared" si="14"/>
        <v>228.0397542</v>
      </c>
      <c r="O84" s="77"/>
      <c r="P84" s="77"/>
    </row>
    <row r="85" ht="13.5" customHeight="1">
      <c r="A85" s="79" t="s">
        <v>83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170"/>
      <c r="P85" s="170"/>
    </row>
    <row r="86" ht="13.5" customHeight="1">
      <c r="A86" s="15" t="s">
        <v>84</v>
      </c>
      <c r="B86" s="313">
        <f>HSU!B86+HVW!B86+MZ!B86+BUGMC!B86</f>
        <v>1680</v>
      </c>
      <c r="C86" s="313">
        <f>HSU!C86+HVW!C86+MZ!C86+BUGMC!C86</f>
        <v>1680</v>
      </c>
      <c r="D86" s="313">
        <f>HSU!D86+HVW!D86+MZ!D86+BUGMC!D86</f>
        <v>1680</v>
      </c>
      <c r="E86" s="313">
        <f>HSU!E86+HVW!E86+MZ!E86+BUGMC!E86</f>
        <v>1680</v>
      </c>
      <c r="F86" s="313">
        <f>HSU!F86+HVW!F86+MZ!F86+BUGMC!F86</f>
        <v>1680</v>
      </c>
      <c r="G86" s="313">
        <f>HSU!G86+HVW!G86+MZ!G86+BUGMC!G86</f>
        <v>1680</v>
      </c>
      <c r="H86" s="313">
        <f>HSU!H86+HVW!H86+MZ!H86+BUGMC!H86</f>
        <v>1680</v>
      </c>
      <c r="I86" s="313">
        <f>HSU!I86+HVW!I86+MZ!I86+BUGMC!I86</f>
        <v>1680</v>
      </c>
      <c r="J86" s="313">
        <f>HSU!J86+HVW!J86+MZ!J86+BUGMC!J86</f>
        <v>1680</v>
      </c>
      <c r="K86" s="313">
        <f>HSU!K86+HVW!K86+MZ!K86+BUGMC!K86</f>
        <v>1680</v>
      </c>
      <c r="L86" s="313">
        <f>HSU!L86+HVW!L86+MZ!L86+BUGMC!L86</f>
        <v>1680</v>
      </c>
      <c r="M86" s="313">
        <f>HSU!M86+HVW!M86+MZ!M86+BUGMC!M86</f>
        <v>1680</v>
      </c>
      <c r="N86" s="17">
        <f t="shared" ref="N86:N89" si="15">SUM(B86:M86)</f>
        <v>20160</v>
      </c>
      <c r="O86" s="153"/>
      <c r="P86" s="153"/>
    </row>
    <row r="87" ht="13.5" customHeight="1">
      <c r="A87" s="15" t="s">
        <v>142</v>
      </c>
      <c r="B87" s="46">
        <f>HSU!B87+HVW!B87+MZ!B87+BUGMC!B87</f>
        <v>0</v>
      </c>
      <c r="C87" s="46">
        <f>HSU!C87+HVW!C87+MZ!C87+BUGMC!C87</f>
        <v>0</v>
      </c>
      <c r="D87" s="46">
        <f>HSU!D87+HVW!D87+MZ!D87+BUGMC!D87</f>
        <v>0</v>
      </c>
      <c r="E87" s="46">
        <f>HSU!E87+HVW!E87+MZ!E87+BUGMC!E87</f>
        <v>0</v>
      </c>
      <c r="F87" s="46">
        <f>HSU!F87+HVW!F87+MZ!F87+BUGMC!F87</f>
        <v>0</v>
      </c>
      <c r="G87" s="46">
        <f>HSU!G87+HVW!G87+MZ!G87+BUGMC!G87</f>
        <v>0</v>
      </c>
      <c r="H87" s="46">
        <f>HSU!H87+HVW!H87+MZ!H87+BUGMC!H87</f>
        <v>0</v>
      </c>
      <c r="I87" s="46">
        <f>HSU!I87+HVW!I87+MZ!I87+BUGMC!I87</f>
        <v>0</v>
      </c>
      <c r="J87" s="46">
        <f>HSU!J87+HVW!J87+MZ!J87+BUGMC!J87</f>
        <v>0</v>
      </c>
      <c r="K87" s="46">
        <f>HSU!K87+HVW!K87+MZ!K87+BUGMC!K87</f>
        <v>0</v>
      </c>
      <c r="L87" s="46">
        <f>HSU!L87+HVW!L87+MZ!L87+BUGMC!L87</f>
        <v>0</v>
      </c>
      <c r="M87" s="46">
        <f>HSU!M87+HVW!M87+MZ!M87+BUGMC!M87</f>
        <v>0</v>
      </c>
      <c r="N87" s="17">
        <f t="shared" si="15"/>
        <v>0</v>
      </c>
      <c r="O87" s="153"/>
      <c r="P87" s="153"/>
    </row>
    <row r="88" ht="13.5" customHeight="1">
      <c r="A88" s="39" t="s">
        <v>86</v>
      </c>
      <c r="B88" s="46">
        <f>HSU!B88+HVW!B88+MZ!B88+BUGMC!B88</f>
        <v>0</v>
      </c>
      <c r="C88" s="46">
        <f>HSU!C88+HVW!C88+MZ!C88+BUGMC!C88</f>
        <v>0</v>
      </c>
      <c r="D88" s="46">
        <f>HSU!D88+HVW!D88+MZ!D88+BUGMC!D88</f>
        <v>0</v>
      </c>
      <c r="E88" s="46">
        <f>HSU!E88+HVW!E88+MZ!E88+BUGMC!E88</f>
        <v>0</v>
      </c>
      <c r="F88" s="46">
        <f>HSU!F88+HVW!F88+MZ!F88+BUGMC!F88</f>
        <v>0</v>
      </c>
      <c r="G88" s="46">
        <f>HSU!G88+HVW!G88+MZ!G88+BUGMC!G88</f>
        <v>0</v>
      </c>
      <c r="H88" s="46">
        <f>HSU!H88+HVW!H88+MZ!H88+BUGMC!H88</f>
        <v>0</v>
      </c>
      <c r="I88" s="46">
        <f>HSU!I88+HVW!I88+MZ!I88+BUGMC!I88</f>
        <v>0</v>
      </c>
      <c r="J88" s="46">
        <f>HSU!J88+HVW!J88+MZ!J88+BUGMC!J88</f>
        <v>0</v>
      </c>
      <c r="K88" s="46">
        <f>HSU!K88+HVW!K88+MZ!K88+BUGMC!K88</f>
        <v>0</v>
      </c>
      <c r="L88" s="46">
        <f>HSU!L88+HVW!L88+MZ!L88+BUGMC!L88</f>
        <v>0</v>
      </c>
      <c r="M88" s="46">
        <f>HSU!M88+HVW!M88+MZ!M88+BUGMC!M88</f>
        <v>0</v>
      </c>
      <c r="N88" s="17">
        <f t="shared" si="15"/>
        <v>0</v>
      </c>
      <c r="O88" s="153"/>
      <c r="P88" s="153"/>
    </row>
    <row r="89" ht="13.5" customHeight="1">
      <c r="A89" s="39" t="s">
        <v>87</v>
      </c>
      <c r="B89" s="46">
        <f>HSU!B89+HVW!B89+MZ!B89+BUGMC!B89</f>
        <v>0</v>
      </c>
      <c r="C89" s="46">
        <f>HSU!C89+HVW!C89+MZ!C89+BUGMC!C89</f>
        <v>0</v>
      </c>
      <c r="D89" s="46">
        <f>HSU!D89+HVW!D89+MZ!D89+BUGMC!D89</f>
        <v>0</v>
      </c>
      <c r="E89" s="46">
        <f>HSU!E89+HVW!E89+MZ!E89+BUGMC!E89</f>
        <v>0</v>
      </c>
      <c r="F89" s="46">
        <f>HSU!F89+HVW!F89+MZ!F89+BUGMC!F89</f>
        <v>0</v>
      </c>
      <c r="G89" s="46">
        <f>HSU!G89+HVW!G89+MZ!G89+BUGMC!G89</f>
        <v>0</v>
      </c>
      <c r="H89" s="46">
        <f>HSU!H89+HVW!H89+MZ!H89+BUGMC!H89</f>
        <v>0</v>
      </c>
      <c r="I89" s="46">
        <f>HSU!I89+HVW!I89+MZ!I89+BUGMC!I89</f>
        <v>0</v>
      </c>
      <c r="J89" s="46">
        <f>HSU!J89+HVW!J89+MZ!J89+BUGMC!J89</f>
        <v>0</v>
      </c>
      <c r="K89" s="46">
        <f>HSU!K89+HVW!K89+MZ!K89+BUGMC!K89</f>
        <v>0</v>
      </c>
      <c r="L89" s="46">
        <f>HSU!L89+HVW!L89+MZ!L89+BUGMC!L89</f>
        <v>0</v>
      </c>
      <c r="M89" s="46">
        <f>HSU!M89+HVW!M89+MZ!M89+BUGMC!M89</f>
        <v>0</v>
      </c>
      <c r="N89" s="17">
        <f t="shared" si="15"/>
        <v>0</v>
      </c>
      <c r="O89" s="153"/>
      <c r="P89" s="153"/>
    </row>
    <row r="90" ht="13.5" customHeight="1">
      <c r="A90" s="91" t="s">
        <v>23</v>
      </c>
      <c r="B90" s="28">
        <f t="shared" ref="B90:N90" si="16">SUM(B86:B89)</f>
        <v>1680</v>
      </c>
      <c r="C90" s="28">
        <f t="shared" si="16"/>
        <v>1680</v>
      </c>
      <c r="D90" s="28">
        <f t="shared" si="16"/>
        <v>1680</v>
      </c>
      <c r="E90" s="28">
        <f t="shared" si="16"/>
        <v>1680</v>
      </c>
      <c r="F90" s="28">
        <f t="shared" si="16"/>
        <v>1680</v>
      </c>
      <c r="G90" s="28">
        <f t="shared" si="16"/>
        <v>1680</v>
      </c>
      <c r="H90" s="28">
        <f t="shared" si="16"/>
        <v>1680</v>
      </c>
      <c r="I90" s="28">
        <f t="shared" si="16"/>
        <v>1680</v>
      </c>
      <c r="J90" s="28">
        <f t="shared" si="16"/>
        <v>1680</v>
      </c>
      <c r="K90" s="28">
        <f t="shared" si="16"/>
        <v>1680</v>
      </c>
      <c r="L90" s="28">
        <f t="shared" si="16"/>
        <v>1680</v>
      </c>
      <c r="M90" s="28">
        <f t="shared" si="16"/>
        <v>1680</v>
      </c>
      <c r="N90" s="28">
        <f t="shared" si="16"/>
        <v>20160</v>
      </c>
      <c r="O90" s="175"/>
      <c r="P90" s="175"/>
    </row>
    <row r="91" ht="13.5" customHeight="1">
      <c r="A91" s="89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170"/>
      <c r="P91" s="170"/>
    </row>
    <row r="92" ht="13.5" customHeight="1">
      <c r="A92" s="31" t="s">
        <v>89</v>
      </c>
      <c r="B92" s="313">
        <f>HSU!B92+HVW!B92+MZ!B92+BUGMC!B92</f>
        <v>2600</v>
      </c>
      <c r="C92" s="313">
        <f>HSU!C92+HVW!C92+MZ!C92+BUGMC!C92</f>
        <v>2600</v>
      </c>
      <c r="D92" s="313">
        <f>HSU!D92+HVW!D92+MZ!D92+BUGMC!D92</f>
        <v>2600</v>
      </c>
      <c r="E92" s="313">
        <f>HSU!E92+HVW!E92+MZ!E92+BUGMC!E92</f>
        <v>2600</v>
      </c>
      <c r="F92" s="313">
        <f>HSU!F92+HVW!F92+MZ!F92+BUGMC!F92</f>
        <v>2600</v>
      </c>
      <c r="G92" s="313">
        <f>HSU!G92+HVW!G92+MZ!G92+BUGMC!G92</f>
        <v>2600</v>
      </c>
      <c r="H92" s="313">
        <f>HSU!H92+HVW!H92+MZ!H92+BUGMC!H92</f>
        <v>2600</v>
      </c>
      <c r="I92" s="313">
        <f>HSU!I92+HVW!I92+MZ!I92+BUGMC!I92</f>
        <v>2600</v>
      </c>
      <c r="J92" s="313">
        <f>HSU!J92+HVW!J92+MZ!J92+BUGMC!J92</f>
        <v>2600</v>
      </c>
      <c r="K92" s="313">
        <f>HSU!K92+HVW!K92+MZ!K92+BUGMC!K92</f>
        <v>2600</v>
      </c>
      <c r="L92" s="313">
        <f>HSU!L92+HVW!L92+MZ!L92+BUGMC!L92</f>
        <v>2600</v>
      </c>
      <c r="M92" s="313">
        <f>HSU!M92+HVW!M92+MZ!M92+BUGMC!M92</f>
        <v>2600</v>
      </c>
      <c r="N92" s="17">
        <f t="shared" ref="N92:N104" si="17">SUM(B92:M92)</f>
        <v>31200</v>
      </c>
      <c r="O92" s="153"/>
      <c r="P92" s="153"/>
    </row>
    <row r="93" ht="13.5" customHeight="1">
      <c r="A93" s="31" t="s">
        <v>90</v>
      </c>
      <c r="B93" s="46">
        <f>HSU!B93+HVW!B93+MZ!B93+BUGMC!B93</f>
        <v>0</v>
      </c>
      <c r="C93" s="46">
        <f>HSU!C93+HVW!C93+MZ!C93+BUGMC!C93</f>
        <v>0</v>
      </c>
      <c r="D93" s="46">
        <f>HSU!D93+HVW!D93+MZ!D93+BUGMC!D93</f>
        <v>0</v>
      </c>
      <c r="E93" s="46">
        <f>HSU!E93+HVW!D93+MZ!E93+BUGMC!E93</f>
        <v>0</v>
      </c>
      <c r="F93" s="46">
        <f>HSU!F93+HVW!F93+MZ!F93+BUGMC!F93</f>
        <v>0</v>
      </c>
      <c r="G93" s="46">
        <f>HSU!G93+HVW!G93+MZ!G93+BUGMC!G93</f>
        <v>0</v>
      </c>
      <c r="H93" s="46">
        <f>HSU!H93+HVW!H93+MZ!H93+BUGMC!H93</f>
        <v>0</v>
      </c>
      <c r="I93" s="46">
        <f>HSU!I93+HVW!I93+MZ!I93+BUGMC!I93</f>
        <v>0</v>
      </c>
      <c r="J93" s="46">
        <f>HSU!J93+HVW!J93+MZ!J93+BUGMC!J93</f>
        <v>0</v>
      </c>
      <c r="K93" s="46">
        <f>HSU!K93+HVW!K93+MZ!K93+BUGMC!K93</f>
        <v>0</v>
      </c>
      <c r="L93" s="46">
        <f>HSU!L93+HVW!L93+MZ!L93+BUGMC!L93</f>
        <v>0</v>
      </c>
      <c r="M93" s="46">
        <f>HSU!M93+HVW!M93+MZ!M93+BUGMC!M93</f>
        <v>0</v>
      </c>
      <c r="N93" s="17">
        <f t="shared" si="17"/>
        <v>0</v>
      </c>
      <c r="O93" s="153"/>
      <c r="P93" s="153"/>
    </row>
    <row r="94" ht="13.5" customHeight="1">
      <c r="A94" s="31" t="s">
        <v>91</v>
      </c>
      <c r="B94" s="313">
        <f>HSU!B94+HVW!B94+MZ!B94+BUGMC!B94</f>
        <v>720</v>
      </c>
      <c r="C94" s="313">
        <f>HSU!C94+HVW!C94+MZ!C94+BUGMC!C94</f>
        <v>720</v>
      </c>
      <c r="D94" s="313">
        <f>HSU!D94+HVW!D94+MZ!D94+BUGMC!D94</f>
        <v>720</v>
      </c>
      <c r="E94" s="313">
        <f>HSU!E94+HVW!E94+MZ!E94+BUGMC!E94</f>
        <v>720</v>
      </c>
      <c r="F94" s="313">
        <f>HSU!F94+HVW!F94+MZ!F94+BUGMC!F94</f>
        <v>720</v>
      </c>
      <c r="G94" s="313">
        <f>HSU!G94+HVW!G94+MZ!G94+BUGMC!G94</f>
        <v>720</v>
      </c>
      <c r="H94" s="313">
        <f>HSU!H94+HVW!H94+MZ!H94+BUGMC!H94</f>
        <v>720</v>
      </c>
      <c r="I94" s="313">
        <f>HSU!I94+HVW!I94+MZ!I94+BUGMC!I94</f>
        <v>720</v>
      </c>
      <c r="J94" s="313">
        <f>HSU!J94+HVW!J94+MZ!J94+BUGMC!J94</f>
        <v>720</v>
      </c>
      <c r="K94" s="313">
        <f>HSU!K94+HVW!K94+MZ!K94+BUGMC!K94</f>
        <v>1520</v>
      </c>
      <c r="L94" s="313">
        <f>HSU!L94+HVW!L94+MZ!L94+BUGMC!L94</f>
        <v>720</v>
      </c>
      <c r="M94" s="313">
        <f>HSU!M94+HVW!M94+MZ!M94+BUGMC!M94</f>
        <v>720</v>
      </c>
      <c r="N94" s="17">
        <f t="shared" si="17"/>
        <v>9440</v>
      </c>
      <c r="O94" s="153"/>
      <c r="P94" s="153"/>
    </row>
    <row r="95" ht="13.5" customHeight="1">
      <c r="A95" s="31" t="s">
        <v>92</v>
      </c>
      <c r="B95" s="313">
        <f>HSU!B95+HVW!B95+MZ!B95+BUGMC!B95</f>
        <v>800</v>
      </c>
      <c r="C95" s="313">
        <f>HSU!C95+HVW!C95+MZ!C95+BUGMC!C95</f>
        <v>1043</v>
      </c>
      <c r="D95" s="313">
        <f>HSU!D95+HVW!D95+MZ!D95+BUGMC!D95</f>
        <v>0</v>
      </c>
      <c r="E95" s="313">
        <f>HSU!E95+HVW!E95+MZ!E95+BUGMC!E95</f>
        <v>0</v>
      </c>
      <c r="F95" s="313">
        <f>HSU!F95+HVW!F95+MZ!F95+BUGMC!F95</f>
        <v>600</v>
      </c>
      <c r="G95" s="313">
        <f>HSU!G95+HVW!G95+MZ!G95+BUGMC!G95</f>
        <v>1268</v>
      </c>
      <c r="H95" s="313">
        <f>HSU!H95+HVW!H95+MZ!H95+BUGMC!H95</f>
        <v>0</v>
      </c>
      <c r="I95" s="313">
        <f>HSU!I95+HVW!I95+MZ!I95+BUGMC!I95</f>
        <v>536.466</v>
      </c>
      <c r="J95" s="313">
        <f>HSU!J95+HVW!J95+MZ!J95+BUGMC!J95</f>
        <v>800</v>
      </c>
      <c r="K95" s="313">
        <f>HSU!K95+HVW!K95+MZ!K95+BUGMC!K95</f>
        <v>918.13</v>
      </c>
      <c r="L95" s="313">
        <f>HSU!L95+HVW!L95+MZ!L95+BUGMC!L95</f>
        <v>800</v>
      </c>
      <c r="M95" s="313">
        <f>HSU!M95+HVW!M95+MZ!M95+BUGMC!M95</f>
        <v>800</v>
      </c>
      <c r="N95" s="17">
        <f t="shared" si="17"/>
        <v>7565.596</v>
      </c>
      <c r="O95" s="153"/>
      <c r="P95" s="153"/>
    </row>
    <row r="96" ht="13.5" customHeight="1">
      <c r="A96" s="32" t="s">
        <v>143</v>
      </c>
      <c r="B96" s="46">
        <f>HSU!B96+HVW!B96+MZ!B96+BUGMC!B96</f>
        <v>0</v>
      </c>
      <c r="C96" s="46">
        <f>HSU!C96+HVW!C96+MZ!C96+BUGMC!C96</f>
        <v>0</v>
      </c>
      <c r="D96" s="46">
        <f>HSU!D96+HVW!D96+MZ!D96+BUGMC!D96</f>
        <v>0</v>
      </c>
      <c r="E96" s="46">
        <f>HSU!E96+HVW!E96+MZ!E96+BUGMC!E96</f>
        <v>0</v>
      </c>
      <c r="F96" s="46">
        <f>HSU!F96+HVW!F96+MZ!F96+BUGMC!F96</f>
        <v>0</v>
      </c>
      <c r="G96" s="46">
        <f>HSU!G96+HVW!G96+MZ!G96+BUGMC!G96</f>
        <v>0</v>
      </c>
      <c r="H96" s="46">
        <f>HSU!H96+HVW!H96+MZ!H96+BUGMC!H96</f>
        <v>0</v>
      </c>
      <c r="I96" s="46">
        <f>HSU!I96+HVW!I96+MZ!I96+BUGMC!I96</f>
        <v>0</v>
      </c>
      <c r="J96" s="46">
        <f>HSU!J96+HVW!J96+MZ!J96+BUGMC!J96</f>
        <v>0</v>
      </c>
      <c r="K96" s="46">
        <f>HSU!K96+HVW!K96+MZ!K96+BUGMC!K96</f>
        <v>0</v>
      </c>
      <c r="L96" s="46">
        <f>HSU!L96+HVW!L96+MZ!L96+BUGMC!L96</f>
        <v>0</v>
      </c>
      <c r="M96" s="46">
        <f>HSU!M96+HVW!M96+MZ!M96+BUGMC!M96</f>
        <v>0</v>
      </c>
      <c r="N96" s="17">
        <f t="shared" si="17"/>
        <v>0</v>
      </c>
      <c r="O96" s="153"/>
      <c r="P96" s="153"/>
    </row>
    <row r="97" ht="13.5" customHeight="1">
      <c r="A97" s="32" t="s">
        <v>94</v>
      </c>
      <c r="B97" s="46">
        <f>HSU!B97+HVW!B97+MZ!B97+BUGMC!B97</f>
        <v>0</v>
      </c>
      <c r="C97" s="46">
        <f>HSU!C97+HVW!C97+MZ!C97+BUGMC!C97</f>
        <v>0</v>
      </c>
      <c r="D97" s="46">
        <f>HSU!D97+HVW!D97+MZ!D97+BUGMC!D97</f>
        <v>0</v>
      </c>
      <c r="E97" s="46">
        <f>HSU!E97+HVW!E97+MZ!E97+BUGMC!E97</f>
        <v>0</v>
      </c>
      <c r="F97" s="46">
        <f>HSU!F97+HVW!F97+MZ!F97+BUGMC!F97</f>
        <v>0</v>
      </c>
      <c r="G97" s="46">
        <f>HSU!G97+HVW!G97+MZ!G97+BUGMC!G97</f>
        <v>0</v>
      </c>
      <c r="H97" s="46">
        <f>HSU!H97+HVW!H97+MZ!H97+BUGMC!H97</f>
        <v>0</v>
      </c>
      <c r="I97" s="46">
        <f>HSU!I97+HVW!I97+MZ!I97+BUGMC!I97</f>
        <v>0</v>
      </c>
      <c r="J97" s="46">
        <f>HSU!J97+HVW!J97+MZ!J97+BUGMC!J97</f>
        <v>0</v>
      </c>
      <c r="K97" s="46">
        <f>HSU!K97+HVW!K97+MZ!K97+BUGMC!K97</f>
        <v>0</v>
      </c>
      <c r="L97" s="46">
        <f>HSU!L97+HVW!L97+MZ!L97+BUGMC!L97</f>
        <v>0</v>
      </c>
      <c r="M97" s="46">
        <f>HSU!M97+HVW!M97+MZ!M97+BUGMC!M97</f>
        <v>0</v>
      </c>
      <c r="N97" s="17">
        <f t="shared" si="17"/>
        <v>0</v>
      </c>
      <c r="O97" s="153"/>
      <c r="P97" s="153"/>
    </row>
    <row r="98" ht="13.5" customHeight="1">
      <c r="A98" s="32" t="s">
        <v>95</v>
      </c>
      <c r="B98" s="46">
        <f>HSU!B98+HVW!B98+MZ!B98+BUGMC!B98</f>
        <v>0</v>
      </c>
      <c r="C98" s="46">
        <f>HSU!C98+HVW!C98+MZ!C98+BUGMC!C98</f>
        <v>0</v>
      </c>
      <c r="D98" s="46">
        <f>HSU!D98+HVW!D98+MZ!D98+BUGMC!D98</f>
        <v>0</v>
      </c>
      <c r="E98" s="46">
        <f>HSU!E98+HVW!E98+MZ!E98+BUGMC!E98</f>
        <v>0</v>
      </c>
      <c r="F98" s="46">
        <f>HSU!F98+HVW!F98+MZ!F98+BUGMC!F98</f>
        <v>0</v>
      </c>
      <c r="G98" s="46">
        <f>HSU!G98+HVW!G98+MZ!G98+BUGMC!G98</f>
        <v>0</v>
      </c>
      <c r="H98" s="46">
        <f>HSU!H98+HVW!H98+MZ!H98+BUGMC!H98</f>
        <v>0</v>
      </c>
      <c r="I98" s="46">
        <f>HSU!I98+HVW!I98+MZ!I98+BUGMC!I98</f>
        <v>0</v>
      </c>
      <c r="J98" s="46">
        <f>HSU!J98+HVW!J98+MZ!J98+BUGMC!J98</f>
        <v>0</v>
      </c>
      <c r="K98" s="46">
        <f>HSU!K98+HVW!K98+MZ!K98+BUGMC!K98</f>
        <v>0</v>
      </c>
      <c r="L98" s="46">
        <f>HSU!L98+HVW!L98+MZ!L98+BUGMC!L98</f>
        <v>0</v>
      </c>
      <c r="M98" s="46">
        <f>HSU!M98+HVW!M98+MZ!M98+BUGMC!M98</f>
        <v>0</v>
      </c>
      <c r="N98" s="17">
        <f t="shared" si="17"/>
        <v>0</v>
      </c>
      <c r="O98" s="153"/>
      <c r="P98" s="153"/>
    </row>
    <row r="99" ht="13.5" customHeight="1">
      <c r="A99" s="31" t="s">
        <v>96</v>
      </c>
      <c r="B99" s="46">
        <f>HSU!B99+HVW!B99+MZ!B99+BUGMC!B99</f>
        <v>0</v>
      </c>
      <c r="C99" s="46">
        <f>HSU!C99+HVW!C99+MZ!C99+BUGMC!C99</f>
        <v>0</v>
      </c>
      <c r="D99" s="46">
        <f>HSU!D99+HVW!D99+MZ!D99+BUGMC!D99</f>
        <v>0</v>
      </c>
      <c r="E99" s="46">
        <f>HSU!E99+HVW!E99+MZ!E99+BUGMC!E99</f>
        <v>0</v>
      </c>
      <c r="F99" s="46">
        <f>HSU!F99+HVW!F99+MZ!F99+BUGMC!F99</f>
        <v>0</v>
      </c>
      <c r="G99" s="46">
        <f>HSU!G99+HVW!G99+MZ!G99+BUGMC!G99</f>
        <v>0</v>
      </c>
      <c r="H99" s="46">
        <f>HSU!H99+HVW!H99+MZ!H99+BUGMC!H99</f>
        <v>0</v>
      </c>
      <c r="I99" s="46">
        <f>HSU!I99+HVW!I99+MZ!I99+BUGMC!I99</f>
        <v>0</v>
      </c>
      <c r="J99" s="46">
        <f>HSU!J99+HVW!J99+MZ!J99+BUGMC!J99</f>
        <v>0</v>
      </c>
      <c r="K99" s="46">
        <f>HSU!K99+HVW!K99+MZ!K99+BUGMC!K99</f>
        <v>0</v>
      </c>
      <c r="L99" s="46">
        <f>HSU!L99+HVW!L99+MZ!L99+BUGMC!L99</f>
        <v>0</v>
      </c>
      <c r="M99" s="46">
        <f>HSU!M99+HVW!M99+MZ!M99+BUGMC!M99</f>
        <v>0</v>
      </c>
      <c r="N99" s="17">
        <f t="shared" si="17"/>
        <v>0</v>
      </c>
      <c r="O99" s="153"/>
      <c r="P99" s="153"/>
    </row>
    <row r="100" ht="13.5" customHeight="1">
      <c r="A100" s="31" t="s">
        <v>97</v>
      </c>
      <c r="B100" s="46">
        <f>HSU!B100+HVW!B100+MZ!B100+BUGMC!B100</f>
        <v>0</v>
      </c>
      <c r="C100" s="46">
        <f>HSU!C100+HVW!C100+MZ!C100+BUGMC!C100</f>
        <v>0</v>
      </c>
      <c r="D100" s="46">
        <f>HSU!D100+HVW!D100+MZ!D100+BUGMC!D100</f>
        <v>0</v>
      </c>
      <c r="E100" s="46">
        <f>HSU!E100+HVW!E100+MZ!E100+BUGMC!E100</f>
        <v>0</v>
      </c>
      <c r="F100" s="46">
        <f>HSU!F100+HVW!F100+MZ!F100+BUGMC!F100</f>
        <v>0</v>
      </c>
      <c r="G100" s="46">
        <f>HSU!G100+HVW!G100+MZ!G100+BUGMC!G100</f>
        <v>0</v>
      </c>
      <c r="H100" s="46">
        <f>HSU!H100+HVW!H100+MZ!H100+BUGMC!H100</f>
        <v>0</v>
      </c>
      <c r="I100" s="46">
        <f>HSU!I100+HVW!I100+MZ!I100+BUGMC!I100</f>
        <v>0</v>
      </c>
      <c r="J100" s="46">
        <f>HSU!J100+HVW!J100+MZ!J100+BUGMC!J100</f>
        <v>0</v>
      </c>
      <c r="K100" s="46">
        <f>HSU!K100+HVW!K100+MZ!K100+BUGMC!K100</f>
        <v>0</v>
      </c>
      <c r="L100" s="46">
        <f>HSU!L100+HVW!L100+MZ!L100+BUGMC!L100</f>
        <v>0</v>
      </c>
      <c r="M100" s="46">
        <f>HSU!M100+HVW!M100+MZ!M100+BUGMC!M100</f>
        <v>0</v>
      </c>
      <c r="N100" s="17">
        <f t="shared" si="17"/>
        <v>0</v>
      </c>
      <c r="O100" s="153"/>
      <c r="P100" s="153"/>
    </row>
    <row r="101" ht="13.5" customHeight="1">
      <c r="A101" s="32" t="s">
        <v>98</v>
      </c>
      <c r="B101" s="313">
        <f>HSU!B101+HVW!B101+MZ!B101+BUGMC!B101</f>
        <v>0</v>
      </c>
      <c r="C101" s="313">
        <f>HSU!C101+HVW!C101+MZ!C101+BUGMC!C101</f>
        <v>0</v>
      </c>
      <c r="D101" s="313">
        <f>HSU!D101+HVW!D101+MZ!D101+BUGMC!D101</f>
        <v>0</v>
      </c>
      <c r="E101" s="313">
        <f>HSU!E101+HVW!E101+MZ!E101+BUGMC!E101</f>
        <v>0</v>
      </c>
      <c r="F101" s="313">
        <f>HSU!F101+HVW!F101+MZ!F101+BUGMC!F101</f>
        <v>0</v>
      </c>
      <c r="G101" s="313">
        <f>HSU!G101+HVW!G101+MZ!G101+BUGMC!G101</f>
        <v>0</v>
      </c>
      <c r="H101" s="313">
        <f>HSU!H101+HVW!H101+MZ!H101+BUGMC!H101</f>
        <v>0</v>
      </c>
      <c r="I101" s="313">
        <f>HSU!I101+HVW!I101+MZ!I101+BUGMC!I101</f>
        <v>0</v>
      </c>
      <c r="J101" s="313">
        <f>HSU!J101+HVW!J101+MZ!J101+BUGMC!J101</f>
        <v>0</v>
      </c>
      <c r="K101" s="313">
        <f>HSU!K101+HVW!K101+MZ!K101+BUGMC!K101</f>
        <v>0</v>
      </c>
      <c r="L101" s="313">
        <f>HSU!L101+HVW!L101+MZ!L101+BUGMC!L101</f>
        <v>0</v>
      </c>
      <c r="M101" s="313">
        <f>HSU!M101+HVW!M101+MZ!M101+BUGMC!M101</f>
        <v>0</v>
      </c>
      <c r="N101" s="17">
        <f t="shared" si="17"/>
        <v>0</v>
      </c>
      <c r="O101" s="153"/>
      <c r="P101" s="153"/>
    </row>
    <row r="102" ht="13.5" customHeight="1">
      <c r="A102" s="31" t="s">
        <v>99</v>
      </c>
      <c r="B102" s="46">
        <f>HSU!B102+HVW!B102+MZ!B102+BUGMC!B102</f>
        <v>0</v>
      </c>
      <c r="C102" s="46">
        <f>HSU!C102+HVW!C102+MZ!C102+BUGMC!C102</f>
        <v>0</v>
      </c>
      <c r="D102" s="46">
        <f>HSU!D102+HVW!D102+MZ!D102+BUGMC!D102</f>
        <v>0</v>
      </c>
      <c r="E102" s="46">
        <f>HSU!E102+HVW!E102+MZ!E102+BUGMC!E102</f>
        <v>0</v>
      </c>
      <c r="F102" s="46">
        <f>HSU!F102+HVW!F102+MZ!F102+BUGMC!F102</f>
        <v>0</v>
      </c>
      <c r="G102" s="46">
        <f>HSU!G102+HVW!G102+MZ!G102+BUGMC!G102</f>
        <v>0</v>
      </c>
      <c r="H102" s="46">
        <f>HSU!H102+HVW!H102+MZ!H102+BUGMC!H102</f>
        <v>0</v>
      </c>
      <c r="I102" s="46">
        <f>HSU!I102+HVW!I102+MZ!I102+BUGMC!I102</f>
        <v>0</v>
      </c>
      <c r="J102" s="46">
        <f>HSU!J102+HVW!J102+MZ!J102+BUGMC!J102</f>
        <v>0</v>
      </c>
      <c r="K102" s="46">
        <f>HSU!K102+HVW!K102+MZ!K102+BUGMC!K102</f>
        <v>0</v>
      </c>
      <c r="L102" s="46">
        <f>HSU!L102+HVW!L102+MZ!L102+BUGMC!L102</f>
        <v>0</v>
      </c>
      <c r="M102" s="46">
        <f>HSU!M102+HVW!M102+MZ!M102+BUGMC!M102</f>
        <v>0</v>
      </c>
      <c r="N102" s="17">
        <f t="shared" si="17"/>
        <v>0</v>
      </c>
      <c r="O102" s="153"/>
      <c r="P102" s="153"/>
    </row>
    <row r="103" ht="13.5" customHeight="1">
      <c r="A103" s="32" t="s">
        <v>100</v>
      </c>
      <c r="B103" s="313">
        <f>HSU!B103+HVW!B103+MZ!B103+BUGMC!B103</f>
        <v>400</v>
      </c>
      <c r="C103" s="313">
        <f>HSU!C103+HVW!C103+MZ!C103+BUGMC!C103</f>
        <v>870</v>
      </c>
      <c r="D103" s="313">
        <f>HSU!D103+HVW!D103+MZ!D103+BUGMC!D103</f>
        <v>854.56</v>
      </c>
      <c r="E103" s="313">
        <f>HSU!E103+HVW!E103+MZ!E103+BUGMC!E103</f>
        <v>400</v>
      </c>
      <c r="F103" s="313">
        <f>HSU!F103+HVW!F103+MZ!F103+BUGMC!F103</f>
        <v>400</v>
      </c>
      <c r="G103" s="313">
        <f>HSU!G103+HVW!G103+MZ!G103+BUGMC!G103</f>
        <v>2360</v>
      </c>
      <c r="H103" s="313">
        <f>HSU!H103+HVW!H103+MZ!H103+BUGMC!H103</f>
        <v>2360</v>
      </c>
      <c r="I103" s="313">
        <f>HSU!I103+HVW!I103+MZ!I103+BUGMC!I103</f>
        <v>400</v>
      </c>
      <c r="J103" s="313">
        <f>HSU!J103+HVW!J103+MZ!J103+BUGMC!J103</f>
        <v>2140</v>
      </c>
      <c r="K103" s="313">
        <f>HSU!K103+HVW!K103+MZ!K103+BUGMC!K103</f>
        <v>400</v>
      </c>
      <c r="L103" s="313">
        <f>HSU!L103+HVW!L103+MZ!L103+BUGMC!L103</f>
        <v>400</v>
      </c>
      <c r="M103" s="313">
        <f>HSU!M103+HVW!M103+MZ!M103+BUGMC!M103</f>
        <v>400</v>
      </c>
      <c r="N103" s="17">
        <f t="shared" si="17"/>
        <v>11384.56</v>
      </c>
      <c r="O103" s="153"/>
      <c r="P103" s="153"/>
    </row>
    <row r="104" ht="13.5" customHeight="1">
      <c r="A104" s="27" t="s">
        <v>101</v>
      </c>
      <c r="B104" s="46">
        <f>HSU!B104+HVW!B104+MZ!B104+BUGMC!B104</f>
        <v>700</v>
      </c>
      <c r="C104" s="46">
        <f>HSU!C104+HVW!C104+MZ!C104+BUGMC!C104</f>
        <v>700</v>
      </c>
      <c r="D104" s="46">
        <f>HSU!D104+HVW!D104+MZ!D104+BUGMC!D104</f>
        <v>700</v>
      </c>
      <c r="E104" s="46">
        <f>HSU!E104+HVW!E104+MZ!E104+BUGMC!E104</f>
        <v>700</v>
      </c>
      <c r="F104" s="46">
        <f>HSU!F104+HVW!F104+MZ!F104+BUGMC!F104</f>
        <v>700</v>
      </c>
      <c r="G104" s="46">
        <f>HSU!G104+HVW!G104+MZ!G104+BUGMC!G104</f>
        <v>700</v>
      </c>
      <c r="H104" s="46">
        <f>HSU!H104+HVW!H104+MZ!H104+BUGMC!H104</f>
        <v>700</v>
      </c>
      <c r="I104" s="46">
        <f>HSU!I104+HVW!I104+MZ!I104+BUGMC!I104</f>
        <v>700</v>
      </c>
      <c r="J104" s="46">
        <f>HSU!J104+HVW!J104+MZ!J104+BUGMC!J104</f>
        <v>700</v>
      </c>
      <c r="K104" s="46">
        <f>HSU!K104+HVW!K104+MZ!K104+BUGMC!K104</f>
        <v>700</v>
      </c>
      <c r="L104" s="46">
        <f>HSU!L104+HVW!L104+MZ!L104+BUGMC!L104</f>
        <v>700</v>
      </c>
      <c r="M104" s="46">
        <f>HSU!M104+HVW!M104+MZ!M104+BUGMC!M104</f>
        <v>700</v>
      </c>
      <c r="N104" s="17">
        <f t="shared" si="17"/>
        <v>8400</v>
      </c>
      <c r="O104" s="153"/>
      <c r="P104" s="153"/>
    </row>
    <row r="105" ht="13.5" customHeight="1">
      <c r="A105" s="27" t="s">
        <v>102</v>
      </c>
      <c r="B105" s="46">
        <f>HSU!B105+HVW!B105+MZ!B105+BUGMC!B105</f>
        <v>0</v>
      </c>
      <c r="C105" s="46">
        <f>HSU!C105+HVW!C105+MZ!C105+BUGMC!C105</f>
        <v>0</v>
      </c>
      <c r="D105" s="46">
        <f>HSU!D105+HVW!D105+MZ!D105+BUGMC!D105</f>
        <v>0</v>
      </c>
      <c r="E105" s="46">
        <f>HSU!E105+HVW!E105+MZ!E105+BUGMC!E105</f>
        <v>0</v>
      </c>
      <c r="F105" s="46">
        <f>HSU!F105+HVW!F105+MZ!F105+BUGMC!F105</f>
        <v>0</v>
      </c>
      <c r="G105" s="46">
        <f>HSU!G105+HVW!G105+MZ!G105+BUGMC!G105</f>
        <v>0</v>
      </c>
      <c r="H105" s="46">
        <f>HSU!H105+HVW!H105+MZ!H105+BUGMC!H105</f>
        <v>0</v>
      </c>
      <c r="I105" s="46">
        <f>HSU!I105+HVW!I105+MZ!I105+BUGMC!I105</f>
        <v>0</v>
      </c>
      <c r="J105" s="46">
        <f>HSU!J105+HVW!J105+MZ!J105+BUGMC!J105</f>
        <v>0</v>
      </c>
      <c r="K105" s="46">
        <f>HSU!K105+HVW!K105+MZ!K105+BUGMC!K105</f>
        <v>0</v>
      </c>
      <c r="L105" s="46">
        <f>HSU!L105+HVW!L105+MZ!L105+BUGMC!L105</f>
        <v>0</v>
      </c>
      <c r="M105" s="46">
        <f>HSU!M105+HVW!M105+MZ!M105+BUGMC!M105</f>
        <v>0</v>
      </c>
      <c r="N105" s="17"/>
      <c r="O105" s="153"/>
      <c r="P105" s="153"/>
    </row>
    <row r="106" ht="13.5" customHeight="1">
      <c r="A106" s="39" t="s">
        <v>280</v>
      </c>
      <c r="B106" s="46">
        <f>HSU!B106+HVW!B106+MZ!B106+BUGMC!B106</f>
        <v>0</v>
      </c>
      <c r="C106" s="46">
        <f>HSU!C106+HVW!C106+MZ!C106+BUGMC!C106</f>
        <v>0</v>
      </c>
      <c r="D106" s="46">
        <f>HSU!D106+HVW!D106+MZ!D106+BUGMC!D106</f>
        <v>0</v>
      </c>
      <c r="E106" s="46">
        <f>HSU!E106+HVW!E106+MZ!E106+BUGMC!E106</f>
        <v>0</v>
      </c>
      <c r="F106" s="46">
        <f>HSU!F106+HVW!F106+MZ!F106+BUGMC!F106</f>
        <v>0</v>
      </c>
      <c r="G106" s="46">
        <f>HSU!G106+HVW!G106+MZ!G106+BUGMC!G106</f>
        <v>0</v>
      </c>
      <c r="H106" s="46">
        <f>HSU!H106+HVW!H106+MZ!H106+BUGMC!H106</f>
        <v>0</v>
      </c>
      <c r="I106" s="46">
        <f>HSU!I106+HVW!I106+MZ!I106+BUGMC!I106</f>
        <v>0</v>
      </c>
      <c r="J106" s="46">
        <f>HSU!J106+HVW!J106+MZ!J106+BUGMC!J106</f>
        <v>0</v>
      </c>
      <c r="K106" s="46">
        <f>HSU!K106+HVW!K106+MZ!K106+BUGMC!K106</f>
        <v>0</v>
      </c>
      <c r="L106" s="46">
        <f>HSU!L106+HVW!L106+MZ!L106+BUGMC!L106</f>
        <v>0</v>
      </c>
      <c r="M106" s="46">
        <f>HSU!M106+HVW!M106+MZ!M106+BUGMC!M106</f>
        <v>0</v>
      </c>
      <c r="N106" s="17">
        <f>SUM(B106:M106)</f>
        <v>0</v>
      </c>
      <c r="O106" s="153"/>
      <c r="P106" s="153"/>
    </row>
    <row r="107" ht="13.5" customHeight="1">
      <c r="A107" s="91" t="s">
        <v>23</v>
      </c>
      <c r="B107" s="28">
        <f t="shared" ref="B107:N107" si="18">SUM(B92:B106)</f>
        <v>5220</v>
      </c>
      <c r="C107" s="28">
        <f t="shared" si="18"/>
        <v>5933</v>
      </c>
      <c r="D107" s="28">
        <f t="shared" si="18"/>
        <v>4874.56</v>
      </c>
      <c r="E107" s="28">
        <f t="shared" si="18"/>
        <v>4420</v>
      </c>
      <c r="F107" s="28">
        <f t="shared" si="18"/>
        <v>5020</v>
      </c>
      <c r="G107" s="28">
        <f t="shared" si="18"/>
        <v>7648</v>
      </c>
      <c r="H107" s="28">
        <f t="shared" si="18"/>
        <v>6380</v>
      </c>
      <c r="I107" s="28">
        <f t="shared" si="18"/>
        <v>4956.466</v>
      </c>
      <c r="J107" s="28">
        <f t="shared" si="18"/>
        <v>6960</v>
      </c>
      <c r="K107" s="28">
        <f t="shared" si="18"/>
        <v>6138.13</v>
      </c>
      <c r="L107" s="28">
        <f t="shared" si="18"/>
        <v>5220</v>
      </c>
      <c r="M107" s="28">
        <f t="shared" si="18"/>
        <v>5220</v>
      </c>
      <c r="N107" s="28">
        <f t="shared" si="18"/>
        <v>67990.156</v>
      </c>
      <c r="O107" s="175"/>
      <c r="P107" s="175"/>
    </row>
    <row r="108" ht="13.5" customHeight="1">
      <c r="A108" s="91" t="s">
        <v>104</v>
      </c>
      <c r="B108" s="394">
        <f>HSU!B108+HVW!B108+MZ!B108+BUGMC!B108</f>
        <v>-62906.93</v>
      </c>
      <c r="C108" s="110">
        <f>HSU!C108+HVW!C108+MZ!C108+BUGMC!C108</f>
        <v>-66162.16</v>
      </c>
      <c r="D108" s="110">
        <f>HSU!D108+HVW!D108+MZ!D108+BUGMC!D108</f>
        <v>-53010.76</v>
      </c>
      <c r="E108" s="110">
        <f>HSU!E108+HVW!E108+MZ!E108+BUGMC!E108</f>
        <v>-87160.24</v>
      </c>
      <c r="F108" s="110">
        <f>HSU!F108+HVW!F108+MZ!F108+BUGMC!F108</f>
        <v>-63406</v>
      </c>
      <c r="G108" s="110">
        <f>HSU!G108+HVW!G108+MZ!G108+BUGMC!G108</f>
        <v>-42453.33</v>
      </c>
      <c r="H108" s="110">
        <f>HSU!H108+HVW!H108+MZ!H108+BUGMC!H108</f>
        <v>-69120.26</v>
      </c>
      <c r="I108" s="110">
        <f>HSU!I108+HVW!I108+MZ!I108+BUGMC!I108</f>
        <v>-65527.81</v>
      </c>
      <c r="J108" s="110">
        <f>HSU!J108+HVW!J108+MZ!J108+BUGMC!J108</f>
        <v>-46069.68</v>
      </c>
      <c r="K108" s="110">
        <f>HSU!K108+HVW!K108+MZ!K108+BUGMC!K108</f>
        <v>-72902.93</v>
      </c>
      <c r="L108" s="110">
        <f>HSU!L108+HVW!L108+MZ!L108+BUGMC!L108</f>
        <v>-33736.9</v>
      </c>
      <c r="M108" s="110">
        <f>HSU!M108+HVW!M108+MZ!M108+BUGMC!M108</f>
        <v>-39580</v>
      </c>
      <c r="N108" s="44">
        <f>SUM(B108:M108)</f>
        <v>-702037</v>
      </c>
      <c r="O108" s="375" t="s">
        <v>281</v>
      </c>
      <c r="P108" s="174">
        <f>SUM(N108:N109)</f>
        <v>934667.1827</v>
      </c>
    </row>
    <row r="109" ht="13.5" customHeight="1">
      <c r="A109" s="112" t="s">
        <v>105</v>
      </c>
      <c r="B109" s="50">
        <f t="shared" ref="B109:N109" si="19">B107+B90+B83+B32+B21+B13</f>
        <v>119870.657</v>
      </c>
      <c r="C109" s="50">
        <f t="shared" si="19"/>
        <v>122353.3653</v>
      </c>
      <c r="D109" s="50">
        <f t="shared" si="19"/>
        <v>133877.4935</v>
      </c>
      <c r="E109" s="50">
        <f t="shared" si="19"/>
        <v>138151.9056</v>
      </c>
      <c r="F109" s="50">
        <f t="shared" si="19"/>
        <v>150249.2625</v>
      </c>
      <c r="G109" s="50">
        <f t="shared" si="19"/>
        <v>150076.9263</v>
      </c>
      <c r="H109" s="50">
        <f t="shared" si="19"/>
        <v>129405.6698</v>
      </c>
      <c r="I109" s="50">
        <f t="shared" si="19"/>
        <v>128396.2658</v>
      </c>
      <c r="J109" s="50">
        <f t="shared" si="19"/>
        <v>131888.4938</v>
      </c>
      <c r="K109" s="50">
        <f t="shared" si="19"/>
        <v>137053.7593</v>
      </c>
      <c r="L109" s="50">
        <f t="shared" si="19"/>
        <v>145300.1918</v>
      </c>
      <c r="M109" s="50">
        <f t="shared" si="19"/>
        <v>150080.1918</v>
      </c>
      <c r="N109" s="50">
        <f t="shared" si="19"/>
        <v>1636704.183</v>
      </c>
      <c r="O109" s="176"/>
      <c r="P109" s="176"/>
    </row>
    <row r="110" ht="13.5" customHeight="1">
      <c r="A110" s="35" t="s">
        <v>106</v>
      </c>
      <c r="B110" s="395">
        <f>HSU!B110+HVW!B110+MZ!B110+BUGMC!B110</f>
        <v>165</v>
      </c>
      <c r="C110" s="395">
        <f>HSU!C110+HVW!C110+MZ!C110+BUGMC!C110</f>
        <v>177</v>
      </c>
      <c r="D110" s="395">
        <f>HSU!D110+HVW!D110+MZ!D110+BUGMC!D110</f>
        <v>188</v>
      </c>
      <c r="E110" s="395">
        <f>HSU!E110+HVW!E110+MZ!E110+BUGMC!E110</f>
        <v>193</v>
      </c>
      <c r="F110" s="395">
        <f>HSU!F110+HVW!F110+MZ!F110+BUGMC!F110</f>
        <v>208</v>
      </c>
      <c r="G110" s="395">
        <f>HSU!G110+HVW!G110+MZ!G110+BUGMC!G110</f>
        <v>213</v>
      </c>
      <c r="H110" s="395">
        <f>HSU!H110+HVW!H110+MZ!H110+BUGMC!H110</f>
        <v>228</v>
      </c>
      <c r="I110" s="395">
        <f>HSU!I110+HVW!I110+MZ!I110+BUGMC!I110</f>
        <v>212</v>
      </c>
      <c r="J110" s="395">
        <f>HSU!J110+HVW!J110+MZ!J110+BUGMC!J110</f>
        <v>230</v>
      </c>
      <c r="K110" s="395">
        <f>HSU!K110+HVW!K110+MZ!K110+BUGMC!K110</f>
        <v>225</v>
      </c>
      <c r="L110" s="395">
        <f>HSU!L110+HVW!L110+MZ!L110+BUGMC!L110</f>
        <v>225</v>
      </c>
      <c r="M110" s="395">
        <f>HSU!M110+HVW!M110+MZ!M110+BUGMC!M110</f>
        <v>243</v>
      </c>
      <c r="N110" s="149">
        <f t="shared" ref="N110:N112" si="20">SUM(B110:M110)</f>
        <v>2507</v>
      </c>
      <c r="O110" s="152"/>
      <c r="P110" s="152"/>
    </row>
    <row r="111" ht="13.5" customHeight="1">
      <c r="A111" s="35" t="s">
        <v>107</v>
      </c>
      <c r="B111" s="395">
        <f>HSU!B111+HVW!B111+MZ!B111+BUGMC!B111</f>
        <v>100</v>
      </c>
      <c r="C111" s="395">
        <f>HSU!C111+HVW!C111+MZ!C111+BUGMC!C111</f>
        <v>105</v>
      </c>
      <c r="D111" s="395">
        <f>HSU!D111+HVW!D111+MZ!D111+BUGMC!D111</f>
        <v>120</v>
      </c>
      <c r="E111" s="395">
        <f>HSU!E111+HVW!E111+MZ!E111+BUGMC!E111</f>
        <v>125</v>
      </c>
      <c r="F111" s="395">
        <f>HSU!F111+HVW!F111+MZ!F111+BUGMC!F111</f>
        <v>130</v>
      </c>
      <c r="G111" s="395">
        <f>HSU!G111+HVW!G111+MZ!G111+BUGMC!G111</f>
        <v>130</v>
      </c>
      <c r="H111" s="395">
        <f>HSU!H111+HVW!H111+MZ!H111+BUGMC!H111</f>
        <v>135</v>
      </c>
      <c r="I111" s="395">
        <f>HSU!I111+HVW!I111+MZ!I111+BUGMC!I111</f>
        <v>135</v>
      </c>
      <c r="J111" s="395">
        <f>HSU!J111+HVW!J111+MZ!J111+BUGMC!J111</f>
        <v>130</v>
      </c>
      <c r="K111" s="395">
        <f>HSU!K111+HVW!K111+MZ!K111+BUGMC!K111</f>
        <v>120</v>
      </c>
      <c r="L111" s="395">
        <f>HSU!L111+HVW!L111+MZ!L111+BUGMC!L111</f>
        <v>125</v>
      </c>
      <c r="M111" s="395">
        <f>HSU!M111+HVW!M111+MZ!M111+BUGMC!M111</f>
        <v>125</v>
      </c>
      <c r="N111" s="149">
        <f t="shared" si="20"/>
        <v>1480</v>
      </c>
      <c r="O111" s="152"/>
      <c r="P111" s="152"/>
    </row>
    <row r="112" ht="13.5" customHeight="1">
      <c r="A112" s="91" t="s">
        <v>23</v>
      </c>
      <c r="B112" s="122">
        <f t="shared" ref="B112:M112" si="21">B110+B111</f>
        <v>265</v>
      </c>
      <c r="C112" s="122">
        <f t="shared" si="21"/>
        <v>282</v>
      </c>
      <c r="D112" s="122">
        <f t="shared" si="21"/>
        <v>308</v>
      </c>
      <c r="E112" s="122">
        <f t="shared" si="21"/>
        <v>318</v>
      </c>
      <c r="F112" s="123">
        <f t="shared" si="21"/>
        <v>338</v>
      </c>
      <c r="G112" s="123">
        <f t="shared" si="21"/>
        <v>343</v>
      </c>
      <c r="H112" s="123">
        <f t="shared" si="21"/>
        <v>363</v>
      </c>
      <c r="I112" s="123">
        <f t="shared" si="21"/>
        <v>347</v>
      </c>
      <c r="J112" s="123">
        <f t="shared" si="21"/>
        <v>360</v>
      </c>
      <c r="K112" s="123">
        <f t="shared" si="21"/>
        <v>345</v>
      </c>
      <c r="L112" s="123">
        <f t="shared" si="21"/>
        <v>350</v>
      </c>
      <c r="M112" s="124">
        <f t="shared" si="21"/>
        <v>368</v>
      </c>
      <c r="N112" s="125">
        <f t="shared" si="20"/>
        <v>3987</v>
      </c>
      <c r="O112" s="178"/>
      <c r="P112" s="178"/>
    </row>
    <row r="113" ht="13.5" customHeight="1">
      <c r="A113" s="126" t="s">
        <v>108</v>
      </c>
      <c r="B113" s="58">
        <f t="shared" ref="B113:N113" si="22">B109/B112</f>
        <v>452.342102</v>
      </c>
      <c r="C113" s="58">
        <f t="shared" si="22"/>
        <v>433.8771819</v>
      </c>
      <c r="D113" s="58">
        <f t="shared" si="22"/>
        <v>434.6671868</v>
      </c>
      <c r="E113" s="58">
        <f t="shared" si="22"/>
        <v>434.4399548</v>
      </c>
      <c r="F113" s="58">
        <f t="shared" si="22"/>
        <v>444.5244452</v>
      </c>
      <c r="G113" s="58">
        <f t="shared" si="22"/>
        <v>437.5420593</v>
      </c>
      <c r="H113" s="58">
        <f t="shared" si="22"/>
        <v>356.4894486</v>
      </c>
      <c r="I113" s="58">
        <f t="shared" si="22"/>
        <v>370.0180572</v>
      </c>
      <c r="J113" s="58">
        <f t="shared" si="22"/>
        <v>366.3569271</v>
      </c>
      <c r="K113" s="58">
        <f t="shared" si="22"/>
        <v>397.2572732</v>
      </c>
      <c r="L113" s="58">
        <f t="shared" si="22"/>
        <v>415.1434052</v>
      </c>
      <c r="M113" s="58">
        <f t="shared" si="22"/>
        <v>407.8266082</v>
      </c>
      <c r="N113" s="179">
        <f t="shared" si="22"/>
        <v>410.5102038</v>
      </c>
      <c r="O113" s="180"/>
      <c r="P113" s="180"/>
    </row>
    <row r="114" ht="13.5" customHeight="1">
      <c r="A114" s="79" t="s">
        <v>109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170"/>
      <c r="P114" s="170"/>
    </row>
    <row r="115" ht="13.5" customHeight="1">
      <c r="A115" s="59" t="s">
        <v>110</v>
      </c>
      <c r="B115" s="313">
        <f>HSU!B115+HVW!B115+MZ!B115+BUGMC!B115</f>
        <v>4280</v>
      </c>
      <c r="C115" s="313">
        <f>HSU!C115+HVW!C115+MZ!C115+BUGMC!C115</f>
        <v>4280</v>
      </c>
      <c r="D115" s="313">
        <f>HSU!D115+HVW!D115+MZ!D115+BUGMC!D115</f>
        <v>4280</v>
      </c>
      <c r="E115" s="313">
        <f>HSU!E115+HVW!E115+MZ!E115+BUGMC!E115</f>
        <v>4280</v>
      </c>
      <c r="F115" s="313">
        <f>HSU!F115+HVW!F115+MZ!F115+BUGMC!F115</f>
        <v>4280</v>
      </c>
      <c r="G115" s="313">
        <f>HSU!G115+HVW!G115+MZ!G115+BUGMC!G115</f>
        <v>4280</v>
      </c>
      <c r="H115" s="313">
        <f>HSU!H115+HVW!H115+MZ!H115+BUGMC!H115</f>
        <v>4280</v>
      </c>
      <c r="I115" s="313">
        <f>HSU!I115+HVW!I115+MZ!I115+BUGMC!I115</f>
        <v>4280</v>
      </c>
      <c r="J115" s="313">
        <f>HSU!J115+HVW!J115+MZ!J115+BUGMC!J115</f>
        <v>4280</v>
      </c>
      <c r="K115" s="313">
        <f>HSU!K115+HVW!K115+MZ!K115+BUGMC!K115</f>
        <v>4280</v>
      </c>
      <c r="L115" s="313">
        <f>HSU!L115+HVW!L115+MZ!L115+BUGMC!L115</f>
        <v>4280</v>
      </c>
      <c r="M115" s="313">
        <f>HSU!M115+HVW!M115+MZ!M115+BUGMC!M115</f>
        <v>4280</v>
      </c>
      <c r="N115" s="17">
        <f t="shared" ref="N115:N120" si="23">SUM(B115:M115)</f>
        <v>51360</v>
      </c>
      <c r="O115" s="153"/>
      <c r="P115" s="153"/>
    </row>
    <row r="116" ht="13.5" customHeight="1">
      <c r="A116" s="60" t="s">
        <v>111</v>
      </c>
      <c r="B116" s="46">
        <f>HSU!B116+HVW!B116+MZ!B116+BUGMC!B116</f>
        <v>2700</v>
      </c>
      <c r="C116" s="46">
        <f>HSU!C116+HVW!C116+MZ!C116+BUGMC!C116</f>
        <v>2700</v>
      </c>
      <c r="D116" s="46">
        <f>HSU!D116+HVW!D116+MZ!D116+BUGMC!D116</f>
        <v>2700</v>
      </c>
      <c r="E116" s="46">
        <f>HSU!E116+HVW!E116+MZ!E116+BUGMC!E116</f>
        <v>2700</v>
      </c>
      <c r="F116" s="46">
        <f>HSU!F116+HVW!F116+MZ!F116+BUGMC!F116</f>
        <v>2700</v>
      </c>
      <c r="G116" s="46">
        <f>HSU!G116+HVW!G116+MZ!G116+BUGMC!G116</f>
        <v>2700</v>
      </c>
      <c r="H116" s="46">
        <f>HSU!H116+HVW!H116+MZ!H116+BUGMC!H116</f>
        <v>2700</v>
      </c>
      <c r="I116" s="46">
        <f>HSU!I116+HVW!I116+MZ!I116+BUGMC!I116</f>
        <v>2700</v>
      </c>
      <c r="J116" s="46">
        <f>HSU!J116+HVW!J116+MZ!J116+BUGMC!J116</f>
        <v>2700</v>
      </c>
      <c r="K116" s="46">
        <f>HSU!K116+HVW!K116+MZ!K116+BUGMC!K116</f>
        <v>2700</v>
      </c>
      <c r="L116" s="46">
        <f>HSU!L116+HVW!L116+MZ!L116+BUGMC!L116</f>
        <v>2700</v>
      </c>
      <c r="M116" s="46">
        <f>HSU!M116+HVW!M116+MZ!M116+BUGMC!M116</f>
        <v>2700</v>
      </c>
      <c r="N116" s="17">
        <f t="shared" si="23"/>
        <v>32400</v>
      </c>
      <c r="O116" s="153"/>
      <c r="P116" s="153"/>
    </row>
    <row r="117" ht="13.5" customHeight="1">
      <c r="A117" s="59" t="s">
        <v>112</v>
      </c>
      <c r="B117" s="313">
        <f>HSU!B117+HVW!B117+MZ!B117+BUGMC!B117</f>
        <v>7736.48</v>
      </c>
      <c r="C117" s="313">
        <f>HSU!C117+HVW!C117+MZ!C117+BUGMC!C117</f>
        <v>1250</v>
      </c>
      <c r="D117" s="313">
        <f>HSU!D117+HVW!D117+MZ!D117+BUGMC!D117</f>
        <v>1250</v>
      </c>
      <c r="E117" s="313">
        <f>HSU!E117+HVW!E117+MZ!E117+BUGMC!E117</f>
        <v>7736.48</v>
      </c>
      <c r="F117" s="313">
        <f>HSU!F117+HVW!F117+MZ!F117+BUGMC!F117</f>
        <v>1250</v>
      </c>
      <c r="G117" s="313">
        <f>HSU!G117+HVW!G117+MZ!G117+BUGMC!G117</f>
        <v>1250</v>
      </c>
      <c r="H117" s="313">
        <f>HSU!H117+HVW!H117+MZ!H117+BUGMC!H117</f>
        <v>7736.48</v>
      </c>
      <c r="I117" s="313">
        <f>HSU!I117+HVW!I117+MZ!I117+BUGMC!I117</f>
        <v>1250</v>
      </c>
      <c r="J117" s="313">
        <f>HSU!J117+HVW!J117+MZ!J117+BUGMC!J117</f>
        <v>1250</v>
      </c>
      <c r="K117" s="313">
        <f>HSU!K117+HVW!K117+MZ!K117+BUGMC!K117</f>
        <v>5548.4</v>
      </c>
      <c r="L117" s="313">
        <f>HSU!L117+HVW!L117+MZ!L117+BUGMC!L117</f>
        <v>1250</v>
      </c>
      <c r="M117" s="313">
        <f>HSU!M117+HVW!M117+MZ!M117+BUGMC!M117</f>
        <v>1250</v>
      </c>
      <c r="N117" s="17">
        <f t="shared" si="23"/>
        <v>38757.84</v>
      </c>
      <c r="O117" s="153"/>
      <c r="P117" s="153"/>
    </row>
    <row r="118" ht="13.5" customHeight="1">
      <c r="A118" s="59" t="s">
        <v>161</v>
      </c>
      <c r="B118" s="313">
        <f>HSU!B118+HVW!B118+MZ!B118+BUGMC!B118</f>
        <v>4335.5</v>
      </c>
      <c r="C118" s="313">
        <f>HSU!C118+HVW!C118+MZ!C118+BUGMC!C118</f>
        <v>4335.5</v>
      </c>
      <c r="D118" s="313">
        <f>HSU!D118+HVW!D118+MZ!D118+BUGMC!D118</f>
        <v>4335.5</v>
      </c>
      <c r="E118" s="313">
        <f>HSU!E118+HVW!E118+MZ!E118+BUGMC!E118</f>
        <v>4335.5</v>
      </c>
      <c r="F118" s="313">
        <f>HSU!F118+HVW!F118+MZ!F118+BUGMC!F118</f>
        <v>4335.5</v>
      </c>
      <c r="G118" s="313">
        <f>HSU!G118+HVW!G118+MZ!G118+BUGMC!G118</f>
        <v>4335.5</v>
      </c>
      <c r="H118" s="313">
        <f>HSU!H118+HVW!H118+MZ!H118+BUGMC!H118</f>
        <v>4335.5</v>
      </c>
      <c r="I118" s="313">
        <f>HSU!I118+HVW!I118+MZ!I118+BUGMC!I118</f>
        <v>4335.5</v>
      </c>
      <c r="J118" s="313">
        <f>HSU!J118+HVW!J118+MZ!J118+BUGMC!J118</f>
        <v>4335.5</v>
      </c>
      <c r="K118" s="313">
        <f>HSU!K118+HVW!K118+MZ!K118+BUGMC!K118</f>
        <v>4335.5</v>
      </c>
      <c r="L118" s="313">
        <f>HSU!L118+HVW!L118+MZ!L118+BUGMC!L118</f>
        <v>4335.5</v>
      </c>
      <c r="M118" s="313">
        <f>HSU!M118+HVW!M118+MZ!M118+BUGMC!M118</f>
        <v>4335.5</v>
      </c>
      <c r="N118" s="17">
        <f t="shared" si="23"/>
        <v>52026</v>
      </c>
      <c r="O118" s="153"/>
      <c r="P118" s="153"/>
    </row>
    <row r="119" ht="13.5" customHeight="1">
      <c r="A119" s="61" t="s">
        <v>113</v>
      </c>
      <c r="B119" s="313">
        <f>HSU!B119+HVW!B119+MZ!B119+BUGMC!B119</f>
        <v>1580</v>
      </c>
      <c r="C119" s="313">
        <f>HSU!C119+HVW!C119+MZ!C119+BUGMC!C119</f>
        <v>1580</v>
      </c>
      <c r="D119" s="313">
        <f>HSU!D119+HVW!D119+MZ!D119+BUGMC!D119</f>
        <v>1580</v>
      </c>
      <c r="E119" s="313">
        <f>HSU!E119+HVW!E119+MZ!E119+BUGMC!E119</f>
        <v>1580</v>
      </c>
      <c r="F119" s="313">
        <f>HSU!F119+HVW!F119+MZ!F119+BUGMC!F119</f>
        <v>1580</v>
      </c>
      <c r="G119" s="313">
        <f>HSU!G119+HVW!G119+MZ!G119+BUGMC!G119</f>
        <v>1580</v>
      </c>
      <c r="H119" s="313">
        <f>HSU!H119+HVW!H119+MZ!H119+BUGMC!H119</f>
        <v>1580</v>
      </c>
      <c r="I119" s="313">
        <f>HSU!I119+HVW!I119+MZ!I119+BUGMC!I119</f>
        <v>1580</v>
      </c>
      <c r="J119" s="313">
        <f>HSU!J119+HVW!J119+MZ!J119+BUGMC!J119</f>
        <v>1580</v>
      </c>
      <c r="K119" s="313">
        <f>HSU!K119+HVW!K119+MZ!K119+BUGMC!K119</f>
        <v>1580</v>
      </c>
      <c r="L119" s="313">
        <f>HSU!L119+HVW!L119+MZ!L119+BUGMC!L119</f>
        <v>1580</v>
      </c>
      <c r="M119" s="313">
        <f>HSU!M119+HVW!M119+MZ!M119+BUGMC!M119</f>
        <v>1580</v>
      </c>
      <c r="N119" s="17">
        <f t="shared" si="23"/>
        <v>18960</v>
      </c>
      <c r="O119" s="153"/>
      <c r="P119" s="153"/>
    </row>
    <row r="120" ht="13.5" customHeight="1">
      <c r="A120" s="132" t="s">
        <v>114</v>
      </c>
      <c r="B120" s="313">
        <f>HSU!B120+HVW!B120+MZ!B120+BUGMC!B120</f>
        <v>5635</v>
      </c>
      <c r="C120" s="313">
        <f>HSU!C120+HVW!C120+MZ!C120+BUGMC!C120</f>
        <v>4935</v>
      </c>
      <c r="D120" s="313">
        <f>HSU!D120+HVW!D120+MZ!D120+BUGMC!D120</f>
        <v>4935</v>
      </c>
      <c r="E120" s="313">
        <f>HSU!E120+HVW!E120+MZ!E120+BUGMC!E120</f>
        <v>4935</v>
      </c>
      <c r="F120" s="313">
        <f>HSU!F120+HVW!F120+MZ!F120+BUGMC!F120</f>
        <v>4935</v>
      </c>
      <c r="G120" s="313">
        <f>HSU!G120+HVW!G120+MZ!G120+BUGMC!G120</f>
        <v>4935</v>
      </c>
      <c r="H120" s="313">
        <f>HSU!H120+HVW!H120+MZ!H120+BUGMC!H120</f>
        <v>4935</v>
      </c>
      <c r="I120" s="313">
        <f>HSU!I120+HVW!I120+MZ!I120+BUGMC!I120</f>
        <v>4935</v>
      </c>
      <c r="J120" s="313">
        <f>HSU!J120+HVW!J120+MZ!J120+BUGMC!J120</f>
        <v>4935</v>
      </c>
      <c r="K120" s="313">
        <f>HSU!K120+HVW!K120+MZ!K120+BUGMC!K120</f>
        <v>4935</v>
      </c>
      <c r="L120" s="313">
        <f>HSU!L120+HVW!L120+MZ!L120+BUGMC!L120</f>
        <v>4935</v>
      </c>
      <c r="M120" s="313">
        <f>HSU!M120+HVW!M120+MZ!M120+BUGMC!M120</f>
        <v>4935</v>
      </c>
      <c r="N120" s="17">
        <f t="shared" si="23"/>
        <v>59920</v>
      </c>
      <c r="O120" s="153"/>
      <c r="P120" s="153"/>
    </row>
    <row r="121" ht="13.5" customHeight="1">
      <c r="A121" s="99" t="s">
        <v>23</v>
      </c>
      <c r="B121" s="63">
        <f t="shared" ref="B121:N121" si="24">SUM(B115:B120)</f>
        <v>26266.98</v>
      </c>
      <c r="C121" s="63">
        <f t="shared" si="24"/>
        <v>19080.5</v>
      </c>
      <c r="D121" s="63">
        <f t="shared" si="24"/>
        <v>19080.5</v>
      </c>
      <c r="E121" s="63">
        <f t="shared" si="24"/>
        <v>25566.98</v>
      </c>
      <c r="F121" s="63">
        <f t="shared" si="24"/>
        <v>19080.5</v>
      </c>
      <c r="G121" s="63">
        <f t="shared" si="24"/>
        <v>19080.5</v>
      </c>
      <c r="H121" s="63">
        <f t="shared" si="24"/>
        <v>25566.98</v>
      </c>
      <c r="I121" s="63">
        <f t="shared" si="24"/>
        <v>19080.5</v>
      </c>
      <c r="J121" s="63">
        <f t="shared" si="24"/>
        <v>19080.5</v>
      </c>
      <c r="K121" s="63">
        <f t="shared" si="24"/>
        <v>23378.9</v>
      </c>
      <c r="L121" s="63">
        <f t="shared" si="24"/>
        <v>19080.5</v>
      </c>
      <c r="M121" s="63">
        <f t="shared" si="24"/>
        <v>19080.5</v>
      </c>
      <c r="N121" s="63">
        <f t="shared" si="24"/>
        <v>253423.84</v>
      </c>
      <c r="O121" s="135"/>
      <c r="P121" s="135"/>
    </row>
    <row r="122" ht="13.5" customHeight="1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</row>
    <row r="123" ht="13.5" customHeight="1">
      <c r="A123" s="134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</row>
    <row r="124" ht="13.5" customHeight="1">
      <c r="A124" s="64" t="s">
        <v>115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</row>
    <row r="125" ht="13.5" customHeight="1">
      <c r="A125" s="64" t="s">
        <v>116</v>
      </c>
      <c r="B125" s="67">
        <f t="shared" ref="B125:M125" si="25">+B13*0.7+B21*0.7+B32*0.7+B52*0.6+B70+B107*0.6</f>
        <v>90663.80393</v>
      </c>
      <c r="C125" s="67">
        <f t="shared" si="25"/>
        <v>88920.6827</v>
      </c>
      <c r="D125" s="67">
        <f t="shared" si="25"/>
        <v>97093.41648</v>
      </c>
      <c r="E125" s="67">
        <f t="shared" si="25"/>
        <v>99777.86094</v>
      </c>
      <c r="F125" s="67">
        <f t="shared" si="25"/>
        <v>108156.0857</v>
      </c>
      <c r="G125" s="67">
        <f t="shared" si="25"/>
        <v>107772.6504</v>
      </c>
      <c r="H125" s="67">
        <f t="shared" si="25"/>
        <v>93399.57089</v>
      </c>
      <c r="I125" s="67">
        <f t="shared" si="25"/>
        <v>92843.92849</v>
      </c>
      <c r="J125" s="67">
        <f t="shared" si="25"/>
        <v>95245.63463</v>
      </c>
      <c r="K125" s="67">
        <f t="shared" si="25"/>
        <v>98255.00748</v>
      </c>
      <c r="L125" s="67">
        <f t="shared" si="25"/>
        <v>104119.3233</v>
      </c>
      <c r="M125" s="67">
        <f t="shared" si="25"/>
        <v>107465.3233</v>
      </c>
      <c r="N125" s="67">
        <f t="shared" ref="N125:N126" si="27">SUM(B125:M125)</f>
        <v>1183713.288</v>
      </c>
      <c r="O125" s="67"/>
      <c r="P125" s="67"/>
    </row>
    <row r="126" ht="13.5" customHeight="1">
      <c r="A126" s="64" t="s">
        <v>117</v>
      </c>
      <c r="B126" s="67">
        <f t="shared" ref="B126:M126" si="26">+B13*0.3+B21*0.3+B32*0.3+B52*0.4+B82+B90+B107*0.4</f>
        <v>29206.85311</v>
      </c>
      <c r="C126" s="67">
        <f t="shared" si="26"/>
        <v>33432.68259</v>
      </c>
      <c r="D126" s="67">
        <f t="shared" si="26"/>
        <v>36784.07706</v>
      </c>
      <c r="E126" s="67">
        <f t="shared" si="26"/>
        <v>38374.04469</v>
      </c>
      <c r="F126" s="67">
        <f t="shared" si="26"/>
        <v>42093.17674</v>
      </c>
      <c r="G126" s="67">
        <f t="shared" si="26"/>
        <v>42304.2759</v>
      </c>
      <c r="H126" s="67">
        <f t="shared" si="26"/>
        <v>36006.09895</v>
      </c>
      <c r="I126" s="67">
        <f t="shared" si="26"/>
        <v>35552.33735</v>
      </c>
      <c r="J126" s="67">
        <f t="shared" si="26"/>
        <v>36642.85913</v>
      </c>
      <c r="K126" s="67">
        <f t="shared" si="26"/>
        <v>38798.75178</v>
      </c>
      <c r="L126" s="67">
        <f t="shared" si="26"/>
        <v>41180.86855</v>
      </c>
      <c r="M126" s="67">
        <f t="shared" si="26"/>
        <v>42614.86855</v>
      </c>
      <c r="N126" s="67">
        <f t="shared" si="27"/>
        <v>452990.8944</v>
      </c>
      <c r="O126" s="67"/>
      <c r="P126" s="67"/>
    </row>
    <row r="127" ht="13.5" customHeight="1">
      <c r="A127" s="64" t="s">
        <v>23</v>
      </c>
      <c r="B127" s="67">
        <f t="shared" ref="B127:N127" si="28">SUM(B125:B126)</f>
        <v>119870.657</v>
      </c>
      <c r="C127" s="67">
        <f t="shared" si="28"/>
        <v>122353.3653</v>
      </c>
      <c r="D127" s="67">
        <f t="shared" si="28"/>
        <v>133877.4935</v>
      </c>
      <c r="E127" s="67">
        <f t="shared" si="28"/>
        <v>138151.9056</v>
      </c>
      <c r="F127" s="67">
        <f t="shared" si="28"/>
        <v>150249.2625</v>
      </c>
      <c r="G127" s="67">
        <f t="shared" si="28"/>
        <v>150076.9263</v>
      </c>
      <c r="H127" s="67">
        <f t="shared" si="28"/>
        <v>129405.6698</v>
      </c>
      <c r="I127" s="67">
        <f t="shared" si="28"/>
        <v>128396.2658</v>
      </c>
      <c r="J127" s="67">
        <f t="shared" si="28"/>
        <v>131888.4938</v>
      </c>
      <c r="K127" s="67">
        <f t="shared" si="28"/>
        <v>137053.7593</v>
      </c>
      <c r="L127" s="67">
        <f t="shared" si="28"/>
        <v>145300.1918</v>
      </c>
      <c r="M127" s="67">
        <f t="shared" si="28"/>
        <v>150080.1918</v>
      </c>
      <c r="N127" s="67">
        <f t="shared" si="28"/>
        <v>1636704.183</v>
      </c>
      <c r="O127" s="67"/>
      <c r="P127" s="67"/>
    </row>
    <row r="128" ht="13.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</row>
    <row r="129" ht="13.5" customHeight="1">
      <c r="A129" s="69" t="s">
        <v>118</v>
      </c>
      <c r="B129" s="70">
        <f t="shared" ref="B129:N129" si="29">+B109</f>
        <v>119870.657</v>
      </c>
      <c r="C129" s="70">
        <f t="shared" si="29"/>
        <v>122353.3653</v>
      </c>
      <c r="D129" s="70">
        <f t="shared" si="29"/>
        <v>133877.4935</v>
      </c>
      <c r="E129" s="70">
        <f t="shared" si="29"/>
        <v>138151.9056</v>
      </c>
      <c r="F129" s="70">
        <f t="shared" si="29"/>
        <v>150249.2625</v>
      </c>
      <c r="G129" s="70">
        <f t="shared" si="29"/>
        <v>150076.9263</v>
      </c>
      <c r="H129" s="70">
        <f t="shared" si="29"/>
        <v>129405.6698</v>
      </c>
      <c r="I129" s="70">
        <f t="shared" si="29"/>
        <v>128396.2658</v>
      </c>
      <c r="J129" s="70">
        <f t="shared" si="29"/>
        <v>131888.4938</v>
      </c>
      <c r="K129" s="70">
        <f t="shared" si="29"/>
        <v>137053.7593</v>
      </c>
      <c r="L129" s="70">
        <f t="shared" si="29"/>
        <v>145300.1918</v>
      </c>
      <c r="M129" s="70">
        <f t="shared" si="29"/>
        <v>150080.1918</v>
      </c>
      <c r="N129" s="70">
        <f t="shared" si="29"/>
        <v>1636704.183</v>
      </c>
      <c r="O129" s="70"/>
      <c r="P129" s="70"/>
    </row>
    <row r="130" ht="13.5" customHeight="1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</row>
    <row r="131" ht="13.5" customHeight="1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390" t="s">
        <v>285</v>
      </c>
      <c r="O131" s="390">
        <f>HSU!N109+HVW!N109+MZ!N109+'Hagerstown Total'!N109</f>
        <v>3060221.145</v>
      </c>
      <c r="P131" s="135"/>
    </row>
  </sheetData>
  <mergeCells count="1">
    <mergeCell ref="A1:N1"/>
  </mergeCells>
  <conditionalFormatting sqref="F14">
    <cfRule type="cellIs" dxfId="0" priority="1" operator="equal">
      <formula>0</formula>
    </cfRule>
  </conditionalFormatting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7.38"/>
    <col customWidth="1" min="2" max="13" width="9.75"/>
    <col customWidth="1" min="14" max="16" width="10.75"/>
  </cols>
  <sheetData>
    <row r="1" ht="13.5" customHeight="1">
      <c r="A1" s="76" t="s">
        <v>288</v>
      </c>
      <c r="O1" s="76"/>
      <c r="P1" s="76"/>
    </row>
    <row r="2" ht="13.5" customHeight="1">
      <c r="A2" s="16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</row>
    <row r="3" ht="13.5" customHeight="1">
      <c r="A3" s="16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  <c r="O3" s="7"/>
      <c r="P3" s="7"/>
    </row>
    <row r="4" ht="13.5" customHeight="1">
      <c r="A4" s="79" t="s">
        <v>14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170"/>
      <c r="P4" s="170"/>
    </row>
    <row r="5" ht="13.5" customHeight="1">
      <c r="A5" s="15" t="s">
        <v>15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17">
        <f t="shared" ref="N5:N12" si="1">SUM(B5:M5)</f>
        <v>0</v>
      </c>
      <c r="O5" s="153"/>
      <c r="P5" s="153"/>
    </row>
    <row r="6" ht="13.5" customHeight="1">
      <c r="A6" s="15" t="s">
        <v>123</v>
      </c>
      <c r="B6" s="46"/>
      <c r="C6" s="46"/>
      <c r="D6" s="46"/>
      <c r="E6" s="46"/>
      <c r="F6" s="46"/>
      <c r="G6" s="46"/>
      <c r="H6" s="46"/>
      <c r="I6" s="46"/>
      <c r="J6" s="87"/>
      <c r="K6" s="87"/>
      <c r="L6" s="87"/>
      <c r="M6" s="87"/>
      <c r="N6" s="17">
        <f t="shared" si="1"/>
        <v>0</v>
      </c>
      <c r="O6" s="153"/>
      <c r="P6" s="153"/>
    </row>
    <row r="7" ht="13.5" customHeight="1">
      <c r="A7" s="15" t="s">
        <v>17</v>
      </c>
      <c r="B7" s="396">
        <f>FORMULAS!S290</f>
        <v>5582.377049</v>
      </c>
      <c r="C7" s="46">
        <f>FORMULAS!W290</f>
        <v>5582.377049</v>
      </c>
      <c r="D7" s="396">
        <f>FORMULAS!AA290</f>
        <v>5582.377049</v>
      </c>
      <c r="E7" s="46">
        <f>FORMULAS!AE290</f>
        <v>5582.377049</v>
      </c>
      <c r="F7" s="46">
        <f>FORMULAS!AI290</f>
        <v>5582.377049</v>
      </c>
      <c r="G7" s="46">
        <f>FORMULAS!AM290</f>
        <v>5582.377049</v>
      </c>
      <c r="H7" s="396">
        <f>FORMULAS!AQ290</f>
        <v>5582.377049</v>
      </c>
      <c r="I7" s="46">
        <f>FORMULAS!AU290</f>
        <v>5582.377049</v>
      </c>
      <c r="J7" s="396">
        <f>FORMULAS!AY290</f>
        <v>5582.377049</v>
      </c>
      <c r="K7" s="46">
        <f>FORMULAS!BC290</f>
        <v>5582.377049</v>
      </c>
      <c r="L7" s="46">
        <f>FORMULAS!BG290</f>
        <v>5582.377049</v>
      </c>
      <c r="M7" s="46">
        <f>FORMULAS!BK290</f>
        <v>5582.377049</v>
      </c>
      <c r="N7" s="17">
        <f t="shared" si="1"/>
        <v>66988.52459</v>
      </c>
      <c r="O7" s="153"/>
      <c r="P7" s="153"/>
    </row>
    <row r="8" ht="13.5" customHeight="1">
      <c r="A8" s="15" t="s">
        <v>18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17">
        <f t="shared" si="1"/>
        <v>0</v>
      </c>
      <c r="O8" s="153"/>
      <c r="P8" s="153"/>
    </row>
    <row r="9" ht="13.5" customHeight="1">
      <c r="A9" s="20" t="s">
        <v>168</v>
      </c>
      <c r="B9" s="397">
        <f>FORMULAS!S299</f>
        <v>3258.196721</v>
      </c>
      <c r="C9" s="397">
        <f>FORMULAS!W299</f>
        <v>3258.196721</v>
      </c>
      <c r="D9" s="17">
        <f>FORMULAS!AA299</f>
        <v>3258.196721</v>
      </c>
      <c r="E9" s="397">
        <f>FORMULAS!AE299</f>
        <v>3258.196721</v>
      </c>
      <c r="F9" s="17">
        <f>FORMULAS!AI299</f>
        <v>3258.196721</v>
      </c>
      <c r="G9" s="398">
        <f>FORMULAS!AM299</f>
        <v>3258.196721</v>
      </c>
      <c r="H9" s="17">
        <f>FORMULAS!AQ299</f>
        <v>3258.196721</v>
      </c>
      <c r="I9" s="17">
        <f>FORMULAS!AU299</f>
        <v>3258.196721</v>
      </c>
      <c r="J9" s="17">
        <f>FORMULAS!AY299</f>
        <v>2971.047794</v>
      </c>
      <c r="K9" s="17">
        <f>FORMULAS!BC299</f>
        <v>2971.047794</v>
      </c>
      <c r="L9" s="46">
        <f>FORMULAS!BG299</f>
        <v>2971.047794</v>
      </c>
      <c r="M9" s="46">
        <f>FORMULAS!BK299</f>
        <v>2971.047794</v>
      </c>
      <c r="N9" s="17">
        <f t="shared" si="1"/>
        <v>37949.76495</v>
      </c>
      <c r="O9" s="153"/>
      <c r="P9" s="153"/>
    </row>
    <row r="10" ht="13.5" customHeight="1">
      <c r="A10" s="19" t="s">
        <v>278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17">
        <f t="shared" si="1"/>
        <v>0</v>
      </c>
      <c r="O10" s="153"/>
      <c r="P10" s="153"/>
    </row>
    <row r="11" ht="13.5" customHeight="1">
      <c r="A11" s="15" t="s">
        <v>21</v>
      </c>
      <c r="B11" s="87">
        <v>194.0</v>
      </c>
      <c r="C11" s="87">
        <v>213.44</v>
      </c>
      <c r="D11" s="87">
        <v>194.0</v>
      </c>
      <c r="E11" s="87">
        <v>194.0</v>
      </c>
      <c r="F11" s="87">
        <v>194.0</v>
      </c>
      <c r="G11" s="87">
        <v>194.0</v>
      </c>
      <c r="H11" s="87">
        <v>194.0</v>
      </c>
      <c r="I11" s="87">
        <v>194.0</v>
      </c>
      <c r="J11" s="87">
        <v>194.0</v>
      </c>
      <c r="K11" s="87">
        <v>194.0</v>
      </c>
      <c r="L11" s="87">
        <v>194.0</v>
      </c>
      <c r="M11" s="87">
        <v>194.0</v>
      </c>
      <c r="N11" s="17">
        <f t="shared" si="1"/>
        <v>2347.44</v>
      </c>
      <c r="O11" s="153"/>
      <c r="P11" s="153"/>
    </row>
    <row r="12" ht="13.5" customHeight="1">
      <c r="A12" s="15" t="s">
        <v>22</v>
      </c>
      <c r="B12" s="101">
        <f>PRODUCTION!AC3</f>
        <v>200</v>
      </c>
      <c r="C12" s="101">
        <f>PRODUCTION!AC4</f>
        <v>1930.1</v>
      </c>
      <c r="D12" s="101">
        <f>PRODUCTION!AC5</f>
        <v>1930.1</v>
      </c>
      <c r="E12" s="101">
        <f>PRODUCTION!AC6</f>
        <v>1930.1</v>
      </c>
      <c r="F12" s="101">
        <f>PRODUCTION!AC7</f>
        <v>1930.1</v>
      </c>
      <c r="G12" s="101">
        <f>PRODUCTION!AC8</f>
        <v>1930.1</v>
      </c>
      <c r="H12" s="101">
        <f>PRODUCTION!AC9</f>
        <v>1930.1</v>
      </c>
      <c r="I12" s="101">
        <f>PRODUCTION!AC10</f>
        <v>1930.1</v>
      </c>
      <c r="J12" s="101">
        <f>PRODUCTION!AC11</f>
        <v>1930.1</v>
      </c>
      <c r="K12" s="101">
        <f>PRODUCTION!AC12</f>
        <v>1930.1</v>
      </c>
      <c r="L12" s="101">
        <f>PRODUCTION!AC13</f>
        <v>1930.1</v>
      </c>
      <c r="M12" s="101">
        <f>PRODUCTION!AC14</f>
        <v>1930.1</v>
      </c>
      <c r="N12" s="17">
        <f t="shared" si="1"/>
        <v>21431.1</v>
      </c>
      <c r="O12" s="153"/>
      <c r="P12" s="153"/>
    </row>
    <row r="13" ht="13.5" customHeight="1">
      <c r="A13" s="21" t="s">
        <v>23</v>
      </c>
      <c r="B13" s="22">
        <f t="shared" ref="B13:N13" si="2">SUM(B5:B12)</f>
        <v>9234.57377</v>
      </c>
      <c r="C13" s="22">
        <f t="shared" si="2"/>
        <v>10984.11377</v>
      </c>
      <c r="D13" s="22">
        <f t="shared" si="2"/>
        <v>10964.67377</v>
      </c>
      <c r="E13" s="22">
        <f t="shared" si="2"/>
        <v>10964.67377</v>
      </c>
      <c r="F13" s="22">
        <f t="shared" si="2"/>
        <v>10964.67377</v>
      </c>
      <c r="G13" s="22">
        <f t="shared" si="2"/>
        <v>10964.67377</v>
      </c>
      <c r="H13" s="22">
        <f t="shared" si="2"/>
        <v>10964.67377</v>
      </c>
      <c r="I13" s="22">
        <f t="shared" si="2"/>
        <v>10964.67377</v>
      </c>
      <c r="J13" s="22">
        <f t="shared" si="2"/>
        <v>10677.52484</v>
      </c>
      <c r="K13" s="22">
        <f t="shared" si="2"/>
        <v>10677.52484</v>
      </c>
      <c r="L13" s="22">
        <f t="shared" si="2"/>
        <v>10677.52484</v>
      </c>
      <c r="M13" s="22">
        <f t="shared" si="2"/>
        <v>10677.52484</v>
      </c>
      <c r="N13" s="22">
        <f t="shared" si="2"/>
        <v>128716.8295</v>
      </c>
      <c r="O13" s="190"/>
      <c r="P13" s="190"/>
    </row>
    <row r="14" ht="13.5" customHeight="1">
      <c r="A14" s="89" t="s">
        <v>24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83"/>
      <c r="O14" s="170"/>
      <c r="P14" s="170"/>
    </row>
    <row r="15" ht="13.5" customHeight="1">
      <c r="A15" s="35" t="s">
        <v>153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17">
        <f t="shared" ref="N15:N20" si="3">SUM(B15:M15)</f>
        <v>0</v>
      </c>
      <c r="O15" s="153"/>
      <c r="P15" s="153"/>
    </row>
    <row r="16" ht="13.5" customHeight="1">
      <c r="A16" s="35" t="s">
        <v>26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17">
        <f t="shared" si="3"/>
        <v>0</v>
      </c>
      <c r="O16" s="153"/>
      <c r="P16" s="153"/>
    </row>
    <row r="17" ht="13.5" customHeight="1">
      <c r="A17" s="3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17">
        <f t="shared" si="3"/>
        <v>0</v>
      </c>
      <c r="O17" s="153"/>
      <c r="P17" s="153"/>
    </row>
    <row r="18" ht="13.5" customHeight="1">
      <c r="A18" s="3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17">
        <f t="shared" si="3"/>
        <v>0</v>
      </c>
      <c r="O18" s="153"/>
      <c r="P18" s="153"/>
    </row>
    <row r="19" ht="13.5" customHeight="1">
      <c r="A19" s="27" t="s">
        <v>29</v>
      </c>
      <c r="B19" s="103"/>
      <c r="C19" s="103"/>
      <c r="D19" s="46"/>
      <c r="E19" s="87"/>
      <c r="F19" s="46"/>
      <c r="G19" s="46"/>
      <c r="H19" s="46"/>
      <c r="I19" s="46"/>
      <c r="J19" s="46"/>
      <c r="K19" s="46"/>
      <c r="L19" s="46"/>
      <c r="M19" s="46"/>
      <c r="N19" s="17">
        <f t="shared" si="3"/>
        <v>0</v>
      </c>
      <c r="O19" s="153"/>
      <c r="P19" s="153"/>
    </row>
    <row r="20" ht="13.5" customHeight="1">
      <c r="A20" s="3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17">
        <f t="shared" si="3"/>
        <v>0</v>
      </c>
      <c r="O20" s="153"/>
      <c r="P20" s="153"/>
    </row>
    <row r="21" ht="13.5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  <c r="O21" s="175"/>
      <c r="P21" s="175"/>
    </row>
    <row r="22" ht="13.5" customHeight="1">
      <c r="A22" s="89" t="s">
        <v>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3"/>
      <c r="O22" s="170"/>
      <c r="P22" s="170"/>
    </row>
    <row r="23" ht="13.5" customHeight="1">
      <c r="A23" s="26" t="s">
        <v>31</v>
      </c>
      <c r="B23" s="87"/>
      <c r="C23" s="87"/>
      <c r="D23" s="205">
        <v>6000.0</v>
      </c>
      <c r="E23" s="87"/>
      <c r="F23" s="205">
        <v>6000.0</v>
      </c>
      <c r="G23" s="87"/>
      <c r="H23" s="87"/>
      <c r="I23" s="87"/>
      <c r="J23" s="87"/>
      <c r="K23" s="205">
        <v>6000.0</v>
      </c>
      <c r="L23" s="87"/>
      <c r="M23" s="87">
        <v>0.0</v>
      </c>
      <c r="N23" s="17">
        <f t="shared" ref="N23:N31" si="5">SUM(B23:M23)</f>
        <v>18000</v>
      </c>
      <c r="O23" s="153"/>
      <c r="P23" s="153"/>
    </row>
    <row r="24" ht="13.5" customHeight="1">
      <c r="A24" s="32"/>
      <c r="B24" s="46"/>
      <c r="C24" s="46"/>
      <c r="D24" s="46"/>
      <c r="E24" s="46"/>
      <c r="F24" s="87"/>
      <c r="G24" s="46"/>
      <c r="H24" s="46"/>
      <c r="I24" s="46"/>
      <c r="J24" s="46"/>
      <c r="K24" s="46"/>
      <c r="L24" s="46"/>
      <c r="M24" s="46"/>
      <c r="N24" s="17">
        <f t="shared" si="5"/>
        <v>0</v>
      </c>
      <c r="O24" s="153"/>
      <c r="P24" s="153"/>
    </row>
    <row r="25" ht="13.5" customHeight="1">
      <c r="A25" s="15" t="s">
        <v>127</v>
      </c>
      <c r="B25" s="46"/>
      <c r="C25" s="46"/>
      <c r="D25" s="46"/>
      <c r="E25" s="46"/>
      <c r="F25" s="46"/>
      <c r="G25" s="46"/>
      <c r="H25" s="46"/>
      <c r="I25" s="87"/>
      <c r="J25" s="46"/>
      <c r="K25" s="46"/>
      <c r="L25" s="46"/>
      <c r="M25" s="46"/>
      <c r="N25" s="17">
        <f t="shared" si="5"/>
        <v>0</v>
      </c>
      <c r="O25" s="153"/>
      <c r="P25" s="153"/>
    </row>
    <row r="26" ht="13.5" customHeight="1">
      <c r="A26" s="32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17">
        <f t="shared" si="5"/>
        <v>0</v>
      </c>
      <c r="O26" s="153"/>
      <c r="P26" s="153"/>
    </row>
    <row r="27" ht="13.5" customHeight="1">
      <c r="A27" s="31" t="s">
        <v>34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17">
        <f t="shared" si="5"/>
        <v>0</v>
      </c>
      <c r="O27" s="153"/>
      <c r="P27" s="153"/>
    </row>
    <row r="28" ht="13.5" customHeight="1">
      <c r="A28" s="33" t="s">
        <v>35</v>
      </c>
      <c r="B28" s="46"/>
      <c r="C28" s="46"/>
      <c r="D28" s="46"/>
      <c r="E28" s="46"/>
      <c r="F28" s="46"/>
      <c r="G28" s="46"/>
      <c r="H28" s="46"/>
      <c r="I28" s="46"/>
      <c r="J28" s="87"/>
      <c r="K28" s="87"/>
      <c r="L28" s="46"/>
      <c r="M28" s="46"/>
      <c r="N28" s="17">
        <f t="shared" si="5"/>
        <v>0</v>
      </c>
      <c r="O28" s="153"/>
      <c r="P28" s="153"/>
    </row>
    <row r="29" ht="13.5" customHeight="1">
      <c r="A29" s="27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17">
        <f t="shared" si="5"/>
        <v>0</v>
      </c>
      <c r="O29" s="153"/>
      <c r="P29" s="153"/>
    </row>
    <row r="30" ht="13.5" customHeight="1">
      <c r="A30" s="31" t="s">
        <v>37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17">
        <f t="shared" si="5"/>
        <v>0</v>
      </c>
      <c r="O30" s="153"/>
      <c r="P30" s="153"/>
    </row>
    <row r="31" ht="13.5" customHeight="1">
      <c r="A31" s="32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17">
        <f t="shared" si="5"/>
        <v>0</v>
      </c>
      <c r="O31" s="153"/>
      <c r="P31" s="153"/>
    </row>
    <row r="32" ht="13.5" customHeight="1">
      <c r="A32" s="91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6000</v>
      </c>
      <c r="E32" s="28">
        <f t="shared" si="6"/>
        <v>0</v>
      </c>
      <c r="F32" s="28">
        <f t="shared" si="6"/>
        <v>6000</v>
      </c>
      <c r="G32" s="28">
        <f t="shared" si="6"/>
        <v>0</v>
      </c>
      <c r="H32" s="28">
        <f t="shared" si="6"/>
        <v>0</v>
      </c>
      <c r="I32" s="28">
        <f t="shared" si="6"/>
        <v>0</v>
      </c>
      <c r="J32" s="28">
        <f t="shared" si="6"/>
        <v>0</v>
      </c>
      <c r="K32" s="28">
        <f t="shared" si="6"/>
        <v>6000</v>
      </c>
      <c r="L32" s="28">
        <f t="shared" si="6"/>
        <v>0</v>
      </c>
      <c r="M32" s="28">
        <f t="shared" si="6"/>
        <v>0</v>
      </c>
      <c r="N32" s="28">
        <f t="shared" si="6"/>
        <v>18000</v>
      </c>
      <c r="O32" s="175"/>
      <c r="P32" s="175"/>
    </row>
    <row r="33" ht="13.5" customHeight="1">
      <c r="A33" s="79" t="s">
        <v>38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170"/>
      <c r="P33" s="170"/>
    </row>
    <row r="34" ht="13.5" customHeight="1">
      <c r="A34" s="15" t="s">
        <v>39</v>
      </c>
      <c r="B34" s="87">
        <f t="shared" ref="B34:M34" si="7">1500+425</f>
        <v>1925</v>
      </c>
      <c r="C34" s="87">
        <f t="shared" si="7"/>
        <v>1925</v>
      </c>
      <c r="D34" s="87">
        <f t="shared" si="7"/>
        <v>1925</v>
      </c>
      <c r="E34" s="87">
        <f t="shared" si="7"/>
        <v>1925</v>
      </c>
      <c r="F34" s="87">
        <f t="shared" si="7"/>
        <v>1925</v>
      </c>
      <c r="G34" s="87">
        <f t="shared" si="7"/>
        <v>1925</v>
      </c>
      <c r="H34" s="87">
        <f t="shared" si="7"/>
        <v>1925</v>
      </c>
      <c r="I34" s="87">
        <f t="shared" si="7"/>
        <v>1925</v>
      </c>
      <c r="J34" s="87">
        <f t="shared" si="7"/>
        <v>1925</v>
      </c>
      <c r="K34" s="87">
        <f t="shared" si="7"/>
        <v>1925</v>
      </c>
      <c r="L34" s="87">
        <f t="shared" si="7"/>
        <v>1925</v>
      </c>
      <c r="M34" s="87">
        <f t="shared" si="7"/>
        <v>1925</v>
      </c>
      <c r="N34" s="17">
        <f t="shared" ref="N34:N51" si="8">SUM(B34:M34)</f>
        <v>23100</v>
      </c>
      <c r="O34" s="153"/>
      <c r="P34" s="153"/>
    </row>
    <row r="35" ht="13.5" customHeight="1">
      <c r="A35" s="19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17">
        <f t="shared" si="8"/>
        <v>0</v>
      </c>
      <c r="O35" s="153"/>
      <c r="P35" s="153"/>
    </row>
    <row r="36" ht="13.5" customHeight="1">
      <c r="A36" s="35" t="s">
        <v>41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17">
        <f t="shared" si="8"/>
        <v>0</v>
      </c>
      <c r="O36" s="153"/>
      <c r="P36" s="153"/>
    </row>
    <row r="37" ht="13.5" customHeight="1">
      <c r="A37" s="35" t="s">
        <v>42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17">
        <f t="shared" si="8"/>
        <v>0</v>
      </c>
      <c r="O37" s="153"/>
      <c r="P37" s="153"/>
    </row>
    <row r="38" ht="13.5" customHeight="1">
      <c r="A38" s="35" t="s">
        <v>43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17">
        <f t="shared" si="8"/>
        <v>0</v>
      </c>
      <c r="O38" s="153"/>
      <c r="P38" s="153"/>
    </row>
    <row r="39" ht="13.5" customHeight="1">
      <c r="A39" s="35" t="s">
        <v>44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17">
        <f t="shared" si="8"/>
        <v>0</v>
      </c>
      <c r="O39" s="153"/>
      <c r="P39" s="153"/>
    </row>
    <row r="40" ht="13.5" customHeight="1">
      <c r="A40" s="35" t="s">
        <v>45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17">
        <f t="shared" si="8"/>
        <v>0</v>
      </c>
      <c r="O40" s="153"/>
      <c r="P40" s="153"/>
    </row>
    <row r="41" ht="13.5" customHeight="1">
      <c r="A41" s="35" t="s">
        <v>46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17">
        <f t="shared" si="8"/>
        <v>0</v>
      </c>
      <c r="O41" s="153"/>
      <c r="P41" s="153"/>
    </row>
    <row r="42" ht="13.5" customHeight="1">
      <c r="A42" s="19" t="s">
        <v>289</v>
      </c>
      <c r="B42" s="87">
        <v>365.0</v>
      </c>
      <c r="C42" s="87">
        <v>365.0</v>
      </c>
      <c r="D42" s="87">
        <v>365.0</v>
      </c>
      <c r="E42" s="87">
        <v>365.0</v>
      </c>
      <c r="F42" s="87">
        <v>365.0</v>
      </c>
      <c r="G42" s="87">
        <v>365.0</v>
      </c>
      <c r="H42" s="87">
        <v>365.0</v>
      </c>
      <c r="I42" s="87">
        <v>365.0</v>
      </c>
      <c r="J42" s="87">
        <v>365.0</v>
      </c>
      <c r="K42" s="87">
        <v>365.0</v>
      </c>
      <c r="L42" s="87">
        <v>365.0</v>
      </c>
      <c r="M42" s="87">
        <v>365.0</v>
      </c>
      <c r="N42" s="17">
        <f t="shared" si="8"/>
        <v>4380</v>
      </c>
      <c r="O42" s="153"/>
      <c r="P42" s="153"/>
    </row>
    <row r="43" ht="13.5" customHeight="1">
      <c r="A43" s="19" t="s">
        <v>248</v>
      </c>
      <c r="B43" s="87">
        <v>649.0</v>
      </c>
      <c r="C43" s="87">
        <v>649.0</v>
      </c>
      <c r="D43" s="87">
        <v>649.0</v>
      </c>
      <c r="E43" s="87">
        <v>649.0</v>
      </c>
      <c r="F43" s="87">
        <v>649.0</v>
      </c>
      <c r="G43" s="87">
        <v>649.0</v>
      </c>
      <c r="H43" s="87">
        <v>649.0</v>
      </c>
      <c r="I43" s="87">
        <v>649.0</v>
      </c>
      <c r="J43" s="87">
        <v>649.0</v>
      </c>
      <c r="K43" s="87">
        <v>649.0</v>
      </c>
      <c r="L43" s="87">
        <v>649.0</v>
      </c>
      <c r="M43" s="87">
        <v>649.0</v>
      </c>
      <c r="N43" s="17">
        <f t="shared" si="8"/>
        <v>7788</v>
      </c>
      <c r="O43" s="153"/>
      <c r="P43" s="153"/>
    </row>
    <row r="44" ht="13.5" customHeight="1">
      <c r="A44" s="19" t="s">
        <v>249</v>
      </c>
      <c r="B44" s="87">
        <v>199.0</v>
      </c>
      <c r="C44" s="87">
        <v>199.0</v>
      </c>
      <c r="D44" s="87">
        <v>199.0</v>
      </c>
      <c r="E44" s="87">
        <v>199.0</v>
      </c>
      <c r="F44" s="87">
        <v>199.0</v>
      </c>
      <c r="G44" s="87">
        <v>199.0</v>
      </c>
      <c r="H44" s="87">
        <v>199.0</v>
      </c>
      <c r="I44" s="87">
        <v>199.0</v>
      </c>
      <c r="J44" s="87">
        <v>199.0</v>
      </c>
      <c r="K44" s="87">
        <v>199.0</v>
      </c>
      <c r="L44" s="87">
        <v>199.0</v>
      </c>
      <c r="M44" s="87">
        <v>199.0</v>
      </c>
      <c r="N44" s="17">
        <f t="shared" si="8"/>
        <v>2388</v>
      </c>
      <c r="O44" s="153"/>
      <c r="P44" s="153"/>
    </row>
    <row r="45" ht="13.5" customHeight="1">
      <c r="A45" s="156" t="s">
        <v>50</v>
      </c>
      <c r="B45" s="46">
        <f t="shared" ref="B45:M45" si="9">45+97.5</f>
        <v>142.5</v>
      </c>
      <c r="C45" s="46">
        <f t="shared" si="9"/>
        <v>142.5</v>
      </c>
      <c r="D45" s="46">
        <f t="shared" si="9"/>
        <v>142.5</v>
      </c>
      <c r="E45" s="46">
        <f t="shared" si="9"/>
        <v>142.5</v>
      </c>
      <c r="F45" s="46">
        <f t="shared" si="9"/>
        <v>142.5</v>
      </c>
      <c r="G45" s="46">
        <f t="shared" si="9"/>
        <v>142.5</v>
      </c>
      <c r="H45" s="46">
        <f t="shared" si="9"/>
        <v>142.5</v>
      </c>
      <c r="I45" s="46">
        <f t="shared" si="9"/>
        <v>142.5</v>
      </c>
      <c r="J45" s="46">
        <f t="shared" si="9"/>
        <v>142.5</v>
      </c>
      <c r="K45" s="46">
        <f t="shared" si="9"/>
        <v>142.5</v>
      </c>
      <c r="L45" s="46">
        <f t="shared" si="9"/>
        <v>142.5</v>
      </c>
      <c r="M45" s="46">
        <f t="shared" si="9"/>
        <v>142.5</v>
      </c>
      <c r="N45" s="17">
        <f t="shared" si="8"/>
        <v>1710</v>
      </c>
      <c r="O45" s="153"/>
      <c r="P45" s="153"/>
    </row>
    <row r="46" ht="13.5" customHeight="1">
      <c r="A46" s="15" t="s">
        <v>51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17">
        <f t="shared" si="8"/>
        <v>0</v>
      </c>
      <c r="O46" s="153"/>
      <c r="P46" s="153"/>
    </row>
    <row r="47" ht="13.5" customHeight="1">
      <c r="A47" s="19" t="s">
        <v>52</v>
      </c>
      <c r="B47" s="87">
        <f t="shared" ref="B47:M47" si="10">850+750+1750</f>
        <v>3350</v>
      </c>
      <c r="C47" s="87">
        <f t="shared" si="10"/>
        <v>3350</v>
      </c>
      <c r="D47" s="87">
        <f t="shared" si="10"/>
        <v>3350</v>
      </c>
      <c r="E47" s="87">
        <f t="shared" si="10"/>
        <v>3350</v>
      </c>
      <c r="F47" s="87">
        <f t="shared" si="10"/>
        <v>3350</v>
      </c>
      <c r="G47" s="87">
        <f t="shared" si="10"/>
        <v>3350</v>
      </c>
      <c r="H47" s="87">
        <f t="shared" si="10"/>
        <v>3350</v>
      </c>
      <c r="I47" s="87">
        <f t="shared" si="10"/>
        <v>3350</v>
      </c>
      <c r="J47" s="87">
        <f t="shared" si="10"/>
        <v>3350</v>
      </c>
      <c r="K47" s="87">
        <f t="shared" si="10"/>
        <v>3350</v>
      </c>
      <c r="L47" s="87">
        <f t="shared" si="10"/>
        <v>3350</v>
      </c>
      <c r="M47" s="87">
        <f t="shared" si="10"/>
        <v>3350</v>
      </c>
      <c r="N47" s="17">
        <f t="shared" si="8"/>
        <v>40200</v>
      </c>
      <c r="O47" s="153"/>
      <c r="P47" s="153"/>
    </row>
    <row r="48" ht="13.5" customHeight="1">
      <c r="A48" s="19" t="s">
        <v>131</v>
      </c>
      <c r="B48" s="87">
        <f t="shared" ref="B48:M48" si="11">249+80+55.66</f>
        <v>384.66</v>
      </c>
      <c r="C48" s="87">
        <f t="shared" si="11"/>
        <v>384.66</v>
      </c>
      <c r="D48" s="87">
        <f t="shared" si="11"/>
        <v>384.66</v>
      </c>
      <c r="E48" s="87">
        <f t="shared" si="11"/>
        <v>384.66</v>
      </c>
      <c r="F48" s="87">
        <f t="shared" si="11"/>
        <v>384.66</v>
      </c>
      <c r="G48" s="87">
        <f t="shared" si="11"/>
        <v>384.66</v>
      </c>
      <c r="H48" s="87">
        <f t="shared" si="11"/>
        <v>384.66</v>
      </c>
      <c r="I48" s="87">
        <f t="shared" si="11"/>
        <v>384.66</v>
      </c>
      <c r="J48" s="87">
        <f t="shared" si="11"/>
        <v>384.66</v>
      </c>
      <c r="K48" s="87">
        <f t="shared" si="11"/>
        <v>384.66</v>
      </c>
      <c r="L48" s="87">
        <f t="shared" si="11"/>
        <v>384.66</v>
      </c>
      <c r="M48" s="87">
        <f t="shared" si="11"/>
        <v>384.66</v>
      </c>
      <c r="N48" s="17">
        <f t="shared" si="8"/>
        <v>4615.92</v>
      </c>
      <c r="O48" s="153"/>
      <c r="P48" s="153"/>
    </row>
    <row r="49" ht="13.5" customHeight="1">
      <c r="A49" s="35" t="s">
        <v>54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17">
        <f t="shared" si="8"/>
        <v>0</v>
      </c>
      <c r="O49" s="153"/>
      <c r="P49" s="153"/>
    </row>
    <row r="50" ht="13.5" customHeight="1">
      <c r="A50" s="19" t="s">
        <v>240</v>
      </c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17">
        <f t="shared" si="8"/>
        <v>0</v>
      </c>
      <c r="O50" s="153"/>
      <c r="P50" s="153"/>
    </row>
    <row r="51" ht="13.5" customHeight="1">
      <c r="A51" s="15" t="s">
        <v>160</v>
      </c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17">
        <f t="shared" si="8"/>
        <v>0</v>
      </c>
      <c r="O51" s="153"/>
      <c r="P51" s="153"/>
    </row>
    <row r="52" ht="13.5" customHeight="1">
      <c r="A52" s="91" t="s">
        <v>23</v>
      </c>
      <c r="B52" s="28">
        <f t="shared" ref="B52:N52" si="12">SUM(B34:B51)</f>
        <v>7015.16</v>
      </c>
      <c r="C52" s="28">
        <f t="shared" si="12"/>
        <v>7015.16</v>
      </c>
      <c r="D52" s="28">
        <f t="shared" si="12"/>
        <v>7015.16</v>
      </c>
      <c r="E52" s="28">
        <f t="shared" si="12"/>
        <v>7015.16</v>
      </c>
      <c r="F52" s="28">
        <f t="shared" si="12"/>
        <v>7015.16</v>
      </c>
      <c r="G52" s="28">
        <f t="shared" si="12"/>
        <v>7015.16</v>
      </c>
      <c r="H52" s="28">
        <f t="shared" si="12"/>
        <v>7015.16</v>
      </c>
      <c r="I52" s="28">
        <f t="shared" si="12"/>
        <v>7015.16</v>
      </c>
      <c r="J52" s="28">
        <f t="shared" si="12"/>
        <v>7015.16</v>
      </c>
      <c r="K52" s="28">
        <f t="shared" si="12"/>
        <v>7015.16</v>
      </c>
      <c r="L52" s="28">
        <f t="shared" si="12"/>
        <v>7015.16</v>
      </c>
      <c r="M52" s="28">
        <f t="shared" si="12"/>
        <v>7015.16</v>
      </c>
      <c r="N52" s="28">
        <f t="shared" si="12"/>
        <v>84181.92</v>
      </c>
      <c r="O52" s="175"/>
      <c r="P52" s="175"/>
    </row>
    <row r="53" ht="13.5" customHeight="1">
      <c r="A53" s="79" t="s">
        <v>56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170"/>
      <c r="P53" s="170"/>
    </row>
    <row r="54" ht="13.5" customHeight="1">
      <c r="A54" s="32" t="s">
        <v>57</v>
      </c>
      <c r="B54" s="87"/>
      <c r="C54" s="87"/>
      <c r="D54" s="87"/>
      <c r="E54" s="87"/>
      <c r="F54" s="87"/>
      <c r="G54" s="87"/>
      <c r="H54" s="87"/>
      <c r="I54" s="87"/>
      <c r="J54" s="46"/>
      <c r="K54" s="87"/>
      <c r="L54" s="87"/>
      <c r="M54" s="87"/>
      <c r="N54" s="17">
        <f t="shared" ref="N54:N69" si="13">SUM(B54:M54)</f>
        <v>0</v>
      </c>
      <c r="O54" s="153"/>
      <c r="P54" s="153"/>
    </row>
    <row r="55" ht="13.5" customHeight="1">
      <c r="A55" s="32" t="s">
        <v>58</v>
      </c>
      <c r="B55" s="87">
        <v>900.0</v>
      </c>
      <c r="C55" s="87">
        <v>1900.0</v>
      </c>
      <c r="D55" s="87">
        <v>1900.0</v>
      </c>
      <c r="E55" s="87">
        <v>1900.0</v>
      </c>
      <c r="F55" s="87">
        <v>1900.0</v>
      </c>
      <c r="G55" s="87">
        <v>1900.0</v>
      </c>
      <c r="H55" s="87">
        <v>1900.0</v>
      </c>
      <c r="I55" s="87">
        <v>1900.0</v>
      </c>
      <c r="J55" s="87">
        <v>1900.0</v>
      </c>
      <c r="K55" s="87">
        <v>1900.0</v>
      </c>
      <c r="L55" s="87">
        <v>1900.0</v>
      </c>
      <c r="M55" s="87">
        <v>1900.0</v>
      </c>
      <c r="N55" s="17">
        <f t="shared" si="13"/>
        <v>21800</v>
      </c>
      <c r="O55" s="153"/>
      <c r="P55" s="153"/>
    </row>
    <row r="56" ht="13.5" customHeight="1">
      <c r="A56" s="31" t="s">
        <v>59</v>
      </c>
      <c r="B56" s="87">
        <f t="shared" ref="B56:M56" si="14">399+351+57</f>
        <v>807</v>
      </c>
      <c r="C56" s="87">
        <f t="shared" si="14"/>
        <v>807</v>
      </c>
      <c r="D56" s="87">
        <f t="shared" si="14"/>
        <v>807</v>
      </c>
      <c r="E56" s="87">
        <f t="shared" si="14"/>
        <v>807</v>
      </c>
      <c r="F56" s="87">
        <f t="shared" si="14"/>
        <v>807</v>
      </c>
      <c r="G56" s="87">
        <f t="shared" si="14"/>
        <v>807</v>
      </c>
      <c r="H56" s="87">
        <f t="shared" si="14"/>
        <v>807</v>
      </c>
      <c r="I56" s="87">
        <f t="shared" si="14"/>
        <v>807</v>
      </c>
      <c r="J56" s="87">
        <f t="shared" si="14"/>
        <v>807</v>
      </c>
      <c r="K56" s="87">
        <f t="shared" si="14"/>
        <v>807</v>
      </c>
      <c r="L56" s="87">
        <f t="shared" si="14"/>
        <v>807</v>
      </c>
      <c r="M56" s="87">
        <f t="shared" si="14"/>
        <v>807</v>
      </c>
      <c r="N56" s="17">
        <f t="shared" si="13"/>
        <v>9684</v>
      </c>
      <c r="O56" s="153"/>
      <c r="P56" s="153"/>
    </row>
    <row r="57" ht="13.5" customHeight="1">
      <c r="A57" s="31" t="s">
        <v>133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17">
        <f t="shared" si="13"/>
        <v>0</v>
      </c>
      <c r="O57" s="153"/>
      <c r="P57" s="153"/>
    </row>
    <row r="58" ht="13.5" customHeight="1">
      <c r="A58" s="31" t="s">
        <v>134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17">
        <f t="shared" si="13"/>
        <v>0</v>
      </c>
      <c r="O58" s="153"/>
      <c r="P58" s="153"/>
    </row>
    <row r="59" ht="13.5" customHeight="1">
      <c r="A59" s="31" t="s">
        <v>135</v>
      </c>
      <c r="B59" s="87">
        <v>553.75</v>
      </c>
      <c r="C59" s="87">
        <v>553.75</v>
      </c>
      <c r="D59" s="87">
        <v>553.75</v>
      </c>
      <c r="E59" s="87">
        <v>553.75</v>
      </c>
      <c r="F59" s="87">
        <v>553.75</v>
      </c>
      <c r="G59" s="87">
        <v>553.75</v>
      </c>
      <c r="H59" s="87">
        <v>553.75</v>
      </c>
      <c r="I59" s="87">
        <v>553.75</v>
      </c>
      <c r="J59" s="87">
        <v>553.75</v>
      </c>
      <c r="K59" s="87">
        <v>553.75</v>
      </c>
      <c r="L59" s="87">
        <v>553.75</v>
      </c>
      <c r="M59" s="87">
        <v>553.75</v>
      </c>
      <c r="N59" s="17">
        <f t="shared" si="13"/>
        <v>6645</v>
      </c>
      <c r="O59" s="153"/>
      <c r="P59" s="153"/>
    </row>
    <row r="60" ht="13.5" customHeight="1">
      <c r="A60" s="32" t="s">
        <v>136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17">
        <f t="shared" si="13"/>
        <v>0</v>
      </c>
      <c r="O60" s="153"/>
      <c r="P60" s="153"/>
    </row>
    <row r="61" ht="13.5" customHeight="1">
      <c r="A61" s="32" t="s">
        <v>137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17">
        <f t="shared" si="13"/>
        <v>0</v>
      </c>
      <c r="O61" s="153"/>
      <c r="P61" s="153"/>
    </row>
    <row r="62" ht="13.5" customHeight="1">
      <c r="A62" s="32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13"/>
        <v>0</v>
      </c>
      <c r="O62" s="153"/>
      <c r="P62" s="153"/>
    </row>
    <row r="63" ht="13.5" customHeight="1">
      <c r="A63" s="31" t="s">
        <v>64</v>
      </c>
      <c r="B63" s="87">
        <v>2500.0</v>
      </c>
      <c r="C63" s="87">
        <v>2500.0</v>
      </c>
      <c r="D63" s="87">
        <v>2500.0</v>
      </c>
      <c r="E63" s="87">
        <v>2500.0</v>
      </c>
      <c r="F63" s="87">
        <v>2500.0</v>
      </c>
      <c r="G63" s="87">
        <v>2500.0</v>
      </c>
      <c r="H63" s="87">
        <v>2500.0</v>
      </c>
      <c r="I63" s="87">
        <v>2500.0</v>
      </c>
      <c r="J63" s="87">
        <v>2500.0</v>
      </c>
      <c r="K63" s="87">
        <v>2500.0</v>
      </c>
      <c r="L63" s="87">
        <v>2500.0</v>
      </c>
      <c r="M63" s="87">
        <v>2500.0</v>
      </c>
      <c r="N63" s="17">
        <f t="shared" si="13"/>
        <v>30000</v>
      </c>
      <c r="O63" s="153"/>
      <c r="P63" s="153"/>
    </row>
    <row r="64" ht="13.5" customHeight="1">
      <c r="A64" s="32" t="s">
        <v>65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17">
        <f t="shared" si="13"/>
        <v>0</v>
      </c>
      <c r="O64" s="153"/>
      <c r="P64" s="153"/>
    </row>
    <row r="65" ht="13.5" customHeight="1">
      <c r="A65" s="31" t="s">
        <v>66</v>
      </c>
      <c r="B65" s="46"/>
      <c r="C65" s="46"/>
      <c r="D65" s="46"/>
      <c r="E65" s="46"/>
      <c r="F65" s="46"/>
      <c r="G65" s="87"/>
      <c r="H65" s="46"/>
      <c r="I65" s="46"/>
      <c r="J65" s="46"/>
      <c r="K65" s="46"/>
      <c r="L65" s="46"/>
      <c r="M65" s="46"/>
      <c r="N65" s="17">
        <f t="shared" si="13"/>
        <v>0</v>
      </c>
      <c r="O65" s="153"/>
      <c r="P65" s="153"/>
    </row>
    <row r="66" ht="13.5" customHeight="1">
      <c r="A66" s="31" t="s">
        <v>67</v>
      </c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17">
        <f t="shared" si="13"/>
        <v>0</v>
      </c>
      <c r="O66" s="153"/>
      <c r="P66" s="153"/>
    </row>
    <row r="67" ht="13.5" customHeight="1">
      <c r="A67" s="25" t="s">
        <v>165</v>
      </c>
      <c r="B67" s="28"/>
      <c r="C67" s="28"/>
      <c r="D67" s="28"/>
      <c r="E67" s="28"/>
      <c r="F67" s="167"/>
      <c r="G67" s="167"/>
      <c r="H67" s="167"/>
      <c r="I67" s="87"/>
      <c r="J67" s="87"/>
      <c r="K67" s="87"/>
      <c r="L67" s="87"/>
      <c r="M67" s="87"/>
      <c r="N67" s="17">
        <f t="shared" si="13"/>
        <v>0</v>
      </c>
      <c r="O67" s="153"/>
      <c r="P67" s="153"/>
    </row>
    <row r="68" ht="13.5" customHeight="1">
      <c r="A68" s="25" t="s">
        <v>69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17">
        <f t="shared" si="13"/>
        <v>0</v>
      </c>
      <c r="O68" s="153"/>
      <c r="P68" s="153"/>
    </row>
    <row r="69" ht="13.5" customHeight="1">
      <c r="A69" s="39" t="s">
        <v>70</v>
      </c>
      <c r="B69" s="28"/>
      <c r="C69" s="28"/>
      <c r="D69" s="28"/>
      <c r="E69" s="28"/>
      <c r="F69" s="28"/>
      <c r="G69" s="28"/>
      <c r="H69" s="87"/>
      <c r="I69" s="87"/>
      <c r="J69" s="87"/>
      <c r="K69" s="87"/>
      <c r="L69" s="87"/>
      <c r="M69" s="87"/>
      <c r="N69" s="17">
        <f t="shared" si="13"/>
        <v>0</v>
      </c>
      <c r="O69" s="153"/>
      <c r="P69" s="153"/>
    </row>
    <row r="70" ht="13.5" customHeight="1">
      <c r="A70" s="91" t="s">
        <v>23</v>
      </c>
      <c r="B70" s="28">
        <f t="shared" ref="B70:M70" si="15">SUM(B54:B69)</f>
        <v>4760.75</v>
      </c>
      <c r="C70" s="28">
        <f t="shared" si="15"/>
        <v>5760.75</v>
      </c>
      <c r="D70" s="28">
        <f t="shared" si="15"/>
        <v>5760.75</v>
      </c>
      <c r="E70" s="28">
        <f t="shared" si="15"/>
        <v>5760.75</v>
      </c>
      <c r="F70" s="28">
        <f t="shared" si="15"/>
        <v>5760.75</v>
      </c>
      <c r="G70" s="28">
        <f t="shared" si="15"/>
        <v>5760.75</v>
      </c>
      <c r="H70" s="28">
        <f t="shared" si="15"/>
        <v>5760.75</v>
      </c>
      <c r="I70" s="28">
        <f t="shared" si="15"/>
        <v>5760.75</v>
      </c>
      <c r="J70" s="28">
        <f t="shared" si="15"/>
        <v>5760.75</v>
      </c>
      <c r="K70" s="28">
        <f t="shared" si="15"/>
        <v>5760.75</v>
      </c>
      <c r="L70" s="28">
        <f t="shared" si="15"/>
        <v>5760.75</v>
      </c>
      <c r="M70" s="28">
        <f t="shared" si="15"/>
        <v>5760.75</v>
      </c>
      <c r="N70" s="28">
        <f>SUM(N54:N66)</f>
        <v>68129</v>
      </c>
      <c r="O70" s="175"/>
      <c r="P70" s="175"/>
    </row>
    <row r="71" ht="13.5" customHeight="1">
      <c r="A71" s="79" t="s">
        <v>71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170"/>
      <c r="P71" s="170"/>
    </row>
    <row r="72" ht="13.5" customHeight="1">
      <c r="A72" s="32" t="s">
        <v>138</v>
      </c>
      <c r="B72" s="87"/>
      <c r="C72" s="87"/>
      <c r="D72" s="87"/>
      <c r="E72" s="87"/>
      <c r="F72" s="87"/>
      <c r="G72" s="87"/>
      <c r="H72" s="87"/>
      <c r="I72" s="87"/>
      <c r="J72" s="46"/>
      <c r="K72" s="87"/>
      <c r="L72" s="87"/>
      <c r="M72" s="87"/>
      <c r="N72" s="17">
        <f t="shared" ref="N72:N83" si="16">SUM(B72:M72)</f>
        <v>0</v>
      </c>
      <c r="O72" s="153"/>
      <c r="P72" s="153"/>
    </row>
    <row r="73" ht="13.5" customHeight="1">
      <c r="A73" s="31" t="s">
        <v>73</v>
      </c>
      <c r="B73" s="87"/>
      <c r="C73" s="87"/>
      <c r="D73" s="87"/>
      <c r="E73" s="87"/>
      <c r="F73" s="87"/>
      <c r="G73" s="87"/>
      <c r="H73" s="87"/>
      <c r="I73" s="87"/>
      <c r="J73" s="46"/>
      <c r="K73" s="87"/>
      <c r="L73" s="87"/>
      <c r="M73" s="87"/>
      <c r="N73" s="17">
        <f t="shared" si="16"/>
        <v>0</v>
      </c>
      <c r="O73" s="153"/>
      <c r="P73" s="153"/>
    </row>
    <row r="74" ht="13.5" customHeight="1">
      <c r="A74" s="32" t="s">
        <v>139</v>
      </c>
      <c r="B74" s="87">
        <v>553.75</v>
      </c>
      <c r="C74" s="87">
        <v>553.75</v>
      </c>
      <c r="D74" s="87">
        <v>553.75</v>
      </c>
      <c r="E74" s="87">
        <v>553.75</v>
      </c>
      <c r="F74" s="87">
        <v>553.75</v>
      </c>
      <c r="G74" s="87">
        <v>553.75</v>
      </c>
      <c r="H74" s="87">
        <v>553.75</v>
      </c>
      <c r="I74" s="87">
        <v>553.75</v>
      </c>
      <c r="J74" s="87">
        <v>553.75</v>
      </c>
      <c r="K74" s="87">
        <v>553.75</v>
      </c>
      <c r="L74" s="87">
        <v>553.75</v>
      </c>
      <c r="M74" s="87">
        <v>553.75</v>
      </c>
      <c r="N74" s="17">
        <f t="shared" si="16"/>
        <v>6645</v>
      </c>
      <c r="O74" s="153"/>
      <c r="P74" s="153"/>
    </row>
    <row r="75" ht="13.5" customHeight="1">
      <c r="A75" s="31" t="s">
        <v>137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17">
        <f t="shared" si="16"/>
        <v>0</v>
      </c>
      <c r="O75" s="153"/>
      <c r="P75" s="153"/>
    </row>
    <row r="76" ht="13.5" customHeight="1">
      <c r="A76" s="32" t="s">
        <v>136</v>
      </c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17">
        <f t="shared" si="16"/>
        <v>0</v>
      </c>
      <c r="O76" s="153"/>
      <c r="P76" s="153"/>
    </row>
    <row r="77" ht="13.5" customHeight="1">
      <c r="A77" s="32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17">
        <f t="shared" si="16"/>
        <v>0</v>
      </c>
      <c r="O77" s="153"/>
      <c r="P77" s="153"/>
    </row>
    <row r="78" ht="13.5" customHeight="1">
      <c r="A78" s="31" t="s">
        <v>140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17">
        <f t="shared" si="16"/>
        <v>0</v>
      </c>
      <c r="O78" s="153"/>
      <c r="P78" s="153"/>
    </row>
    <row r="79" ht="13.5" customHeight="1">
      <c r="A79" s="27" t="s">
        <v>141</v>
      </c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17">
        <f t="shared" si="16"/>
        <v>0</v>
      </c>
      <c r="O79" s="153"/>
      <c r="P79" s="153"/>
    </row>
    <row r="80" ht="13.5" customHeight="1">
      <c r="A80" s="42" t="s">
        <v>79</v>
      </c>
      <c r="B80" s="104">
        <v>900.0</v>
      </c>
      <c r="C80" s="104">
        <v>900.0</v>
      </c>
      <c r="D80" s="104">
        <v>900.0</v>
      </c>
      <c r="E80" s="104">
        <v>900.0</v>
      </c>
      <c r="F80" s="104">
        <v>900.0</v>
      </c>
      <c r="G80" s="104">
        <v>900.0</v>
      </c>
      <c r="H80" s="104">
        <v>900.0</v>
      </c>
      <c r="I80" s="104">
        <v>900.0</v>
      </c>
      <c r="J80" s="104">
        <v>900.0</v>
      </c>
      <c r="K80" s="104">
        <v>900.0</v>
      </c>
      <c r="L80" s="104">
        <v>900.0</v>
      </c>
      <c r="M80" s="104">
        <v>900.0</v>
      </c>
      <c r="N80" s="17">
        <f t="shared" si="16"/>
        <v>10800</v>
      </c>
      <c r="O80" s="153"/>
      <c r="P80" s="153"/>
    </row>
    <row r="81" ht="13.5" customHeight="1">
      <c r="A81" s="43" t="s">
        <v>80</v>
      </c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17">
        <f t="shared" si="16"/>
        <v>0</v>
      </c>
      <c r="O81" s="153"/>
      <c r="P81" s="153"/>
    </row>
    <row r="82" ht="13.5" customHeight="1">
      <c r="A82" s="91" t="s">
        <v>23</v>
      </c>
      <c r="B82" s="28">
        <f t="shared" ref="B82:M82" si="17">SUM(B72:B81)</f>
        <v>1453.75</v>
      </c>
      <c r="C82" s="28">
        <f t="shared" si="17"/>
        <v>1453.75</v>
      </c>
      <c r="D82" s="28">
        <f t="shared" si="17"/>
        <v>1453.75</v>
      </c>
      <c r="E82" s="28">
        <f t="shared" si="17"/>
        <v>1453.75</v>
      </c>
      <c r="F82" s="28">
        <f t="shared" si="17"/>
        <v>1453.75</v>
      </c>
      <c r="G82" s="28">
        <f t="shared" si="17"/>
        <v>1453.75</v>
      </c>
      <c r="H82" s="28">
        <f t="shared" si="17"/>
        <v>1453.75</v>
      </c>
      <c r="I82" s="28">
        <f t="shared" si="17"/>
        <v>1453.75</v>
      </c>
      <c r="J82" s="28">
        <f t="shared" si="17"/>
        <v>1453.75</v>
      </c>
      <c r="K82" s="28">
        <f t="shared" si="17"/>
        <v>1453.75</v>
      </c>
      <c r="L82" s="28">
        <f t="shared" si="17"/>
        <v>1453.75</v>
      </c>
      <c r="M82" s="28">
        <f t="shared" si="17"/>
        <v>1453.75</v>
      </c>
      <c r="N82" s="44">
        <f t="shared" si="16"/>
        <v>17445</v>
      </c>
      <c r="O82" s="174"/>
      <c r="P82" s="174"/>
    </row>
    <row r="83" ht="13.5" customHeight="1">
      <c r="A83" s="99" t="s">
        <v>81</v>
      </c>
      <c r="B83" s="28">
        <f t="shared" ref="B83:M83" si="18">B52+B70+B82</f>
        <v>13229.66</v>
      </c>
      <c r="C83" s="28">
        <f t="shared" si="18"/>
        <v>14229.66</v>
      </c>
      <c r="D83" s="28">
        <f t="shared" si="18"/>
        <v>14229.66</v>
      </c>
      <c r="E83" s="28">
        <f t="shared" si="18"/>
        <v>14229.66</v>
      </c>
      <c r="F83" s="28">
        <f t="shared" si="18"/>
        <v>14229.66</v>
      </c>
      <c r="G83" s="28">
        <f t="shared" si="18"/>
        <v>14229.66</v>
      </c>
      <c r="H83" s="28">
        <f t="shared" si="18"/>
        <v>14229.66</v>
      </c>
      <c r="I83" s="28">
        <f t="shared" si="18"/>
        <v>14229.66</v>
      </c>
      <c r="J83" s="28">
        <f t="shared" si="18"/>
        <v>14229.66</v>
      </c>
      <c r="K83" s="28">
        <f t="shared" si="18"/>
        <v>14229.66</v>
      </c>
      <c r="L83" s="28">
        <f t="shared" si="18"/>
        <v>14229.66</v>
      </c>
      <c r="M83" s="28">
        <f t="shared" si="18"/>
        <v>14229.66</v>
      </c>
      <c r="N83" s="44">
        <f t="shared" si="16"/>
        <v>169755.92</v>
      </c>
      <c r="O83" s="174"/>
      <c r="P83" s="174"/>
    </row>
    <row r="84" ht="13.5" customHeight="1">
      <c r="A84" s="99" t="s">
        <v>82</v>
      </c>
      <c r="B84" s="46">
        <f t="shared" ref="B84:N84" si="19">B83/B112</f>
        <v>254.4165385</v>
      </c>
      <c r="C84" s="46">
        <f t="shared" si="19"/>
        <v>249.6431579</v>
      </c>
      <c r="D84" s="46">
        <f t="shared" si="19"/>
        <v>249.6431579</v>
      </c>
      <c r="E84" s="46">
        <f t="shared" si="19"/>
        <v>212.3829851</v>
      </c>
      <c r="F84" s="46">
        <f t="shared" si="19"/>
        <v>206.2269565</v>
      </c>
      <c r="G84" s="46">
        <f t="shared" si="19"/>
        <v>189.7288</v>
      </c>
      <c r="H84" s="46">
        <f t="shared" si="19"/>
        <v>184.8007792</v>
      </c>
      <c r="I84" s="46">
        <f t="shared" si="19"/>
        <v>173.532439</v>
      </c>
      <c r="J84" s="46">
        <f t="shared" si="19"/>
        <v>173.532439</v>
      </c>
      <c r="K84" s="46">
        <f t="shared" si="19"/>
        <v>167.4077647</v>
      </c>
      <c r="L84" s="46">
        <f t="shared" si="19"/>
        <v>167.4077647</v>
      </c>
      <c r="M84" s="46">
        <f t="shared" si="19"/>
        <v>167.4077647</v>
      </c>
      <c r="N84" s="15">
        <f t="shared" si="19"/>
        <v>194.4512257</v>
      </c>
      <c r="O84" s="77"/>
      <c r="P84" s="77"/>
    </row>
    <row r="85" ht="13.5" customHeight="1">
      <c r="A85" s="79" t="s">
        <v>83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170"/>
      <c r="P85" s="170"/>
    </row>
    <row r="86" ht="13.5" customHeight="1">
      <c r="A86" s="15" t="s">
        <v>84</v>
      </c>
      <c r="B86" s="87">
        <v>433.79</v>
      </c>
      <c r="C86" s="87">
        <v>433.79</v>
      </c>
      <c r="D86" s="87">
        <v>433.79</v>
      </c>
      <c r="E86" s="87">
        <v>433.79</v>
      </c>
      <c r="F86" s="87">
        <v>433.79</v>
      </c>
      <c r="G86" s="87">
        <v>433.79</v>
      </c>
      <c r="H86" s="87">
        <v>433.79</v>
      </c>
      <c r="I86" s="87">
        <v>433.79</v>
      </c>
      <c r="J86" s="87">
        <v>433.79</v>
      </c>
      <c r="K86" s="87">
        <v>433.79</v>
      </c>
      <c r="L86" s="87">
        <v>433.79</v>
      </c>
      <c r="M86" s="87">
        <v>433.79</v>
      </c>
      <c r="N86" s="17">
        <f t="shared" ref="N86:N89" si="20">SUM(B86:M86)</f>
        <v>5205.48</v>
      </c>
      <c r="O86" s="153"/>
      <c r="P86" s="153"/>
    </row>
    <row r="87" ht="13.5" customHeight="1">
      <c r="A87" s="15" t="s">
        <v>142</v>
      </c>
      <c r="B87" s="46"/>
      <c r="C87" s="46"/>
      <c r="D87" s="46"/>
      <c r="E87" s="87"/>
      <c r="F87" s="46"/>
      <c r="G87" s="46"/>
      <c r="H87" s="46"/>
      <c r="I87" s="46"/>
      <c r="J87" s="46"/>
      <c r="K87" s="46"/>
      <c r="L87" s="46"/>
      <c r="M87" s="46"/>
      <c r="N87" s="17">
        <f t="shared" si="20"/>
        <v>0</v>
      </c>
      <c r="O87" s="153"/>
      <c r="P87" s="153"/>
    </row>
    <row r="88" ht="13.5" customHeight="1">
      <c r="A88" s="39" t="s">
        <v>86</v>
      </c>
      <c r="B88" s="46"/>
      <c r="C88" s="46"/>
      <c r="D88" s="46"/>
      <c r="E88" s="87"/>
      <c r="F88" s="46"/>
      <c r="G88" s="46"/>
      <c r="H88" s="46"/>
      <c r="I88" s="46"/>
      <c r="J88" s="46"/>
      <c r="K88" s="46"/>
      <c r="L88" s="46"/>
      <c r="M88" s="46"/>
      <c r="N88" s="17">
        <f t="shared" si="20"/>
        <v>0</v>
      </c>
      <c r="O88" s="153"/>
      <c r="P88" s="153"/>
    </row>
    <row r="89" ht="13.5" customHeight="1">
      <c r="A89" s="39" t="s">
        <v>87</v>
      </c>
      <c r="B89" s="46"/>
      <c r="C89" s="46"/>
      <c r="D89" s="46"/>
      <c r="E89" s="46"/>
      <c r="F89" s="46"/>
      <c r="G89" s="46"/>
      <c r="H89" s="46"/>
      <c r="I89" s="87"/>
      <c r="J89" s="46"/>
      <c r="K89" s="46"/>
      <c r="L89" s="46"/>
      <c r="M89" s="46"/>
      <c r="N89" s="17">
        <f t="shared" si="20"/>
        <v>0</v>
      </c>
      <c r="O89" s="153"/>
      <c r="P89" s="153"/>
    </row>
    <row r="90" ht="13.5" customHeight="1">
      <c r="A90" s="91" t="s">
        <v>23</v>
      </c>
      <c r="B90" s="28">
        <f t="shared" ref="B90:N90" si="21">SUM(B86:B89)</f>
        <v>433.79</v>
      </c>
      <c r="C90" s="28">
        <f t="shared" si="21"/>
        <v>433.79</v>
      </c>
      <c r="D90" s="28">
        <f t="shared" si="21"/>
        <v>433.79</v>
      </c>
      <c r="E90" s="28">
        <f t="shared" si="21"/>
        <v>433.79</v>
      </c>
      <c r="F90" s="28">
        <f t="shared" si="21"/>
        <v>433.79</v>
      </c>
      <c r="G90" s="28">
        <f t="shared" si="21"/>
        <v>433.79</v>
      </c>
      <c r="H90" s="28">
        <f t="shared" si="21"/>
        <v>433.79</v>
      </c>
      <c r="I90" s="28">
        <f t="shared" si="21"/>
        <v>433.79</v>
      </c>
      <c r="J90" s="28">
        <f t="shared" si="21"/>
        <v>433.79</v>
      </c>
      <c r="K90" s="28">
        <f t="shared" si="21"/>
        <v>433.79</v>
      </c>
      <c r="L90" s="28">
        <f t="shared" si="21"/>
        <v>433.79</v>
      </c>
      <c r="M90" s="28">
        <f t="shared" si="21"/>
        <v>433.79</v>
      </c>
      <c r="N90" s="28">
        <f t="shared" si="21"/>
        <v>5205.48</v>
      </c>
      <c r="O90" s="175"/>
      <c r="P90" s="175"/>
    </row>
    <row r="91" ht="13.5" customHeight="1">
      <c r="A91" s="89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170"/>
      <c r="P91" s="170"/>
    </row>
    <row r="92" ht="13.5" customHeight="1">
      <c r="A92" s="31" t="s">
        <v>89</v>
      </c>
      <c r="B92" s="102">
        <f>PRODUCTION!R29</f>
        <v>750</v>
      </c>
      <c r="C92" s="102">
        <f>PRODUCTION!S29</f>
        <v>750</v>
      </c>
      <c r="D92" s="102">
        <f>PRODUCTION!T29</f>
        <v>750</v>
      </c>
      <c r="E92" s="102">
        <f>PRODUCTION!U29</f>
        <v>750</v>
      </c>
      <c r="F92" s="102">
        <f>PRODUCTION!V29</f>
        <v>100</v>
      </c>
      <c r="G92" s="102">
        <f>PRODUCTION!W29</f>
        <v>750</v>
      </c>
      <c r="H92" s="102">
        <f>PRODUCTION!X29</f>
        <v>750</v>
      </c>
      <c r="I92" s="102">
        <f>PRODUCTION!Y29</f>
        <v>650</v>
      </c>
      <c r="J92" s="102">
        <f>PRODUCTION!Z29</f>
        <v>650</v>
      </c>
      <c r="K92" s="102">
        <f>PRODUCTION!AA29</f>
        <v>650</v>
      </c>
      <c r="L92" s="102">
        <f>PRODUCTION!AB29</f>
        <v>650</v>
      </c>
      <c r="M92" s="102">
        <f>PRODUCTION!AC29</f>
        <v>650</v>
      </c>
      <c r="N92" s="17">
        <f t="shared" ref="N92:N104" si="22">SUM(B92:M92)</f>
        <v>7850</v>
      </c>
      <c r="O92" s="153"/>
      <c r="P92" s="153"/>
    </row>
    <row r="93" ht="13.5" customHeight="1">
      <c r="A93" s="31" t="s">
        <v>90</v>
      </c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17">
        <f t="shared" si="22"/>
        <v>0</v>
      </c>
      <c r="O93" s="153"/>
      <c r="P93" s="153"/>
    </row>
    <row r="94" ht="13.5" customHeight="1">
      <c r="A94" s="31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v>180.0</v>
      </c>
      <c r="L94" s="87">
        <v>180.0</v>
      </c>
      <c r="M94" s="87">
        <v>180.0</v>
      </c>
      <c r="N94" s="17">
        <f t="shared" si="22"/>
        <v>2160</v>
      </c>
      <c r="O94" s="153"/>
      <c r="P94" s="153"/>
    </row>
    <row r="95" ht="13.5" customHeight="1">
      <c r="A95" s="31" t="s">
        <v>92</v>
      </c>
      <c r="B95" s="97">
        <v>200.0</v>
      </c>
      <c r="C95" s="97">
        <v>200.0</v>
      </c>
      <c r="D95" s="97">
        <v>200.0</v>
      </c>
      <c r="E95" s="97">
        <v>200.0</v>
      </c>
      <c r="F95" s="97">
        <v>200.0</v>
      </c>
      <c r="G95" s="97">
        <v>200.0</v>
      </c>
      <c r="H95" s="97">
        <v>200.0</v>
      </c>
      <c r="I95" s="97">
        <v>200.0</v>
      </c>
      <c r="J95" s="97">
        <v>200.0</v>
      </c>
      <c r="K95" s="97">
        <v>200.0</v>
      </c>
      <c r="L95" s="97">
        <v>200.0</v>
      </c>
      <c r="M95" s="97">
        <v>200.0</v>
      </c>
      <c r="N95" s="17">
        <f t="shared" si="22"/>
        <v>2400</v>
      </c>
      <c r="O95" s="153"/>
      <c r="P95" s="153"/>
    </row>
    <row r="96" ht="13.5" customHeight="1">
      <c r="A96" s="32" t="s">
        <v>143</v>
      </c>
      <c r="B96" s="46"/>
      <c r="C96" s="46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17">
        <f t="shared" si="22"/>
        <v>0</v>
      </c>
      <c r="O96" s="153"/>
      <c r="P96" s="153"/>
    </row>
    <row r="97" ht="13.5" customHeight="1">
      <c r="A97" s="32" t="s">
        <v>94</v>
      </c>
      <c r="B97" s="46"/>
      <c r="C97" s="46"/>
      <c r="D97" s="46"/>
      <c r="E97" s="87"/>
      <c r="F97" s="87"/>
      <c r="G97" s="87"/>
      <c r="H97" s="87"/>
      <c r="I97" s="87"/>
      <c r="J97" s="87"/>
      <c r="K97" s="87"/>
      <c r="L97" s="87"/>
      <c r="M97" s="87"/>
      <c r="N97" s="17">
        <f t="shared" si="22"/>
        <v>0</v>
      </c>
      <c r="O97" s="153"/>
      <c r="P97" s="153"/>
    </row>
    <row r="98" ht="13.5" customHeight="1">
      <c r="A98" s="32" t="s">
        <v>95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17">
        <f t="shared" si="22"/>
        <v>0</v>
      </c>
      <c r="O98" s="153"/>
      <c r="P98" s="153"/>
    </row>
    <row r="99" ht="13.5" customHeight="1">
      <c r="A99" s="31" t="s">
        <v>96</v>
      </c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17">
        <f t="shared" si="22"/>
        <v>0</v>
      </c>
      <c r="O99" s="153"/>
      <c r="P99" s="153"/>
    </row>
    <row r="100" ht="13.5" customHeight="1">
      <c r="A100" s="31" t="s">
        <v>97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17">
        <f t="shared" si="22"/>
        <v>0</v>
      </c>
      <c r="O100" s="153"/>
      <c r="P100" s="153"/>
    </row>
    <row r="101" ht="13.5" customHeight="1">
      <c r="A101" s="32" t="s">
        <v>98</v>
      </c>
      <c r="B101" s="87"/>
      <c r="C101" s="87"/>
      <c r="D101" s="87"/>
      <c r="E101" s="87"/>
      <c r="F101" s="87"/>
      <c r="G101" s="87"/>
      <c r="H101" s="87"/>
      <c r="I101" s="87"/>
      <c r="J101" s="87"/>
      <c r="K101" s="87">
        <v>0.0</v>
      </c>
      <c r="L101" s="87">
        <v>0.0</v>
      </c>
      <c r="M101" s="87">
        <v>0.0</v>
      </c>
      <c r="N101" s="17">
        <f t="shared" si="22"/>
        <v>0</v>
      </c>
      <c r="O101" s="153"/>
      <c r="P101" s="153"/>
    </row>
    <row r="102" ht="13.5" customHeight="1">
      <c r="A102" s="31" t="s">
        <v>99</v>
      </c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17">
        <f t="shared" si="22"/>
        <v>0</v>
      </c>
      <c r="O102" s="153"/>
      <c r="P102" s="153"/>
    </row>
    <row r="103" ht="13.5" customHeight="1">
      <c r="A103" s="32" t="s">
        <v>100</v>
      </c>
      <c r="B103" s="87">
        <v>200.0</v>
      </c>
      <c r="C103" s="87">
        <v>435.0</v>
      </c>
      <c r="D103" s="87">
        <v>200.0</v>
      </c>
      <c r="E103" s="87">
        <v>200.0</v>
      </c>
      <c r="F103" s="87">
        <v>200.0</v>
      </c>
      <c r="G103" s="87">
        <v>200.0</v>
      </c>
      <c r="H103" s="87">
        <v>200.0</v>
      </c>
      <c r="I103" s="87">
        <v>200.0</v>
      </c>
      <c r="J103" s="87">
        <v>200.0</v>
      </c>
      <c r="K103" s="87">
        <v>200.0</v>
      </c>
      <c r="L103" s="87">
        <v>200.0</v>
      </c>
      <c r="M103" s="87">
        <v>200.0</v>
      </c>
      <c r="N103" s="17">
        <f t="shared" si="22"/>
        <v>2635</v>
      </c>
      <c r="O103" s="153"/>
      <c r="P103" s="153"/>
    </row>
    <row r="104" ht="13.5" customHeight="1">
      <c r="A104" s="27" t="s">
        <v>101</v>
      </c>
      <c r="B104" s="87">
        <v>100.0</v>
      </c>
      <c r="C104" s="87">
        <v>100.0</v>
      </c>
      <c r="D104" s="87">
        <v>100.0</v>
      </c>
      <c r="E104" s="87">
        <v>100.0</v>
      </c>
      <c r="F104" s="87">
        <v>100.0</v>
      </c>
      <c r="G104" s="87">
        <v>100.0</v>
      </c>
      <c r="H104" s="87">
        <v>100.0</v>
      </c>
      <c r="I104" s="87">
        <v>100.0</v>
      </c>
      <c r="J104" s="87">
        <v>100.0</v>
      </c>
      <c r="K104" s="87">
        <v>100.0</v>
      </c>
      <c r="L104" s="87">
        <v>100.0</v>
      </c>
      <c r="M104" s="87">
        <v>100.0</v>
      </c>
      <c r="N104" s="17">
        <f t="shared" si="22"/>
        <v>1200</v>
      </c>
      <c r="O104" s="153"/>
      <c r="P104" s="153"/>
    </row>
    <row r="105" ht="13.5" customHeight="1">
      <c r="A105" s="27" t="s">
        <v>102</v>
      </c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17"/>
      <c r="O105" s="153"/>
      <c r="P105" s="153"/>
    </row>
    <row r="106" ht="13.5" customHeight="1">
      <c r="A106" s="39" t="s">
        <v>280</v>
      </c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17">
        <f>SUM(B106:M106)</f>
        <v>0</v>
      </c>
      <c r="O106" s="153"/>
      <c r="P106" s="153"/>
    </row>
    <row r="107" ht="13.5" customHeight="1">
      <c r="A107" s="91" t="s">
        <v>23</v>
      </c>
      <c r="B107" s="28">
        <f t="shared" ref="B107:N107" si="23">SUM(B92:B106)</f>
        <v>1430</v>
      </c>
      <c r="C107" s="28">
        <f t="shared" si="23"/>
        <v>1665</v>
      </c>
      <c r="D107" s="28">
        <f t="shared" si="23"/>
        <v>1430</v>
      </c>
      <c r="E107" s="28">
        <f t="shared" si="23"/>
        <v>1430</v>
      </c>
      <c r="F107" s="28">
        <f t="shared" si="23"/>
        <v>780</v>
      </c>
      <c r="G107" s="28">
        <f t="shared" si="23"/>
        <v>1430</v>
      </c>
      <c r="H107" s="28">
        <f t="shared" si="23"/>
        <v>1430</v>
      </c>
      <c r="I107" s="28">
        <f t="shared" si="23"/>
        <v>1330</v>
      </c>
      <c r="J107" s="28">
        <f t="shared" si="23"/>
        <v>1330</v>
      </c>
      <c r="K107" s="28">
        <f t="shared" si="23"/>
        <v>1330</v>
      </c>
      <c r="L107" s="28">
        <f t="shared" si="23"/>
        <v>1330</v>
      </c>
      <c r="M107" s="28">
        <f t="shared" si="23"/>
        <v>1330</v>
      </c>
      <c r="N107" s="28">
        <f t="shared" si="23"/>
        <v>16245</v>
      </c>
      <c r="O107" s="175"/>
      <c r="P107" s="175"/>
    </row>
    <row r="108" ht="13.5" customHeight="1">
      <c r="A108" s="91" t="s">
        <v>104</v>
      </c>
      <c r="B108" s="147">
        <v>-6980.0</v>
      </c>
      <c r="C108" s="147">
        <v>-6980.0</v>
      </c>
      <c r="D108" s="147">
        <v>-6980.0</v>
      </c>
      <c r="E108" s="147">
        <v>-6980.0</v>
      </c>
      <c r="F108" s="147">
        <v>-6980.0</v>
      </c>
      <c r="G108" s="147">
        <v>-6980.0</v>
      </c>
      <c r="H108" s="147">
        <v>-6980.0</v>
      </c>
      <c r="I108" s="147">
        <v>-6980.0</v>
      </c>
      <c r="J108" s="147">
        <v>-6980.0</v>
      </c>
      <c r="K108" s="147">
        <v>-6980.0</v>
      </c>
      <c r="L108" s="147">
        <v>-6980.0</v>
      </c>
      <c r="M108" s="147">
        <v>-6980.0</v>
      </c>
      <c r="N108" s="44">
        <f>SUM(B108:M108)</f>
        <v>-83760</v>
      </c>
      <c r="O108" s="375" t="s">
        <v>281</v>
      </c>
      <c r="P108" s="174">
        <f>SUM(N108:N109)</f>
        <v>254163.2295</v>
      </c>
    </row>
    <row r="109" ht="13.5" customHeight="1">
      <c r="A109" s="112" t="s">
        <v>105</v>
      </c>
      <c r="B109" s="50">
        <f t="shared" ref="B109:N109" si="24">B107+B90+B83+B32+B21+B13</f>
        <v>24328.02377</v>
      </c>
      <c r="C109" s="50">
        <f t="shared" si="24"/>
        <v>27312.56377</v>
      </c>
      <c r="D109" s="50">
        <f t="shared" si="24"/>
        <v>33058.12377</v>
      </c>
      <c r="E109" s="50">
        <f t="shared" si="24"/>
        <v>27058.12377</v>
      </c>
      <c r="F109" s="50">
        <f t="shared" si="24"/>
        <v>32408.12377</v>
      </c>
      <c r="G109" s="50">
        <f t="shared" si="24"/>
        <v>27058.12377</v>
      </c>
      <c r="H109" s="50">
        <f t="shared" si="24"/>
        <v>27058.12377</v>
      </c>
      <c r="I109" s="50">
        <f t="shared" si="24"/>
        <v>26958.12377</v>
      </c>
      <c r="J109" s="50">
        <f t="shared" si="24"/>
        <v>26670.97484</v>
      </c>
      <c r="K109" s="50">
        <f t="shared" si="24"/>
        <v>32670.97484</v>
      </c>
      <c r="L109" s="50">
        <f t="shared" si="24"/>
        <v>26670.97484</v>
      </c>
      <c r="M109" s="50">
        <f t="shared" si="24"/>
        <v>26670.97484</v>
      </c>
      <c r="N109" s="50">
        <f t="shared" si="24"/>
        <v>337923.2295</v>
      </c>
      <c r="O109" s="176"/>
      <c r="P109" s="176"/>
    </row>
    <row r="110" ht="13.5" customHeight="1">
      <c r="A110" s="35" t="s">
        <v>106</v>
      </c>
      <c r="B110" s="161">
        <v>22.0</v>
      </c>
      <c r="C110" s="161">
        <v>22.0</v>
      </c>
      <c r="D110" s="161">
        <v>22.0</v>
      </c>
      <c r="E110" s="161">
        <v>22.0</v>
      </c>
      <c r="F110" s="161">
        <v>22.0</v>
      </c>
      <c r="G110" s="161">
        <v>22.0</v>
      </c>
      <c r="H110" s="161">
        <v>22.0</v>
      </c>
      <c r="I110" s="161">
        <v>22.0</v>
      </c>
      <c r="J110" s="161">
        <v>22.0</v>
      </c>
      <c r="K110" s="161">
        <v>25.0</v>
      </c>
      <c r="L110" s="161">
        <v>25.0</v>
      </c>
      <c r="M110" s="161">
        <v>25.0</v>
      </c>
      <c r="N110" s="149">
        <f t="shared" ref="N110:N112" si="25">SUM(B110:M110)</f>
        <v>273</v>
      </c>
      <c r="O110" s="152"/>
      <c r="P110" s="152"/>
    </row>
    <row r="111" ht="13.5" customHeight="1">
      <c r="A111" s="35" t="s">
        <v>107</v>
      </c>
      <c r="B111" s="121">
        <v>30.0</v>
      </c>
      <c r="C111" s="121">
        <v>35.0</v>
      </c>
      <c r="D111" s="121">
        <v>35.0</v>
      </c>
      <c r="E111" s="121">
        <v>45.0</v>
      </c>
      <c r="F111" s="121">
        <v>47.0</v>
      </c>
      <c r="G111" s="121">
        <v>53.0</v>
      </c>
      <c r="H111" s="121">
        <v>55.0</v>
      </c>
      <c r="I111" s="121">
        <v>60.0</v>
      </c>
      <c r="J111" s="121">
        <v>60.0</v>
      </c>
      <c r="K111" s="121">
        <v>60.0</v>
      </c>
      <c r="L111" s="121">
        <v>60.0</v>
      </c>
      <c r="M111" s="121">
        <v>60.0</v>
      </c>
      <c r="N111" s="149">
        <f t="shared" si="25"/>
        <v>600</v>
      </c>
      <c r="O111" s="152"/>
      <c r="P111" s="152"/>
    </row>
    <row r="112" ht="13.5" customHeight="1">
      <c r="A112" s="91" t="s">
        <v>23</v>
      </c>
      <c r="B112" s="122">
        <f t="shared" ref="B112:M112" si="26">B110+B111</f>
        <v>52</v>
      </c>
      <c r="C112" s="122">
        <f t="shared" si="26"/>
        <v>57</v>
      </c>
      <c r="D112" s="122">
        <f t="shared" si="26"/>
        <v>57</v>
      </c>
      <c r="E112" s="122">
        <f t="shared" si="26"/>
        <v>67</v>
      </c>
      <c r="F112" s="123">
        <f t="shared" si="26"/>
        <v>69</v>
      </c>
      <c r="G112" s="123">
        <f t="shared" si="26"/>
        <v>75</v>
      </c>
      <c r="H112" s="123">
        <f t="shared" si="26"/>
        <v>77</v>
      </c>
      <c r="I112" s="123">
        <f t="shared" si="26"/>
        <v>82</v>
      </c>
      <c r="J112" s="123">
        <f t="shared" si="26"/>
        <v>82</v>
      </c>
      <c r="K112" s="123">
        <f t="shared" si="26"/>
        <v>85</v>
      </c>
      <c r="L112" s="123">
        <f t="shared" si="26"/>
        <v>85</v>
      </c>
      <c r="M112" s="124">
        <f t="shared" si="26"/>
        <v>85</v>
      </c>
      <c r="N112" s="125">
        <f t="shared" si="25"/>
        <v>873</v>
      </c>
      <c r="O112" s="178"/>
      <c r="P112" s="178"/>
    </row>
    <row r="113" ht="13.5" customHeight="1">
      <c r="A113" s="126" t="s">
        <v>108</v>
      </c>
      <c r="B113" s="58">
        <f t="shared" ref="B113:N113" si="27">B109/B112</f>
        <v>467.846611</v>
      </c>
      <c r="C113" s="58">
        <f t="shared" si="27"/>
        <v>479.1677854</v>
      </c>
      <c r="D113" s="58">
        <f t="shared" si="27"/>
        <v>579.9670837</v>
      </c>
      <c r="E113" s="58">
        <f t="shared" si="27"/>
        <v>403.8525936</v>
      </c>
      <c r="F113" s="58">
        <f t="shared" si="27"/>
        <v>469.6829532</v>
      </c>
      <c r="G113" s="58">
        <f t="shared" si="27"/>
        <v>360.7749836</v>
      </c>
      <c r="H113" s="58">
        <f t="shared" si="27"/>
        <v>351.4042048</v>
      </c>
      <c r="I113" s="58">
        <f t="shared" si="27"/>
        <v>328.757607</v>
      </c>
      <c r="J113" s="58">
        <f t="shared" si="27"/>
        <v>325.2557908</v>
      </c>
      <c r="K113" s="58">
        <f t="shared" si="27"/>
        <v>384.3644099</v>
      </c>
      <c r="L113" s="58">
        <f t="shared" si="27"/>
        <v>313.7761746</v>
      </c>
      <c r="M113" s="58">
        <f t="shared" si="27"/>
        <v>313.7761746</v>
      </c>
      <c r="N113" s="179">
        <f t="shared" si="27"/>
        <v>387.0827372</v>
      </c>
      <c r="O113" s="180"/>
      <c r="P113" s="180"/>
    </row>
    <row r="114" ht="13.5" customHeight="1">
      <c r="A114" s="79" t="s">
        <v>109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170"/>
      <c r="P114" s="170"/>
    </row>
    <row r="115" ht="13.5" customHeight="1">
      <c r="A115" s="59" t="s">
        <v>110</v>
      </c>
      <c r="B115" s="46">
        <f t="shared" ref="B115:M115" si="28">1295</f>
        <v>1295</v>
      </c>
      <c r="C115" s="46">
        <f t="shared" si="28"/>
        <v>1295</v>
      </c>
      <c r="D115" s="46">
        <f t="shared" si="28"/>
        <v>1295</v>
      </c>
      <c r="E115" s="46">
        <f t="shared" si="28"/>
        <v>1295</v>
      </c>
      <c r="F115" s="46">
        <f t="shared" si="28"/>
        <v>1295</v>
      </c>
      <c r="G115" s="46">
        <f t="shared" si="28"/>
        <v>1295</v>
      </c>
      <c r="H115" s="46">
        <f t="shared" si="28"/>
        <v>1295</v>
      </c>
      <c r="I115" s="46">
        <f t="shared" si="28"/>
        <v>1295</v>
      </c>
      <c r="J115" s="46">
        <f t="shared" si="28"/>
        <v>1295</v>
      </c>
      <c r="K115" s="46">
        <f t="shared" si="28"/>
        <v>1295</v>
      </c>
      <c r="L115" s="46">
        <f t="shared" si="28"/>
        <v>1295</v>
      </c>
      <c r="M115" s="46">
        <f t="shared" si="28"/>
        <v>1295</v>
      </c>
      <c r="N115" s="17">
        <f t="shared" ref="N115:N120" si="30">SUM(B115:M115)</f>
        <v>15540</v>
      </c>
      <c r="O115" s="153"/>
      <c r="P115" s="153"/>
    </row>
    <row r="116" ht="13.5" customHeight="1">
      <c r="A116" s="60" t="s">
        <v>111</v>
      </c>
      <c r="B116" s="87">
        <f>799+1000+8000</f>
        <v>9799</v>
      </c>
      <c r="C116" s="87">
        <f t="shared" ref="C116:M116" si="29">799+1000</f>
        <v>1799</v>
      </c>
      <c r="D116" s="87">
        <f t="shared" si="29"/>
        <v>1799</v>
      </c>
      <c r="E116" s="87">
        <f t="shared" si="29"/>
        <v>1799</v>
      </c>
      <c r="F116" s="87">
        <f t="shared" si="29"/>
        <v>1799</v>
      </c>
      <c r="G116" s="87">
        <f t="shared" si="29"/>
        <v>1799</v>
      </c>
      <c r="H116" s="87">
        <f t="shared" si="29"/>
        <v>1799</v>
      </c>
      <c r="I116" s="87">
        <f t="shared" si="29"/>
        <v>1799</v>
      </c>
      <c r="J116" s="87">
        <f t="shared" si="29"/>
        <v>1799</v>
      </c>
      <c r="K116" s="87">
        <f t="shared" si="29"/>
        <v>1799</v>
      </c>
      <c r="L116" s="87">
        <f t="shared" si="29"/>
        <v>1799</v>
      </c>
      <c r="M116" s="87">
        <f t="shared" si="29"/>
        <v>1799</v>
      </c>
      <c r="N116" s="17">
        <f t="shared" si="30"/>
        <v>29588</v>
      </c>
      <c r="O116" s="153"/>
      <c r="P116" s="153"/>
    </row>
    <row r="117" ht="13.5" customHeight="1">
      <c r="A117" s="59" t="s">
        <v>112</v>
      </c>
      <c r="B117" s="87">
        <v>250.0</v>
      </c>
      <c r="C117" s="87">
        <v>250.0</v>
      </c>
      <c r="D117" s="87">
        <v>250.0</v>
      </c>
      <c r="E117" s="87">
        <f>250+1924.08</f>
        <v>2174.08</v>
      </c>
      <c r="F117" s="87">
        <v>250.0</v>
      </c>
      <c r="G117" s="87">
        <f>250+1924.08</f>
        <v>2174.08</v>
      </c>
      <c r="H117" s="87">
        <v>250.0</v>
      </c>
      <c r="I117" s="87">
        <f>250+1924.08</f>
        <v>2174.08</v>
      </c>
      <c r="J117" s="87">
        <v>250.0</v>
      </c>
      <c r="K117" s="87">
        <f>250+1924.08</f>
        <v>2174.08</v>
      </c>
      <c r="L117" s="87">
        <v>250.0</v>
      </c>
      <c r="M117" s="87">
        <f>250+1924.08</f>
        <v>2174.08</v>
      </c>
      <c r="N117" s="17">
        <f t="shared" si="30"/>
        <v>12620.4</v>
      </c>
      <c r="O117" s="153"/>
      <c r="P117" s="153"/>
    </row>
    <row r="118" ht="13.5" customHeight="1">
      <c r="A118" s="59" t="s">
        <v>161</v>
      </c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17">
        <f t="shared" si="30"/>
        <v>0</v>
      </c>
      <c r="O118" s="153"/>
      <c r="P118" s="153"/>
    </row>
    <row r="119" ht="13.5" customHeight="1">
      <c r="A119" s="61" t="s">
        <v>113</v>
      </c>
      <c r="B119" s="87">
        <v>395.0</v>
      </c>
      <c r="C119" s="87">
        <v>395.0</v>
      </c>
      <c r="D119" s="87">
        <v>395.0</v>
      </c>
      <c r="E119" s="87">
        <v>395.0</v>
      </c>
      <c r="F119" s="87">
        <v>395.0</v>
      </c>
      <c r="G119" s="87">
        <v>395.0</v>
      </c>
      <c r="H119" s="87">
        <v>395.0</v>
      </c>
      <c r="I119" s="87">
        <v>395.0</v>
      </c>
      <c r="J119" s="87">
        <v>395.0</v>
      </c>
      <c r="K119" s="87">
        <v>395.0</v>
      </c>
      <c r="L119" s="87">
        <v>395.0</v>
      </c>
      <c r="M119" s="87">
        <v>395.0</v>
      </c>
      <c r="N119" s="17">
        <f t="shared" si="30"/>
        <v>4740</v>
      </c>
      <c r="O119" s="153"/>
      <c r="P119" s="153"/>
    </row>
    <row r="120" ht="13.5" customHeight="1">
      <c r="A120" s="132" t="s">
        <v>114</v>
      </c>
      <c r="B120" s="87">
        <v>1295.0</v>
      </c>
      <c r="C120" s="87">
        <v>1295.0</v>
      </c>
      <c r="D120" s="87">
        <v>1295.0</v>
      </c>
      <c r="E120" s="87">
        <v>1295.0</v>
      </c>
      <c r="F120" s="87">
        <v>1295.0</v>
      </c>
      <c r="G120" s="87">
        <v>1295.0</v>
      </c>
      <c r="H120" s="87">
        <v>1295.0</v>
      </c>
      <c r="I120" s="87">
        <v>1295.0</v>
      </c>
      <c r="J120" s="87">
        <v>1295.0</v>
      </c>
      <c r="K120" s="87">
        <v>1295.0</v>
      </c>
      <c r="L120" s="87">
        <v>1295.0</v>
      </c>
      <c r="M120" s="87">
        <v>1295.0</v>
      </c>
      <c r="N120" s="17">
        <f t="shared" si="30"/>
        <v>15540</v>
      </c>
      <c r="O120" s="153"/>
      <c r="P120" s="153"/>
    </row>
    <row r="121" ht="13.5" customHeight="1">
      <c r="A121" s="99" t="s">
        <v>23</v>
      </c>
      <c r="B121" s="63">
        <f t="shared" ref="B121:N121" si="31">SUM(B115:B120)</f>
        <v>13034</v>
      </c>
      <c r="C121" s="63">
        <f t="shared" si="31"/>
        <v>5034</v>
      </c>
      <c r="D121" s="63">
        <f t="shared" si="31"/>
        <v>5034</v>
      </c>
      <c r="E121" s="63">
        <f t="shared" si="31"/>
        <v>6958.08</v>
      </c>
      <c r="F121" s="63">
        <f t="shared" si="31"/>
        <v>5034</v>
      </c>
      <c r="G121" s="63">
        <f t="shared" si="31"/>
        <v>6958.08</v>
      </c>
      <c r="H121" s="63">
        <f t="shared" si="31"/>
        <v>5034</v>
      </c>
      <c r="I121" s="63">
        <f t="shared" si="31"/>
        <v>6958.08</v>
      </c>
      <c r="J121" s="63">
        <f t="shared" si="31"/>
        <v>5034</v>
      </c>
      <c r="K121" s="63">
        <f t="shared" si="31"/>
        <v>6958.08</v>
      </c>
      <c r="L121" s="63">
        <f t="shared" si="31"/>
        <v>5034</v>
      </c>
      <c r="M121" s="63">
        <f t="shared" si="31"/>
        <v>6958.08</v>
      </c>
      <c r="N121" s="63">
        <f t="shared" si="31"/>
        <v>78028.4</v>
      </c>
      <c r="O121" s="135"/>
      <c r="P121" s="135"/>
    </row>
    <row r="122" ht="13.5" customHeight="1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</row>
    <row r="123" ht="13.5" customHeight="1">
      <c r="A123" s="134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</row>
    <row r="124" ht="13.5" customHeight="1">
      <c r="A124" s="64" t="s">
        <v>115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</row>
    <row r="125" ht="13.5" customHeight="1">
      <c r="A125" s="64" t="s">
        <v>116</v>
      </c>
      <c r="B125" s="67">
        <f t="shared" ref="B125:M125" si="32">+B13*0.7+B21*0.7+B32*0.7+B52*0.6+B70+B107*0.6</f>
        <v>16292.04764</v>
      </c>
      <c r="C125" s="67">
        <f t="shared" si="32"/>
        <v>18657.72564</v>
      </c>
      <c r="D125" s="67">
        <f t="shared" si="32"/>
        <v>22703.11764</v>
      </c>
      <c r="E125" s="67">
        <f t="shared" si="32"/>
        <v>18503.11764</v>
      </c>
      <c r="F125" s="67">
        <f t="shared" si="32"/>
        <v>22313.11764</v>
      </c>
      <c r="G125" s="67">
        <f t="shared" si="32"/>
        <v>18503.11764</v>
      </c>
      <c r="H125" s="67">
        <f t="shared" si="32"/>
        <v>18503.11764</v>
      </c>
      <c r="I125" s="67">
        <f t="shared" si="32"/>
        <v>18443.11764</v>
      </c>
      <c r="J125" s="67">
        <f t="shared" si="32"/>
        <v>18242.11339</v>
      </c>
      <c r="K125" s="67">
        <f t="shared" si="32"/>
        <v>22442.11339</v>
      </c>
      <c r="L125" s="67">
        <f t="shared" si="32"/>
        <v>18242.11339</v>
      </c>
      <c r="M125" s="67">
        <f t="shared" si="32"/>
        <v>18242.11339</v>
      </c>
      <c r="N125" s="67">
        <f t="shared" ref="N125:N126" si="34">SUM(B125:M125)</f>
        <v>231086.9327</v>
      </c>
      <c r="O125" s="67"/>
      <c r="P125" s="67"/>
    </row>
    <row r="126" ht="13.5" customHeight="1">
      <c r="A126" s="64" t="s">
        <v>117</v>
      </c>
      <c r="B126" s="67">
        <f t="shared" ref="B126:M126" si="33">+B13*0.3+B21*0.3+B32*0.3+B52*0.4+B82+B90+B107*0.4</f>
        <v>8035.976131</v>
      </c>
      <c r="C126" s="67">
        <f t="shared" si="33"/>
        <v>8654.838131</v>
      </c>
      <c r="D126" s="67">
        <f t="shared" si="33"/>
        <v>10355.00613</v>
      </c>
      <c r="E126" s="67">
        <f t="shared" si="33"/>
        <v>8555.006131</v>
      </c>
      <c r="F126" s="67">
        <f t="shared" si="33"/>
        <v>10095.00613</v>
      </c>
      <c r="G126" s="67">
        <f t="shared" si="33"/>
        <v>8555.006131</v>
      </c>
      <c r="H126" s="67">
        <f t="shared" si="33"/>
        <v>8555.006131</v>
      </c>
      <c r="I126" s="67">
        <f t="shared" si="33"/>
        <v>8515.006131</v>
      </c>
      <c r="J126" s="67">
        <f t="shared" si="33"/>
        <v>8428.861453</v>
      </c>
      <c r="K126" s="67">
        <f t="shared" si="33"/>
        <v>10228.86145</v>
      </c>
      <c r="L126" s="67">
        <f t="shared" si="33"/>
        <v>8428.861453</v>
      </c>
      <c r="M126" s="67">
        <f t="shared" si="33"/>
        <v>8428.861453</v>
      </c>
      <c r="N126" s="67">
        <f t="shared" si="34"/>
        <v>106836.2969</v>
      </c>
      <c r="O126" s="67"/>
      <c r="P126" s="67"/>
    </row>
    <row r="127" ht="13.5" customHeight="1">
      <c r="A127" s="64" t="s">
        <v>23</v>
      </c>
      <c r="B127" s="67">
        <f t="shared" ref="B127:N127" si="35">SUM(B125:B126)</f>
        <v>24328.02377</v>
      </c>
      <c r="C127" s="67">
        <f t="shared" si="35"/>
        <v>27312.56377</v>
      </c>
      <c r="D127" s="67">
        <f t="shared" si="35"/>
        <v>33058.12377</v>
      </c>
      <c r="E127" s="67">
        <f t="shared" si="35"/>
        <v>27058.12377</v>
      </c>
      <c r="F127" s="67">
        <f t="shared" si="35"/>
        <v>32408.12377</v>
      </c>
      <c r="G127" s="67">
        <f t="shared" si="35"/>
        <v>27058.12377</v>
      </c>
      <c r="H127" s="67">
        <f t="shared" si="35"/>
        <v>27058.12377</v>
      </c>
      <c r="I127" s="67">
        <f t="shared" si="35"/>
        <v>26958.12377</v>
      </c>
      <c r="J127" s="67">
        <f t="shared" si="35"/>
        <v>26670.97484</v>
      </c>
      <c r="K127" s="67">
        <f t="shared" si="35"/>
        <v>32670.97484</v>
      </c>
      <c r="L127" s="67">
        <f t="shared" si="35"/>
        <v>26670.97484</v>
      </c>
      <c r="M127" s="67">
        <f t="shared" si="35"/>
        <v>26670.97484</v>
      </c>
      <c r="N127" s="67">
        <f t="shared" si="35"/>
        <v>337923.2295</v>
      </c>
      <c r="O127" s="67"/>
      <c r="P127" s="67"/>
    </row>
    <row r="128" ht="13.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</row>
    <row r="129" ht="13.5" customHeight="1">
      <c r="A129" s="69" t="s">
        <v>118</v>
      </c>
      <c r="B129" s="70">
        <f t="shared" ref="B129:N129" si="36">+B109</f>
        <v>24328.02377</v>
      </c>
      <c r="C129" s="70">
        <f t="shared" si="36"/>
        <v>27312.56377</v>
      </c>
      <c r="D129" s="70">
        <f t="shared" si="36"/>
        <v>33058.12377</v>
      </c>
      <c r="E129" s="70">
        <f t="shared" si="36"/>
        <v>27058.12377</v>
      </c>
      <c r="F129" s="70">
        <f t="shared" si="36"/>
        <v>32408.12377</v>
      </c>
      <c r="G129" s="70">
        <f t="shared" si="36"/>
        <v>27058.12377</v>
      </c>
      <c r="H129" s="70">
        <f t="shared" si="36"/>
        <v>27058.12377</v>
      </c>
      <c r="I129" s="70">
        <f t="shared" si="36"/>
        <v>26958.12377</v>
      </c>
      <c r="J129" s="70">
        <f t="shared" si="36"/>
        <v>26670.97484</v>
      </c>
      <c r="K129" s="70">
        <f t="shared" si="36"/>
        <v>32670.97484</v>
      </c>
      <c r="L129" s="70">
        <f t="shared" si="36"/>
        <v>26670.97484</v>
      </c>
      <c r="M129" s="70">
        <f t="shared" si="36"/>
        <v>26670.97484</v>
      </c>
      <c r="N129" s="70">
        <f t="shared" si="36"/>
        <v>337923.2295</v>
      </c>
      <c r="O129" s="70"/>
      <c r="P129" s="70"/>
    </row>
    <row r="130" ht="13.5" customHeight="1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</row>
    <row r="131" ht="13.5" customHeight="1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390" t="s">
        <v>285</v>
      </c>
      <c r="O131" s="390">
        <f>HSU!N109+HVW!N109+MZ!N109+FBG!N109</f>
        <v>1761440.192</v>
      </c>
      <c r="P131" s="135"/>
    </row>
  </sheetData>
  <mergeCells count="1">
    <mergeCell ref="A1:N1"/>
  </mergeCells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1.38"/>
    <col customWidth="1" min="2" max="13" width="9.75"/>
    <col customWidth="1" min="14" max="14" width="11.63"/>
  </cols>
  <sheetData>
    <row r="1" ht="15.0" customHeight="1">
      <c r="A1" s="76" t="s">
        <v>290</v>
      </c>
    </row>
    <row r="2" ht="15.0" customHeight="1">
      <c r="A2" s="16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ht="15.0" customHeight="1">
      <c r="A3" s="16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</row>
    <row r="4" ht="15.0" customHeight="1">
      <c r="A4" s="79" t="s">
        <v>14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</row>
    <row r="5" ht="13.5" customHeight="1">
      <c r="A5" s="15" t="s">
        <v>15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17">
        <f t="shared" ref="N5:N12" si="1">SUM(B5:M5)</f>
        <v>0</v>
      </c>
    </row>
    <row r="6" ht="15.0" customHeight="1">
      <c r="A6" s="15" t="s">
        <v>123</v>
      </c>
      <c r="B6" s="46"/>
      <c r="C6" s="46"/>
      <c r="D6" s="46"/>
      <c r="E6" s="46"/>
      <c r="F6" s="46"/>
      <c r="G6" s="46"/>
      <c r="H6" s="46"/>
      <c r="I6" s="87"/>
      <c r="J6" s="87"/>
      <c r="K6" s="87"/>
      <c r="L6" s="87"/>
      <c r="M6" s="46"/>
      <c r="N6" s="17">
        <f t="shared" si="1"/>
        <v>0</v>
      </c>
    </row>
    <row r="7" ht="15.0" customHeight="1">
      <c r="A7" s="15" t="s">
        <v>17</v>
      </c>
      <c r="B7" s="87">
        <f>FORMULAS!S289</f>
        <v>7267.622951</v>
      </c>
      <c r="C7" s="87">
        <f>FORMULAS!W289</f>
        <v>7267.622951</v>
      </c>
      <c r="D7" s="87">
        <f>FORMULAS!AA289</f>
        <v>7267.622951</v>
      </c>
      <c r="E7" s="87">
        <f>FORMULAS!AE289</f>
        <v>7267.622951</v>
      </c>
      <c r="F7" s="87">
        <f>FORMULAS!AI289</f>
        <v>7267.622951</v>
      </c>
      <c r="G7" s="87">
        <f>FORMULAS!AM289</f>
        <v>7267.622951</v>
      </c>
      <c r="H7" s="87">
        <f>FORMULAS!AQ289</f>
        <v>7267.622951</v>
      </c>
      <c r="I7" s="87">
        <f>FORMULAS!AU289</f>
        <v>7267.622951</v>
      </c>
      <c r="J7" s="87">
        <f>FORMULAS!AY289</f>
        <v>7267.622951</v>
      </c>
      <c r="K7" s="87">
        <f>FORMULAS!BC289</f>
        <v>7267.622951</v>
      </c>
      <c r="L7" s="87">
        <f>FORMULAS!BG289</f>
        <v>7267.622951</v>
      </c>
      <c r="M7" s="87">
        <f>FORMULAS!BK289</f>
        <v>7267.622951</v>
      </c>
      <c r="N7" s="17">
        <f t="shared" si="1"/>
        <v>87211.47541</v>
      </c>
    </row>
    <row r="8" ht="15.0" customHeight="1">
      <c r="A8" s="15" t="s">
        <v>18</v>
      </c>
      <c r="B8" s="46"/>
      <c r="C8" s="46"/>
      <c r="D8" s="46"/>
      <c r="E8" s="87"/>
      <c r="F8" s="46"/>
      <c r="G8" s="87"/>
      <c r="H8" s="87"/>
      <c r="I8" s="87"/>
      <c r="J8" s="87"/>
      <c r="K8" s="87"/>
      <c r="L8" s="87"/>
      <c r="M8" s="87"/>
      <c r="N8" s="17">
        <f t="shared" si="1"/>
        <v>0</v>
      </c>
    </row>
    <row r="9" ht="13.5" customHeight="1">
      <c r="A9" s="20" t="s">
        <v>159</v>
      </c>
      <c r="B9" s="396">
        <f>FORMULAS!S298</f>
        <v>4241.803279</v>
      </c>
      <c r="C9" s="137">
        <f>FORMULAS!W298</f>
        <v>4241.803279</v>
      </c>
      <c r="D9" s="137">
        <f>FORMULAS!AA298</f>
        <v>4241.803279</v>
      </c>
      <c r="E9" s="396">
        <f>FORMULAS!AE298</f>
        <v>4241.803279</v>
      </c>
      <c r="F9" s="285">
        <f>FORMULAS!AI298</f>
        <v>4241.803279</v>
      </c>
      <c r="G9" s="285">
        <f>FORMULAS!AM298</f>
        <v>4241.803279</v>
      </c>
      <c r="H9" s="285">
        <f>FORMULAS!AQ298</f>
        <v>4241.803279</v>
      </c>
      <c r="I9" s="285">
        <f>FORMULAS!AU298</f>
        <v>4241.803279</v>
      </c>
      <c r="J9" s="285">
        <f>FORMULAS!AY298</f>
        <v>4528.952206</v>
      </c>
      <c r="K9" s="285">
        <f>FORMULAS!BC298</f>
        <v>4528.952206</v>
      </c>
      <c r="L9" s="285">
        <f>FORMULAS!BG298</f>
        <v>4528.952206</v>
      </c>
      <c r="M9" s="285">
        <f>FORMULAS!BK298</f>
        <v>4528.952206</v>
      </c>
      <c r="N9" s="17">
        <f t="shared" si="1"/>
        <v>52050.23505</v>
      </c>
    </row>
    <row r="10" ht="13.5" customHeight="1">
      <c r="A10" s="20" t="s">
        <v>235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17">
        <f t="shared" si="1"/>
        <v>0</v>
      </c>
    </row>
    <row r="11" ht="13.5" customHeight="1">
      <c r="A11" s="15" t="s">
        <v>21</v>
      </c>
      <c r="B11" s="87">
        <v>194.0</v>
      </c>
      <c r="C11" s="87">
        <v>213.44</v>
      </c>
      <c r="D11" s="87">
        <v>194.0</v>
      </c>
      <c r="E11" s="87">
        <v>194.0</v>
      </c>
      <c r="F11" s="87">
        <v>194.0</v>
      </c>
      <c r="G11" s="87">
        <v>194.0</v>
      </c>
      <c r="H11" s="87">
        <v>194.0</v>
      </c>
      <c r="I11" s="87">
        <v>194.0</v>
      </c>
      <c r="J11" s="87">
        <v>194.0</v>
      </c>
      <c r="K11" s="87">
        <v>194.0</v>
      </c>
      <c r="L11" s="87">
        <v>194.0</v>
      </c>
      <c r="M11" s="87">
        <v>194.0</v>
      </c>
      <c r="N11" s="17">
        <f t="shared" si="1"/>
        <v>2347.44</v>
      </c>
    </row>
    <row r="12" ht="15.0" customHeight="1">
      <c r="A12" s="15" t="s">
        <v>22</v>
      </c>
      <c r="B12" s="101">
        <f>PRODUCTION!AD3</f>
        <v>200</v>
      </c>
      <c r="C12" s="101">
        <f>PRODUCTION!AD4</f>
        <v>1930.1</v>
      </c>
      <c r="D12" s="101">
        <f>PRODUCTION!AD5</f>
        <v>1930.1</v>
      </c>
      <c r="E12" s="101">
        <f>PRODUCTION!AD6</f>
        <v>1930.1</v>
      </c>
      <c r="F12" s="101">
        <f>PRODUCTION!AD7</f>
        <v>1930.1</v>
      </c>
      <c r="G12" s="101">
        <f>PRODUCTION!AD8</f>
        <v>1930.1</v>
      </c>
      <c r="H12" s="101">
        <f>PRODUCTION!AD9</f>
        <v>1930.1</v>
      </c>
      <c r="I12" s="101">
        <f>PRODUCTION!AD10</f>
        <v>1930.1</v>
      </c>
      <c r="J12" s="101">
        <f>PRODUCTION!AD11</f>
        <v>1930.1</v>
      </c>
      <c r="K12" s="101">
        <f>PRODUCTION!AD12</f>
        <v>1930.1</v>
      </c>
      <c r="L12" s="101">
        <f>PRODUCTION!AD13</f>
        <v>1930.1</v>
      </c>
      <c r="M12" s="101">
        <f>PRODUCTION!AD14</f>
        <v>1930.1</v>
      </c>
      <c r="N12" s="17">
        <f t="shared" si="1"/>
        <v>21431.1</v>
      </c>
    </row>
    <row r="13" ht="13.5" customHeight="1">
      <c r="A13" s="21" t="s">
        <v>23</v>
      </c>
      <c r="B13" s="22">
        <f t="shared" ref="B13:N13" si="2">SUM(B5:B12)</f>
        <v>11903.42623</v>
      </c>
      <c r="C13" s="22">
        <f t="shared" si="2"/>
        <v>13652.96623</v>
      </c>
      <c r="D13" s="22">
        <f t="shared" si="2"/>
        <v>13633.52623</v>
      </c>
      <c r="E13" s="22">
        <f t="shared" si="2"/>
        <v>13633.52623</v>
      </c>
      <c r="F13" s="22">
        <f t="shared" si="2"/>
        <v>13633.52623</v>
      </c>
      <c r="G13" s="22">
        <f t="shared" si="2"/>
        <v>13633.52623</v>
      </c>
      <c r="H13" s="22">
        <f t="shared" si="2"/>
        <v>13633.52623</v>
      </c>
      <c r="I13" s="22">
        <f t="shared" si="2"/>
        <v>13633.52623</v>
      </c>
      <c r="J13" s="22">
        <f t="shared" si="2"/>
        <v>13920.67516</v>
      </c>
      <c r="K13" s="22">
        <f t="shared" si="2"/>
        <v>13920.67516</v>
      </c>
      <c r="L13" s="22">
        <f t="shared" si="2"/>
        <v>13920.67516</v>
      </c>
      <c r="M13" s="22">
        <f t="shared" si="2"/>
        <v>13920.67516</v>
      </c>
      <c r="N13" s="22">
        <f t="shared" si="2"/>
        <v>163040.2505</v>
      </c>
    </row>
    <row r="14" ht="15.0" customHeight="1">
      <c r="A14" s="89" t="s">
        <v>24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83"/>
    </row>
    <row r="15" ht="15.0" customHeight="1">
      <c r="A15" s="35" t="s">
        <v>153</v>
      </c>
      <c r="B15" s="46"/>
      <c r="C15" s="46"/>
      <c r="D15" s="46"/>
      <c r="E15" s="46"/>
      <c r="F15" s="87"/>
      <c r="G15" s="46"/>
      <c r="H15" s="46"/>
      <c r="I15" s="46"/>
      <c r="J15" s="46"/>
      <c r="K15" s="46"/>
      <c r="L15" s="46"/>
      <c r="M15" s="46"/>
      <c r="N15" s="17">
        <f t="shared" ref="N15:N18" si="3">SUM(B15:M15)</f>
        <v>0</v>
      </c>
    </row>
    <row r="16" ht="15.0" customHeight="1">
      <c r="A16" s="35" t="s">
        <v>236</v>
      </c>
      <c r="B16" s="87"/>
      <c r="C16" s="46"/>
      <c r="D16" s="46"/>
      <c r="E16" s="87"/>
      <c r="F16" s="46"/>
      <c r="G16" s="46"/>
      <c r="H16" s="46"/>
      <c r="I16" s="46"/>
      <c r="J16" s="46"/>
      <c r="K16" s="46"/>
      <c r="L16" s="46"/>
      <c r="M16" s="46"/>
      <c r="N16" s="17">
        <f t="shared" si="3"/>
        <v>0</v>
      </c>
    </row>
    <row r="17" ht="15.0" customHeight="1">
      <c r="A17" s="35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17">
        <f t="shared" si="3"/>
        <v>0</v>
      </c>
    </row>
    <row r="18" ht="15.0" customHeight="1">
      <c r="A18" s="35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17">
        <f t="shared" si="3"/>
        <v>0</v>
      </c>
    </row>
    <row r="19" ht="15.0" customHeight="1">
      <c r="A19" s="27" t="s">
        <v>29</v>
      </c>
      <c r="B19" s="103"/>
      <c r="C19" s="103"/>
      <c r="D19" s="28"/>
      <c r="E19" s="87"/>
      <c r="F19" s="28"/>
      <c r="G19" s="28"/>
      <c r="H19" s="28"/>
      <c r="I19" s="28"/>
      <c r="J19" s="28"/>
      <c r="K19" s="28"/>
      <c r="L19" s="28"/>
      <c r="M19" s="28"/>
      <c r="N19" s="17">
        <f>SUM(C19:M19)</f>
        <v>0</v>
      </c>
    </row>
    <row r="20" ht="15.0" customHeight="1">
      <c r="A20" s="35"/>
      <c r="B20" s="46"/>
      <c r="C20" s="46"/>
      <c r="D20" s="46"/>
      <c r="E20" s="87"/>
      <c r="F20" s="87"/>
      <c r="G20" s="87"/>
      <c r="H20" s="87"/>
      <c r="I20" s="87"/>
      <c r="J20" s="87"/>
      <c r="K20" s="87"/>
      <c r="L20" s="87"/>
      <c r="M20" s="87"/>
      <c r="N20" s="17">
        <f>SUM(B20:M20)</f>
        <v>0</v>
      </c>
    </row>
    <row r="21" ht="15.0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</row>
    <row r="22" ht="15.0" customHeight="1">
      <c r="A22" s="89" t="s">
        <v>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3"/>
    </row>
    <row r="23" ht="15.0" customHeight="1">
      <c r="A23" s="26" t="s">
        <v>31</v>
      </c>
      <c r="B23" s="232"/>
      <c r="C23" s="232"/>
      <c r="D23" s="232">
        <v>6000.0</v>
      </c>
      <c r="E23" s="232"/>
      <c r="F23" s="232">
        <v>6000.0</v>
      </c>
      <c r="G23" s="232"/>
      <c r="H23" s="232"/>
      <c r="I23" s="232"/>
      <c r="J23" s="232"/>
      <c r="K23" s="232">
        <v>6000.0</v>
      </c>
      <c r="L23" s="232">
        <v>0.0</v>
      </c>
      <c r="M23" s="232">
        <v>0.0</v>
      </c>
      <c r="N23" s="17">
        <f t="shared" ref="N23:N31" si="5">SUM(B23:M23)</f>
        <v>18000</v>
      </c>
    </row>
    <row r="24" ht="15.0" customHeight="1">
      <c r="A24" s="32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17">
        <f t="shared" si="5"/>
        <v>0</v>
      </c>
    </row>
    <row r="25" ht="15.0" customHeight="1">
      <c r="A25" s="15" t="s">
        <v>127</v>
      </c>
      <c r="B25" s="46"/>
      <c r="C25" s="46"/>
      <c r="D25" s="46"/>
      <c r="E25" s="46"/>
      <c r="F25" s="46"/>
      <c r="G25" s="46"/>
      <c r="H25" s="46"/>
      <c r="I25" s="232"/>
      <c r="J25" s="46"/>
      <c r="K25" s="46"/>
      <c r="L25" s="46"/>
      <c r="M25" s="46"/>
      <c r="N25" s="17">
        <f t="shared" si="5"/>
        <v>0</v>
      </c>
    </row>
    <row r="26" ht="15.0" customHeight="1">
      <c r="A26" s="32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17">
        <f t="shared" si="5"/>
        <v>0</v>
      </c>
    </row>
    <row r="27" ht="15.0" customHeight="1">
      <c r="A27" s="31" t="s">
        <v>34</v>
      </c>
      <c r="B27" s="28"/>
      <c r="C27" s="28"/>
      <c r="D27" s="46"/>
      <c r="E27" s="46"/>
      <c r="F27" s="46"/>
      <c r="G27" s="46"/>
      <c r="H27" s="28"/>
      <c r="I27" s="46"/>
      <c r="J27" s="28"/>
      <c r="K27" s="46"/>
      <c r="L27" s="46"/>
      <c r="M27" s="46"/>
      <c r="N27" s="17">
        <f t="shared" si="5"/>
        <v>0</v>
      </c>
    </row>
    <row r="28" ht="15.0" customHeight="1">
      <c r="A28" s="33" t="s">
        <v>35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17">
        <f t="shared" si="5"/>
        <v>0</v>
      </c>
    </row>
    <row r="29" ht="15.0" customHeight="1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17">
        <f t="shared" si="5"/>
        <v>0</v>
      </c>
    </row>
    <row r="30" ht="15.0" customHeight="1">
      <c r="A30" s="31" t="s">
        <v>37</v>
      </c>
      <c r="B30" s="28"/>
      <c r="C30" s="28"/>
      <c r="D30" s="28"/>
      <c r="E30" s="28"/>
      <c r="F30" s="28"/>
      <c r="G30" s="28"/>
      <c r="H30" s="28"/>
      <c r="I30" s="28"/>
      <c r="J30" s="199"/>
      <c r="K30" s="28"/>
      <c r="L30" s="28"/>
      <c r="M30" s="28"/>
      <c r="N30" s="17">
        <f t="shared" si="5"/>
        <v>0</v>
      </c>
    </row>
    <row r="31" ht="15.0" customHeight="1">
      <c r="A31" s="3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17">
        <f t="shared" si="5"/>
        <v>0</v>
      </c>
    </row>
    <row r="32" ht="15.0" customHeight="1">
      <c r="A32" s="91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6000</v>
      </c>
      <c r="E32" s="28">
        <f t="shared" si="6"/>
        <v>0</v>
      </c>
      <c r="F32" s="28">
        <f t="shared" si="6"/>
        <v>6000</v>
      </c>
      <c r="G32" s="28">
        <f t="shared" si="6"/>
        <v>0</v>
      </c>
      <c r="H32" s="28">
        <f t="shared" si="6"/>
        <v>0</v>
      </c>
      <c r="I32" s="28">
        <f t="shared" si="6"/>
        <v>0</v>
      </c>
      <c r="J32" s="28">
        <f t="shared" si="6"/>
        <v>0</v>
      </c>
      <c r="K32" s="28">
        <f t="shared" si="6"/>
        <v>6000</v>
      </c>
      <c r="L32" s="28">
        <f t="shared" si="6"/>
        <v>0</v>
      </c>
      <c r="M32" s="28">
        <f t="shared" si="6"/>
        <v>0</v>
      </c>
      <c r="N32" s="28">
        <f t="shared" si="6"/>
        <v>18000</v>
      </c>
    </row>
    <row r="33" ht="15.0" customHeight="1">
      <c r="A33" s="79" t="s">
        <v>38</v>
      </c>
      <c r="B33" s="83"/>
      <c r="C33" s="83"/>
      <c r="D33" s="83"/>
      <c r="E33" s="83"/>
      <c r="F33" s="83"/>
      <c r="G33" s="83"/>
      <c r="H33" s="83"/>
      <c r="I33" s="83"/>
      <c r="J33" s="46"/>
      <c r="K33" s="83"/>
      <c r="L33" s="83"/>
      <c r="M33" s="83"/>
      <c r="N33" s="83"/>
    </row>
    <row r="34" ht="15.0" customHeight="1">
      <c r="A34" s="15" t="s">
        <v>39</v>
      </c>
      <c r="B34" s="205">
        <f t="shared" ref="B34:M34" si="7">1900+61.9+850+199</f>
        <v>3010.9</v>
      </c>
      <c r="C34" s="205">
        <f t="shared" si="7"/>
        <v>3010.9</v>
      </c>
      <c r="D34" s="205">
        <f t="shared" si="7"/>
        <v>3010.9</v>
      </c>
      <c r="E34" s="205">
        <f t="shared" si="7"/>
        <v>3010.9</v>
      </c>
      <c r="F34" s="205">
        <f t="shared" si="7"/>
        <v>3010.9</v>
      </c>
      <c r="G34" s="205">
        <f t="shared" si="7"/>
        <v>3010.9</v>
      </c>
      <c r="H34" s="205">
        <f t="shared" si="7"/>
        <v>3010.9</v>
      </c>
      <c r="I34" s="205">
        <f t="shared" si="7"/>
        <v>3010.9</v>
      </c>
      <c r="J34" s="205">
        <f t="shared" si="7"/>
        <v>3010.9</v>
      </c>
      <c r="K34" s="205">
        <f t="shared" si="7"/>
        <v>3010.9</v>
      </c>
      <c r="L34" s="205">
        <f t="shared" si="7"/>
        <v>3010.9</v>
      </c>
      <c r="M34" s="205">
        <f t="shared" si="7"/>
        <v>3010.9</v>
      </c>
      <c r="N34" s="17">
        <f t="shared" ref="N34:N51" si="8">SUM(B34:M34)</f>
        <v>36130.8</v>
      </c>
    </row>
    <row r="35" ht="15.0" customHeight="1">
      <c r="A35" s="19"/>
      <c r="B35" s="46"/>
      <c r="C35" s="46"/>
      <c r="D35" s="46"/>
      <c r="E35" s="46"/>
      <c r="F35" s="46"/>
      <c r="G35" s="87"/>
      <c r="H35" s="87"/>
      <c r="I35" s="87"/>
      <c r="J35" s="87"/>
      <c r="K35" s="87"/>
      <c r="L35" s="87"/>
      <c r="M35" s="87"/>
      <c r="N35" s="17">
        <f t="shared" si="8"/>
        <v>0</v>
      </c>
    </row>
    <row r="36" ht="15.0" customHeight="1">
      <c r="A36" s="35" t="s">
        <v>41</v>
      </c>
      <c r="B36" s="46">
        <v>395.0</v>
      </c>
      <c r="C36" s="46">
        <v>395.0</v>
      </c>
      <c r="D36" s="46">
        <v>395.0</v>
      </c>
      <c r="E36" s="46">
        <v>395.0</v>
      </c>
      <c r="F36" s="46">
        <v>395.0</v>
      </c>
      <c r="G36" s="46">
        <v>395.0</v>
      </c>
      <c r="H36" s="46">
        <v>395.0</v>
      </c>
      <c r="I36" s="46">
        <v>395.0</v>
      </c>
      <c r="J36" s="46">
        <v>395.0</v>
      </c>
      <c r="K36" s="46">
        <v>395.0</v>
      </c>
      <c r="L36" s="46">
        <v>395.0</v>
      </c>
      <c r="M36" s="46">
        <v>395.0</v>
      </c>
      <c r="N36" s="17">
        <f t="shared" si="8"/>
        <v>4740</v>
      </c>
    </row>
    <row r="37" ht="15.0" customHeight="1">
      <c r="A37" s="35" t="s">
        <v>42</v>
      </c>
      <c r="B37" s="87">
        <v>759.0</v>
      </c>
      <c r="C37" s="87">
        <v>759.0</v>
      </c>
      <c r="D37" s="87">
        <v>759.0</v>
      </c>
      <c r="E37" s="87">
        <v>759.0</v>
      </c>
      <c r="F37" s="87">
        <v>759.0</v>
      </c>
      <c r="G37" s="87">
        <v>759.0</v>
      </c>
      <c r="H37" s="87">
        <v>759.0</v>
      </c>
      <c r="I37" s="87">
        <v>759.0</v>
      </c>
      <c r="J37" s="87">
        <v>759.0</v>
      </c>
      <c r="K37" s="87">
        <v>759.0</v>
      </c>
      <c r="L37" s="87">
        <v>759.0</v>
      </c>
      <c r="M37" s="87">
        <v>759.0</v>
      </c>
      <c r="N37" s="17">
        <f t="shared" si="8"/>
        <v>9108</v>
      </c>
    </row>
    <row r="38" ht="15.0" customHeight="1">
      <c r="A38" s="35" t="s">
        <v>43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17">
        <f t="shared" si="8"/>
        <v>0</v>
      </c>
    </row>
    <row r="39" ht="15.0" customHeight="1">
      <c r="A39" s="35" t="s">
        <v>44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17">
        <f t="shared" si="8"/>
        <v>0</v>
      </c>
    </row>
    <row r="40" ht="15.0" customHeight="1">
      <c r="A40" s="35" t="s">
        <v>45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17">
        <f t="shared" si="8"/>
        <v>0</v>
      </c>
    </row>
    <row r="41" ht="15.0" customHeight="1">
      <c r="A41" s="35" t="s">
        <v>46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17">
        <f t="shared" si="8"/>
        <v>0</v>
      </c>
    </row>
    <row r="42" ht="15.0" customHeight="1">
      <c r="A42" s="19" t="s">
        <v>225</v>
      </c>
      <c r="B42" s="87">
        <v>365.0</v>
      </c>
      <c r="C42" s="87">
        <v>365.0</v>
      </c>
      <c r="D42" s="87">
        <v>365.0</v>
      </c>
      <c r="E42" s="87">
        <v>365.0</v>
      </c>
      <c r="F42" s="87">
        <v>365.0</v>
      </c>
      <c r="G42" s="87">
        <v>365.0</v>
      </c>
      <c r="H42" s="87">
        <v>365.0</v>
      </c>
      <c r="I42" s="87">
        <v>365.0</v>
      </c>
      <c r="J42" s="87">
        <v>365.0</v>
      </c>
      <c r="K42" s="87">
        <v>365.0</v>
      </c>
      <c r="L42" s="87">
        <v>365.0</v>
      </c>
      <c r="M42" s="87">
        <v>365.0</v>
      </c>
      <c r="N42" s="17">
        <f t="shared" si="8"/>
        <v>4380</v>
      </c>
    </row>
    <row r="43" ht="15.0" customHeight="1">
      <c r="A43" s="19" t="s">
        <v>238</v>
      </c>
      <c r="B43" s="87">
        <v>649.0</v>
      </c>
      <c r="C43" s="87">
        <v>649.0</v>
      </c>
      <c r="D43" s="87">
        <v>649.0</v>
      </c>
      <c r="E43" s="87">
        <v>649.0</v>
      </c>
      <c r="F43" s="87">
        <v>649.0</v>
      </c>
      <c r="G43" s="87">
        <v>649.0</v>
      </c>
      <c r="H43" s="87">
        <v>649.0</v>
      </c>
      <c r="I43" s="87">
        <v>649.0</v>
      </c>
      <c r="J43" s="87">
        <v>649.0</v>
      </c>
      <c r="K43" s="87">
        <v>649.0</v>
      </c>
      <c r="L43" s="87">
        <v>649.0</v>
      </c>
      <c r="M43" s="87">
        <v>649.0</v>
      </c>
      <c r="N43" s="17">
        <f t="shared" si="8"/>
        <v>7788</v>
      </c>
    </row>
    <row r="44" ht="15.0" customHeight="1">
      <c r="A44" s="19" t="s">
        <v>239</v>
      </c>
      <c r="B44" s="87">
        <v>189.0</v>
      </c>
      <c r="C44" s="87">
        <v>189.0</v>
      </c>
      <c r="D44" s="87">
        <v>189.0</v>
      </c>
      <c r="E44" s="87">
        <v>189.0</v>
      </c>
      <c r="F44" s="87">
        <v>189.0</v>
      </c>
      <c r="G44" s="87">
        <v>189.0</v>
      </c>
      <c r="H44" s="87">
        <v>189.0</v>
      </c>
      <c r="I44" s="87">
        <v>189.0</v>
      </c>
      <c r="J44" s="87">
        <v>189.0</v>
      </c>
      <c r="K44" s="87">
        <v>189.0</v>
      </c>
      <c r="L44" s="87">
        <v>189.0</v>
      </c>
      <c r="M44" s="87">
        <v>189.0</v>
      </c>
      <c r="N44" s="17">
        <f t="shared" si="8"/>
        <v>2268</v>
      </c>
    </row>
    <row r="45" ht="15.0" customHeight="1">
      <c r="A45" s="156" t="s">
        <v>50</v>
      </c>
      <c r="B45" s="46">
        <f t="shared" ref="B45:M45" si="9">45+55.12</f>
        <v>100.12</v>
      </c>
      <c r="C45" s="46">
        <f t="shared" si="9"/>
        <v>100.12</v>
      </c>
      <c r="D45" s="46">
        <f t="shared" si="9"/>
        <v>100.12</v>
      </c>
      <c r="E45" s="46">
        <f t="shared" si="9"/>
        <v>100.12</v>
      </c>
      <c r="F45" s="46">
        <f t="shared" si="9"/>
        <v>100.12</v>
      </c>
      <c r="G45" s="46">
        <f t="shared" si="9"/>
        <v>100.12</v>
      </c>
      <c r="H45" s="46">
        <f t="shared" si="9"/>
        <v>100.12</v>
      </c>
      <c r="I45" s="46">
        <f t="shared" si="9"/>
        <v>100.12</v>
      </c>
      <c r="J45" s="46">
        <f t="shared" si="9"/>
        <v>100.12</v>
      </c>
      <c r="K45" s="46">
        <f t="shared" si="9"/>
        <v>100.12</v>
      </c>
      <c r="L45" s="46">
        <f t="shared" si="9"/>
        <v>100.12</v>
      </c>
      <c r="M45" s="46">
        <f t="shared" si="9"/>
        <v>100.12</v>
      </c>
      <c r="N45" s="17">
        <f t="shared" si="8"/>
        <v>1201.44</v>
      </c>
    </row>
    <row r="46" ht="15.0" customHeight="1">
      <c r="A46" s="15" t="s">
        <v>51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17">
        <f t="shared" si="8"/>
        <v>0</v>
      </c>
    </row>
    <row r="47" ht="15.0" customHeight="1">
      <c r="A47" s="19" t="s">
        <v>52</v>
      </c>
      <c r="B47" s="87">
        <f t="shared" ref="B47:M47" si="10">850+50+1750+750</f>
        <v>3400</v>
      </c>
      <c r="C47" s="87">
        <f t="shared" si="10"/>
        <v>3400</v>
      </c>
      <c r="D47" s="87">
        <f t="shared" si="10"/>
        <v>3400</v>
      </c>
      <c r="E47" s="87">
        <f t="shared" si="10"/>
        <v>3400</v>
      </c>
      <c r="F47" s="87">
        <f t="shared" si="10"/>
        <v>3400</v>
      </c>
      <c r="G47" s="87">
        <f t="shared" si="10"/>
        <v>3400</v>
      </c>
      <c r="H47" s="87">
        <f t="shared" si="10"/>
        <v>3400</v>
      </c>
      <c r="I47" s="87">
        <f t="shared" si="10"/>
        <v>3400</v>
      </c>
      <c r="J47" s="87">
        <f t="shared" si="10"/>
        <v>3400</v>
      </c>
      <c r="K47" s="87">
        <f t="shared" si="10"/>
        <v>3400</v>
      </c>
      <c r="L47" s="87">
        <f t="shared" si="10"/>
        <v>3400</v>
      </c>
      <c r="M47" s="87">
        <f t="shared" si="10"/>
        <v>3400</v>
      </c>
      <c r="N47" s="17">
        <f t="shared" si="8"/>
        <v>40800</v>
      </c>
    </row>
    <row r="48" ht="15.0" customHeight="1">
      <c r="A48" s="19" t="s">
        <v>131</v>
      </c>
      <c r="B48" s="87">
        <f t="shared" ref="B48:M48" si="11">449+55.66+80</f>
        <v>584.66</v>
      </c>
      <c r="C48" s="87">
        <f t="shared" si="11"/>
        <v>584.66</v>
      </c>
      <c r="D48" s="87">
        <f t="shared" si="11"/>
        <v>584.66</v>
      </c>
      <c r="E48" s="87">
        <f t="shared" si="11"/>
        <v>584.66</v>
      </c>
      <c r="F48" s="87">
        <f t="shared" si="11"/>
        <v>584.66</v>
      </c>
      <c r="G48" s="87">
        <f t="shared" si="11"/>
        <v>584.66</v>
      </c>
      <c r="H48" s="87">
        <f t="shared" si="11"/>
        <v>584.66</v>
      </c>
      <c r="I48" s="87">
        <f t="shared" si="11"/>
        <v>584.66</v>
      </c>
      <c r="J48" s="87">
        <f t="shared" si="11"/>
        <v>584.66</v>
      </c>
      <c r="K48" s="87">
        <f t="shared" si="11"/>
        <v>584.66</v>
      </c>
      <c r="L48" s="87">
        <f t="shared" si="11"/>
        <v>584.66</v>
      </c>
      <c r="M48" s="87">
        <f t="shared" si="11"/>
        <v>584.66</v>
      </c>
      <c r="N48" s="17">
        <f t="shared" si="8"/>
        <v>7015.92</v>
      </c>
    </row>
    <row r="49" ht="15.0" customHeight="1">
      <c r="A49" s="35" t="s">
        <v>54</v>
      </c>
      <c r="B49" s="46"/>
      <c r="C49" s="46"/>
      <c r="D49" s="46"/>
      <c r="E49" s="46"/>
      <c r="F49" s="46"/>
      <c r="G49" s="87"/>
      <c r="H49" s="87"/>
      <c r="I49" s="87"/>
      <c r="J49" s="87"/>
      <c r="K49" s="87"/>
      <c r="L49" s="87"/>
      <c r="M49" s="87"/>
      <c r="N49" s="17">
        <f t="shared" si="8"/>
        <v>0</v>
      </c>
    </row>
    <row r="50" ht="15.0" customHeight="1">
      <c r="A50" s="19" t="s">
        <v>240</v>
      </c>
      <c r="B50" s="87">
        <v>1650.0</v>
      </c>
      <c r="C50" s="87">
        <v>1650.0</v>
      </c>
      <c r="D50" s="87">
        <v>1650.0</v>
      </c>
      <c r="E50" s="87">
        <v>1650.0</v>
      </c>
      <c r="F50" s="87">
        <v>1650.0</v>
      </c>
      <c r="G50" s="87">
        <v>1650.0</v>
      </c>
      <c r="H50" s="87">
        <v>1650.0</v>
      </c>
      <c r="I50" s="87">
        <v>1650.0</v>
      </c>
      <c r="J50" s="87">
        <v>1650.0</v>
      </c>
      <c r="K50" s="87">
        <v>1650.0</v>
      </c>
      <c r="L50" s="87">
        <v>1650.0</v>
      </c>
      <c r="M50" s="87">
        <v>1650.0</v>
      </c>
      <c r="N50" s="17">
        <f t="shared" si="8"/>
        <v>19800</v>
      </c>
    </row>
    <row r="51" ht="15.0" customHeight="1">
      <c r="A51" s="15" t="s">
        <v>160</v>
      </c>
      <c r="B51" s="46"/>
      <c r="C51" s="46"/>
      <c r="D51" s="46"/>
      <c r="E51" s="46"/>
      <c r="F51" s="46"/>
      <c r="G51" s="46"/>
      <c r="H51" s="87"/>
      <c r="I51" s="46"/>
      <c r="J51" s="46"/>
      <c r="K51" s="46"/>
      <c r="L51" s="46"/>
      <c r="M51" s="46"/>
      <c r="N51" s="17">
        <f t="shared" si="8"/>
        <v>0</v>
      </c>
    </row>
    <row r="52" ht="15.0" customHeight="1">
      <c r="A52" s="91" t="s">
        <v>23</v>
      </c>
      <c r="B52" s="28">
        <f t="shared" ref="B52:N52" si="12">SUM(B34:B51)</f>
        <v>11102.68</v>
      </c>
      <c r="C52" s="28">
        <f t="shared" si="12"/>
        <v>11102.68</v>
      </c>
      <c r="D52" s="28">
        <f t="shared" si="12"/>
        <v>11102.68</v>
      </c>
      <c r="E52" s="28">
        <f t="shared" si="12"/>
        <v>11102.68</v>
      </c>
      <c r="F52" s="28">
        <f t="shared" si="12"/>
        <v>11102.68</v>
      </c>
      <c r="G52" s="28">
        <f t="shared" si="12"/>
        <v>11102.68</v>
      </c>
      <c r="H52" s="28">
        <f t="shared" si="12"/>
        <v>11102.68</v>
      </c>
      <c r="I52" s="28">
        <f t="shared" si="12"/>
        <v>11102.68</v>
      </c>
      <c r="J52" s="28">
        <f t="shared" si="12"/>
        <v>11102.68</v>
      </c>
      <c r="K52" s="28">
        <f t="shared" si="12"/>
        <v>11102.68</v>
      </c>
      <c r="L52" s="28">
        <f t="shared" si="12"/>
        <v>11102.68</v>
      </c>
      <c r="M52" s="28">
        <f t="shared" si="12"/>
        <v>11102.68</v>
      </c>
      <c r="N52" s="28">
        <f t="shared" si="12"/>
        <v>133232.16</v>
      </c>
    </row>
    <row r="53" ht="15.0" customHeight="1">
      <c r="A53" s="79" t="s">
        <v>56</v>
      </c>
      <c r="B53" s="83"/>
      <c r="C53" s="83"/>
      <c r="D53" s="83"/>
      <c r="E53" s="83"/>
      <c r="F53" s="83"/>
      <c r="G53" s="83"/>
      <c r="H53" s="83"/>
      <c r="I53" s="83"/>
      <c r="J53" s="399"/>
      <c r="K53" s="83"/>
      <c r="L53" s="83"/>
      <c r="M53" s="83"/>
      <c r="N53" s="83"/>
    </row>
    <row r="54" ht="15.0" customHeight="1">
      <c r="A54" s="32" t="s">
        <v>57</v>
      </c>
      <c r="B54" s="87">
        <v>2500.0</v>
      </c>
      <c r="C54" s="87">
        <v>2500.0</v>
      </c>
      <c r="D54" s="87">
        <v>2500.0</v>
      </c>
      <c r="E54" s="87">
        <v>2500.0</v>
      </c>
      <c r="F54" s="87">
        <v>2500.0</v>
      </c>
      <c r="G54" s="87">
        <v>2500.0</v>
      </c>
      <c r="H54" s="87">
        <v>2500.0</v>
      </c>
      <c r="I54" s="87">
        <v>2500.0</v>
      </c>
      <c r="J54" s="87">
        <v>2500.0</v>
      </c>
      <c r="K54" s="87">
        <v>2500.0</v>
      </c>
      <c r="L54" s="87">
        <v>2500.0</v>
      </c>
      <c r="M54" s="87">
        <v>2500.0</v>
      </c>
      <c r="N54" s="17">
        <f t="shared" ref="N54:N69" si="13">SUM(B54:M54)</f>
        <v>30000</v>
      </c>
    </row>
    <row r="55" ht="15.0" customHeight="1">
      <c r="A55" s="32" t="s">
        <v>58</v>
      </c>
      <c r="B55" s="205">
        <v>1000.0</v>
      </c>
      <c r="C55" s="205">
        <v>1900.0</v>
      </c>
      <c r="D55" s="205">
        <v>1900.0</v>
      </c>
      <c r="E55" s="205">
        <v>1900.0</v>
      </c>
      <c r="F55" s="205">
        <v>1900.0</v>
      </c>
      <c r="G55" s="205">
        <v>1900.0</v>
      </c>
      <c r="H55" s="205">
        <v>1900.0</v>
      </c>
      <c r="I55" s="205">
        <v>1900.0</v>
      </c>
      <c r="J55" s="205">
        <v>1900.0</v>
      </c>
      <c r="K55" s="205">
        <v>1900.0</v>
      </c>
      <c r="L55" s="205">
        <v>1900.0</v>
      </c>
      <c r="M55" s="205">
        <v>1900.0</v>
      </c>
      <c r="N55" s="17">
        <f t="shared" si="13"/>
        <v>21900</v>
      </c>
    </row>
    <row r="56" ht="15.0" customHeight="1">
      <c r="A56" s="31" t="s">
        <v>59</v>
      </c>
      <c r="B56" s="87">
        <v>950.0</v>
      </c>
      <c r="C56" s="87">
        <v>950.0</v>
      </c>
      <c r="D56" s="87">
        <v>950.0</v>
      </c>
      <c r="E56" s="87">
        <v>950.0</v>
      </c>
      <c r="F56" s="87">
        <v>950.0</v>
      </c>
      <c r="G56" s="87">
        <v>950.0</v>
      </c>
      <c r="H56" s="87">
        <v>950.0</v>
      </c>
      <c r="I56" s="87">
        <v>950.0</v>
      </c>
      <c r="J56" s="87">
        <v>950.0</v>
      </c>
      <c r="K56" s="87">
        <v>950.0</v>
      </c>
      <c r="L56" s="87">
        <v>950.0</v>
      </c>
      <c r="M56" s="87">
        <v>950.0</v>
      </c>
      <c r="N56" s="17">
        <f t="shared" si="13"/>
        <v>11400</v>
      </c>
    </row>
    <row r="57" ht="15.0" customHeight="1">
      <c r="A57" s="31" t="s">
        <v>133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17">
        <f t="shared" si="13"/>
        <v>0</v>
      </c>
    </row>
    <row r="58" ht="15.0" customHeight="1">
      <c r="A58" s="31" t="s">
        <v>134</v>
      </c>
      <c r="B58" s="46"/>
      <c r="C58" s="46"/>
      <c r="D58" s="87"/>
      <c r="E58" s="46"/>
      <c r="F58" s="46"/>
      <c r="G58" s="46"/>
      <c r="H58" s="46"/>
      <c r="I58" s="46"/>
      <c r="J58" s="46"/>
      <c r="K58" s="46"/>
      <c r="L58" s="46"/>
      <c r="M58" s="46"/>
      <c r="N58" s="17">
        <f t="shared" si="13"/>
        <v>0</v>
      </c>
    </row>
    <row r="59" ht="15.0" customHeight="1">
      <c r="A59" s="31" t="s">
        <v>135</v>
      </c>
      <c r="B59" s="400">
        <v>553.75</v>
      </c>
      <c r="C59" s="400">
        <v>553.75</v>
      </c>
      <c r="D59" s="400">
        <v>553.75</v>
      </c>
      <c r="E59" s="400">
        <v>553.75</v>
      </c>
      <c r="F59" s="400">
        <v>553.75</v>
      </c>
      <c r="G59" s="400">
        <v>553.75</v>
      </c>
      <c r="H59" s="400">
        <v>553.75</v>
      </c>
      <c r="I59" s="400">
        <v>553.75</v>
      </c>
      <c r="J59" s="400">
        <v>553.75</v>
      </c>
      <c r="K59" s="400">
        <v>553.75</v>
      </c>
      <c r="L59" s="400">
        <v>553.75</v>
      </c>
      <c r="M59" s="400">
        <v>553.75</v>
      </c>
      <c r="N59" s="17">
        <f t="shared" si="13"/>
        <v>6645</v>
      </c>
    </row>
    <row r="60" ht="15.0" customHeight="1">
      <c r="A60" s="32" t="s">
        <v>136</v>
      </c>
      <c r="B60" s="46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17">
        <f t="shared" si="13"/>
        <v>0</v>
      </c>
    </row>
    <row r="61" ht="15.0" customHeight="1">
      <c r="A61" s="32" t="s">
        <v>137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17">
        <f t="shared" si="13"/>
        <v>0</v>
      </c>
    </row>
    <row r="62" ht="15.0" customHeight="1">
      <c r="A62" s="32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13"/>
        <v>0</v>
      </c>
    </row>
    <row r="63" ht="15.0" customHeight="1">
      <c r="A63" s="31" t="s">
        <v>64</v>
      </c>
      <c r="B63" s="87">
        <v>3500.0</v>
      </c>
      <c r="C63" s="87">
        <v>3500.0</v>
      </c>
      <c r="D63" s="87">
        <v>3500.0</v>
      </c>
      <c r="E63" s="87">
        <v>3500.0</v>
      </c>
      <c r="F63" s="87">
        <v>3500.0</v>
      </c>
      <c r="G63" s="87">
        <v>3500.0</v>
      </c>
      <c r="H63" s="87">
        <v>3500.0</v>
      </c>
      <c r="I63" s="87">
        <v>3500.0</v>
      </c>
      <c r="J63" s="87">
        <v>3500.0</v>
      </c>
      <c r="K63" s="87">
        <v>3500.0</v>
      </c>
      <c r="L63" s="87">
        <v>3500.0</v>
      </c>
      <c r="M63" s="87">
        <v>3500.0</v>
      </c>
      <c r="N63" s="17">
        <f t="shared" si="13"/>
        <v>42000</v>
      </c>
    </row>
    <row r="64" ht="15.0" customHeight="1">
      <c r="A64" s="32" t="s">
        <v>65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17">
        <f t="shared" si="13"/>
        <v>0</v>
      </c>
    </row>
    <row r="65" ht="15.0" customHeight="1">
      <c r="A65" s="31" t="s">
        <v>66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17">
        <f t="shared" si="13"/>
        <v>0</v>
      </c>
    </row>
    <row r="66" ht="15.0" customHeight="1">
      <c r="A66" s="31" t="s">
        <v>67</v>
      </c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17">
        <f t="shared" si="13"/>
        <v>0</v>
      </c>
    </row>
    <row r="67" ht="15.0" customHeight="1">
      <c r="A67" s="25" t="s">
        <v>68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17">
        <f t="shared" si="13"/>
        <v>0</v>
      </c>
    </row>
    <row r="68" ht="15.0" customHeight="1">
      <c r="A68" s="25" t="s">
        <v>69</v>
      </c>
      <c r="B68" s="28"/>
      <c r="C68" s="28"/>
      <c r="D68" s="28"/>
      <c r="E68" s="28"/>
      <c r="F68" s="92"/>
      <c r="G68" s="92"/>
      <c r="H68" s="92"/>
      <c r="I68" s="28"/>
      <c r="J68" s="28"/>
      <c r="K68" s="28"/>
      <c r="L68" s="28"/>
      <c r="M68" s="28"/>
      <c r="N68" s="17">
        <f t="shared" si="13"/>
        <v>0</v>
      </c>
    </row>
    <row r="69" ht="15.0" customHeight="1">
      <c r="A69" s="39" t="s">
        <v>245</v>
      </c>
      <c r="B69" s="28"/>
      <c r="C69" s="87"/>
      <c r="D69" s="28"/>
      <c r="E69" s="28"/>
      <c r="F69" s="28"/>
      <c r="G69" s="28"/>
      <c r="H69" s="28"/>
      <c r="I69" s="28"/>
      <c r="J69" s="87"/>
      <c r="K69" s="87"/>
      <c r="L69" s="87"/>
      <c r="M69" s="87"/>
      <c r="N69" s="17">
        <f t="shared" si="13"/>
        <v>0</v>
      </c>
    </row>
    <row r="70" ht="15.0" customHeight="1">
      <c r="A70" s="91" t="s">
        <v>23</v>
      </c>
      <c r="B70" s="28">
        <f t="shared" ref="B70:M70" si="14">SUM(B54:B69)</f>
        <v>8503.75</v>
      </c>
      <c r="C70" s="28">
        <f t="shared" si="14"/>
        <v>9403.75</v>
      </c>
      <c r="D70" s="28">
        <f t="shared" si="14"/>
        <v>9403.75</v>
      </c>
      <c r="E70" s="28">
        <f t="shared" si="14"/>
        <v>9403.75</v>
      </c>
      <c r="F70" s="28">
        <f t="shared" si="14"/>
        <v>9403.75</v>
      </c>
      <c r="G70" s="28">
        <f t="shared" si="14"/>
        <v>9403.75</v>
      </c>
      <c r="H70" s="28">
        <f t="shared" si="14"/>
        <v>9403.75</v>
      </c>
      <c r="I70" s="28">
        <f t="shared" si="14"/>
        <v>9403.75</v>
      </c>
      <c r="J70" s="28">
        <f t="shared" si="14"/>
        <v>9403.75</v>
      </c>
      <c r="K70" s="28">
        <f t="shared" si="14"/>
        <v>9403.75</v>
      </c>
      <c r="L70" s="28">
        <f t="shared" si="14"/>
        <v>9403.75</v>
      </c>
      <c r="M70" s="28">
        <f t="shared" si="14"/>
        <v>9403.75</v>
      </c>
      <c r="N70" s="28">
        <f>SUM(N54:N66)</f>
        <v>111945</v>
      </c>
    </row>
    <row r="71" ht="15.0" customHeight="1">
      <c r="A71" s="79" t="s">
        <v>71</v>
      </c>
      <c r="B71" s="83"/>
      <c r="C71" s="83"/>
      <c r="D71" s="83"/>
      <c r="E71" s="83"/>
      <c r="F71" s="83"/>
      <c r="G71" s="83"/>
      <c r="H71" s="83"/>
      <c r="I71" s="83"/>
      <c r="J71" s="293"/>
      <c r="K71" s="83"/>
      <c r="L71" s="83"/>
      <c r="M71" s="83"/>
      <c r="N71" s="83"/>
    </row>
    <row r="72" ht="15.0" customHeight="1">
      <c r="A72" s="32" t="s">
        <v>138</v>
      </c>
      <c r="B72" s="87">
        <v>0.0</v>
      </c>
      <c r="C72" s="87">
        <v>0.0</v>
      </c>
      <c r="D72" s="87">
        <v>0.0</v>
      </c>
      <c r="E72" s="87">
        <v>0.0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0.0</v>
      </c>
      <c r="L72" s="87">
        <v>0.0</v>
      </c>
      <c r="M72" s="87">
        <v>0.0</v>
      </c>
      <c r="N72" s="17">
        <f t="shared" ref="N72:N83" si="15">SUM(B72:M72)</f>
        <v>0</v>
      </c>
    </row>
    <row r="73" ht="15.0" customHeight="1">
      <c r="A73" s="31" t="s">
        <v>73</v>
      </c>
      <c r="B73" s="87">
        <v>0.0</v>
      </c>
      <c r="C73" s="87">
        <v>0.0</v>
      </c>
      <c r="D73" s="87">
        <v>0.0</v>
      </c>
      <c r="E73" s="87">
        <v>0.0</v>
      </c>
      <c r="F73" s="87">
        <v>0.0</v>
      </c>
      <c r="G73" s="87">
        <v>0.0</v>
      </c>
      <c r="H73" s="87">
        <v>0.0</v>
      </c>
      <c r="I73" s="87">
        <v>0.0</v>
      </c>
      <c r="J73" s="87">
        <v>0.0</v>
      </c>
      <c r="K73" s="87">
        <v>0.0</v>
      </c>
      <c r="L73" s="87">
        <v>0.0</v>
      </c>
      <c r="M73" s="87">
        <v>0.0</v>
      </c>
      <c r="N73" s="17">
        <f t="shared" si="15"/>
        <v>0</v>
      </c>
    </row>
    <row r="74" ht="15.0" customHeight="1">
      <c r="A74" s="32" t="s">
        <v>139</v>
      </c>
      <c r="B74" s="87">
        <v>553.75</v>
      </c>
      <c r="C74" s="87">
        <v>553.75</v>
      </c>
      <c r="D74" s="87">
        <v>553.75</v>
      </c>
      <c r="E74" s="87">
        <v>553.75</v>
      </c>
      <c r="F74" s="87">
        <v>553.75</v>
      </c>
      <c r="G74" s="87">
        <v>553.75</v>
      </c>
      <c r="H74" s="87">
        <v>553.75</v>
      </c>
      <c r="I74" s="87">
        <v>553.75</v>
      </c>
      <c r="J74" s="87">
        <v>553.75</v>
      </c>
      <c r="K74" s="87">
        <v>553.75</v>
      </c>
      <c r="L74" s="87">
        <v>553.75</v>
      </c>
      <c r="M74" s="87">
        <v>553.75</v>
      </c>
      <c r="N74" s="17">
        <f t="shared" si="15"/>
        <v>6645</v>
      </c>
    </row>
    <row r="75" ht="15.0" customHeight="1">
      <c r="A75" s="31" t="s">
        <v>137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17">
        <f t="shared" si="15"/>
        <v>0</v>
      </c>
    </row>
    <row r="76" ht="15.0" customHeight="1">
      <c r="A76" s="32" t="s">
        <v>136</v>
      </c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17">
        <f t="shared" si="15"/>
        <v>0</v>
      </c>
    </row>
    <row r="77" ht="15.0" customHeight="1">
      <c r="A77" s="32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17">
        <f t="shared" si="15"/>
        <v>0</v>
      </c>
    </row>
    <row r="78" ht="15.0" customHeight="1">
      <c r="A78" s="31" t="s">
        <v>140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17">
        <f t="shared" si="15"/>
        <v>0</v>
      </c>
    </row>
    <row r="79" ht="15.0" customHeight="1">
      <c r="A79" s="27" t="s">
        <v>141</v>
      </c>
      <c r="B79" s="87">
        <v>4105.0</v>
      </c>
      <c r="C79" s="87">
        <v>4105.0</v>
      </c>
      <c r="D79" s="87">
        <v>4105.0</v>
      </c>
      <c r="E79" s="87">
        <v>4105.0</v>
      </c>
      <c r="F79" s="87">
        <v>4105.0</v>
      </c>
      <c r="G79" s="87">
        <v>4105.0</v>
      </c>
      <c r="H79" s="87">
        <v>4105.0</v>
      </c>
      <c r="I79" s="87">
        <v>4105.0</v>
      </c>
      <c r="J79" s="87">
        <v>4105.0</v>
      </c>
      <c r="K79" s="87">
        <v>4105.0</v>
      </c>
      <c r="L79" s="87">
        <v>4105.0</v>
      </c>
      <c r="M79" s="87">
        <v>4105.0</v>
      </c>
      <c r="N79" s="17">
        <f t="shared" si="15"/>
        <v>49260</v>
      </c>
    </row>
    <row r="80" ht="15.0" customHeight="1">
      <c r="A80" s="145" t="s">
        <v>79</v>
      </c>
      <c r="B80" s="104">
        <v>900.0</v>
      </c>
      <c r="C80" s="104">
        <v>900.0</v>
      </c>
      <c r="D80" s="104">
        <v>900.0</v>
      </c>
      <c r="E80" s="104">
        <v>900.0</v>
      </c>
      <c r="F80" s="104">
        <v>900.0</v>
      </c>
      <c r="G80" s="104">
        <v>900.0</v>
      </c>
      <c r="H80" s="104">
        <v>900.0</v>
      </c>
      <c r="I80" s="104">
        <v>900.0</v>
      </c>
      <c r="J80" s="104">
        <v>900.0</v>
      </c>
      <c r="K80" s="104">
        <v>900.0</v>
      </c>
      <c r="L80" s="104">
        <v>900.0</v>
      </c>
      <c r="M80" s="104">
        <v>900.0</v>
      </c>
      <c r="N80" s="17">
        <f t="shared" si="15"/>
        <v>10800</v>
      </c>
    </row>
    <row r="81" ht="15.0" customHeight="1">
      <c r="A81" s="43" t="s">
        <v>80</v>
      </c>
      <c r="B81" s="87">
        <v>0.0</v>
      </c>
      <c r="C81" s="87">
        <v>0.0</v>
      </c>
      <c r="D81" s="87">
        <v>0.0</v>
      </c>
      <c r="E81" s="87">
        <v>0.0</v>
      </c>
      <c r="F81" s="87">
        <v>0.0</v>
      </c>
      <c r="G81" s="87">
        <v>0.0</v>
      </c>
      <c r="H81" s="87">
        <v>0.0</v>
      </c>
      <c r="I81" s="87">
        <v>0.0</v>
      </c>
      <c r="J81" s="87">
        <v>0.0</v>
      </c>
      <c r="K81" s="87">
        <v>0.0</v>
      </c>
      <c r="L81" s="87">
        <v>0.0</v>
      </c>
      <c r="M81" s="87">
        <v>0.0</v>
      </c>
      <c r="N81" s="17">
        <f t="shared" si="15"/>
        <v>0</v>
      </c>
    </row>
    <row r="82" ht="15.0" customHeight="1">
      <c r="A82" s="91" t="s">
        <v>23</v>
      </c>
      <c r="B82" s="28">
        <f t="shared" ref="B82:M82" si="16">SUM(B72:B81)</f>
        <v>5558.75</v>
      </c>
      <c r="C82" s="28">
        <f t="shared" si="16"/>
        <v>5558.75</v>
      </c>
      <c r="D82" s="28">
        <f t="shared" si="16"/>
        <v>5558.75</v>
      </c>
      <c r="E82" s="28">
        <f t="shared" si="16"/>
        <v>5558.75</v>
      </c>
      <c r="F82" s="28">
        <f t="shared" si="16"/>
        <v>5558.75</v>
      </c>
      <c r="G82" s="28">
        <f t="shared" si="16"/>
        <v>5558.75</v>
      </c>
      <c r="H82" s="28">
        <f t="shared" si="16"/>
        <v>5558.75</v>
      </c>
      <c r="I82" s="28">
        <f t="shared" si="16"/>
        <v>5558.75</v>
      </c>
      <c r="J82" s="28">
        <f t="shared" si="16"/>
        <v>5558.75</v>
      </c>
      <c r="K82" s="28">
        <f t="shared" si="16"/>
        <v>5558.75</v>
      </c>
      <c r="L82" s="28">
        <f t="shared" si="16"/>
        <v>5558.75</v>
      </c>
      <c r="M82" s="28">
        <f t="shared" si="16"/>
        <v>5558.75</v>
      </c>
      <c r="N82" s="44">
        <f t="shared" si="15"/>
        <v>66705</v>
      </c>
    </row>
    <row r="83" ht="15.0" customHeight="1">
      <c r="A83" s="99" t="s">
        <v>81</v>
      </c>
      <c r="B83" s="28">
        <f t="shared" ref="B83:M83" si="17">B52+B70+B82</f>
        <v>25165.18</v>
      </c>
      <c r="C83" s="28">
        <f t="shared" si="17"/>
        <v>26065.18</v>
      </c>
      <c r="D83" s="28">
        <f t="shared" si="17"/>
        <v>26065.18</v>
      </c>
      <c r="E83" s="28">
        <f t="shared" si="17"/>
        <v>26065.18</v>
      </c>
      <c r="F83" s="28">
        <f t="shared" si="17"/>
        <v>26065.18</v>
      </c>
      <c r="G83" s="28">
        <f t="shared" si="17"/>
        <v>26065.18</v>
      </c>
      <c r="H83" s="28">
        <f t="shared" si="17"/>
        <v>26065.18</v>
      </c>
      <c r="I83" s="28">
        <f t="shared" si="17"/>
        <v>26065.18</v>
      </c>
      <c r="J83" s="28">
        <f t="shared" si="17"/>
        <v>26065.18</v>
      </c>
      <c r="K83" s="28">
        <f t="shared" si="17"/>
        <v>26065.18</v>
      </c>
      <c r="L83" s="28">
        <f t="shared" si="17"/>
        <v>26065.18</v>
      </c>
      <c r="M83" s="28">
        <f t="shared" si="17"/>
        <v>26065.18</v>
      </c>
      <c r="N83" s="44">
        <f t="shared" si="15"/>
        <v>311882.16</v>
      </c>
    </row>
    <row r="84" ht="15.0" customHeight="1">
      <c r="A84" s="99" t="s">
        <v>82</v>
      </c>
      <c r="B84" s="46">
        <f t="shared" ref="B84:N84" si="18">B83/B112</f>
        <v>419.4196667</v>
      </c>
      <c r="C84" s="46">
        <f t="shared" si="18"/>
        <v>434.4196667</v>
      </c>
      <c r="D84" s="46">
        <f t="shared" si="18"/>
        <v>434.4196667</v>
      </c>
      <c r="E84" s="46">
        <f t="shared" si="18"/>
        <v>347.5357333</v>
      </c>
      <c r="F84" s="46">
        <f t="shared" si="18"/>
        <v>347.5357333</v>
      </c>
      <c r="G84" s="46">
        <f t="shared" si="18"/>
        <v>325.81475</v>
      </c>
      <c r="H84" s="46">
        <f t="shared" si="18"/>
        <v>289.6131111</v>
      </c>
      <c r="I84" s="46">
        <f t="shared" si="18"/>
        <v>289.6131111</v>
      </c>
      <c r="J84" s="46">
        <f t="shared" si="18"/>
        <v>289.6131111</v>
      </c>
      <c r="K84" s="46">
        <f t="shared" si="18"/>
        <v>289.6131111</v>
      </c>
      <c r="L84" s="46">
        <f t="shared" si="18"/>
        <v>274.3703158</v>
      </c>
      <c r="M84" s="46">
        <f t="shared" si="18"/>
        <v>274.3703158</v>
      </c>
      <c r="N84" s="289">
        <f t="shared" si="18"/>
        <v>324.87725</v>
      </c>
    </row>
    <row r="85" ht="15.0" customHeight="1">
      <c r="A85" s="79" t="s">
        <v>83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</row>
    <row r="86" ht="15.0" customHeight="1">
      <c r="A86" s="15" t="s">
        <v>84</v>
      </c>
      <c r="B86" s="87"/>
      <c r="C86" s="87"/>
      <c r="D86" s="87"/>
      <c r="E86" s="87"/>
      <c r="F86" s="87"/>
      <c r="G86" s="87"/>
      <c r="H86" s="87"/>
      <c r="I86" s="87"/>
      <c r="J86" s="87"/>
      <c r="K86" s="87">
        <v>433.79</v>
      </c>
      <c r="L86" s="87">
        <v>433.79</v>
      </c>
      <c r="M86" s="87">
        <v>433.79</v>
      </c>
      <c r="N86" s="17">
        <f t="shared" ref="N86:N89" si="19">SUM(B86:M86)</f>
        <v>1301.37</v>
      </c>
    </row>
    <row r="87" ht="15.0" customHeight="1">
      <c r="A87" s="15" t="s">
        <v>142</v>
      </c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17">
        <f t="shared" si="19"/>
        <v>0</v>
      </c>
    </row>
    <row r="88" ht="15.0" customHeight="1">
      <c r="A88" s="35"/>
      <c r="B88" s="28"/>
      <c r="C88" s="28"/>
      <c r="D88" s="28"/>
      <c r="E88" s="87"/>
      <c r="F88" s="28"/>
      <c r="G88" s="28"/>
      <c r="H88" s="28"/>
      <c r="I88" s="28"/>
      <c r="J88" s="28"/>
      <c r="K88" s="28"/>
      <c r="L88" s="87"/>
      <c r="M88" s="87"/>
      <c r="N88" s="17">
        <f t="shared" si="19"/>
        <v>0</v>
      </c>
    </row>
    <row r="89" ht="15.0" customHeight="1">
      <c r="A89" s="9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17">
        <f t="shared" si="19"/>
        <v>0</v>
      </c>
    </row>
    <row r="90" ht="15.0" customHeight="1">
      <c r="A90" s="91" t="s">
        <v>23</v>
      </c>
      <c r="B90" s="28" t="str">
        <f t="shared" ref="B90:D90" si="20">B86</f>
        <v/>
      </c>
      <c r="C90" s="28" t="str">
        <f t="shared" si="20"/>
        <v/>
      </c>
      <c r="D90" s="28" t="str">
        <f t="shared" si="20"/>
        <v/>
      </c>
      <c r="E90" s="28">
        <f>SUM(E86:E89)</f>
        <v>0</v>
      </c>
      <c r="F90" s="28" t="str">
        <f t="shared" ref="F90:K90" si="21">F86</f>
        <v/>
      </c>
      <c r="G90" s="28" t="str">
        <f t="shared" si="21"/>
        <v/>
      </c>
      <c r="H90" s="28" t="str">
        <f t="shared" si="21"/>
        <v/>
      </c>
      <c r="I90" s="28" t="str">
        <f t="shared" si="21"/>
        <v/>
      </c>
      <c r="J90" s="28" t="str">
        <f t="shared" si="21"/>
        <v/>
      </c>
      <c r="K90" s="28">
        <f t="shared" si="21"/>
        <v>433.79</v>
      </c>
      <c r="L90" s="28">
        <f>SUM(L86:L89)</f>
        <v>433.79</v>
      </c>
      <c r="M90" s="28">
        <f>M86</f>
        <v>433.79</v>
      </c>
      <c r="N90" s="28">
        <f>SUM(N86:N89)</f>
        <v>1301.37</v>
      </c>
    </row>
    <row r="91" ht="15.0" customHeight="1">
      <c r="A91" s="89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</row>
    <row r="92" ht="15.0" customHeight="1">
      <c r="A92" s="31" t="s">
        <v>89</v>
      </c>
      <c r="B92" s="102">
        <f>PRODUCTION!AD18</f>
        <v>650</v>
      </c>
      <c r="C92" s="102">
        <f>PRODUCTION!AD19</f>
        <v>650</v>
      </c>
      <c r="D92" s="102">
        <f>PRODUCTION!AD20</f>
        <v>650</v>
      </c>
      <c r="E92" s="102">
        <f>PRODUCTION!AD21</f>
        <v>650</v>
      </c>
      <c r="F92" s="102">
        <f>PRODUCTION!AD22</f>
        <v>650</v>
      </c>
      <c r="G92" s="102">
        <f>PRODUCTION!AD23</f>
        <v>650</v>
      </c>
      <c r="H92" s="102">
        <f>PRODUCTION!AD24</f>
        <v>650</v>
      </c>
      <c r="I92" s="102">
        <f>PRODUCTION!AD25</f>
        <v>650</v>
      </c>
      <c r="J92" s="102">
        <f>PRODUCTION!AD26</f>
        <v>650</v>
      </c>
      <c r="K92" s="102">
        <f>PRODUCTION!AD27</f>
        <v>650</v>
      </c>
      <c r="L92" s="102">
        <f>PRODUCTION!AD28</f>
        <v>650</v>
      </c>
      <c r="M92" s="102">
        <f>PRODUCTION!AD29</f>
        <v>650</v>
      </c>
      <c r="N92" s="17">
        <f t="shared" ref="N92:N106" si="22">SUM(B92:M92)</f>
        <v>7800</v>
      </c>
    </row>
    <row r="93" ht="15.0" customHeight="1">
      <c r="A93" s="31" t="s">
        <v>90</v>
      </c>
      <c r="B93" s="87"/>
      <c r="C93" s="87"/>
      <c r="D93" s="87"/>
      <c r="E93" s="87"/>
      <c r="F93" s="87"/>
      <c r="G93" s="46"/>
      <c r="H93" s="46"/>
      <c r="I93" s="46"/>
      <c r="J93" s="46"/>
      <c r="K93" s="87"/>
      <c r="L93" s="46"/>
      <c r="M93" s="87"/>
      <c r="N93" s="17">
        <f t="shared" si="22"/>
        <v>0</v>
      </c>
    </row>
    <row r="94" ht="15.0" customHeight="1">
      <c r="A94" s="31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17">
        <f t="shared" si="22"/>
        <v>2360</v>
      </c>
    </row>
    <row r="95" ht="15.0" customHeight="1">
      <c r="A95" s="31" t="s">
        <v>92</v>
      </c>
      <c r="B95" s="105">
        <v>500.0</v>
      </c>
      <c r="C95" s="105">
        <v>500.0</v>
      </c>
      <c r="D95" s="105">
        <v>500.0</v>
      </c>
      <c r="E95" s="105">
        <v>500.0</v>
      </c>
      <c r="F95" s="105">
        <v>500.0</v>
      </c>
      <c r="G95" s="105">
        <v>500.0</v>
      </c>
      <c r="H95" s="105">
        <v>500.0</v>
      </c>
      <c r="I95" s="105">
        <v>500.0</v>
      </c>
      <c r="J95" s="105">
        <v>500.0</v>
      </c>
      <c r="K95" s="105">
        <v>500.0</v>
      </c>
      <c r="L95" s="105">
        <v>500.0</v>
      </c>
      <c r="M95" s="105">
        <v>500.0</v>
      </c>
      <c r="N95" s="17">
        <f t="shared" si="22"/>
        <v>6000</v>
      </c>
    </row>
    <row r="96" ht="15.0" customHeight="1">
      <c r="A96" s="32" t="s">
        <v>143</v>
      </c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17">
        <f t="shared" si="22"/>
        <v>0</v>
      </c>
    </row>
    <row r="97" ht="15.0" customHeight="1">
      <c r="A97" s="32" t="s">
        <v>94</v>
      </c>
      <c r="B97" s="46"/>
      <c r="C97" s="46"/>
      <c r="D97" s="46"/>
      <c r="E97" s="87"/>
      <c r="F97" s="87"/>
      <c r="G97" s="87"/>
      <c r="H97" s="87"/>
      <c r="I97" s="87"/>
      <c r="J97" s="87"/>
      <c r="K97" s="87"/>
      <c r="L97" s="87"/>
      <c r="M97" s="87"/>
      <c r="N97" s="17">
        <f t="shared" si="22"/>
        <v>0</v>
      </c>
    </row>
    <row r="98" ht="15.0" customHeight="1">
      <c r="A98" s="32" t="s">
        <v>95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17">
        <f t="shared" si="22"/>
        <v>0</v>
      </c>
    </row>
    <row r="99" ht="15.0" customHeight="1">
      <c r="A99" s="31" t="s">
        <v>96</v>
      </c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17">
        <f t="shared" si="22"/>
        <v>0</v>
      </c>
    </row>
    <row r="100" ht="15.0" customHeight="1">
      <c r="A100" s="31" t="s">
        <v>97</v>
      </c>
      <c r="B100" s="46"/>
      <c r="C100" s="46"/>
      <c r="D100" s="46"/>
      <c r="E100" s="87"/>
      <c r="F100" s="46"/>
      <c r="G100" s="46"/>
      <c r="H100" s="46"/>
      <c r="I100" s="46"/>
      <c r="J100" s="46"/>
      <c r="K100" s="46"/>
      <c r="L100" s="46"/>
      <c r="M100" s="46"/>
      <c r="N100" s="17">
        <f t="shared" si="22"/>
        <v>0</v>
      </c>
    </row>
    <row r="101" ht="15.0" customHeight="1">
      <c r="A101" s="32" t="s">
        <v>98</v>
      </c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17">
        <f t="shared" si="22"/>
        <v>0</v>
      </c>
    </row>
    <row r="102" ht="15.0" customHeight="1">
      <c r="A102" s="31" t="s">
        <v>99</v>
      </c>
      <c r="B102" s="146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7">
        <f t="shared" si="22"/>
        <v>0</v>
      </c>
    </row>
    <row r="103" ht="15.0" customHeight="1">
      <c r="A103" s="32" t="s">
        <v>100</v>
      </c>
      <c r="B103" s="87">
        <v>200.0</v>
      </c>
      <c r="C103" s="87">
        <v>435.0</v>
      </c>
      <c r="D103" s="87">
        <v>200.0</v>
      </c>
      <c r="E103" s="87">
        <v>200.0</v>
      </c>
      <c r="F103" s="87">
        <v>200.0</v>
      </c>
      <c r="G103" s="87">
        <v>200.0</v>
      </c>
      <c r="H103" s="87">
        <v>200.0</v>
      </c>
      <c r="I103" s="87">
        <v>200.0</v>
      </c>
      <c r="J103" s="87">
        <v>200.0</v>
      </c>
      <c r="K103" s="87">
        <v>200.0</v>
      </c>
      <c r="L103" s="87">
        <v>200.0</v>
      </c>
      <c r="M103" s="87">
        <v>200.0</v>
      </c>
      <c r="N103" s="17">
        <f t="shared" si="22"/>
        <v>2635</v>
      </c>
    </row>
    <row r="104" ht="15.0" customHeight="1">
      <c r="A104" s="27" t="s">
        <v>101</v>
      </c>
      <c r="B104" s="87">
        <v>100.0</v>
      </c>
      <c r="C104" s="87">
        <v>100.0</v>
      </c>
      <c r="D104" s="87">
        <v>100.0</v>
      </c>
      <c r="E104" s="87">
        <v>100.0</v>
      </c>
      <c r="F104" s="87">
        <v>100.0</v>
      </c>
      <c r="G104" s="87">
        <v>100.0</v>
      </c>
      <c r="H104" s="87">
        <v>100.0</v>
      </c>
      <c r="I104" s="87">
        <v>100.0</v>
      </c>
      <c r="J104" s="87">
        <v>100.0</v>
      </c>
      <c r="K104" s="87">
        <v>100.0</v>
      </c>
      <c r="L104" s="87">
        <v>100.0</v>
      </c>
      <c r="M104" s="87">
        <v>100.0</v>
      </c>
      <c r="N104" s="17">
        <f t="shared" si="22"/>
        <v>1200</v>
      </c>
    </row>
    <row r="105" ht="15.0" customHeight="1">
      <c r="A105" s="27" t="s">
        <v>102</v>
      </c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17">
        <f t="shared" si="22"/>
        <v>0</v>
      </c>
    </row>
    <row r="106" ht="15.0" customHeight="1">
      <c r="A106" s="39" t="s">
        <v>166</v>
      </c>
      <c r="B106" s="87">
        <v>1875.0</v>
      </c>
      <c r="C106" s="87">
        <v>1875.0</v>
      </c>
      <c r="D106" s="87">
        <v>1875.0</v>
      </c>
      <c r="E106" s="87">
        <v>1875.0</v>
      </c>
      <c r="F106" s="87">
        <v>1875.0</v>
      </c>
      <c r="G106" s="87">
        <v>1875.0</v>
      </c>
      <c r="H106" s="87">
        <v>1875.0</v>
      </c>
      <c r="I106" s="87">
        <v>1875.0</v>
      </c>
      <c r="J106" s="87">
        <v>1875.0</v>
      </c>
      <c r="K106" s="87">
        <v>1875.0</v>
      </c>
      <c r="L106" s="87">
        <v>1875.0</v>
      </c>
      <c r="M106" s="87">
        <v>1875.0</v>
      </c>
      <c r="N106" s="17">
        <f t="shared" si="22"/>
        <v>22500</v>
      </c>
    </row>
    <row r="107" ht="15.0" customHeight="1">
      <c r="A107" s="91" t="s">
        <v>23</v>
      </c>
      <c r="B107" s="28">
        <f t="shared" ref="B107:N107" si="23">SUM(B92:B106)</f>
        <v>3505</v>
      </c>
      <c r="C107" s="28">
        <f t="shared" si="23"/>
        <v>3740</v>
      </c>
      <c r="D107" s="28">
        <f t="shared" si="23"/>
        <v>3505</v>
      </c>
      <c r="E107" s="28">
        <f t="shared" si="23"/>
        <v>3505</v>
      </c>
      <c r="F107" s="28">
        <f t="shared" si="23"/>
        <v>3505</v>
      </c>
      <c r="G107" s="28">
        <f t="shared" si="23"/>
        <v>3505</v>
      </c>
      <c r="H107" s="28">
        <f t="shared" si="23"/>
        <v>3505</v>
      </c>
      <c r="I107" s="28">
        <f t="shared" si="23"/>
        <v>3505</v>
      </c>
      <c r="J107" s="28">
        <f t="shared" si="23"/>
        <v>3505</v>
      </c>
      <c r="K107" s="28">
        <f t="shared" si="23"/>
        <v>3705</v>
      </c>
      <c r="L107" s="28">
        <f t="shared" si="23"/>
        <v>3505</v>
      </c>
      <c r="M107" s="28">
        <f t="shared" si="23"/>
        <v>3505</v>
      </c>
      <c r="N107" s="28">
        <f t="shared" si="23"/>
        <v>42495</v>
      </c>
    </row>
    <row r="108" ht="15.0" customHeight="1">
      <c r="A108" s="91" t="s">
        <v>104</v>
      </c>
      <c r="B108" s="394">
        <v>-40732.13</v>
      </c>
      <c r="C108" s="110">
        <v>-45539.46</v>
      </c>
      <c r="D108" s="110">
        <v>-69716.64</v>
      </c>
      <c r="E108" s="110">
        <v>-43300.62</v>
      </c>
      <c r="F108" s="110">
        <v>-37000.52</v>
      </c>
      <c r="G108" s="401">
        <v>-24000.0</v>
      </c>
      <c r="H108" s="110">
        <v>11020.56</v>
      </c>
      <c r="I108" s="110">
        <v>-44405.95</v>
      </c>
      <c r="J108" s="110">
        <v>-32684.06</v>
      </c>
      <c r="K108" s="147">
        <v>-36000.0</v>
      </c>
      <c r="L108" s="147">
        <v>-36000.0</v>
      </c>
      <c r="M108" s="147">
        <v>-36000.0</v>
      </c>
      <c r="N108" s="44">
        <f>SUM(B108:M108)</f>
        <v>-434358.82</v>
      </c>
    </row>
    <row r="109" ht="15.0" customHeight="1">
      <c r="A109" s="112" t="s">
        <v>105</v>
      </c>
      <c r="B109" s="50">
        <f t="shared" ref="B109:N109" si="24">B107+B90+B83+B32+B21+B13</f>
        <v>40573.60623</v>
      </c>
      <c r="C109" s="50">
        <f t="shared" si="24"/>
        <v>43458.14623</v>
      </c>
      <c r="D109" s="50">
        <f t="shared" si="24"/>
        <v>49203.70623</v>
      </c>
      <c r="E109" s="50">
        <f t="shared" si="24"/>
        <v>43203.70623</v>
      </c>
      <c r="F109" s="50">
        <f t="shared" si="24"/>
        <v>49203.70623</v>
      </c>
      <c r="G109" s="50">
        <f t="shared" si="24"/>
        <v>43203.70623</v>
      </c>
      <c r="H109" s="50">
        <f t="shared" si="24"/>
        <v>43203.70623</v>
      </c>
      <c r="I109" s="50">
        <f t="shared" si="24"/>
        <v>43203.70623</v>
      </c>
      <c r="J109" s="50">
        <f t="shared" si="24"/>
        <v>43490.85516</v>
      </c>
      <c r="K109" s="50">
        <f t="shared" si="24"/>
        <v>50124.64516</v>
      </c>
      <c r="L109" s="50">
        <f t="shared" si="24"/>
        <v>43924.64516</v>
      </c>
      <c r="M109" s="50">
        <f t="shared" si="24"/>
        <v>43924.64516</v>
      </c>
      <c r="N109" s="50">
        <f t="shared" si="24"/>
        <v>536718.7805</v>
      </c>
    </row>
    <row r="110" ht="15.0" customHeight="1">
      <c r="A110" s="35" t="s">
        <v>106</v>
      </c>
      <c r="B110" s="161">
        <v>40.0</v>
      </c>
      <c r="C110" s="161">
        <v>40.0</v>
      </c>
      <c r="D110" s="161">
        <v>40.0</v>
      </c>
      <c r="E110" s="161">
        <v>45.0</v>
      </c>
      <c r="F110" s="161">
        <v>45.0</v>
      </c>
      <c r="G110" s="161">
        <v>50.0</v>
      </c>
      <c r="H110" s="161">
        <v>55.0</v>
      </c>
      <c r="I110" s="161">
        <v>55.0</v>
      </c>
      <c r="J110" s="161">
        <v>55.0</v>
      </c>
      <c r="K110" s="161">
        <v>55.0</v>
      </c>
      <c r="L110" s="161">
        <v>60.0</v>
      </c>
      <c r="M110" s="161">
        <v>60.0</v>
      </c>
      <c r="N110" s="149">
        <f t="shared" ref="N110:N112" si="25">SUM(B110:M110)</f>
        <v>600</v>
      </c>
    </row>
    <row r="111" ht="15.0" customHeight="1">
      <c r="A111" s="35" t="s">
        <v>107</v>
      </c>
      <c r="B111" s="212">
        <v>20.0</v>
      </c>
      <c r="C111" s="212">
        <v>20.0</v>
      </c>
      <c r="D111" s="212">
        <v>20.0</v>
      </c>
      <c r="E111" s="212">
        <v>30.0</v>
      </c>
      <c r="F111" s="212">
        <v>30.0</v>
      </c>
      <c r="G111" s="212">
        <v>30.0</v>
      </c>
      <c r="H111" s="212">
        <v>35.0</v>
      </c>
      <c r="I111" s="212">
        <v>35.0</v>
      </c>
      <c r="J111" s="212">
        <v>35.0</v>
      </c>
      <c r="K111" s="212">
        <v>35.0</v>
      </c>
      <c r="L111" s="212">
        <v>35.0</v>
      </c>
      <c r="M111" s="212">
        <v>35.0</v>
      </c>
      <c r="N111" s="149">
        <f t="shared" si="25"/>
        <v>360</v>
      </c>
    </row>
    <row r="112" ht="15.0" customHeight="1">
      <c r="A112" s="91" t="s">
        <v>23</v>
      </c>
      <c r="B112" s="122">
        <f t="shared" ref="B112:M112" si="26">B110+B111</f>
        <v>60</v>
      </c>
      <c r="C112" s="122">
        <f t="shared" si="26"/>
        <v>60</v>
      </c>
      <c r="D112" s="122">
        <f t="shared" si="26"/>
        <v>60</v>
      </c>
      <c r="E112" s="122">
        <f t="shared" si="26"/>
        <v>75</v>
      </c>
      <c r="F112" s="123">
        <f t="shared" si="26"/>
        <v>75</v>
      </c>
      <c r="G112" s="123">
        <f t="shared" si="26"/>
        <v>80</v>
      </c>
      <c r="H112" s="123">
        <f t="shared" si="26"/>
        <v>90</v>
      </c>
      <c r="I112" s="123">
        <f t="shared" si="26"/>
        <v>90</v>
      </c>
      <c r="J112" s="123">
        <f t="shared" si="26"/>
        <v>90</v>
      </c>
      <c r="K112" s="123">
        <f t="shared" si="26"/>
        <v>90</v>
      </c>
      <c r="L112" s="123">
        <f t="shared" si="26"/>
        <v>95</v>
      </c>
      <c r="M112" s="123">
        <f t="shared" si="26"/>
        <v>95</v>
      </c>
      <c r="N112" s="125">
        <f t="shared" si="25"/>
        <v>960</v>
      </c>
    </row>
    <row r="113" ht="15.0" customHeight="1">
      <c r="A113" s="126" t="s">
        <v>108</v>
      </c>
      <c r="B113" s="58">
        <f t="shared" ref="B113:N113" si="27">B109/B112</f>
        <v>676.2267705</v>
      </c>
      <c r="C113" s="58">
        <f t="shared" si="27"/>
        <v>724.3024372</v>
      </c>
      <c r="D113" s="58">
        <f t="shared" si="27"/>
        <v>820.0617705</v>
      </c>
      <c r="E113" s="58">
        <f t="shared" si="27"/>
        <v>576.0494164</v>
      </c>
      <c r="F113" s="58">
        <f t="shared" si="27"/>
        <v>656.0494164</v>
      </c>
      <c r="G113" s="58">
        <f t="shared" si="27"/>
        <v>540.0463279</v>
      </c>
      <c r="H113" s="58">
        <f t="shared" si="27"/>
        <v>480.0411803</v>
      </c>
      <c r="I113" s="58">
        <f t="shared" si="27"/>
        <v>480.0411803</v>
      </c>
      <c r="J113" s="58">
        <f t="shared" si="27"/>
        <v>483.231724</v>
      </c>
      <c r="K113" s="58">
        <f t="shared" si="27"/>
        <v>556.9405017</v>
      </c>
      <c r="L113" s="58">
        <f t="shared" si="27"/>
        <v>462.3646859</v>
      </c>
      <c r="M113" s="58">
        <f t="shared" si="27"/>
        <v>462.3646859</v>
      </c>
      <c r="N113" s="179">
        <f t="shared" si="27"/>
        <v>559.082063</v>
      </c>
    </row>
    <row r="114" ht="15.0" customHeight="1">
      <c r="A114" s="292" t="s">
        <v>109</v>
      </c>
      <c r="B114" s="293"/>
      <c r="C114" s="293"/>
      <c r="D114" s="293"/>
      <c r="E114" s="293"/>
      <c r="F114" s="293"/>
      <c r="G114" s="293"/>
      <c r="H114" s="293"/>
      <c r="I114" s="293"/>
      <c r="J114" s="293"/>
      <c r="K114" s="293"/>
      <c r="L114" s="293"/>
      <c r="M114" s="293"/>
      <c r="N114" s="83"/>
    </row>
    <row r="115" ht="15.0" customHeight="1">
      <c r="A115" s="59" t="s">
        <v>110</v>
      </c>
      <c r="B115" s="46">
        <f t="shared" ref="B115:M115" si="28">395</f>
        <v>395</v>
      </c>
      <c r="C115" s="46">
        <f t="shared" si="28"/>
        <v>395</v>
      </c>
      <c r="D115" s="46">
        <f t="shared" si="28"/>
        <v>395</v>
      </c>
      <c r="E115" s="46">
        <f t="shared" si="28"/>
        <v>395</v>
      </c>
      <c r="F115" s="46">
        <f t="shared" si="28"/>
        <v>395</v>
      </c>
      <c r="G115" s="46">
        <f t="shared" si="28"/>
        <v>395</v>
      </c>
      <c r="H115" s="46">
        <f t="shared" si="28"/>
        <v>395</v>
      </c>
      <c r="I115" s="46">
        <f t="shared" si="28"/>
        <v>395</v>
      </c>
      <c r="J115" s="46">
        <f t="shared" si="28"/>
        <v>395</v>
      </c>
      <c r="K115" s="46">
        <f t="shared" si="28"/>
        <v>395</v>
      </c>
      <c r="L115" s="46">
        <f t="shared" si="28"/>
        <v>395</v>
      </c>
      <c r="M115" s="46">
        <f t="shared" si="28"/>
        <v>395</v>
      </c>
      <c r="N115" s="17">
        <f t="shared" ref="N115:N120" si="30">SUM(B115:M115)</f>
        <v>4740</v>
      </c>
    </row>
    <row r="116" ht="15.0" customHeight="1">
      <c r="A116" s="60" t="s">
        <v>111</v>
      </c>
      <c r="B116" s="284">
        <f t="shared" ref="B116:M116" si="29">299+300</f>
        <v>599</v>
      </c>
      <c r="C116" s="284">
        <f t="shared" si="29"/>
        <v>599</v>
      </c>
      <c r="D116" s="284">
        <f t="shared" si="29"/>
        <v>599</v>
      </c>
      <c r="E116" s="284">
        <f t="shared" si="29"/>
        <v>599</v>
      </c>
      <c r="F116" s="284">
        <f t="shared" si="29"/>
        <v>599</v>
      </c>
      <c r="G116" s="284">
        <f t="shared" si="29"/>
        <v>599</v>
      </c>
      <c r="H116" s="284">
        <f t="shared" si="29"/>
        <v>599</v>
      </c>
      <c r="I116" s="284">
        <f t="shared" si="29"/>
        <v>599</v>
      </c>
      <c r="J116" s="284">
        <f t="shared" si="29"/>
        <v>599</v>
      </c>
      <c r="K116" s="284">
        <f t="shared" si="29"/>
        <v>599</v>
      </c>
      <c r="L116" s="284">
        <f t="shared" si="29"/>
        <v>599</v>
      </c>
      <c r="M116" s="284">
        <f t="shared" si="29"/>
        <v>599</v>
      </c>
      <c r="N116" s="17">
        <f t="shared" si="30"/>
        <v>7188</v>
      </c>
    </row>
    <row r="117" ht="15.0" customHeight="1">
      <c r="A117" s="59" t="s">
        <v>112</v>
      </c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17">
        <f t="shared" si="30"/>
        <v>0</v>
      </c>
    </row>
    <row r="118" ht="15.0" customHeight="1">
      <c r="A118" s="59" t="s">
        <v>161</v>
      </c>
      <c r="B118" s="87">
        <v>0.0</v>
      </c>
      <c r="C118" s="87">
        <v>0.0</v>
      </c>
      <c r="D118" s="87">
        <v>0.0</v>
      </c>
      <c r="E118" s="87">
        <v>0.0</v>
      </c>
      <c r="F118" s="87">
        <v>0.0</v>
      </c>
      <c r="G118" s="87">
        <v>0.0</v>
      </c>
      <c r="H118" s="87">
        <v>0.0</v>
      </c>
      <c r="I118" s="87">
        <v>0.0</v>
      </c>
      <c r="J118" s="87">
        <v>0.0</v>
      </c>
      <c r="K118" s="87">
        <v>0.0</v>
      </c>
      <c r="L118" s="87">
        <v>0.0</v>
      </c>
      <c r="M118" s="87">
        <v>0.0</v>
      </c>
      <c r="N118" s="17">
        <f t="shared" si="30"/>
        <v>0</v>
      </c>
    </row>
    <row r="119" ht="15.0" customHeight="1">
      <c r="A119" s="61" t="s">
        <v>113</v>
      </c>
      <c r="B119" s="87">
        <v>395.0</v>
      </c>
      <c r="C119" s="87">
        <v>395.0</v>
      </c>
      <c r="D119" s="87">
        <v>395.0</v>
      </c>
      <c r="E119" s="87">
        <v>395.0</v>
      </c>
      <c r="F119" s="87">
        <v>395.0</v>
      </c>
      <c r="G119" s="87">
        <v>395.0</v>
      </c>
      <c r="H119" s="87">
        <v>395.0</v>
      </c>
      <c r="I119" s="87">
        <v>395.0</v>
      </c>
      <c r="J119" s="87">
        <v>395.0</v>
      </c>
      <c r="K119" s="87">
        <v>395.0</v>
      </c>
      <c r="L119" s="87">
        <v>395.0</v>
      </c>
      <c r="M119" s="87">
        <v>395.0</v>
      </c>
      <c r="N119" s="17">
        <f t="shared" si="30"/>
        <v>4740</v>
      </c>
    </row>
    <row r="120" ht="15.0" customHeight="1">
      <c r="A120" s="132" t="s">
        <v>114</v>
      </c>
      <c r="B120" s="87">
        <v>1840.0</v>
      </c>
      <c r="C120" s="87">
        <v>1840.0</v>
      </c>
      <c r="D120" s="87">
        <v>1840.0</v>
      </c>
      <c r="E120" s="87">
        <v>1840.0</v>
      </c>
      <c r="F120" s="87">
        <v>1840.0</v>
      </c>
      <c r="G120" s="87">
        <v>1840.0</v>
      </c>
      <c r="H120" s="87">
        <v>1840.0</v>
      </c>
      <c r="I120" s="87">
        <v>1840.0</v>
      </c>
      <c r="J120" s="87">
        <v>1840.0</v>
      </c>
      <c r="K120" s="87">
        <v>1840.0</v>
      </c>
      <c r="L120" s="87">
        <v>1840.0</v>
      </c>
      <c r="M120" s="87">
        <v>1840.0</v>
      </c>
      <c r="N120" s="17">
        <f t="shared" si="30"/>
        <v>22080</v>
      </c>
    </row>
    <row r="121" ht="15.0" customHeight="1">
      <c r="A121" s="99" t="s">
        <v>23</v>
      </c>
      <c r="B121" s="63">
        <f t="shared" ref="B121:N121" si="31">SUM(B115:B120)</f>
        <v>3229</v>
      </c>
      <c r="C121" s="63">
        <f t="shared" si="31"/>
        <v>3229</v>
      </c>
      <c r="D121" s="63">
        <f t="shared" si="31"/>
        <v>3229</v>
      </c>
      <c r="E121" s="63">
        <f t="shared" si="31"/>
        <v>3229</v>
      </c>
      <c r="F121" s="63">
        <f t="shared" si="31"/>
        <v>3229</v>
      </c>
      <c r="G121" s="63">
        <f t="shared" si="31"/>
        <v>3229</v>
      </c>
      <c r="H121" s="63">
        <f t="shared" si="31"/>
        <v>3229</v>
      </c>
      <c r="I121" s="63">
        <f t="shared" si="31"/>
        <v>3229</v>
      </c>
      <c r="J121" s="63">
        <f t="shared" si="31"/>
        <v>3229</v>
      </c>
      <c r="K121" s="63">
        <f t="shared" si="31"/>
        <v>3229</v>
      </c>
      <c r="L121" s="63">
        <f t="shared" si="31"/>
        <v>3229</v>
      </c>
      <c r="M121" s="63">
        <f t="shared" si="31"/>
        <v>3229</v>
      </c>
      <c r="N121" s="63">
        <f t="shared" si="31"/>
        <v>38748</v>
      </c>
    </row>
    <row r="122" ht="15.0" customHeight="1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</row>
    <row r="123" ht="15.0" customHeight="1">
      <c r="A123" s="134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</row>
    <row r="124" ht="15.0" customHeight="1">
      <c r="A124" s="64" t="s">
        <v>115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</row>
    <row r="125" ht="15.0" customHeight="1">
      <c r="A125" s="64" t="s">
        <v>116</v>
      </c>
      <c r="B125" s="67">
        <f t="shared" ref="B125:M125" si="32">+B13*0.7+B21*0.7+B32*0.7+B52*0.6+B70+B107*0.6</f>
        <v>25600.75636</v>
      </c>
      <c r="C125" s="67">
        <f t="shared" si="32"/>
        <v>27866.43436</v>
      </c>
      <c r="D125" s="67">
        <f t="shared" si="32"/>
        <v>31911.82636</v>
      </c>
      <c r="E125" s="67">
        <f t="shared" si="32"/>
        <v>27711.82636</v>
      </c>
      <c r="F125" s="67">
        <f t="shared" si="32"/>
        <v>31911.82636</v>
      </c>
      <c r="G125" s="67">
        <f t="shared" si="32"/>
        <v>27711.82636</v>
      </c>
      <c r="H125" s="67">
        <f t="shared" si="32"/>
        <v>27711.82636</v>
      </c>
      <c r="I125" s="67">
        <f t="shared" si="32"/>
        <v>27711.82636</v>
      </c>
      <c r="J125" s="67">
        <f t="shared" si="32"/>
        <v>27912.83061</v>
      </c>
      <c r="K125" s="67">
        <f t="shared" si="32"/>
        <v>32232.83061</v>
      </c>
      <c r="L125" s="67">
        <f t="shared" si="32"/>
        <v>27912.83061</v>
      </c>
      <c r="M125" s="67">
        <f t="shared" si="32"/>
        <v>27912.83061</v>
      </c>
      <c r="N125" s="67">
        <f t="shared" ref="N125:N126" si="34">SUM(B125:M125)</f>
        <v>344109.4713</v>
      </c>
    </row>
    <row r="126" ht="15.0" customHeight="1">
      <c r="A126" s="64" t="s">
        <v>117</v>
      </c>
      <c r="B126" s="67">
        <f t="shared" ref="B126:M126" si="33">+B13*0.3+B21*0.3+B32*0.3+B52*0.4+B82+B90+B107*0.4</f>
        <v>14972.84987</v>
      </c>
      <c r="C126" s="67">
        <f t="shared" si="33"/>
        <v>15591.71187</v>
      </c>
      <c r="D126" s="67">
        <f t="shared" si="33"/>
        <v>17291.87987</v>
      </c>
      <c r="E126" s="67">
        <f t="shared" si="33"/>
        <v>15491.87987</v>
      </c>
      <c r="F126" s="67">
        <f t="shared" si="33"/>
        <v>17291.87987</v>
      </c>
      <c r="G126" s="67">
        <f t="shared" si="33"/>
        <v>15491.87987</v>
      </c>
      <c r="H126" s="67">
        <f t="shared" si="33"/>
        <v>15491.87987</v>
      </c>
      <c r="I126" s="67">
        <f t="shared" si="33"/>
        <v>15491.87987</v>
      </c>
      <c r="J126" s="67">
        <f t="shared" si="33"/>
        <v>15578.02455</v>
      </c>
      <c r="K126" s="67">
        <f t="shared" si="33"/>
        <v>17891.81455</v>
      </c>
      <c r="L126" s="67">
        <f t="shared" si="33"/>
        <v>16011.81455</v>
      </c>
      <c r="M126" s="67">
        <f t="shared" si="33"/>
        <v>16011.81455</v>
      </c>
      <c r="N126" s="67">
        <f t="shared" si="34"/>
        <v>192609.3091</v>
      </c>
    </row>
    <row r="127" ht="15.0" customHeight="1">
      <c r="A127" s="64" t="s">
        <v>23</v>
      </c>
      <c r="B127" s="67">
        <f t="shared" ref="B127:N127" si="35">SUM(B125:B126)</f>
        <v>40573.60623</v>
      </c>
      <c r="C127" s="67">
        <f t="shared" si="35"/>
        <v>43458.14623</v>
      </c>
      <c r="D127" s="67">
        <f t="shared" si="35"/>
        <v>49203.70623</v>
      </c>
      <c r="E127" s="67">
        <f t="shared" si="35"/>
        <v>43203.70623</v>
      </c>
      <c r="F127" s="67">
        <f t="shared" si="35"/>
        <v>49203.70623</v>
      </c>
      <c r="G127" s="67">
        <f t="shared" si="35"/>
        <v>43203.70623</v>
      </c>
      <c r="H127" s="67">
        <f t="shared" si="35"/>
        <v>43203.70623</v>
      </c>
      <c r="I127" s="67">
        <f t="shared" si="35"/>
        <v>43203.70623</v>
      </c>
      <c r="J127" s="67">
        <f t="shared" si="35"/>
        <v>43490.85516</v>
      </c>
      <c r="K127" s="67">
        <f t="shared" si="35"/>
        <v>50124.64516</v>
      </c>
      <c r="L127" s="67">
        <f t="shared" si="35"/>
        <v>43924.64516</v>
      </c>
      <c r="M127" s="67">
        <f t="shared" si="35"/>
        <v>43924.64516</v>
      </c>
      <c r="N127" s="67">
        <f t="shared" si="35"/>
        <v>536718.7805</v>
      </c>
    </row>
    <row r="128" ht="15.0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</row>
    <row r="129" ht="15.0" customHeight="1">
      <c r="A129" s="69" t="s">
        <v>118</v>
      </c>
      <c r="B129" s="70">
        <f t="shared" ref="B129:N129" si="36">+B109</f>
        <v>40573.60623</v>
      </c>
      <c r="C129" s="70">
        <f t="shared" si="36"/>
        <v>43458.14623</v>
      </c>
      <c r="D129" s="70">
        <f t="shared" si="36"/>
        <v>49203.70623</v>
      </c>
      <c r="E129" s="70">
        <f t="shared" si="36"/>
        <v>43203.70623</v>
      </c>
      <c r="F129" s="70">
        <f t="shared" si="36"/>
        <v>49203.70623</v>
      </c>
      <c r="G129" s="70">
        <f t="shared" si="36"/>
        <v>43203.70623</v>
      </c>
      <c r="H129" s="70">
        <f t="shared" si="36"/>
        <v>43203.70623</v>
      </c>
      <c r="I129" s="70">
        <f t="shared" si="36"/>
        <v>43203.70623</v>
      </c>
      <c r="J129" s="70">
        <f t="shared" si="36"/>
        <v>43490.85516</v>
      </c>
      <c r="K129" s="70">
        <f t="shared" si="36"/>
        <v>50124.64516</v>
      </c>
      <c r="L129" s="70">
        <f t="shared" si="36"/>
        <v>43924.64516</v>
      </c>
      <c r="M129" s="70">
        <f t="shared" si="36"/>
        <v>43924.64516</v>
      </c>
      <c r="N129" s="70">
        <f t="shared" si="36"/>
        <v>536718.7805</v>
      </c>
    </row>
    <row r="130" ht="15.0" customHeight="1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</row>
    <row r="131" ht="15.0" customHeight="1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</row>
    <row r="132" ht="15.0" customHeight="1">
      <c r="A132" s="134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</row>
    <row r="133" ht="15.0" customHeight="1">
      <c r="A133" s="134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</row>
    <row r="134" ht="15.0" customHeight="1">
      <c r="A134" s="134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</row>
    <row r="135" ht="15.0" customHeight="1">
      <c r="A135" s="134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</row>
    <row r="136" ht="15.0" customHeight="1">
      <c r="A136" s="134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</row>
    <row r="137" ht="15.0" customHeight="1">
      <c r="A137" s="134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</row>
    <row r="138" ht="15.0" customHeight="1">
      <c r="A138" s="134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</row>
    <row r="139" ht="15.0" customHeight="1">
      <c r="A139" s="134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</row>
    <row r="140" ht="15.0" customHeight="1">
      <c r="A140" s="134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</row>
    <row r="141" ht="15.0" customHeight="1">
      <c r="A141" s="134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</row>
    <row r="142" ht="15.0" customHeight="1">
      <c r="A142" s="134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</row>
    <row r="143" ht="15.0" customHeight="1">
      <c r="A143" s="134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</row>
    <row r="144" ht="15.0" customHeight="1">
      <c r="A144" s="134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</row>
    <row r="145" ht="15.0" customHeight="1">
      <c r="A145" s="134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</row>
    <row r="146" ht="15.0" customHeight="1">
      <c r="A146" s="134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</row>
    <row r="147" ht="15.0" customHeight="1">
      <c r="A147" s="134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</row>
    <row r="148" ht="15.0" customHeight="1">
      <c r="A148" s="134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</row>
    <row r="149" ht="15.0" customHeight="1">
      <c r="A149" s="134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</row>
    <row r="150" ht="15.0" customHeight="1">
      <c r="A150" s="134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</row>
    <row r="151" ht="15.0" customHeight="1">
      <c r="A151" s="134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</row>
    <row r="152" ht="15.0" customHeight="1">
      <c r="A152" s="134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</row>
    <row r="153" ht="15.0" customHeight="1">
      <c r="A153" s="134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</row>
    <row r="154" ht="15.0" customHeight="1">
      <c r="A154" s="134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</row>
    <row r="155" ht="15.0" customHeight="1">
      <c r="A155" s="134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</row>
    <row r="156" ht="15.0" customHeight="1">
      <c r="A156" s="134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</row>
    <row r="157" ht="15.0" customHeight="1">
      <c r="A157" s="134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</row>
    <row r="158" ht="15.0" customHeight="1">
      <c r="A158" s="134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</row>
    <row r="159" ht="15.0" customHeight="1">
      <c r="A159" s="134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</row>
    <row r="160" ht="15.0" customHeight="1">
      <c r="A160" s="134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</row>
    <row r="161" ht="15.0" customHeight="1">
      <c r="A161" s="134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</row>
    <row r="162" ht="15.0" customHeight="1">
      <c r="A162" s="134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</row>
    <row r="163" ht="15.0" customHeight="1">
      <c r="A163" s="134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</row>
    <row r="164" ht="15.0" customHeight="1">
      <c r="A164" s="134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</row>
    <row r="165" ht="15.0" customHeight="1">
      <c r="A165" s="134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</row>
    <row r="166" ht="15.0" customHeight="1">
      <c r="A166" s="134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</row>
    <row r="167" ht="15.0" customHeight="1">
      <c r="A167" s="134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</row>
    <row r="168" ht="15.0" customHeight="1">
      <c r="A168" s="134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</row>
    <row r="169" ht="15.0" customHeight="1">
      <c r="A169" s="134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</row>
    <row r="170" ht="15.0" customHeight="1">
      <c r="A170" s="134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</row>
    <row r="171" ht="15.0" customHeight="1">
      <c r="A171" s="134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</row>
    <row r="172" ht="15.0" customHeight="1">
      <c r="A172" s="134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</row>
    <row r="173" ht="15.0" customHeight="1">
      <c r="A173" s="134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</row>
    <row r="174" ht="15.0" customHeight="1">
      <c r="A174" s="134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</row>
    <row r="175" ht="15.0" customHeight="1">
      <c r="A175" s="134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</row>
    <row r="176" ht="15.0" customHeight="1">
      <c r="A176" s="134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</row>
    <row r="177" ht="15.0" customHeight="1">
      <c r="A177" s="134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</row>
    <row r="178" ht="15.0" customHeight="1">
      <c r="A178" s="134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</row>
    <row r="179" ht="15.0" customHeight="1">
      <c r="A179" s="134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</row>
    <row r="180" ht="15.0" customHeight="1">
      <c r="A180" s="134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</row>
    <row r="181" ht="15.0" customHeight="1">
      <c r="A181" s="134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</row>
    <row r="182" ht="15.0" customHeight="1">
      <c r="A182" s="134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</row>
    <row r="183" ht="15.0" customHeight="1">
      <c r="A183" s="134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</row>
    <row r="184" ht="15.0" customHeight="1">
      <c r="A184" s="134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</row>
    <row r="185" ht="15.0" customHeight="1">
      <c r="A185" s="134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</row>
    <row r="186" ht="15.0" customHeight="1">
      <c r="A186" s="134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</row>
    <row r="187" ht="15.0" customHeight="1">
      <c r="A187" s="134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</row>
    <row r="188" ht="15.0" customHeight="1">
      <c r="A188" s="134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</row>
    <row r="189" ht="15.0" customHeight="1">
      <c r="A189" s="134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</row>
    <row r="190" ht="15.0" customHeight="1">
      <c r="A190" s="134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</row>
    <row r="191" ht="15.0" customHeight="1">
      <c r="A191" s="134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</row>
    <row r="192" ht="15.0" customHeight="1">
      <c r="A192" s="134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</row>
    <row r="193" ht="15.0" customHeight="1">
      <c r="A193" s="134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</row>
    <row r="194" ht="15.0" customHeight="1">
      <c r="A194" s="134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</row>
    <row r="195" ht="15.0" customHeight="1">
      <c r="A195" s="134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</row>
    <row r="196" ht="15.0" customHeight="1">
      <c r="A196" s="134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</row>
    <row r="197" ht="15.0" customHeight="1">
      <c r="A197" s="134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</row>
    <row r="198" ht="15.0" customHeight="1">
      <c r="A198" s="134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</row>
    <row r="199" ht="15.0" customHeight="1">
      <c r="A199" s="134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</row>
    <row r="200" ht="15.0" customHeight="1">
      <c r="A200" s="134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</row>
    <row r="201" ht="15.0" customHeight="1">
      <c r="A201" s="134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</row>
    <row r="202" ht="15.0" customHeight="1">
      <c r="A202" s="134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</row>
    <row r="203" ht="15.0" customHeight="1">
      <c r="A203" s="134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</row>
    <row r="204" ht="15.0" customHeight="1">
      <c r="A204" s="134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</row>
    <row r="205" ht="15.0" customHeight="1">
      <c r="A205" s="134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</row>
    <row r="206" ht="15.0" customHeight="1">
      <c r="A206" s="134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</row>
    <row r="207" ht="15.0" customHeight="1">
      <c r="A207" s="134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</row>
    <row r="208" ht="15.0" customHeight="1">
      <c r="A208" s="134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</row>
    <row r="209" ht="15.0" customHeight="1">
      <c r="A209" s="134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</row>
    <row r="210" ht="15.0" customHeight="1">
      <c r="A210" s="134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</row>
    <row r="211" ht="15.0" customHeight="1">
      <c r="A211" s="134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</row>
    <row r="212" ht="15.0" customHeight="1">
      <c r="A212" s="134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</row>
    <row r="213" ht="15.0" customHeight="1">
      <c r="A213" s="134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</row>
    <row r="214" ht="15.0" customHeight="1">
      <c r="A214" s="134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</row>
    <row r="215" ht="15.0" customHeight="1">
      <c r="A215" s="134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</row>
    <row r="216" ht="15.0" customHeight="1">
      <c r="A216" s="134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</row>
    <row r="217" ht="15.0" customHeight="1">
      <c r="A217" s="134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</row>
    <row r="218" ht="15.0" customHeight="1">
      <c r="A218" s="134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</row>
    <row r="219" ht="15.0" customHeight="1">
      <c r="A219" s="134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</row>
    <row r="220" ht="15.0" customHeight="1">
      <c r="A220" s="134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</row>
    <row r="221" ht="15.0" customHeight="1">
      <c r="A221" s="134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</row>
    <row r="222" ht="15.0" customHeight="1">
      <c r="A222" s="134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</row>
    <row r="223" ht="15.0" customHeight="1">
      <c r="A223" s="134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</row>
    <row r="224" ht="15.0" customHeight="1">
      <c r="A224" s="134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</row>
    <row r="225" ht="15.0" customHeight="1">
      <c r="A225" s="134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</row>
    <row r="226" ht="15.0" customHeight="1">
      <c r="A226" s="134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</row>
    <row r="227" ht="15.0" customHeight="1">
      <c r="A227" s="134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</row>
    <row r="228" ht="15.0" customHeight="1">
      <c r="A228" s="134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</row>
    <row r="229" ht="15.0" customHeight="1">
      <c r="A229" s="134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</row>
    <row r="230" ht="15.0" customHeight="1">
      <c r="A230" s="134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</row>
    <row r="231" ht="15.0" customHeight="1">
      <c r="A231" s="134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</row>
    <row r="232" ht="15.0" customHeight="1">
      <c r="A232" s="134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</row>
    <row r="233" ht="15.0" customHeight="1">
      <c r="A233" s="134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</row>
    <row r="234" ht="15.0" customHeight="1">
      <c r="A234" s="134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</row>
    <row r="235" ht="15.0" customHeight="1">
      <c r="A235" s="134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</row>
    <row r="236" ht="15.0" customHeight="1">
      <c r="A236" s="134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</row>
    <row r="237" ht="15.0" customHeight="1">
      <c r="A237" s="134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</row>
    <row r="238" ht="15.0" customHeight="1">
      <c r="A238" s="134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</row>
    <row r="239" ht="15.0" customHeight="1">
      <c r="A239" s="134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</row>
    <row r="240" ht="15.0" customHeight="1">
      <c r="A240" s="134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</row>
    <row r="241" ht="15.0" customHeight="1">
      <c r="A241" s="134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</row>
    <row r="242" ht="15.0" customHeight="1">
      <c r="A242" s="134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</row>
    <row r="243" ht="15.0" customHeight="1">
      <c r="A243" s="134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</row>
    <row r="244" ht="15.0" customHeight="1">
      <c r="A244" s="134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</row>
    <row r="245" ht="15.0" customHeight="1">
      <c r="A245" s="134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</row>
    <row r="246" ht="15.0" customHeight="1">
      <c r="A246" s="134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</row>
    <row r="247" ht="15.0" customHeight="1">
      <c r="A247" s="134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</row>
    <row r="248" ht="15.0" customHeight="1">
      <c r="A248" s="134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</row>
    <row r="249" ht="15.0" customHeight="1">
      <c r="A249" s="134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</row>
    <row r="250" ht="15.0" customHeight="1">
      <c r="A250" s="134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</row>
    <row r="251" ht="15.0" customHeight="1">
      <c r="A251" s="134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</row>
    <row r="252" ht="15.0" customHeight="1">
      <c r="A252" s="134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</row>
    <row r="253" ht="15.0" customHeight="1">
      <c r="A253" s="134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</row>
    <row r="254" ht="15.0" customHeight="1">
      <c r="A254" s="134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</row>
    <row r="255" ht="15.0" customHeight="1">
      <c r="A255" s="134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</row>
    <row r="256" ht="15.0" customHeight="1">
      <c r="A256" s="134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</row>
    <row r="257" ht="15.0" customHeight="1">
      <c r="A257" s="134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</row>
    <row r="258" ht="15.0" customHeight="1">
      <c r="A258" s="134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</row>
    <row r="259" ht="15.0" customHeight="1">
      <c r="A259" s="134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</row>
    <row r="260" ht="15.0" customHeight="1">
      <c r="A260" s="134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</row>
    <row r="261" ht="15.0" customHeight="1">
      <c r="A261" s="134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</row>
    <row r="262" ht="15.0" customHeight="1">
      <c r="A262" s="134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</row>
    <row r="263" ht="15.0" customHeight="1">
      <c r="A263" s="134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</row>
    <row r="264" ht="15.0" customHeight="1">
      <c r="A264" s="134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</row>
    <row r="265" ht="15.0" customHeight="1">
      <c r="A265" s="134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</row>
    <row r="266" ht="15.0" customHeight="1">
      <c r="A266" s="134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</row>
    <row r="267" ht="15.0" customHeight="1">
      <c r="A267" s="134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</row>
    <row r="268" ht="15.0" customHeight="1">
      <c r="A268" s="134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</row>
    <row r="269" ht="15.0" customHeight="1">
      <c r="A269" s="134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</row>
    <row r="270" ht="15.0" customHeight="1">
      <c r="A270" s="134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</row>
    <row r="271" ht="15.0" customHeight="1">
      <c r="A271" s="134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</row>
    <row r="272" ht="15.0" customHeight="1">
      <c r="A272" s="134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</row>
    <row r="273" ht="15.0" customHeight="1">
      <c r="A273" s="134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</row>
    <row r="274" ht="15.0" customHeight="1">
      <c r="A274" s="134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</row>
    <row r="275" ht="15.0" customHeight="1">
      <c r="A275" s="134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</row>
    <row r="276" ht="15.0" customHeight="1">
      <c r="A276" s="134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</row>
    <row r="277" ht="15.0" customHeight="1">
      <c r="A277" s="134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</row>
    <row r="278" ht="15.0" customHeight="1">
      <c r="A278" s="134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</row>
    <row r="279" ht="15.0" customHeight="1">
      <c r="A279" s="134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</row>
    <row r="280" ht="15.0" customHeight="1">
      <c r="A280" s="134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</row>
    <row r="281" ht="15.0" customHeight="1">
      <c r="A281" s="134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</row>
    <row r="282" ht="15.0" customHeight="1">
      <c r="A282" s="134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</row>
    <row r="283" ht="15.0" customHeight="1">
      <c r="A283" s="134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</row>
    <row r="284" ht="15.0" customHeight="1">
      <c r="A284" s="134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</row>
    <row r="285" ht="15.0" customHeight="1">
      <c r="A285" s="134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</row>
    <row r="286" ht="15.0" customHeight="1">
      <c r="A286" s="134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</row>
    <row r="287" ht="15.0" customHeight="1">
      <c r="A287" s="134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</row>
    <row r="288" ht="15.0" customHeight="1">
      <c r="A288" s="134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</row>
    <row r="289" ht="15.0" customHeight="1">
      <c r="A289" s="134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</row>
    <row r="290" ht="15.0" customHeight="1">
      <c r="A290" s="134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</row>
    <row r="291" ht="15.0" customHeight="1">
      <c r="A291" s="134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</row>
    <row r="292" ht="15.0" customHeight="1">
      <c r="A292" s="134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</row>
    <row r="293" ht="15.0" customHeight="1">
      <c r="A293" s="134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</row>
    <row r="294" ht="15.0" customHeight="1">
      <c r="A294" s="134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</row>
    <row r="295" ht="15.0" customHeight="1">
      <c r="A295" s="134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</row>
    <row r="296" ht="15.0" customHeight="1">
      <c r="A296" s="134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</row>
    <row r="297" ht="15.0" customHeight="1">
      <c r="A297" s="134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</row>
    <row r="298" ht="15.0" customHeight="1">
      <c r="A298" s="134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</row>
    <row r="299" ht="15.0" customHeight="1">
      <c r="A299" s="134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</row>
    <row r="300" ht="15.0" customHeight="1">
      <c r="A300" s="134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</row>
    <row r="301" ht="15.0" customHeight="1">
      <c r="A301" s="134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</row>
    <row r="302" ht="15.0" customHeight="1">
      <c r="A302" s="134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</row>
    <row r="303" ht="15.0" customHeight="1">
      <c r="A303" s="134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</row>
    <row r="304" ht="15.0" customHeight="1">
      <c r="A304" s="134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</row>
    <row r="305" ht="15.0" customHeight="1">
      <c r="A305" s="134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</row>
    <row r="306" ht="15.0" customHeight="1">
      <c r="A306" s="134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</row>
    <row r="307" ht="15.0" customHeight="1">
      <c r="A307" s="134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</row>
    <row r="308" ht="15.0" customHeight="1">
      <c r="A308" s="134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</row>
    <row r="309" ht="15.0" customHeight="1">
      <c r="A309" s="134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</row>
    <row r="310" ht="15.0" customHeight="1">
      <c r="A310" s="134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</row>
    <row r="311" ht="15.0" customHeight="1">
      <c r="A311" s="134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</row>
    <row r="312" ht="15.0" customHeight="1">
      <c r="A312" s="134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</row>
    <row r="313" ht="15.0" customHeight="1">
      <c r="A313" s="134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</row>
    <row r="314" ht="15.0" customHeight="1">
      <c r="A314" s="134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</row>
    <row r="315" ht="15.0" customHeight="1">
      <c r="A315" s="134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</row>
    <row r="316" ht="15.0" customHeight="1">
      <c r="A316" s="134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</row>
    <row r="317" ht="15.0" customHeight="1">
      <c r="A317" s="134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</row>
    <row r="318" ht="15.0" customHeight="1">
      <c r="A318" s="134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</row>
    <row r="319" ht="15.0" customHeight="1">
      <c r="A319" s="134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</row>
    <row r="320" ht="15.0" customHeight="1">
      <c r="A320" s="134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</row>
    <row r="321" ht="15.0" customHeight="1">
      <c r="A321" s="134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</row>
    <row r="322" ht="15.0" customHeight="1">
      <c r="A322" s="134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</row>
    <row r="323" ht="15.0" customHeight="1">
      <c r="A323" s="134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</row>
    <row r="324" ht="15.0" customHeight="1">
      <c r="A324" s="134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</row>
    <row r="325" ht="15.0" customHeight="1">
      <c r="A325" s="134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</row>
    <row r="326" ht="15.0" customHeight="1">
      <c r="A326" s="134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</row>
    <row r="327" ht="15.0" customHeight="1">
      <c r="A327" s="134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</row>
    <row r="328" ht="15.0" customHeight="1">
      <c r="A328" s="134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</row>
    <row r="329" ht="15.0" customHeight="1">
      <c r="A329" s="134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</row>
    <row r="330" ht="15.0" customHeight="1">
      <c r="A330" s="134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</row>
    <row r="331" ht="15.0" customHeight="1">
      <c r="A331" s="134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</row>
    <row r="332" ht="15.0" customHeight="1">
      <c r="A332" s="134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</row>
    <row r="333" ht="15.0" customHeight="1">
      <c r="A333" s="134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</row>
    <row r="334" ht="15.0" customHeight="1">
      <c r="A334" s="134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</row>
    <row r="335" ht="15.0" customHeight="1">
      <c r="A335" s="134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</row>
    <row r="336" ht="15.0" customHeight="1">
      <c r="A336" s="134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</row>
    <row r="337" ht="15.0" customHeight="1">
      <c r="A337" s="134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</row>
    <row r="338" ht="15.0" customHeight="1">
      <c r="A338" s="134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</row>
    <row r="339" ht="15.0" customHeight="1">
      <c r="A339" s="134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</row>
    <row r="340" ht="15.0" customHeight="1">
      <c r="A340" s="134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</row>
    <row r="341" ht="15.0" customHeight="1">
      <c r="A341" s="134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</row>
    <row r="342" ht="15.0" customHeight="1">
      <c r="A342" s="134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</row>
    <row r="343" ht="15.0" customHeight="1">
      <c r="A343" s="134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</row>
    <row r="344" ht="15.0" customHeight="1">
      <c r="A344" s="134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</row>
    <row r="345" ht="15.0" customHeight="1">
      <c r="A345" s="134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</row>
    <row r="346" ht="15.0" customHeight="1">
      <c r="A346" s="134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</row>
    <row r="347" ht="15.0" customHeight="1">
      <c r="A347" s="134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</row>
    <row r="348" ht="15.0" customHeight="1">
      <c r="A348" s="134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</row>
    <row r="349" ht="15.0" customHeight="1">
      <c r="A349" s="134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</row>
    <row r="350" ht="15.0" customHeight="1">
      <c r="A350" s="134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</row>
    <row r="351" ht="15.0" customHeight="1">
      <c r="A351" s="134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</row>
    <row r="352" ht="15.0" customHeight="1">
      <c r="A352" s="134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</row>
    <row r="353" ht="15.0" customHeight="1">
      <c r="A353" s="134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</row>
    <row r="354" ht="15.0" customHeight="1">
      <c r="A354" s="134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</row>
    <row r="355" ht="15.0" customHeight="1">
      <c r="A355" s="134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</row>
    <row r="356" ht="15.0" customHeight="1">
      <c r="A356" s="134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</row>
    <row r="357" ht="15.0" customHeight="1">
      <c r="A357" s="134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</row>
    <row r="358" ht="15.0" customHeight="1">
      <c r="A358" s="134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</row>
    <row r="359" ht="15.0" customHeight="1">
      <c r="A359" s="134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</row>
    <row r="360" ht="15.0" customHeight="1">
      <c r="A360" s="134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</row>
    <row r="361" ht="15.0" customHeight="1">
      <c r="A361" s="134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</row>
    <row r="362" ht="15.0" customHeight="1">
      <c r="A362" s="134"/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</row>
    <row r="363" ht="15.0" customHeight="1">
      <c r="A363" s="134"/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</row>
    <row r="364" ht="15.0" customHeight="1">
      <c r="A364" s="134"/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</row>
    <row r="365" ht="15.0" customHeight="1">
      <c r="A365" s="134"/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</row>
    <row r="366" ht="15.0" customHeight="1">
      <c r="A366" s="134"/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</row>
    <row r="367" ht="15.0" customHeight="1">
      <c r="A367" s="134"/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</row>
    <row r="368" ht="15.0" customHeight="1">
      <c r="A368" s="134"/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</row>
    <row r="369" ht="15.0" customHeight="1">
      <c r="A369" s="134"/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</row>
    <row r="370" ht="15.0" customHeight="1">
      <c r="A370" s="134"/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</row>
    <row r="371" ht="15.0" customHeight="1">
      <c r="A371" s="134"/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</row>
    <row r="372" ht="15.0" customHeight="1">
      <c r="A372" s="134"/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</row>
    <row r="373" ht="15.0" customHeight="1">
      <c r="A373" s="134"/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</row>
    <row r="374" ht="15.0" customHeight="1">
      <c r="A374" s="134"/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</row>
    <row r="375" ht="15.0" customHeight="1">
      <c r="A375" s="134"/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</row>
    <row r="376" ht="15.0" customHeight="1">
      <c r="A376" s="134"/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</row>
    <row r="377" ht="15.0" customHeight="1">
      <c r="A377" s="134"/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</row>
    <row r="378" ht="15.0" customHeight="1">
      <c r="A378" s="134"/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</row>
    <row r="379" ht="15.0" customHeight="1">
      <c r="A379" s="134"/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</row>
    <row r="380" ht="15.0" customHeight="1">
      <c r="A380" s="134"/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</row>
    <row r="381" ht="15.0" customHeight="1">
      <c r="A381" s="134"/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</row>
    <row r="382" ht="15.0" customHeight="1">
      <c r="A382" s="134"/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</row>
    <row r="383" ht="15.0" customHeight="1">
      <c r="A383" s="134"/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</row>
    <row r="384" ht="15.0" customHeight="1">
      <c r="A384" s="134"/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</row>
    <row r="385" ht="15.0" customHeight="1">
      <c r="A385" s="134"/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</row>
    <row r="386" ht="15.0" customHeight="1">
      <c r="A386" s="134"/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</row>
    <row r="387" ht="15.0" customHeight="1">
      <c r="A387" s="134"/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</row>
    <row r="388" ht="15.0" customHeight="1">
      <c r="A388" s="134"/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</row>
    <row r="389" ht="15.0" customHeight="1">
      <c r="A389" s="134"/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</row>
    <row r="390" ht="15.0" customHeight="1">
      <c r="A390" s="134"/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</row>
    <row r="391" ht="15.0" customHeight="1">
      <c r="A391" s="134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</row>
    <row r="392" ht="15.0" customHeight="1">
      <c r="A392" s="134"/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</row>
    <row r="393" ht="15.0" customHeight="1">
      <c r="A393" s="134"/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</row>
    <row r="394" ht="15.0" customHeight="1">
      <c r="A394" s="134"/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</row>
    <row r="395" ht="15.0" customHeight="1">
      <c r="A395" s="134"/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</row>
    <row r="396" ht="15.0" customHeight="1">
      <c r="A396" s="134"/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</row>
    <row r="397" ht="15.0" customHeight="1">
      <c r="A397" s="134"/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</row>
    <row r="398" ht="15.0" customHeight="1">
      <c r="A398" s="134"/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</row>
    <row r="399" ht="15.0" customHeight="1">
      <c r="A399" s="134"/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</row>
    <row r="400" ht="15.0" customHeight="1">
      <c r="A400" s="134"/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</row>
    <row r="401" ht="15.0" customHeight="1">
      <c r="A401" s="134"/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</row>
    <row r="402" ht="15.0" customHeight="1">
      <c r="A402" s="134"/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</row>
    <row r="403" ht="15.0" customHeight="1">
      <c r="A403" s="134"/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</row>
    <row r="404" ht="15.0" customHeight="1">
      <c r="A404" s="134"/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</row>
    <row r="405" ht="15.0" customHeight="1">
      <c r="A405" s="134"/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</row>
    <row r="406" ht="15.0" customHeight="1">
      <c r="A406" s="134"/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</row>
    <row r="407" ht="15.0" customHeight="1">
      <c r="A407" s="134"/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</row>
    <row r="408" ht="15.0" customHeight="1">
      <c r="A408" s="134"/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</row>
    <row r="409" ht="15.0" customHeight="1">
      <c r="A409" s="134"/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</row>
    <row r="410" ht="15.0" customHeight="1">
      <c r="A410" s="134"/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</row>
    <row r="411" ht="15.0" customHeight="1">
      <c r="A411" s="134"/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</row>
    <row r="412" ht="15.0" customHeight="1">
      <c r="A412" s="134"/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</row>
    <row r="413" ht="15.0" customHeight="1">
      <c r="A413" s="134"/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</row>
    <row r="414" ht="15.0" customHeight="1">
      <c r="A414" s="134"/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</row>
    <row r="415" ht="15.0" customHeight="1">
      <c r="A415" s="134"/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</row>
    <row r="416" ht="15.0" customHeight="1">
      <c r="A416" s="134"/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</row>
    <row r="417" ht="15.0" customHeight="1">
      <c r="A417" s="134"/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</row>
    <row r="418" ht="15.0" customHeight="1">
      <c r="A418" s="134"/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</row>
    <row r="419" ht="15.0" customHeight="1">
      <c r="A419" s="134"/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</row>
    <row r="420" ht="15.0" customHeight="1">
      <c r="A420" s="134"/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</row>
    <row r="421" ht="15.0" customHeight="1">
      <c r="A421" s="134"/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</row>
    <row r="422" ht="15.0" customHeight="1">
      <c r="A422" s="134"/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</row>
    <row r="423" ht="15.0" customHeight="1">
      <c r="A423" s="134"/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</row>
    <row r="424" ht="15.0" customHeight="1">
      <c r="A424" s="134"/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</row>
    <row r="425" ht="15.0" customHeight="1">
      <c r="A425" s="134"/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</row>
    <row r="426" ht="15.0" customHeight="1">
      <c r="A426" s="134"/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</row>
    <row r="427" ht="15.0" customHeight="1">
      <c r="A427" s="134"/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</row>
    <row r="428" ht="15.0" customHeight="1">
      <c r="A428" s="134"/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</row>
    <row r="429" ht="15.0" customHeight="1">
      <c r="A429" s="134"/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</row>
    <row r="430" ht="15.0" customHeight="1">
      <c r="A430" s="134"/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</row>
    <row r="431" ht="15.0" customHeight="1">
      <c r="A431" s="134"/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</row>
    <row r="432" ht="15.0" customHeight="1">
      <c r="A432" s="134"/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</row>
    <row r="433" ht="15.0" customHeight="1">
      <c r="A433" s="134"/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</row>
    <row r="434" ht="15.0" customHeight="1">
      <c r="A434" s="134"/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</row>
    <row r="435" ht="15.0" customHeight="1">
      <c r="A435" s="134"/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</row>
    <row r="436" ht="15.0" customHeight="1">
      <c r="A436" s="134"/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</row>
    <row r="437" ht="15.0" customHeight="1">
      <c r="A437" s="134"/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</row>
    <row r="438" ht="15.0" customHeight="1">
      <c r="A438" s="134"/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</row>
    <row r="439" ht="15.0" customHeight="1">
      <c r="A439" s="134"/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</row>
    <row r="440" ht="15.0" customHeight="1">
      <c r="A440" s="134"/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</row>
    <row r="441" ht="15.0" customHeight="1">
      <c r="A441" s="134"/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</row>
    <row r="442" ht="15.0" customHeight="1">
      <c r="A442" s="134"/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</row>
    <row r="443" ht="15.0" customHeight="1">
      <c r="A443" s="134"/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</row>
    <row r="444" ht="15.0" customHeight="1">
      <c r="A444" s="134"/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</row>
    <row r="445" ht="15.0" customHeight="1">
      <c r="A445" s="134"/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</row>
    <row r="446" ht="15.0" customHeight="1">
      <c r="A446" s="134"/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</row>
    <row r="447" ht="15.0" customHeight="1">
      <c r="A447" s="134"/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</row>
    <row r="448" ht="15.0" customHeight="1">
      <c r="A448" s="134"/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</row>
    <row r="449" ht="15.0" customHeight="1">
      <c r="A449" s="134"/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</row>
    <row r="450" ht="15.0" customHeight="1">
      <c r="A450" s="134"/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</row>
    <row r="451" ht="15.0" customHeight="1">
      <c r="A451" s="134"/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</row>
    <row r="452" ht="15.0" customHeight="1">
      <c r="A452" s="134"/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</row>
    <row r="453" ht="15.0" customHeight="1">
      <c r="A453" s="134"/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</row>
    <row r="454" ht="15.0" customHeight="1">
      <c r="A454" s="134"/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</row>
    <row r="455" ht="15.0" customHeight="1">
      <c r="A455" s="134"/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</row>
    <row r="456" ht="15.0" customHeight="1">
      <c r="A456" s="134"/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</row>
    <row r="457" ht="15.0" customHeight="1">
      <c r="A457" s="134"/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</row>
    <row r="458" ht="15.0" customHeight="1">
      <c r="A458" s="134"/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</row>
    <row r="459" ht="15.0" customHeight="1">
      <c r="A459" s="134"/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</row>
    <row r="460" ht="15.0" customHeight="1">
      <c r="A460" s="134"/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</row>
    <row r="461" ht="15.0" customHeight="1">
      <c r="A461" s="134"/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</row>
    <row r="462" ht="15.0" customHeight="1">
      <c r="A462" s="134"/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</row>
    <row r="463" ht="15.0" customHeight="1">
      <c r="A463" s="134"/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</row>
    <row r="464" ht="15.0" customHeight="1">
      <c r="A464" s="134"/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</row>
    <row r="465" ht="15.0" customHeight="1">
      <c r="A465" s="134"/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</row>
    <row r="466" ht="15.0" customHeight="1">
      <c r="A466" s="134"/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</row>
    <row r="467" ht="15.0" customHeight="1">
      <c r="A467" s="134"/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</row>
    <row r="468" ht="15.0" customHeight="1">
      <c r="A468" s="134"/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</row>
    <row r="469" ht="15.0" customHeight="1">
      <c r="A469" s="134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</row>
    <row r="470" ht="15.0" customHeight="1">
      <c r="A470" s="134"/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</row>
    <row r="471" ht="15.0" customHeight="1">
      <c r="A471" s="134"/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</row>
    <row r="472" ht="15.0" customHeight="1">
      <c r="A472" s="134"/>
      <c r="B472" s="135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</row>
    <row r="473" ht="15.0" customHeight="1">
      <c r="A473" s="134"/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</row>
    <row r="474" ht="15.0" customHeight="1">
      <c r="A474" s="134"/>
      <c r="B474" s="135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</row>
    <row r="475" ht="15.0" customHeight="1">
      <c r="A475" s="134"/>
      <c r="B475" s="135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</row>
    <row r="476" ht="15.0" customHeight="1">
      <c r="A476" s="134"/>
      <c r="B476" s="135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</row>
    <row r="477" ht="15.0" customHeight="1">
      <c r="A477" s="134"/>
      <c r="B477" s="135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</row>
    <row r="478" ht="15.0" customHeight="1">
      <c r="A478" s="134"/>
      <c r="B478" s="135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</row>
    <row r="479" ht="15.0" customHeight="1">
      <c r="A479" s="134"/>
      <c r="B479" s="135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</row>
    <row r="480" ht="15.0" customHeight="1">
      <c r="A480" s="134"/>
      <c r="B480" s="135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</row>
    <row r="481" ht="15.0" customHeight="1">
      <c r="A481" s="134"/>
      <c r="B481" s="135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</row>
    <row r="482" ht="15.0" customHeight="1">
      <c r="A482" s="134"/>
      <c r="B482" s="135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</row>
    <row r="483" ht="15.0" customHeight="1">
      <c r="A483" s="134"/>
      <c r="B483" s="135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</row>
    <row r="484" ht="15.0" customHeight="1">
      <c r="A484" s="134"/>
      <c r="B484" s="135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</row>
    <row r="485" ht="15.0" customHeight="1">
      <c r="A485" s="134"/>
      <c r="B485" s="135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</row>
    <row r="486" ht="15.0" customHeight="1">
      <c r="A486" s="134"/>
      <c r="B486" s="135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</row>
    <row r="487" ht="15.0" customHeight="1">
      <c r="A487" s="134"/>
      <c r="B487" s="135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</row>
    <row r="488" ht="15.0" customHeight="1">
      <c r="A488" s="134"/>
      <c r="B488" s="135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</row>
    <row r="489" ht="15.0" customHeight="1">
      <c r="A489" s="134"/>
      <c r="B489" s="135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</row>
    <row r="490" ht="15.0" customHeight="1">
      <c r="A490" s="134"/>
      <c r="B490" s="135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</row>
    <row r="491" ht="15.0" customHeight="1">
      <c r="A491" s="134"/>
      <c r="B491" s="135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</row>
    <row r="492" ht="15.0" customHeight="1">
      <c r="A492" s="134"/>
      <c r="B492" s="135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</row>
    <row r="493" ht="15.0" customHeight="1">
      <c r="A493" s="134"/>
      <c r="B493" s="135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</row>
    <row r="494" ht="15.0" customHeight="1">
      <c r="A494" s="134"/>
      <c r="B494" s="135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</row>
    <row r="495" ht="15.0" customHeight="1">
      <c r="A495" s="134"/>
      <c r="B495" s="135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</row>
    <row r="496" ht="15.0" customHeight="1">
      <c r="A496" s="134"/>
      <c r="B496" s="135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</row>
    <row r="497" ht="15.0" customHeight="1">
      <c r="A497" s="134"/>
      <c r="B497" s="135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</row>
    <row r="498" ht="15.0" customHeight="1">
      <c r="A498" s="134"/>
      <c r="B498" s="135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</row>
    <row r="499" ht="15.0" customHeight="1">
      <c r="A499" s="134"/>
      <c r="B499" s="135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</row>
    <row r="500" ht="15.0" customHeight="1">
      <c r="A500" s="134"/>
      <c r="B500" s="135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</row>
    <row r="501" ht="15.0" customHeight="1">
      <c r="A501" s="134"/>
      <c r="B501" s="135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</row>
    <row r="502" ht="15.0" customHeight="1">
      <c r="A502" s="134"/>
      <c r="B502" s="135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</row>
    <row r="503" ht="15.0" customHeight="1">
      <c r="A503" s="134"/>
      <c r="B503" s="135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</row>
    <row r="504" ht="15.0" customHeight="1">
      <c r="A504" s="134"/>
      <c r="B504" s="135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</row>
    <row r="505" ht="15.0" customHeight="1">
      <c r="A505" s="134"/>
      <c r="B505" s="135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</row>
    <row r="506" ht="15.0" customHeight="1">
      <c r="A506" s="134"/>
      <c r="B506" s="135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</row>
    <row r="507" ht="15.0" customHeight="1">
      <c r="A507" s="134"/>
      <c r="B507" s="135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</row>
    <row r="508" ht="15.0" customHeight="1">
      <c r="A508" s="134"/>
      <c r="B508" s="135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</row>
    <row r="509" ht="15.0" customHeight="1">
      <c r="A509" s="134"/>
      <c r="B509" s="135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</row>
    <row r="510" ht="15.0" customHeight="1">
      <c r="A510" s="134"/>
      <c r="B510" s="135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</row>
    <row r="511" ht="15.0" customHeight="1">
      <c r="A511" s="134"/>
      <c r="B511" s="135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</row>
    <row r="512" ht="15.0" customHeight="1">
      <c r="A512" s="134"/>
      <c r="B512" s="135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</row>
    <row r="513" ht="15.0" customHeight="1">
      <c r="A513" s="134"/>
      <c r="B513" s="135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</row>
    <row r="514" ht="15.0" customHeight="1">
      <c r="A514" s="134"/>
      <c r="B514" s="135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</row>
    <row r="515" ht="15.0" customHeight="1">
      <c r="A515" s="134"/>
      <c r="B515" s="135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</row>
    <row r="516" ht="15.0" customHeight="1">
      <c r="A516" s="134"/>
      <c r="B516" s="135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</row>
    <row r="517" ht="15.0" customHeight="1">
      <c r="A517" s="134"/>
      <c r="B517" s="135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</row>
    <row r="518" ht="15.0" customHeight="1">
      <c r="A518" s="134"/>
      <c r="B518" s="135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</row>
    <row r="519" ht="15.0" customHeight="1">
      <c r="A519" s="134"/>
      <c r="B519" s="135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</row>
    <row r="520" ht="15.0" customHeight="1">
      <c r="A520" s="134"/>
      <c r="B520" s="135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</row>
    <row r="521" ht="15.0" customHeight="1">
      <c r="A521" s="134"/>
      <c r="B521" s="135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</row>
    <row r="522" ht="15.0" customHeight="1">
      <c r="A522" s="134"/>
      <c r="B522" s="135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</row>
    <row r="523" ht="15.0" customHeight="1">
      <c r="A523" s="134"/>
      <c r="B523" s="135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</row>
    <row r="524" ht="15.0" customHeight="1">
      <c r="A524" s="134"/>
      <c r="B524" s="135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</row>
    <row r="525" ht="15.0" customHeight="1">
      <c r="A525" s="134"/>
      <c r="B525" s="135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</row>
    <row r="526" ht="15.0" customHeight="1">
      <c r="A526" s="134"/>
      <c r="B526" s="135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</row>
    <row r="527" ht="15.0" customHeight="1">
      <c r="A527" s="134"/>
      <c r="B527" s="135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</row>
    <row r="528" ht="15.0" customHeight="1">
      <c r="A528" s="134"/>
      <c r="B528" s="135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</row>
    <row r="529" ht="15.0" customHeight="1">
      <c r="A529" s="134"/>
      <c r="B529" s="135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</row>
    <row r="530" ht="15.0" customHeight="1">
      <c r="A530" s="134"/>
      <c r="B530" s="135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</row>
    <row r="531" ht="15.0" customHeight="1">
      <c r="A531" s="134"/>
      <c r="B531" s="135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</row>
    <row r="532" ht="15.0" customHeight="1">
      <c r="A532" s="134"/>
      <c r="B532" s="135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</row>
    <row r="533" ht="15.0" customHeight="1">
      <c r="A533" s="134"/>
      <c r="B533" s="135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</row>
    <row r="534" ht="15.0" customHeight="1">
      <c r="A534" s="134"/>
      <c r="B534" s="135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</row>
    <row r="535" ht="15.0" customHeight="1">
      <c r="A535" s="134"/>
      <c r="B535" s="135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</row>
    <row r="536" ht="15.0" customHeight="1">
      <c r="A536" s="134"/>
      <c r="B536" s="135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</row>
    <row r="537" ht="15.0" customHeight="1">
      <c r="A537" s="134"/>
      <c r="B537" s="135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</row>
    <row r="538" ht="15.0" customHeight="1">
      <c r="A538" s="134"/>
      <c r="B538" s="135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</row>
    <row r="539" ht="15.0" customHeight="1">
      <c r="A539" s="134"/>
      <c r="B539" s="135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</row>
    <row r="540" ht="15.0" customHeight="1">
      <c r="A540" s="134"/>
      <c r="B540" s="135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</row>
    <row r="541" ht="15.0" customHeight="1">
      <c r="A541" s="134"/>
      <c r="B541" s="135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</row>
    <row r="542" ht="15.0" customHeight="1">
      <c r="A542" s="134"/>
      <c r="B542" s="135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</row>
    <row r="543" ht="15.0" customHeight="1">
      <c r="A543" s="134"/>
      <c r="B543" s="135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</row>
    <row r="544" ht="15.0" customHeight="1">
      <c r="A544" s="134"/>
      <c r="B544" s="135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</row>
    <row r="545" ht="15.0" customHeight="1">
      <c r="A545" s="134"/>
      <c r="B545" s="135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</row>
    <row r="546" ht="15.0" customHeight="1">
      <c r="A546" s="134"/>
      <c r="B546" s="135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</row>
    <row r="547" ht="15.0" customHeight="1">
      <c r="A547" s="134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</row>
    <row r="548" ht="15.0" customHeight="1">
      <c r="A548" s="134"/>
      <c r="B548" s="135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</row>
    <row r="549" ht="15.0" customHeight="1">
      <c r="A549" s="134"/>
      <c r="B549" s="135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</row>
    <row r="550" ht="15.0" customHeight="1">
      <c r="A550" s="134"/>
      <c r="B550" s="135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</row>
    <row r="551" ht="15.0" customHeight="1">
      <c r="A551" s="134"/>
      <c r="B551" s="135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</row>
    <row r="552" ht="15.0" customHeight="1">
      <c r="A552" s="134"/>
      <c r="B552" s="135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</row>
    <row r="553" ht="15.0" customHeight="1">
      <c r="A553" s="134"/>
      <c r="B553" s="135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</row>
    <row r="554" ht="15.0" customHeight="1">
      <c r="A554" s="134"/>
      <c r="B554" s="135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</row>
    <row r="555" ht="15.0" customHeight="1">
      <c r="A555" s="134"/>
      <c r="B555" s="135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</row>
    <row r="556" ht="15.0" customHeight="1">
      <c r="A556" s="134"/>
      <c r="B556" s="135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</row>
    <row r="557" ht="15.0" customHeight="1">
      <c r="A557" s="134"/>
      <c r="B557" s="135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</row>
    <row r="558" ht="15.0" customHeight="1">
      <c r="A558" s="134"/>
      <c r="B558" s="135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</row>
    <row r="559" ht="15.0" customHeight="1">
      <c r="A559" s="134"/>
      <c r="B559" s="135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</row>
    <row r="560" ht="15.0" customHeight="1">
      <c r="A560" s="134"/>
      <c r="B560" s="135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</row>
    <row r="561" ht="15.0" customHeight="1">
      <c r="A561" s="134"/>
      <c r="B561" s="135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</row>
    <row r="562" ht="15.0" customHeight="1">
      <c r="A562" s="134"/>
      <c r="B562" s="135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</row>
    <row r="563" ht="15.0" customHeight="1">
      <c r="A563" s="134"/>
      <c r="B563" s="135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</row>
    <row r="564" ht="15.0" customHeight="1">
      <c r="A564" s="134"/>
      <c r="B564" s="135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</row>
    <row r="565" ht="15.0" customHeight="1">
      <c r="A565" s="134"/>
      <c r="B565" s="135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</row>
    <row r="566" ht="15.0" customHeight="1">
      <c r="A566" s="134"/>
      <c r="B566" s="135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</row>
    <row r="567" ht="15.0" customHeight="1">
      <c r="A567" s="134"/>
      <c r="B567" s="135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</row>
    <row r="568" ht="15.0" customHeight="1">
      <c r="A568" s="134"/>
      <c r="B568" s="135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</row>
    <row r="569" ht="15.0" customHeight="1">
      <c r="A569" s="134"/>
      <c r="B569" s="135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</row>
    <row r="570" ht="15.0" customHeight="1">
      <c r="A570" s="134"/>
      <c r="B570" s="135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</row>
    <row r="571" ht="15.0" customHeight="1">
      <c r="A571" s="134"/>
      <c r="B571" s="135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</row>
    <row r="572" ht="15.0" customHeight="1">
      <c r="A572" s="134"/>
      <c r="B572" s="135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</row>
    <row r="573" ht="15.0" customHeight="1">
      <c r="A573" s="134"/>
      <c r="B573" s="135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</row>
    <row r="574" ht="15.0" customHeight="1">
      <c r="A574" s="134"/>
      <c r="B574" s="135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</row>
    <row r="575" ht="15.0" customHeight="1">
      <c r="A575" s="134"/>
      <c r="B575" s="135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</row>
    <row r="576" ht="15.0" customHeight="1">
      <c r="A576" s="134"/>
      <c r="B576" s="135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</row>
    <row r="577" ht="15.0" customHeight="1">
      <c r="A577" s="134"/>
      <c r="B577" s="135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</row>
    <row r="578" ht="15.0" customHeight="1">
      <c r="A578" s="134"/>
      <c r="B578" s="135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</row>
    <row r="579" ht="15.0" customHeight="1">
      <c r="A579" s="134"/>
      <c r="B579" s="135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</row>
    <row r="580" ht="15.0" customHeight="1">
      <c r="A580" s="134"/>
      <c r="B580" s="135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</row>
    <row r="581" ht="15.0" customHeight="1">
      <c r="A581" s="134"/>
      <c r="B581" s="135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</row>
    <row r="582" ht="15.0" customHeight="1">
      <c r="A582" s="134"/>
      <c r="B582" s="135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</row>
    <row r="583" ht="15.0" customHeight="1">
      <c r="A583" s="134"/>
      <c r="B583" s="135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</row>
    <row r="584" ht="15.0" customHeight="1">
      <c r="A584" s="134"/>
      <c r="B584" s="135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</row>
    <row r="585" ht="15.0" customHeight="1">
      <c r="A585" s="134"/>
      <c r="B585" s="135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</row>
    <row r="586" ht="15.0" customHeight="1">
      <c r="A586" s="134"/>
      <c r="B586" s="135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</row>
    <row r="587" ht="15.0" customHeight="1">
      <c r="A587" s="134"/>
      <c r="B587" s="135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</row>
    <row r="588" ht="15.0" customHeight="1">
      <c r="A588" s="134"/>
      <c r="B588" s="135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</row>
    <row r="589" ht="15.0" customHeight="1">
      <c r="A589" s="134"/>
      <c r="B589" s="135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</row>
    <row r="590" ht="15.0" customHeight="1">
      <c r="A590" s="134"/>
      <c r="B590" s="135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</row>
    <row r="591" ht="15.0" customHeight="1">
      <c r="A591" s="134"/>
      <c r="B591" s="135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</row>
    <row r="592" ht="15.0" customHeight="1">
      <c r="A592" s="134"/>
      <c r="B592" s="135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</row>
    <row r="593" ht="15.0" customHeight="1">
      <c r="A593" s="134"/>
      <c r="B593" s="135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</row>
    <row r="594" ht="15.0" customHeight="1">
      <c r="A594" s="134"/>
      <c r="B594" s="135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</row>
    <row r="595" ht="15.0" customHeight="1">
      <c r="A595" s="134"/>
      <c r="B595" s="135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</row>
    <row r="596" ht="15.0" customHeight="1">
      <c r="A596" s="134"/>
      <c r="B596" s="135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</row>
    <row r="597" ht="15.0" customHeight="1">
      <c r="A597" s="134"/>
      <c r="B597" s="135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</row>
    <row r="598" ht="15.0" customHeight="1">
      <c r="A598" s="134"/>
      <c r="B598" s="135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</row>
    <row r="599" ht="15.0" customHeight="1">
      <c r="A599" s="134"/>
      <c r="B599" s="135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</row>
    <row r="600" ht="15.0" customHeight="1">
      <c r="A600" s="134"/>
      <c r="B600" s="135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</row>
    <row r="601" ht="15.0" customHeight="1">
      <c r="A601" s="134"/>
      <c r="B601" s="135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</row>
    <row r="602" ht="15.0" customHeight="1">
      <c r="A602" s="134"/>
      <c r="B602" s="135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</row>
    <row r="603" ht="15.0" customHeight="1">
      <c r="A603" s="134"/>
      <c r="B603" s="135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</row>
    <row r="604" ht="15.0" customHeight="1">
      <c r="A604" s="134"/>
      <c r="B604" s="135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</row>
    <row r="605" ht="15.0" customHeight="1">
      <c r="A605" s="134"/>
      <c r="B605" s="135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</row>
    <row r="606" ht="15.0" customHeight="1">
      <c r="A606" s="134"/>
      <c r="B606" s="135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</row>
    <row r="607" ht="15.0" customHeight="1">
      <c r="A607" s="134"/>
      <c r="B607" s="135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</row>
    <row r="608" ht="15.0" customHeight="1">
      <c r="A608" s="134"/>
      <c r="B608" s="135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</row>
    <row r="609" ht="15.0" customHeight="1">
      <c r="A609" s="134"/>
      <c r="B609" s="135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</row>
    <row r="610" ht="15.0" customHeight="1">
      <c r="A610" s="134"/>
      <c r="B610" s="135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</row>
    <row r="611" ht="15.0" customHeight="1">
      <c r="A611" s="134"/>
      <c r="B611" s="135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</row>
    <row r="612" ht="15.0" customHeight="1">
      <c r="A612" s="134"/>
      <c r="B612" s="135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</row>
    <row r="613" ht="15.0" customHeight="1">
      <c r="A613" s="134"/>
      <c r="B613" s="135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</row>
    <row r="614" ht="15.0" customHeight="1">
      <c r="A614" s="134"/>
      <c r="B614" s="135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</row>
    <row r="615" ht="15.0" customHeight="1">
      <c r="A615" s="134"/>
      <c r="B615" s="135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</row>
    <row r="616" ht="15.0" customHeight="1">
      <c r="A616" s="134"/>
      <c r="B616" s="135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</row>
    <row r="617" ht="15.0" customHeight="1">
      <c r="A617" s="134"/>
      <c r="B617" s="135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</row>
    <row r="618" ht="15.0" customHeight="1">
      <c r="A618" s="134"/>
      <c r="B618" s="135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</row>
    <row r="619" ht="15.0" customHeight="1">
      <c r="A619" s="134"/>
      <c r="B619" s="135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</row>
    <row r="620" ht="15.0" customHeight="1">
      <c r="A620" s="134"/>
      <c r="B620" s="135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</row>
    <row r="621" ht="15.0" customHeight="1">
      <c r="A621" s="134"/>
      <c r="B621" s="135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</row>
    <row r="622" ht="15.0" customHeight="1">
      <c r="A622" s="134"/>
      <c r="B622" s="135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</row>
    <row r="623" ht="15.0" customHeight="1">
      <c r="A623" s="134"/>
      <c r="B623" s="135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</row>
    <row r="624" ht="15.0" customHeight="1">
      <c r="A624" s="134"/>
      <c r="B624" s="135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</row>
    <row r="625" ht="15.0" customHeight="1">
      <c r="A625" s="134"/>
      <c r="B625" s="135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</row>
    <row r="626" ht="15.0" customHeight="1">
      <c r="A626" s="134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</row>
    <row r="627" ht="15.0" customHeight="1">
      <c r="A627" s="134"/>
      <c r="B627" s="135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</row>
    <row r="628" ht="15.0" customHeight="1">
      <c r="A628" s="134"/>
      <c r="B628" s="135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</row>
    <row r="629" ht="15.0" customHeight="1">
      <c r="A629" s="134"/>
      <c r="B629" s="135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</row>
    <row r="630" ht="15.0" customHeight="1">
      <c r="A630" s="134"/>
      <c r="B630" s="135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</row>
    <row r="631" ht="15.0" customHeight="1">
      <c r="A631" s="134"/>
      <c r="B631" s="135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</row>
    <row r="632" ht="15.0" customHeight="1">
      <c r="A632" s="134"/>
      <c r="B632" s="135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</row>
    <row r="633" ht="15.0" customHeight="1">
      <c r="A633" s="134"/>
      <c r="B633" s="135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</row>
    <row r="634" ht="15.0" customHeight="1">
      <c r="A634" s="134"/>
      <c r="B634" s="135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</row>
    <row r="635" ht="15.0" customHeight="1">
      <c r="A635" s="134"/>
      <c r="B635" s="135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</row>
    <row r="636" ht="15.0" customHeight="1">
      <c r="A636" s="134"/>
      <c r="B636" s="135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</row>
    <row r="637" ht="15.0" customHeight="1">
      <c r="A637" s="134"/>
      <c r="B637" s="135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</row>
    <row r="638" ht="15.0" customHeight="1">
      <c r="A638" s="134"/>
      <c r="B638" s="135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</row>
    <row r="639" ht="15.0" customHeight="1">
      <c r="A639" s="134"/>
      <c r="B639" s="135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</row>
    <row r="640" ht="15.0" customHeight="1">
      <c r="A640" s="134"/>
      <c r="B640" s="135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</row>
    <row r="641" ht="15.0" customHeight="1">
      <c r="A641" s="134"/>
      <c r="B641" s="135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</row>
    <row r="642" ht="15.0" customHeight="1">
      <c r="A642" s="134"/>
      <c r="B642" s="135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</row>
    <row r="643" ht="15.0" customHeight="1">
      <c r="A643" s="134"/>
      <c r="B643" s="135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</row>
    <row r="644" ht="15.0" customHeight="1">
      <c r="A644" s="134"/>
      <c r="B644" s="135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</row>
    <row r="645" ht="15.0" customHeight="1">
      <c r="A645" s="134"/>
      <c r="B645" s="135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</row>
    <row r="646" ht="15.0" customHeight="1">
      <c r="A646" s="134"/>
      <c r="B646" s="135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</row>
    <row r="647" ht="15.0" customHeight="1">
      <c r="A647" s="134"/>
      <c r="B647" s="135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</row>
    <row r="648" ht="15.0" customHeight="1">
      <c r="A648" s="134"/>
      <c r="B648" s="135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</row>
    <row r="649" ht="15.0" customHeight="1">
      <c r="A649" s="134"/>
      <c r="B649" s="135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</row>
    <row r="650" ht="15.0" customHeight="1">
      <c r="A650" s="134"/>
      <c r="B650" s="135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</row>
    <row r="651" ht="15.0" customHeight="1">
      <c r="A651" s="134"/>
      <c r="B651" s="135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</row>
    <row r="652" ht="15.0" customHeight="1">
      <c r="A652" s="134"/>
      <c r="B652" s="135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</row>
    <row r="653" ht="15.0" customHeight="1">
      <c r="A653" s="134"/>
      <c r="B653" s="135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</row>
    <row r="654" ht="15.0" customHeight="1">
      <c r="A654" s="134"/>
      <c r="B654" s="135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</row>
    <row r="655" ht="15.0" customHeight="1">
      <c r="A655" s="134"/>
      <c r="B655" s="135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</row>
    <row r="656" ht="15.0" customHeight="1">
      <c r="A656" s="134"/>
      <c r="B656" s="135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</row>
    <row r="657" ht="15.0" customHeight="1">
      <c r="A657" s="134"/>
      <c r="B657" s="135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</row>
    <row r="658" ht="15.0" customHeight="1">
      <c r="A658" s="134"/>
      <c r="B658" s="135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</row>
    <row r="659" ht="15.0" customHeight="1">
      <c r="A659" s="134"/>
      <c r="B659" s="135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</row>
    <row r="660" ht="15.0" customHeight="1">
      <c r="A660" s="134"/>
      <c r="B660" s="135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</row>
    <row r="661" ht="15.0" customHeight="1">
      <c r="A661" s="134"/>
      <c r="B661" s="135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</row>
    <row r="662" ht="15.0" customHeight="1">
      <c r="A662" s="134"/>
      <c r="B662" s="135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</row>
    <row r="663" ht="15.0" customHeight="1">
      <c r="A663" s="134"/>
      <c r="B663" s="135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</row>
    <row r="664" ht="15.0" customHeight="1">
      <c r="A664" s="134"/>
      <c r="B664" s="135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</row>
    <row r="665" ht="15.0" customHeight="1">
      <c r="A665" s="134"/>
      <c r="B665" s="135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</row>
    <row r="666" ht="15.0" customHeight="1">
      <c r="A666" s="134"/>
      <c r="B666" s="135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</row>
    <row r="667" ht="15.0" customHeight="1">
      <c r="A667" s="134"/>
      <c r="B667" s="135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</row>
    <row r="668" ht="15.0" customHeight="1">
      <c r="A668" s="134"/>
      <c r="B668" s="135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</row>
    <row r="669" ht="15.0" customHeight="1">
      <c r="A669" s="134"/>
      <c r="B669" s="135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</row>
    <row r="670" ht="15.0" customHeight="1">
      <c r="A670" s="134"/>
      <c r="B670" s="135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</row>
    <row r="671" ht="15.0" customHeight="1">
      <c r="A671" s="134"/>
      <c r="B671" s="135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</row>
    <row r="672" ht="15.0" customHeight="1">
      <c r="A672" s="134"/>
      <c r="B672" s="135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</row>
    <row r="673" ht="15.0" customHeight="1">
      <c r="A673" s="134"/>
      <c r="B673" s="135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</row>
    <row r="674" ht="15.0" customHeight="1">
      <c r="A674" s="134"/>
      <c r="B674" s="135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</row>
    <row r="675" ht="15.0" customHeight="1">
      <c r="A675" s="134"/>
      <c r="B675" s="135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</row>
    <row r="676" ht="15.0" customHeight="1">
      <c r="A676" s="134"/>
      <c r="B676" s="135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</row>
    <row r="677" ht="15.0" customHeight="1">
      <c r="A677" s="134"/>
      <c r="B677" s="135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</row>
    <row r="678" ht="15.0" customHeight="1">
      <c r="A678" s="134"/>
      <c r="B678" s="135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</row>
    <row r="679" ht="15.0" customHeight="1">
      <c r="A679" s="134"/>
      <c r="B679" s="135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</row>
    <row r="680" ht="15.0" customHeight="1">
      <c r="A680" s="134"/>
      <c r="B680" s="135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</row>
    <row r="681" ht="15.0" customHeight="1">
      <c r="A681" s="134"/>
      <c r="B681" s="135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</row>
    <row r="682" ht="15.0" customHeight="1">
      <c r="A682" s="134"/>
      <c r="B682" s="135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</row>
    <row r="683" ht="15.0" customHeight="1">
      <c r="A683" s="134"/>
      <c r="B683" s="135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</row>
    <row r="684" ht="15.0" customHeight="1">
      <c r="A684" s="134"/>
      <c r="B684" s="135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</row>
    <row r="685" ht="15.0" customHeight="1">
      <c r="A685" s="134"/>
      <c r="B685" s="135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</row>
    <row r="686" ht="15.0" customHeight="1">
      <c r="A686" s="134"/>
      <c r="B686" s="135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</row>
    <row r="687" ht="15.0" customHeight="1">
      <c r="A687" s="134"/>
      <c r="B687" s="135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</row>
    <row r="688" ht="15.0" customHeight="1">
      <c r="A688" s="134"/>
      <c r="B688" s="135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</row>
    <row r="689" ht="15.0" customHeight="1">
      <c r="A689" s="134"/>
      <c r="B689" s="135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</row>
    <row r="690" ht="15.0" customHeight="1">
      <c r="A690" s="134"/>
      <c r="B690" s="135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</row>
    <row r="691" ht="15.0" customHeight="1">
      <c r="A691" s="134"/>
      <c r="B691" s="135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</row>
    <row r="692" ht="15.0" customHeight="1">
      <c r="A692" s="134"/>
      <c r="B692" s="135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</row>
    <row r="693" ht="15.0" customHeight="1">
      <c r="A693" s="134"/>
      <c r="B693" s="135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</row>
    <row r="694" ht="15.0" customHeight="1">
      <c r="A694" s="134"/>
      <c r="B694" s="135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</row>
    <row r="695" ht="15.0" customHeight="1">
      <c r="A695" s="134"/>
      <c r="B695" s="135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</row>
    <row r="696" ht="15.0" customHeight="1">
      <c r="A696" s="134"/>
      <c r="B696" s="135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</row>
    <row r="697" ht="15.0" customHeight="1">
      <c r="A697" s="134"/>
      <c r="B697" s="135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</row>
    <row r="698" ht="15.0" customHeight="1">
      <c r="A698" s="134"/>
      <c r="B698" s="135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</row>
    <row r="699" ht="15.0" customHeight="1">
      <c r="A699" s="134"/>
      <c r="B699" s="135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</row>
    <row r="700" ht="15.0" customHeight="1">
      <c r="A700" s="134"/>
      <c r="B700" s="135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</row>
    <row r="701" ht="15.0" customHeight="1">
      <c r="A701" s="134"/>
      <c r="B701" s="135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</row>
    <row r="702" ht="15.0" customHeight="1">
      <c r="A702" s="134"/>
      <c r="B702" s="135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</row>
    <row r="703" ht="15.0" customHeight="1">
      <c r="A703" s="134"/>
      <c r="B703" s="135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</row>
    <row r="704" ht="15.0" customHeight="1">
      <c r="A704" s="134"/>
      <c r="B704" s="135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</row>
    <row r="705" ht="15.0" customHeight="1">
      <c r="A705" s="134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</row>
    <row r="706" ht="15.0" customHeight="1">
      <c r="A706" s="134"/>
      <c r="B706" s="135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</row>
    <row r="707" ht="15.0" customHeight="1">
      <c r="A707" s="134"/>
      <c r="B707" s="135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</row>
    <row r="708" ht="15.0" customHeight="1">
      <c r="A708" s="134"/>
      <c r="B708" s="135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</row>
    <row r="709" ht="15.0" customHeight="1">
      <c r="A709" s="134"/>
      <c r="B709" s="135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</row>
    <row r="710" ht="15.0" customHeight="1">
      <c r="A710" s="134"/>
      <c r="B710" s="135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</row>
    <row r="711" ht="15.0" customHeight="1">
      <c r="A711" s="134"/>
      <c r="B711" s="135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</row>
    <row r="712" ht="15.0" customHeight="1">
      <c r="A712" s="134"/>
      <c r="B712" s="135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</row>
    <row r="713" ht="15.0" customHeight="1">
      <c r="A713" s="134"/>
      <c r="B713" s="135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</row>
    <row r="714" ht="15.0" customHeight="1">
      <c r="A714" s="134"/>
      <c r="B714" s="135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</row>
    <row r="715" ht="15.0" customHeight="1">
      <c r="A715" s="134"/>
      <c r="B715" s="135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</row>
    <row r="716" ht="15.0" customHeight="1">
      <c r="A716" s="134"/>
      <c r="B716" s="135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</row>
    <row r="717" ht="15.0" customHeight="1">
      <c r="A717" s="134"/>
      <c r="B717" s="135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</row>
    <row r="718" ht="15.0" customHeight="1">
      <c r="A718" s="134"/>
      <c r="B718" s="135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</row>
    <row r="719" ht="15.0" customHeight="1">
      <c r="A719" s="134"/>
      <c r="B719" s="135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</row>
    <row r="720" ht="15.0" customHeight="1">
      <c r="A720" s="134"/>
      <c r="B720" s="135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</row>
    <row r="721" ht="15.0" customHeight="1">
      <c r="A721" s="134"/>
      <c r="B721" s="135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</row>
    <row r="722" ht="15.0" customHeight="1">
      <c r="A722" s="134"/>
      <c r="B722" s="135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</row>
    <row r="723" ht="15.0" customHeight="1">
      <c r="A723" s="134"/>
      <c r="B723" s="135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</row>
    <row r="724" ht="15.0" customHeight="1">
      <c r="A724" s="134"/>
      <c r="B724" s="135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</row>
    <row r="725" ht="15.0" customHeight="1">
      <c r="A725" s="134"/>
      <c r="B725" s="135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</row>
    <row r="726" ht="15.0" customHeight="1">
      <c r="A726" s="134"/>
      <c r="B726" s="135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</row>
    <row r="727" ht="15.0" customHeight="1">
      <c r="A727" s="134"/>
      <c r="B727" s="135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</row>
    <row r="728" ht="15.0" customHeight="1">
      <c r="A728" s="134"/>
      <c r="B728" s="135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</row>
    <row r="729" ht="15.0" customHeight="1">
      <c r="A729" s="134"/>
      <c r="B729" s="135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</row>
    <row r="730" ht="15.0" customHeight="1">
      <c r="A730" s="134"/>
      <c r="B730" s="135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</row>
    <row r="731" ht="15.0" customHeight="1">
      <c r="A731" s="134"/>
      <c r="B731" s="135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</row>
    <row r="732" ht="15.0" customHeight="1">
      <c r="A732" s="134"/>
      <c r="B732" s="135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</row>
    <row r="733" ht="15.0" customHeight="1">
      <c r="A733" s="134"/>
      <c r="B733" s="135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</row>
    <row r="734" ht="15.0" customHeight="1">
      <c r="A734" s="134"/>
      <c r="B734" s="135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</row>
    <row r="735" ht="15.0" customHeight="1">
      <c r="A735" s="134"/>
      <c r="B735" s="135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</row>
    <row r="736" ht="15.0" customHeight="1">
      <c r="A736" s="134"/>
      <c r="B736" s="135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</row>
    <row r="737" ht="15.0" customHeight="1">
      <c r="A737" s="134"/>
      <c r="B737" s="135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</row>
    <row r="738" ht="15.0" customHeight="1">
      <c r="A738" s="134"/>
      <c r="B738" s="135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</row>
    <row r="739" ht="15.0" customHeight="1">
      <c r="A739" s="134"/>
      <c r="B739" s="135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</row>
    <row r="740" ht="15.0" customHeight="1">
      <c r="A740" s="134"/>
      <c r="B740" s="135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</row>
    <row r="741" ht="15.0" customHeight="1">
      <c r="A741" s="134"/>
      <c r="B741" s="135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</row>
    <row r="742" ht="15.0" customHeight="1">
      <c r="A742" s="134"/>
      <c r="B742" s="135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</row>
    <row r="743" ht="15.0" customHeight="1">
      <c r="A743" s="134"/>
      <c r="B743" s="135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</row>
    <row r="744" ht="15.0" customHeight="1">
      <c r="A744" s="134"/>
      <c r="B744" s="135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</row>
    <row r="745" ht="15.0" customHeight="1">
      <c r="A745" s="134"/>
      <c r="B745" s="135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</row>
    <row r="746" ht="15.0" customHeight="1">
      <c r="A746" s="134"/>
      <c r="B746" s="135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</row>
    <row r="747" ht="15.0" customHeight="1">
      <c r="A747" s="134"/>
      <c r="B747" s="135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</row>
    <row r="748" ht="15.0" customHeight="1">
      <c r="A748" s="134"/>
      <c r="B748" s="135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</row>
    <row r="749" ht="15.0" customHeight="1">
      <c r="A749" s="134"/>
      <c r="B749" s="135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</row>
    <row r="750" ht="15.0" customHeight="1">
      <c r="A750" s="134"/>
      <c r="B750" s="135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</row>
    <row r="751" ht="15.0" customHeight="1">
      <c r="A751" s="134"/>
      <c r="B751" s="135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</row>
    <row r="752" ht="15.0" customHeight="1">
      <c r="A752" s="134"/>
      <c r="B752" s="135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</row>
    <row r="753" ht="15.0" customHeight="1">
      <c r="A753" s="134"/>
      <c r="B753" s="135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</row>
    <row r="754" ht="15.0" customHeight="1">
      <c r="A754" s="134"/>
      <c r="B754" s="135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</row>
    <row r="755" ht="15.0" customHeight="1">
      <c r="A755" s="134"/>
      <c r="B755" s="135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</row>
    <row r="756" ht="15.0" customHeight="1">
      <c r="A756" s="134"/>
      <c r="B756" s="135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</row>
    <row r="757" ht="15.0" customHeight="1">
      <c r="A757" s="134"/>
      <c r="B757" s="135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</row>
    <row r="758" ht="15.0" customHeight="1">
      <c r="A758" s="134"/>
      <c r="B758" s="135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</row>
    <row r="759" ht="15.0" customHeight="1">
      <c r="A759" s="134"/>
      <c r="B759" s="135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</row>
    <row r="760" ht="15.0" customHeight="1">
      <c r="A760" s="134"/>
      <c r="B760" s="135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</row>
    <row r="761" ht="15.0" customHeight="1">
      <c r="A761" s="134"/>
      <c r="B761" s="135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</row>
    <row r="762" ht="15.0" customHeight="1">
      <c r="A762" s="134"/>
      <c r="B762" s="135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</row>
    <row r="763" ht="15.0" customHeight="1">
      <c r="A763" s="134"/>
      <c r="B763" s="135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</row>
    <row r="764" ht="15.0" customHeight="1">
      <c r="A764" s="134"/>
      <c r="B764" s="135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</row>
    <row r="765" ht="15.0" customHeight="1">
      <c r="A765" s="134"/>
      <c r="B765" s="135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</row>
    <row r="766" ht="15.0" customHeight="1">
      <c r="A766" s="134"/>
      <c r="B766" s="135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</row>
    <row r="767" ht="15.0" customHeight="1">
      <c r="A767" s="134"/>
      <c r="B767" s="135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</row>
    <row r="768" ht="15.0" customHeight="1">
      <c r="A768" s="134"/>
      <c r="B768" s="135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</row>
    <row r="769" ht="15.0" customHeight="1">
      <c r="A769" s="134"/>
      <c r="B769" s="135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</row>
    <row r="770" ht="15.0" customHeight="1">
      <c r="A770" s="134"/>
      <c r="B770" s="135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</row>
    <row r="771" ht="15.0" customHeight="1">
      <c r="A771" s="134"/>
      <c r="B771" s="135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</row>
    <row r="772" ht="15.0" customHeight="1">
      <c r="A772" s="134"/>
      <c r="B772" s="135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</row>
    <row r="773" ht="15.0" customHeight="1">
      <c r="A773" s="134"/>
      <c r="B773" s="135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</row>
    <row r="774" ht="15.0" customHeight="1">
      <c r="A774" s="134"/>
      <c r="B774" s="135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</row>
    <row r="775" ht="15.0" customHeight="1">
      <c r="A775" s="134"/>
      <c r="B775" s="135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</row>
    <row r="776" ht="15.0" customHeight="1">
      <c r="A776" s="134"/>
      <c r="B776" s="135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</row>
    <row r="777" ht="15.0" customHeight="1">
      <c r="A777" s="134"/>
      <c r="B777" s="135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</row>
    <row r="778" ht="15.0" customHeight="1">
      <c r="A778" s="134"/>
      <c r="B778" s="135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</row>
    <row r="779" ht="15.0" customHeight="1">
      <c r="A779" s="134"/>
      <c r="B779" s="135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</row>
    <row r="780" ht="15.0" customHeight="1">
      <c r="A780" s="134"/>
      <c r="B780" s="135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</row>
    <row r="781" ht="15.0" customHeight="1">
      <c r="A781" s="134"/>
      <c r="B781" s="135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</row>
    <row r="782" ht="15.0" customHeight="1">
      <c r="A782" s="134"/>
      <c r="B782" s="135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</row>
    <row r="783" ht="15.0" customHeight="1">
      <c r="A783" s="134"/>
      <c r="B783" s="135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</row>
    <row r="784" ht="15.0" customHeight="1">
      <c r="A784" s="134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</row>
    <row r="785" ht="15.0" customHeight="1">
      <c r="A785" s="134"/>
      <c r="B785" s="135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</row>
    <row r="786" ht="15.0" customHeight="1">
      <c r="A786" s="134"/>
      <c r="B786" s="135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</row>
    <row r="787" ht="15.0" customHeight="1">
      <c r="A787" s="134"/>
      <c r="B787" s="135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</row>
    <row r="788" ht="15.0" customHeight="1">
      <c r="A788" s="134"/>
      <c r="B788" s="135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</row>
    <row r="789" ht="15.0" customHeight="1">
      <c r="A789" s="134"/>
      <c r="B789" s="135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</row>
    <row r="790" ht="15.0" customHeight="1">
      <c r="A790" s="134"/>
      <c r="B790" s="135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</row>
    <row r="791" ht="15.0" customHeight="1">
      <c r="A791" s="134"/>
      <c r="B791" s="135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</row>
    <row r="792" ht="15.0" customHeight="1">
      <c r="A792" s="134"/>
      <c r="B792" s="135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</row>
    <row r="793" ht="15.0" customHeight="1">
      <c r="A793" s="134"/>
      <c r="B793" s="135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</row>
    <row r="794" ht="15.0" customHeight="1">
      <c r="A794" s="134"/>
      <c r="B794" s="135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</row>
    <row r="795" ht="15.0" customHeight="1">
      <c r="A795" s="134"/>
      <c r="B795" s="135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</row>
    <row r="796" ht="15.0" customHeight="1">
      <c r="A796" s="134"/>
      <c r="B796" s="135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</row>
    <row r="797" ht="15.0" customHeight="1">
      <c r="A797" s="134"/>
      <c r="B797" s="135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</row>
    <row r="798" ht="15.0" customHeight="1">
      <c r="A798" s="134"/>
      <c r="B798" s="135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</row>
    <row r="799" ht="15.0" customHeight="1">
      <c r="A799" s="134"/>
      <c r="B799" s="135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</row>
    <row r="800" ht="15.0" customHeight="1">
      <c r="A800" s="134"/>
      <c r="B800" s="135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</row>
    <row r="801" ht="15.0" customHeight="1">
      <c r="A801" s="134"/>
      <c r="B801" s="135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</row>
    <row r="802" ht="15.0" customHeight="1">
      <c r="A802" s="134"/>
      <c r="B802" s="135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</row>
    <row r="803" ht="15.0" customHeight="1">
      <c r="A803" s="134"/>
      <c r="B803" s="135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</row>
    <row r="804" ht="15.0" customHeight="1">
      <c r="A804" s="134"/>
      <c r="B804" s="135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</row>
    <row r="805" ht="15.0" customHeight="1">
      <c r="A805" s="134"/>
      <c r="B805" s="135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</row>
    <row r="806" ht="15.0" customHeight="1">
      <c r="A806" s="134"/>
      <c r="B806" s="135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</row>
    <row r="807" ht="15.0" customHeight="1">
      <c r="A807" s="134"/>
      <c r="B807" s="135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</row>
    <row r="808" ht="15.0" customHeight="1">
      <c r="A808" s="134"/>
      <c r="B808" s="135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</row>
    <row r="809" ht="15.0" customHeight="1">
      <c r="A809" s="134"/>
      <c r="B809" s="135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</row>
    <row r="810" ht="15.0" customHeight="1">
      <c r="A810" s="134"/>
      <c r="B810" s="135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</row>
    <row r="811" ht="15.0" customHeight="1">
      <c r="A811" s="134"/>
      <c r="B811" s="135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</row>
    <row r="812" ht="15.0" customHeight="1">
      <c r="A812" s="134"/>
      <c r="B812" s="135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</row>
    <row r="813" ht="15.0" customHeight="1">
      <c r="A813" s="134"/>
      <c r="B813" s="135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</row>
    <row r="814" ht="15.0" customHeight="1">
      <c r="A814" s="134"/>
      <c r="B814" s="135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</row>
    <row r="815" ht="15.0" customHeight="1">
      <c r="A815" s="134"/>
      <c r="B815" s="135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</row>
    <row r="816" ht="15.0" customHeight="1">
      <c r="A816" s="134"/>
      <c r="B816" s="135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</row>
    <row r="817" ht="15.0" customHeight="1">
      <c r="A817" s="134"/>
      <c r="B817" s="135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</row>
    <row r="818" ht="15.0" customHeight="1">
      <c r="A818" s="134"/>
      <c r="B818" s="135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</row>
    <row r="819" ht="15.0" customHeight="1">
      <c r="A819" s="134"/>
      <c r="B819" s="135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</row>
    <row r="820" ht="15.0" customHeight="1">
      <c r="A820" s="134"/>
      <c r="B820" s="135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</row>
    <row r="821" ht="15.0" customHeight="1">
      <c r="A821" s="134"/>
      <c r="B821" s="135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</row>
    <row r="822" ht="15.0" customHeight="1">
      <c r="A822" s="134"/>
      <c r="B822" s="135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</row>
    <row r="823" ht="15.0" customHeight="1">
      <c r="A823" s="134"/>
      <c r="B823" s="135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</row>
    <row r="824" ht="15.0" customHeight="1">
      <c r="A824" s="134"/>
      <c r="B824" s="135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</row>
    <row r="825" ht="15.0" customHeight="1">
      <c r="A825" s="134"/>
      <c r="B825" s="135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</row>
    <row r="826" ht="15.0" customHeight="1">
      <c r="A826" s="134"/>
      <c r="B826" s="135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</row>
    <row r="827" ht="15.0" customHeight="1">
      <c r="A827" s="134"/>
      <c r="B827" s="135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</row>
    <row r="828" ht="15.0" customHeight="1">
      <c r="A828" s="134"/>
      <c r="B828" s="135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</row>
    <row r="829" ht="15.0" customHeight="1">
      <c r="A829" s="134"/>
      <c r="B829" s="135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</row>
    <row r="830" ht="15.0" customHeight="1">
      <c r="A830" s="134"/>
      <c r="B830" s="135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</row>
    <row r="831" ht="15.0" customHeight="1">
      <c r="A831" s="134"/>
      <c r="B831" s="135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</row>
    <row r="832" ht="15.0" customHeight="1">
      <c r="A832" s="134"/>
      <c r="B832" s="135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</row>
    <row r="833" ht="15.0" customHeight="1">
      <c r="A833" s="134"/>
      <c r="B833" s="135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</row>
    <row r="834" ht="15.0" customHeight="1">
      <c r="A834" s="134"/>
      <c r="B834" s="135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</row>
    <row r="835" ht="15.0" customHeight="1">
      <c r="A835" s="134"/>
      <c r="B835" s="135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</row>
    <row r="836" ht="15.0" customHeight="1">
      <c r="A836" s="134"/>
      <c r="B836" s="135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</row>
    <row r="837" ht="15.0" customHeight="1">
      <c r="A837" s="134"/>
      <c r="B837" s="135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</row>
    <row r="838" ht="15.0" customHeight="1">
      <c r="A838" s="134"/>
      <c r="B838" s="135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</row>
    <row r="839" ht="15.0" customHeight="1">
      <c r="A839" s="134"/>
      <c r="B839" s="135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</row>
    <row r="840" ht="15.0" customHeight="1">
      <c r="A840" s="134"/>
      <c r="B840" s="135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</row>
    <row r="841" ht="15.0" customHeight="1">
      <c r="A841" s="134"/>
      <c r="B841" s="135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</row>
    <row r="842" ht="15.0" customHeight="1">
      <c r="A842" s="134"/>
      <c r="B842" s="135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</row>
    <row r="843" ht="15.0" customHeight="1">
      <c r="A843" s="134"/>
      <c r="B843" s="135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</row>
    <row r="844" ht="15.0" customHeight="1">
      <c r="A844" s="134"/>
      <c r="B844" s="135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</row>
    <row r="845" ht="15.0" customHeight="1">
      <c r="A845" s="134"/>
      <c r="B845" s="135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</row>
    <row r="846" ht="15.0" customHeight="1">
      <c r="A846" s="134"/>
      <c r="B846" s="135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</row>
    <row r="847" ht="15.0" customHeight="1">
      <c r="A847" s="134"/>
      <c r="B847" s="135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</row>
    <row r="848" ht="15.0" customHeight="1">
      <c r="A848" s="134"/>
      <c r="B848" s="135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</row>
    <row r="849" ht="15.0" customHeight="1">
      <c r="A849" s="134"/>
      <c r="B849" s="135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</row>
    <row r="850" ht="15.0" customHeight="1">
      <c r="A850" s="134"/>
      <c r="B850" s="135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</row>
    <row r="851" ht="15.0" customHeight="1">
      <c r="A851" s="134"/>
      <c r="B851" s="135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</row>
    <row r="852" ht="15.0" customHeight="1">
      <c r="A852" s="134"/>
      <c r="B852" s="135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</row>
    <row r="853" ht="15.0" customHeight="1">
      <c r="A853" s="134"/>
      <c r="B853" s="135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</row>
    <row r="854" ht="15.0" customHeight="1">
      <c r="A854" s="134"/>
      <c r="B854" s="135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</row>
    <row r="855" ht="15.0" customHeight="1">
      <c r="A855" s="134"/>
      <c r="B855" s="135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</row>
    <row r="856" ht="15.0" customHeight="1">
      <c r="A856" s="134"/>
      <c r="B856" s="135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</row>
    <row r="857" ht="15.0" customHeight="1">
      <c r="A857" s="134"/>
      <c r="B857" s="135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</row>
    <row r="858" ht="15.0" customHeight="1">
      <c r="A858" s="134"/>
      <c r="B858" s="135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</row>
    <row r="859" ht="15.0" customHeight="1">
      <c r="A859" s="134"/>
      <c r="B859" s="135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</row>
    <row r="860" ht="15.0" customHeight="1">
      <c r="A860" s="134"/>
      <c r="B860" s="135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</row>
    <row r="861" ht="15.0" customHeight="1">
      <c r="A861" s="134"/>
      <c r="B861" s="135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</row>
    <row r="862" ht="15.0" customHeight="1">
      <c r="A862" s="134"/>
      <c r="B862" s="135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</row>
    <row r="863" ht="15.0" customHeight="1">
      <c r="A863" s="134"/>
      <c r="B863" s="135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</row>
    <row r="864" ht="15.0" customHeight="1">
      <c r="A864" s="134"/>
      <c r="B864" s="135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</row>
    <row r="865" ht="15.0" customHeight="1">
      <c r="A865" s="134"/>
      <c r="B865" s="135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</row>
    <row r="866" ht="15.0" customHeight="1">
      <c r="A866" s="134"/>
      <c r="B866" s="135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</row>
    <row r="867" ht="15.0" customHeight="1">
      <c r="A867" s="134"/>
      <c r="B867" s="135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</row>
    <row r="868" ht="15.0" customHeight="1">
      <c r="A868" s="134"/>
      <c r="B868" s="135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</row>
    <row r="869" ht="15.0" customHeight="1">
      <c r="A869" s="134"/>
      <c r="B869" s="135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</row>
    <row r="870" ht="15.0" customHeight="1">
      <c r="A870" s="134"/>
      <c r="B870" s="135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</row>
    <row r="871" ht="15.0" customHeight="1">
      <c r="A871" s="134"/>
      <c r="B871" s="135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</row>
    <row r="872" ht="15.0" customHeight="1">
      <c r="A872" s="134"/>
      <c r="B872" s="135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</row>
    <row r="873" ht="15.0" customHeight="1">
      <c r="A873" s="134"/>
      <c r="B873" s="135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</row>
    <row r="874" ht="15.0" customHeight="1">
      <c r="A874" s="134"/>
      <c r="B874" s="135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</row>
    <row r="875" ht="15.0" customHeight="1">
      <c r="A875" s="134"/>
      <c r="B875" s="135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</row>
    <row r="876" ht="15.0" customHeight="1">
      <c r="A876" s="134"/>
      <c r="B876" s="135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</row>
    <row r="877" ht="15.0" customHeight="1">
      <c r="A877" s="134"/>
      <c r="B877" s="135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</row>
    <row r="878" ht="15.0" customHeight="1">
      <c r="A878" s="134"/>
      <c r="B878" s="135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</row>
    <row r="879" ht="15.0" customHeight="1">
      <c r="A879" s="134"/>
      <c r="B879" s="135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</row>
    <row r="880" ht="15.0" customHeight="1">
      <c r="A880" s="134"/>
      <c r="B880" s="135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</row>
    <row r="881" ht="15.0" customHeight="1">
      <c r="A881" s="134"/>
      <c r="B881" s="135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</row>
    <row r="882" ht="15.0" customHeight="1">
      <c r="A882" s="134"/>
      <c r="B882" s="135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</row>
    <row r="883" ht="15.0" customHeight="1">
      <c r="A883" s="134"/>
      <c r="B883" s="135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</row>
    <row r="884" ht="15.0" customHeight="1">
      <c r="A884" s="134"/>
      <c r="B884" s="135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</row>
    <row r="885" ht="15.0" customHeight="1">
      <c r="A885" s="134"/>
      <c r="B885" s="135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</row>
    <row r="886" ht="15.0" customHeight="1">
      <c r="A886" s="134"/>
      <c r="B886" s="135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</row>
    <row r="887" ht="15.0" customHeight="1">
      <c r="A887" s="134"/>
      <c r="B887" s="135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</row>
    <row r="888" ht="15.0" customHeight="1">
      <c r="A888" s="134"/>
      <c r="B888" s="135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</row>
    <row r="889" ht="15.0" customHeight="1">
      <c r="A889" s="134"/>
      <c r="B889" s="135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</row>
    <row r="890" ht="15.0" customHeight="1">
      <c r="A890" s="134"/>
      <c r="B890" s="135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</row>
    <row r="891" ht="15.0" customHeight="1">
      <c r="A891" s="134"/>
      <c r="B891" s="135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</row>
    <row r="892" ht="15.0" customHeight="1">
      <c r="A892" s="134"/>
      <c r="B892" s="135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</row>
    <row r="893" ht="15.0" customHeight="1">
      <c r="A893" s="134"/>
      <c r="B893" s="135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</row>
    <row r="894" ht="15.0" customHeight="1">
      <c r="A894" s="134"/>
      <c r="B894" s="135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</row>
    <row r="895" ht="15.0" customHeight="1">
      <c r="A895" s="134"/>
      <c r="B895" s="135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</row>
    <row r="896" ht="15.0" customHeight="1">
      <c r="A896" s="134"/>
      <c r="B896" s="135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</row>
    <row r="897" ht="15.0" customHeight="1">
      <c r="A897" s="134"/>
      <c r="B897" s="135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</row>
    <row r="898" ht="15.0" customHeight="1">
      <c r="A898" s="134"/>
      <c r="B898" s="135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</row>
    <row r="899" ht="15.0" customHeight="1">
      <c r="A899" s="134"/>
      <c r="B899" s="135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</row>
    <row r="900" ht="15.0" customHeight="1">
      <c r="A900" s="134"/>
      <c r="B900" s="135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</row>
    <row r="901" ht="15.0" customHeight="1">
      <c r="A901" s="134"/>
      <c r="B901" s="135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</row>
    <row r="902" ht="15.0" customHeight="1">
      <c r="A902" s="134"/>
      <c r="B902" s="135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</row>
    <row r="903" ht="15.0" customHeight="1">
      <c r="A903" s="134"/>
      <c r="B903" s="135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</row>
    <row r="904" ht="15.0" customHeight="1">
      <c r="A904" s="134"/>
      <c r="B904" s="135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</row>
    <row r="905" ht="15.0" customHeight="1">
      <c r="A905" s="134"/>
      <c r="B905" s="135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</row>
    <row r="906" ht="15.0" customHeight="1">
      <c r="A906" s="134"/>
      <c r="B906" s="135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</row>
    <row r="907" ht="15.0" customHeight="1">
      <c r="A907" s="134"/>
      <c r="B907" s="135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</row>
    <row r="908" ht="15.0" customHeight="1">
      <c r="A908" s="134"/>
      <c r="B908" s="135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</row>
    <row r="909" ht="15.0" customHeight="1">
      <c r="A909" s="134"/>
      <c r="B909" s="135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</row>
    <row r="910" ht="15.0" customHeight="1">
      <c r="A910" s="134"/>
      <c r="B910" s="135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</row>
    <row r="911" ht="15.0" customHeight="1">
      <c r="A911" s="134"/>
      <c r="B911" s="135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</row>
    <row r="912" ht="15.0" customHeight="1">
      <c r="A912" s="134"/>
      <c r="B912" s="135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</row>
    <row r="913" ht="15.0" customHeight="1">
      <c r="A913" s="134"/>
      <c r="B913" s="135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</row>
    <row r="914" ht="15.0" customHeight="1">
      <c r="A914" s="134"/>
      <c r="B914" s="135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</row>
    <row r="915" ht="15.0" customHeight="1">
      <c r="A915" s="134"/>
      <c r="B915" s="135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</row>
    <row r="916" ht="15.0" customHeight="1">
      <c r="A916" s="134"/>
      <c r="B916" s="135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</row>
    <row r="917" ht="15.0" customHeight="1">
      <c r="A917" s="134"/>
      <c r="B917" s="135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</row>
    <row r="918" ht="15.0" customHeight="1">
      <c r="A918" s="134"/>
      <c r="B918" s="135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</row>
    <row r="919" ht="15.0" customHeight="1">
      <c r="A919" s="134"/>
      <c r="B919" s="135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</row>
    <row r="920" ht="15.0" customHeight="1">
      <c r="A920" s="134"/>
      <c r="B920" s="135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</row>
    <row r="921" ht="15.0" customHeight="1">
      <c r="A921" s="134"/>
      <c r="B921" s="135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</row>
    <row r="922" ht="15.0" customHeight="1">
      <c r="A922" s="134"/>
      <c r="B922" s="135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</row>
    <row r="923" ht="15.0" customHeight="1">
      <c r="A923" s="134"/>
      <c r="B923" s="135"/>
      <c r="C923" s="135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</row>
    <row r="924" ht="15.0" customHeight="1">
      <c r="A924" s="134"/>
      <c r="B924" s="135"/>
      <c r="C924" s="135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</row>
    <row r="925" ht="15.0" customHeight="1">
      <c r="A925" s="134"/>
      <c r="B925" s="135"/>
      <c r="C925" s="135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</row>
    <row r="926" ht="15.0" customHeight="1">
      <c r="A926" s="134"/>
      <c r="B926" s="135"/>
      <c r="C926" s="135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</row>
    <row r="927" ht="15.0" customHeight="1">
      <c r="A927" s="134"/>
      <c r="B927" s="135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</row>
    <row r="928" ht="15.0" customHeight="1">
      <c r="A928" s="134"/>
      <c r="B928" s="135"/>
      <c r="C928" s="135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</row>
    <row r="929" ht="15.0" customHeight="1">
      <c r="A929" s="134"/>
      <c r="B929" s="135"/>
      <c r="C929" s="135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</row>
    <row r="930" ht="15.0" customHeight="1">
      <c r="A930" s="134"/>
      <c r="B930" s="135"/>
      <c r="C930" s="135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</row>
    <row r="931" ht="15.0" customHeight="1">
      <c r="A931" s="134"/>
      <c r="B931" s="135"/>
      <c r="C931" s="135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</row>
    <row r="932" ht="15.0" customHeight="1">
      <c r="A932" s="134"/>
      <c r="B932" s="135"/>
      <c r="C932" s="135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</row>
    <row r="933" ht="15.0" customHeight="1">
      <c r="A933" s="134"/>
      <c r="B933" s="135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</row>
    <row r="934" ht="15.0" customHeight="1">
      <c r="A934" s="134"/>
      <c r="B934" s="135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</row>
    <row r="935" ht="15.0" customHeight="1">
      <c r="A935" s="134"/>
      <c r="B935" s="135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</row>
    <row r="936" ht="15.0" customHeight="1">
      <c r="A936" s="134"/>
      <c r="B936" s="135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</row>
    <row r="937" ht="15.0" customHeight="1">
      <c r="A937" s="134"/>
      <c r="B937" s="135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</row>
    <row r="938" ht="15.0" customHeight="1">
      <c r="A938" s="134"/>
      <c r="B938" s="135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</row>
    <row r="939" ht="15.0" customHeight="1">
      <c r="A939" s="134"/>
      <c r="B939" s="135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</row>
    <row r="940" ht="15.0" customHeight="1">
      <c r="A940" s="134"/>
      <c r="B940" s="135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</row>
    <row r="941" ht="15.0" customHeight="1">
      <c r="A941" s="134"/>
      <c r="B941" s="135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</row>
    <row r="942" ht="15.0" customHeight="1">
      <c r="A942" s="134"/>
      <c r="B942" s="135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</row>
    <row r="943" ht="15.0" customHeight="1">
      <c r="A943" s="134"/>
      <c r="B943" s="135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</row>
    <row r="944" ht="15.0" customHeight="1">
      <c r="A944" s="134"/>
      <c r="B944" s="135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</row>
    <row r="945" ht="15.0" customHeight="1">
      <c r="A945" s="134"/>
      <c r="B945" s="135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</row>
    <row r="946" ht="15.0" customHeight="1">
      <c r="A946" s="134"/>
      <c r="B946" s="135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</row>
    <row r="947" ht="15.0" customHeight="1">
      <c r="A947" s="134"/>
      <c r="B947" s="135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</row>
    <row r="948" ht="15.0" customHeight="1">
      <c r="A948" s="134"/>
      <c r="B948" s="135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</row>
    <row r="949" ht="15.0" customHeight="1">
      <c r="A949" s="134"/>
      <c r="B949" s="135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</row>
    <row r="950" ht="15.0" customHeight="1">
      <c r="A950" s="134"/>
      <c r="B950" s="135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</row>
    <row r="951" ht="15.0" customHeight="1">
      <c r="A951" s="134"/>
      <c r="B951" s="135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</row>
    <row r="952" ht="15.0" customHeight="1">
      <c r="A952" s="134"/>
      <c r="B952" s="135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</row>
    <row r="953" ht="15.0" customHeight="1">
      <c r="A953" s="134"/>
      <c r="B953" s="135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</row>
    <row r="954" ht="15.0" customHeight="1">
      <c r="A954" s="134"/>
      <c r="B954" s="135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</row>
    <row r="955" ht="15.0" customHeight="1">
      <c r="A955" s="134"/>
      <c r="B955" s="135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</row>
    <row r="956" ht="15.0" customHeight="1">
      <c r="A956" s="134"/>
      <c r="B956" s="135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</row>
    <row r="957" ht="15.0" customHeight="1">
      <c r="A957" s="134"/>
      <c r="B957" s="135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</row>
    <row r="958" ht="15.0" customHeight="1">
      <c r="A958" s="134"/>
      <c r="B958" s="135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</row>
    <row r="959" ht="15.0" customHeight="1">
      <c r="A959" s="134"/>
      <c r="B959" s="135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</row>
    <row r="960" ht="15.0" customHeight="1">
      <c r="A960" s="134"/>
      <c r="B960" s="135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</row>
    <row r="961" ht="15.0" customHeight="1">
      <c r="A961" s="134"/>
      <c r="B961" s="135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</row>
    <row r="962" ht="15.0" customHeight="1">
      <c r="A962" s="134"/>
      <c r="B962" s="135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</row>
    <row r="963" ht="15.0" customHeight="1">
      <c r="A963" s="134"/>
      <c r="B963" s="135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</row>
    <row r="964" ht="15.0" customHeight="1">
      <c r="A964" s="134"/>
      <c r="B964" s="135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</row>
    <row r="965" ht="15.0" customHeight="1">
      <c r="A965" s="134"/>
      <c r="B965" s="135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</row>
    <row r="966" ht="15.0" customHeight="1">
      <c r="A966" s="134"/>
      <c r="B966" s="135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</row>
    <row r="967" ht="15.0" customHeight="1">
      <c r="A967" s="134"/>
      <c r="B967" s="135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</row>
    <row r="968" ht="15.0" customHeight="1">
      <c r="A968" s="134"/>
      <c r="B968" s="135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</row>
    <row r="969" ht="15.0" customHeight="1">
      <c r="A969" s="134"/>
      <c r="B969" s="135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</row>
    <row r="970" ht="15.0" customHeight="1">
      <c r="A970" s="134"/>
      <c r="B970" s="135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</row>
    <row r="971" ht="15.0" customHeight="1">
      <c r="A971" s="134"/>
      <c r="B971" s="135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</row>
    <row r="972" ht="15.0" customHeight="1">
      <c r="A972" s="134"/>
      <c r="B972" s="135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</row>
    <row r="973" ht="15.0" customHeight="1">
      <c r="A973" s="134"/>
      <c r="B973" s="135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</row>
    <row r="974" ht="15.0" customHeight="1">
      <c r="A974" s="134"/>
      <c r="B974" s="135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</row>
    <row r="975" ht="15.0" customHeight="1">
      <c r="A975" s="134"/>
      <c r="B975" s="135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</row>
    <row r="976" ht="15.0" customHeight="1">
      <c r="A976" s="134"/>
      <c r="B976" s="135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</row>
    <row r="977" ht="15.0" customHeight="1">
      <c r="A977" s="134"/>
      <c r="B977" s="135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</row>
    <row r="978" ht="15.0" customHeight="1">
      <c r="A978" s="134"/>
      <c r="B978" s="135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</row>
    <row r="979" ht="15.0" customHeight="1">
      <c r="A979" s="134"/>
      <c r="B979" s="135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</row>
    <row r="980" ht="15.0" customHeight="1">
      <c r="A980" s="134"/>
      <c r="B980" s="135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</row>
    <row r="981" ht="15.0" customHeight="1">
      <c r="A981" s="134"/>
      <c r="B981" s="135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</row>
    <row r="982" ht="15.0" customHeight="1">
      <c r="A982" s="134"/>
      <c r="B982" s="135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</row>
    <row r="983" ht="15.0" customHeight="1">
      <c r="A983" s="134"/>
      <c r="B983" s="135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</row>
    <row r="984" ht="15.0" customHeight="1">
      <c r="A984" s="134"/>
      <c r="B984" s="135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</row>
    <row r="985" ht="15.0" customHeight="1">
      <c r="A985" s="134"/>
      <c r="B985" s="135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</row>
    <row r="986" ht="15.0" customHeight="1">
      <c r="A986" s="134"/>
      <c r="B986" s="135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</row>
    <row r="987" ht="15.0" customHeight="1">
      <c r="A987" s="134"/>
      <c r="B987" s="135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</row>
    <row r="988" ht="15.0" customHeight="1">
      <c r="A988" s="134"/>
      <c r="B988" s="135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</row>
    <row r="989" ht="15.0" customHeight="1">
      <c r="A989" s="134"/>
      <c r="B989" s="135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</row>
    <row r="990" ht="15.0" customHeight="1">
      <c r="A990" s="134"/>
      <c r="B990" s="135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</row>
    <row r="991" ht="15.0" customHeight="1">
      <c r="A991" s="134"/>
      <c r="B991" s="135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</row>
    <row r="992" ht="15.0" customHeight="1">
      <c r="A992" s="134"/>
      <c r="B992" s="135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</row>
    <row r="993" ht="15.0" customHeight="1">
      <c r="A993" s="134"/>
      <c r="B993" s="135"/>
      <c r="C993" s="135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</row>
    <row r="994" ht="15.0" customHeight="1">
      <c r="A994" s="134"/>
      <c r="B994" s="135"/>
      <c r="C994" s="135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</row>
    <row r="995" ht="15.0" customHeight="1">
      <c r="A995" s="134"/>
      <c r="B995" s="135"/>
      <c r="C995" s="135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</row>
    <row r="996" ht="15.0" customHeight="1">
      <c r="A996" s="134"/>
      <c r="B996" s="135"/>
      <c r="C996" s="135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</row>
    <row r="997" ht="15.0" customHeight="1">
      <c r="A997" s="134"/>
      <c r="B997" s="135"/>
      <c r="C997" s="135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</row>
    <row r="998" ht="15.0" customHeight="1">
      <c r="A998" s="134"/>
      <c r="B998" s="135"/>
      <c r="C998" s="135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</row>
    <row r="999" ht="15.0" customHeight="1">
      <c r="A999" s="134"/>
      <c r="B999" s="135"/>
      <c r="C999" s="135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</row>
    <row r="1000" ht="15.0" customHeight="1">
      <c r="A1000" s="134"/>
      <c r="B1000" s="135"/>
      <c r="C1000" s="135"/>
      <c r="D1000" s="135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</row>
    <row r="1001" ht="15.0" customHeight="1">
      <c r="A1001" s="134"/>
      <c r="B1001" s="135"/>
      <c r="C1001" s="135"/>
      <c r="D1001" s="135"/>
      <c r="E1001" s="135"/>
      <c r="F1001" s="135"/>
      <c r="G1001" s="135"/>
      <c r="H1001" s="135"/>
      <c r="I1001" s="135"/>
      <c r="J1001" s="135"/>
      <c r="K1001" s="135"/>
      <c r="L1001" s="135"/>
      <c r="M1001" s="135"/>
      <c r="N1001" s="135"/>
    </row>
    <row r="1002" ht="15.0" customHeight="1">
      <c r="A1002" s="134"/>
      <c r="B1002" s="135"/>
      <c r="C1002" s="135"/>
      <c r="D1002" s="135"/>
      <c r="E1002" s="135"/>
      <c r="F1002" s="135"/>
      <c r="G1002" s="135"/>
      <c r="H1002" s="135"/>
      <c r="I1002" s="135"/>
      <c r="J1002" s="135"/>
      <c r="K1002" s="135"/>
      <c r="L1002" s="135"/>
      <c r="M1002" s="135"/>
      <c r="N1002" s="135"/>
    </row>
    <row r="1003" ht="15.0" customHeight="1">
      <c r="A1003" s="134"/>
      <c r="B1003" s="135"/>
      <c r="C1003" s="135"/>
      <c r="D1003" s="135"/>
      <c r="E1003" s="135"/>
      <c r="F1003" s="135"/>
      <c r="G1003" s="135"/>
      <c r="H1003" s="135"/>
      <c r="I1003" s="135"/>
      <c r="J1003" s="135"/>
      <c r="K1003" s="135"/>
      <c r="L1003" s="135"/>
      <c r="M1003" s="135"/>
      <c r="N1003" s="135"/>
    </row>
    <row r="1004" ht="15.0" customHeight="1">
      <c r="A1004" s="134"/>
      <c r="B1004" s="135"/>
      <c r="C1004" s="135"/>
      <c r="D1004" s="135"/>
      <c r="E1004" s="135"/>
      <c r="F1004" s="135"/>
      <c r="G1004" s="135"/>
      <c r="H1004" s="135"/>
      <c r="I1004" s="135"/>
      <c r="J1004" s="135"/>
      <c r="K1004" s="135"/>
      <c r="L1004" s="135"/>
      <c r="M1004" s="135"/>
      <c r="N1004" s="135"/>
    </row>
    <row r="1005" ht="15.0" customHeight="1">
      <c r="A1005" s="134"/>
      <c r="B1005" s="135"/>
      <c r="C1005" s="135"/>
      <c r="D1005" s="135"/>
      <c r="E1005" s="135"/>
      <c r="F1005" s="135"/>
      <c r="G1005" s="135"/>
      <c r="H1005" s="135"/>
      <c r="I1005" s="135"/>
      <c r="J1005" s="135"/>
      <c r="K1005" s="135"/>
      <c r="L1005" s="135"/>
      <c r="M1005" s="135"/>
      <c r="N1005" s="135"/>
    </row>
    <row r="1006" ht="15.0" customHeight="1">
      <c r="A1006" s="134"/>
      <c r="B1006" s="135"/>
      <c r="C1006" s="135"/>
      <c r="D1006" s="135"/>
      <c r="E1006" s="135"/>
      <c r="F1006" s="135"/>
      <c r="G1006" s="135"/>
      <c r="H1006" s="135"/>
      <c r="I1006" s="135"/>
      <c r="J1006" s="135"/>
      <c r="K1006" s="135"/>
      <c r="L1006" s="135"/>
      <c r="M1006" s="135"/>
      <c r="N1006" s="135"/>
    </row>
    <row r="1007" ht="15.0" customHeight="1">
      <c r="A1007" s="134"/>
      <c r="B1007" s="135"/>
      <c r="C1007" s="135"/>
      <c r="D1007" s="135"/>
      <c r="E1007" s="135"/>
      <c r="F1007" s="135"/>
      <c r="G1007" s="135"/>
      <c r="H1007" s="135"/>
      <c r="I1007" s="135"/>
      <c r="J1007" s="135"/>
      <c r="K1007" s="135"/>
      <c r="L1007" s="135"/>
      <c r="M1007" s="135"/>
      <c r="N1007" s="135"/>
    </row>
    <row r="1008" ht="15.0" customHeight="1">
      <c r="A1008" s="134"/>
      <c r="B1008" s="135"/>
      <c r="C1008" s="135"/>
      <c r="D1008" s="135"/>
      <c r="E1008" s="135"/>
      <c r="F1008" s="135"/>
      <c r="G1008" s="135"/>
      <c r="H1008" s="135"/>
      <c r="I1008" s="135"/>
      <c r="J1008" s="135"/>
      <c r="K1008" s="135"/>
      <c r="L1008" s="135"/>
      <c r="M1008" s="135"/>
      <c r="N1008" s="135"/>
    </row>
    <row r="1009" ht="15.0" customHeight="1">
      <c r="A1009" s="134"/>
      <c r="B1009" s="135"/>
      <c r="C1009" s="135"/>
      <c r="D1009" s="135"/>
      <c r="E1009" s="135"/>
      <c r="F1009" s="135"/>
      <c r="G1009" s="135"/>
      <c r="H1009" s="135"/>
      <c r="I1009" s="135"/>
      <c r="J1009" s="135"/>
      <c r="K1009" s="135"/>
      <c r="L1009" s="135"/>
      <c r="M1009" s="135"/>
      <c r="N1009" s="135"/>
    </row>
    <row r="1010" ht="15.0" customHeight="1">
      <c r="A1010" s="134"/>
      <c r="B1010" s="135"/>
      <c r="C1010" s="135"/>
      <c r="D1010" s="135"/>
      <c r="E1010" s="135"/>
      <c r="F1010" s="135"/>
      <c r="G1010" s="135"/>
      <c r="H1010" s="135"/>
      <c r="I1010" s="135"/>
      <c r="J1010" s="135"/>
      <c r="K1010" s="135"/>
      <c r="L1010" s="135"/>
      <c r="M1010" s="135"/>
      <c r="N1010" s="135"/>
    </row>
    <row r="1011" ht="15.0" customHeight="1">
      <c r="A1011" s="134"/>
      <c r="B1011" s="135"/>
      <c r="C1011" s="135"/>
      <c r="D1011" s="135"/>
      <c r="E1011" s="135"/>
      <c r="F1011" s="135"/>
      <c r="G1011" s="135"/>
      <c r="H1011" s="135"/>
      <c r="I1011" s="135"/>
      <c r="J1011" s="135"/>
      <c r="K1011" s="135"/>
      <c r="L1011" s="135"/>
      <c r="M1011" s="135"/>
      <c r="N1011" s="135"/>
    </row>
    <row r="1012" ht="15.0" customHeight="1">
      <c r="A1012" s="134"/>
      <c r="B1012" s="135"/>
      <c r="C1012" s="135"/>
      <c r="D1012" s="135"/>
      <c r="E1012" s="135"/>
      <c r="F1012" s="135"/>
      <c r="G1012" s="135"/>
      <c r="H1012" s="135"/>
      <c r="I1012" s="135"/>
      <c r="J1012" s="135"/>
      <c r="K1012" s="135"/>
      <c r="L1012" s="135"/>
      <c r="M1012" s="135"/>
      <c r="N1012" s="135"/>
    </row>
    <row r="1013" ht="15.0" customHeight="1">
      <c r="A1013" s="134"/>
      <c r="B1013" s="135"/>
      <c r="C1013" s="135"/>
      <c r="D1013" s="135"/>
      <c r="E1013" s="135"/>
      <c r="F1013" s="135"/>
      <c r="G1013" s="135"/>
      <c r="H1013" s="135"/>
      <c r="I1013" s="135"/>
      <c r="J1013" s="135"/>
      <c r="K1013" s="135"/>
      <c r="L1013" s="135"/>
      <c r="M1013" s="135"/>
      <c r="N1013" s="135"/>
    </row>
    <row r="1014" ht="15.0" customHeight="1">
      <c r="A1014" s="134"/>
      <c r="B1014" s="135"/>
      <c r="C1014" s="135"/>
      <c r="D1014" s="135"/>
      <c r="E1014" s="135"/>
      <c r="F1014" s="135"/>
      <c r="G1014" s="135"/>
      <c r="H1014" s="135"/>
      <c r="I1014" s="135"/>
      <c r="J1014" s="135"/>
      <c r="K1014" s="135"/>
      <c r="L1014" s="135"/>
      <c r="M1014" s="135"/>
      <c r="N1014" s="135"/>
    </row>
    <row r="1015" ht="15.0" customHeight="1">
      <c r="A1015" s="134"/>
      <c r="B1015" s="135"/>
      <c r="C1015" s="135"/>
      <c r="D1015" s="135"/>
      <c r="E1015" s="135"/>
      <c r="F1015" s="135"/>
      <c r="G1015" s="135"/>
      <c r="H1015" s="135"/>
      <c r="I1015" s="135"/>
      <c r="J1015" s="135"/>
      <c r="K1015" s="135"/>
      <c r="L1015" s="135"/>
      <c r="M1015" s="135"/>
      <c r="N1015" s="135"/>
    </row>
    <row r="1016" ht="15.0" customHeight="1">
      <c r="A1016" s="134"/>
      <c r="B1016" s="135"/>
      <c r="C1016" s="135"/>
      <c r="D1016" s="135"/>
      <c r="E1016" s="135"/>
      <c r="F1016" s="135"/>
      <c r="G1016" s="135"/>
      <c r="H1016" s="135"/>
      <c r="I1016" s="135"/>
      <c r="J1016" s="135"/>
      <c r="K1016" s="135"/>
      <c r="L1016" s="135"/>
      <c r="M1016" s="135"/>
      <c r="N1016" s="135"/>
    </row>
    <row r="1017" ht="15.0" customHeight="1">
      <c r="A1017" s="134"/>
      <c r="B1017" s="135"/>
      <c r="C1017" s="135"/>
      <c r="D1017" s="135"/>
      <c r="E1017" s="135"/>
      <c r="F1017" s="135"/>
      <c r="G1017" s="135"/>
      <c r="H1017" s="135"/>
      <c r="I1017" s="135"/>
      <c r="J1017" s="135"/>
      <c r="K1017" s="135"/>
      <c r="L1017" s="135"/>
      <c r="M1017" s="135"/>
      <c r="N1017" s="135"/>
    </row>
    <row r="1018" ht="15.0" customHeight="1">
      <c r="A1018" s="134"/>
      <c r="B1018" s="135"/>
      <c r="C1018" s="135"/>
      <c r="D1018" s="135"/>
      <c r="E1018" s="135"/>
      <c r="F1018" s="135"/>
      <c r="G1018" s="135"/>
      <c r="H1018" s="135"/>
      <c r="I1018" s="135"/>
      <c r="J1018" s="135"/>
      <c r="K1018" s="135"/>
      <c r="L1018" s="135"/>
      <c r="M1018" s="135"/>
      <c r="N1018" s="135"/>
    </row>
    <row r="1019" ht="15.0" customHeight="1">
      <c r="A1019" s="134"/>
      <c r="B1019" s="135"/>
      <c r="C1019" s="135"/>
      <c r="D1019" s="135"/>
      <c r="E1019" s="135"/>
      <c r="F1019" s="135"/>
      <c r="G1019" s="135"/>
      <c r="H1019" s="135"/>
      <c r="I1019" s="135"/>
      <c r="J1019" s="135"/>
      <c r="K1019" s="135"/>
      <c r="L1019" s="135"/>
      <c r="M1019" s="135"/>
      <c r="N1019" s="135"/>
    </row>
    <row r="1020" ht="15.0" customHeight="1">
      <c r="A1020" s="134"/>
      <c r="B1020" s="135"/>
      <c r="C1020" s="135"/>
      <c r="D1020" s="135"/>
      <c r="E1020" s="135"/>
      <c r="F1020" s="135"/>
      <c r="G1020" s="135"/>
      <c r="H1020" s="135"/>
      <c r="I1020" s="135"/>
      <c r="J1020" s="135"/>
      <c r="K1020" s="135"/>
      <c r="L1020" s="135"/>
      <c r="M1020" s="135"/>
      <c r="N1020" s="135"/>
    </row>
    <row r="1021" ht="15.0" customHeight="1">
      <c r="A1021" s="134"/>
      <c r="B1021" s="135"/>
      <c r="C1021" s="135"/>
      <c r="D1021" s="135"/>
      <c r="E1021" s="135"/>
      <c r="F1021" s="135"/>
      <c r="G1021" s="135"/>
      <c r="H1021" s="135"/>
      <c r="I1021" s="135"/>
      <c r="J1021" s="135"/>
      <c r="K1021" s="135"/>
      <c r="L1021" s="135"/>
      <c r="M1021" s="135"/>
      <c r="N1021" s="135"/>
    </row>
    <row r="1022" ht="15.0" customHeight="1">
      <c r="A1022" s="134"/>
      <c r="B1022" s="135"/>
      <c r="C1022" s="135"/>
      <c r="D1022" s="135"/>
      <c r="E1022" s="135"/>
      <c r="F1022" s="135"/>
      <c r="G1022" s="135"/>
      <c r="H1022" s="135"/>
      <c r="I1022" s="135"/>
      <c r="J1022" s="135"/>
      <c r="K1022" s="135"/>
      <c r="L1022" s="135"/>
      <c r="M1022" s="135"/>
      <c r="N1022" s="135"/>
    </row>
    <row r="1023" ht="15.0" customHeight="1">
      <c r="A1023" s="134"/>
      <c r="B1023" s="135"/>
      <c r="C1023" s="135"/>
      <c r="D1023" s="135"/>
      <c r="E1023" s="135"/>
      <c r="F1023" s="135"/>
      <c r="G1023" s="135"/>
      <c r="H1023" s="135"/>
      <c r="I1023" s="135"/>
      <c r="J1023" s="135"/>
      <c r="K1023" s="135"/>
      <c r="L1023" s="135"/>
      <c r="M1023" s="135"/>
      <c r="N1023" s="135"/>
    </row>
    <row r="1024" ht="15.0" customHeight="1">
      <c r="A1024" s="134"/>
      <c r="B1024" s="135"/>
      <c r="C1024" s="135"/>
      <c r="D1024" s="135"/>
      <c r="E1024" s="135"/>
      <c r="F1024" s="135"/>
      <c r="G1024" s="135"/>
      <c r="H1024" s="135"/>
      <c r="I1024" s="135"/>
      <c r="J1024" s="135"/>
      <c r="K1024" s="135"/>
      <c r="L1024" s="135"/>
      <c r="M1024" s="135"/>
      <c r="N1024" s="135"/>
    </row>
    <row r="1025" ht="15.0" customHeight="1">
      <c r="A1025" s="134"/>
      <c r="B1025" s="135"/>
      <c r="C1025" s="135"/>
      <c r="D1025" s="135"/>
      <c r="E1025" s="135"/>
      <c r="F1025" s="135"/>
      <c r="G1025" s="135"/>
      <c r="H1025" s="135"/>
      <c r="I1025" s="135"/>
      <c r="J1025" s="135"/>
      <c r="K1025" s="135"/>
      <c r="L1025" s="135"/>
      <c r="M1025" s="135"/>
      <c r="N1025" s="135"/>
    </row>
    <row r="1026" ht="15.0" customHeight="1">
      <c r="A1026" s="134"/>
      <c r="B1026" s="135"/>
      <c r="C1026" s="135"/>
      <c r="D1026" s="135"/>
      <c r="E1026" s="135"/>
      <c r="F1026" s="135"/>
      <c r="G1026" s="135"/>
      <c r="H1026" s="135"/>
      <c r="I1026" s="135"/>
      <c r="J1026" s="135"/>
      <c r="K1026" s="135"/>
      <c r="L1026" s="135"/>
      <c r="M1026" s="135"/>
      <c r="N1026" s="135"/>
    </row>
    <row r="1027" ht="15.0" customHeight="1">
      <c r="A1027" s="134"/>
      <c r="B1027" s="135"/>
      <c r="C1027" s="135"/>
      <c r="D1027" s="135"/>
      <c r="E1027" s="135"/>
      <c r="F1027" s="135"/>
      <c r="G1027" s="135"/>
      <c r="H1027" s="135"/>
      <c r="I1027" s="135"/>
      <c r="J1027" s="135"/>
      <c r="K1027" s="135"/>
      <c r="L1027" s="135"/>
      <c r="M1027" s="135"/>
      <c r="N1027" s="135"/>
    </row>
    <row r="1028" ht="15.0" customHeight="1">
      <c r="A1028" s="134"/>
      <c r="B1028" s="135"/>
      <c r="C1028" s="135"/>
      <c r="D1028" s="135"/>
      <c r="E1028" s="135"/>
      <c r="F1028" s="135"/>
      <c r="G1028" s="135"/>
      <c r="H1028" s="135"/>
      <c r="I1028" s="135"/>
      <c r="J1028" s="135"/>
      <c r="K1028" s="135"/>
      <c r="L1028" s="135"/>
      <c r="M1028" s="135"/>
      <c r="N1028" s="135"/>
    </row>
    <row r="1029" ht="15.0" customHeight="1">
      <c r="A1029" s="134"/>
      <c r="B1029" s="135"/>
      <c r="C1029" s="135"/>
      <c r="D1029" s="135"/>
      <c r="E1029" s="135"/>
      <c r="F1029" s="135"/>
      <c r="G1029" s="135"/>
      <c r="H1029" s="135"/>
      <c r="I1029" s="135"/>
      <c r="J1029" s="135"/>
      <c r="K1029" s="135"/>
      <c r="L1029" s="135"/>
      <c r="M1029" s="135"/>
      <c r="N1029" s="135"/>
    </row>
    <row r="1030" ht="15.0" customHeight="1">
      <c r="A1030" s="134"/>
      <c r="B1030" s="135"/>
      <c r="C1030" s="135"/>
      <c r="D1030" s="135"/>
      <c r="E1030" s="135"/>
      <c r="F1030" s="135"/>
      <c r="G1030" s="135"/>
      <c r="H1030" s="135"/>
      <c r="I1030" s="135"/>
      <c r="J1030" s="135"/>
      <c r="K1030" s="135"/>
      <c r="L1030" s="135"/>
      <c r="M1030" s="135"/>
      <c r="N1030" s="135"/>
    </row>
    <row r="1031" ht="15.0" customHeight="1">
      <c r="A1031" s="134"/>
      <c r="B1031" s="135"/>
      <c r="C1031" s="135"/>
      <c r="D1031" s="135"/>
      <c r="E1031" s="135"/>
      <c r="F1031" s="135"/>
      <c r="G1031" s="135"/>
      <c r="H1031" s="135"/>
      <c r="I1031" s="135"/>
      <c r="J1031" s="135"/>
      <c r="K1031" s="135"/>
      <c r="L1031" s="135"/>
      <c r="M1031" s="135"/>
      <c r="N1031" s="135"/>
    </row>
    <row r="1032" ht="15.0" customHeight="1">
      <c r="A1032" s="134"/>
      <c r="B1032" s="135"/>
      <c r="C1032" s="135"/>
      <c r="D1032" s="135"/>
      <c r="E1032" s="135"/>
      <c r="F1032" s="135"/>
      <c r="G1032" s="135"/>
      <c r="H1032" s="135"/>
      <c r="I1032" s="135"/>
      <c r="J1032" s="135"/>
      <c r="K1032" s="135"/>
      <c r="L1032" s="135"/>
      <c r="M1032" s="135"/>
      <c r="N1032" s="135"/>
    </row>
    <row r="1033" ht="15.0" customHeight="1">
      <c r="A1033" s="134"/>
      <c r="B1033" s="135"/>
      <c r="C1033" s="135"/>
      <c r="D1033" s="135"/>
      <c r="E1033" s="135"/>
      <c r="F1033" s="135"/>
      <c r="G1033" s="135"/>
      <c r="H1033" s="135"/>
      <c r="I1033" s="135"/>
      <c r="J1033" s="135"/>
      <c r="K1033" s="135"/>
      <c r="L1033" s="135"/>
      <c r="M1033" s="135"/>
      <c r="N1033" s="135"/>
    </row>
    <row r="1034" ht="15.0" customHeight="1">
      <c r="A1034" s="134"/>
      <c r="B1034" s="135"/>
      <c r="C1034" s="135"/>
      <c r="D1034" s="135"/>
      <c r="E1034" s="135"/>
      <c r="F1034" s="135"/>
      <c r="G1034" s="135"/>
      <c r="H1034" s="135"/>
      <c r="I1034" s="135"/>
      <c r="J1034" s="135"/>
      <c r="K1034" s="135"/>
      <c r="L1034" s="135"/>
      <c r="M1034" s="135"/>
      <c r="N1034" s="135"/>
    </row>
    <row r="1035" ht="15.0" customHeight="1">
      <c r="A1035" s="134"/>
      <c r="B1035" s="135"/>
      <c r="C1035" s="135"/>
      <c r="D1035" s="135"/>
      <c r="E1035" s="135"/>
      <c r="F1035" s="135"/>
      <c r="G1035" s="135"/>
      <c r="H1035" s="135"/>
      <c r="I1035" s="135"/>
      <c r="J1035" s="135"/>
      <c r="K1035" s="135"/>
      <c r="L1035" s="135"/>
      <c r="M1035" s="135"/>
      <c r="N1035" s="135"/>
    </row>
    <row r="1036" ht="15.0" customHeight="1">
      <c r="A1036" s="134"/>
      <c r="B1036" s="135"/>
      <c r="C1036" s="135"/>
      <c r="D1036" s="135"/>
      <c r="E1036" s="135"/>
      <c r="F1036" s="135"/>
      <c r="G1036" s="135"/>
      <c r="H1036" s="135"/>
      <c r="I1036" s="135"/>
      <c r="J1036" s="135"/>
      <c r="K1036" s="135"/>
      <c r="L1036" s="135"/>
      <c r="M1036" s="135"/>
      <c r="N1036" s="135"/>
    </row>
    <row r="1037" ht="15.0" customHeight="1">
      <c r="A1037" s="134"/>
      <c r="B1037" s="135"/>
      <c r="C1037" s="135"/>
      <c r="D1037" s="135"/>
      <c r="E1037" s="135"/>
      <c r="F1037" s="135"/>
      <c r="G1037" s="135"/>
      <c r="H1037" s="135"/>
      <c r="I1037" s="135"/>
      <c r="J1037" s="135"/>
      <c r="K1037" s="135"/>
      <c r="L1037" s="135"/>
      <c r="M1037" s="135"/>
      <c r="N1037" s="135"/>
    </row>
    <row r="1038" ht="15.0" customHeight="1">
      <c r="A1038" s="134"/>
      <c r="B1038" s="135"/>
      <c r="C1038" s="135"/>
      <c r="D1038" s="135"/>
      <c r="E1038" s="135"/>
      <c r="F1038" s="135"/>
      <c r="G1038" s="135"/>
      <c r="H1038" s="135"/>
      <c r="I1038" s="135"/>
      <c r="J1038" s="135"/>
      <c r="K1038" s="135"/>
      <c r="L1038" s="135"/>
      <c r="M1038" s="135"/>
      <c r="N1038" s="135"/>
    </row>
    <row r="1039" ht="15.0" customHeight="1">
      <c r="A1039" s="134"/>
      <c r="B1039" s="135"/>
      <c r="C1039" s="135"/>
      <c r="D1039" s="135"/>
      <c r="E1039" s="135"/>
      <c r="F1039" s="135"/>
      <c r="G1039" s="135"/>
      <c r="H1039" s="135"/>
      <c r="I1039" s="135"/>
      <c r="J1039" s="135"/>
      <c r="K1039" s="135"/>
      <c r="L1039" s="135"/>
      <c r="M1039" s="135"/>
      <c r="N1039" s="135"/>
    </row>
    <row r="1040" ht="15.0" customHeight="1">
      <c r="A1040" s="134"/>
      <c r="B1040" s="135"/>
      <c r="C1040" s="135"/>
      <c r="D1040" s="135"/>
      <c r="E1040" s="135"/>
      <c r="F1040" s="135"/>
      <c r="G1040" s="135"/>
      <c r="H1040" s="135"/>
      <c r="I1040" s="135"/>
      <c r="J1040" s="135"/>
      <c r="K1040" s="135"/>
      <c r="L1040" s="135"/>
      <c r="M1040" s="135"/>
      <c r="N1040" s="135"/>
    </row>
    <row r="1041" ht="15.0" customHeight="1">
      <c r="A1041" s="134"/>
      <c r="B1041" s="135"/>
      <c r="C1041" s="135"/>
      <c r="D1041" s="135"/>
      <c r="E1041" s="135"/>
      <c r="F1041" s="135"/>
      <c r="G1041" s="135"/>
      <c r="H1041" s="135"/>
      <c r="I1041" s="135"/>
      <c r="J1041" s="135"/>
      <c r="K1041" s="135"/>
      <c r="L1041" s="135"/>
      <c r="M1041" s="135"/>
      <c r="N1041" s="135"/>
    </row>
    <row r="1042" ht="15.0" customHeight="1">
      <c r="A1042" s="134"/>
      <c r="B1042" s="135"/>
      <c r="C1042" s="135"/>
      <c r="D1042" s="135"/>
      <c r="E1042" s="135"/>
      <c r="F1042" s="135"/>
      <c r="G1042" s="135"/>
      <c r="H1042" s="135"/>
      <c r="I1042" s="135"/>
      <c r="J1042" s="135"/>
      <c r="K1042" s="135"/>
      <c r="L1042" s="135"/>
      <c r="M1042" s="135"/>
      <c r="N1042" s="135"/>
    </row>
    <row r="1043" ht="15.0" customHeight="1">
      <c r="A1043" s="134"/>
      <c r="B1043" s="135"/>
      <c r="C1043" s="135"/>
      <c r="D1043" s="135"/>
      <c r="E1043" s="135"/>
      <c r="F1043" s="135"/>
      <c r="G1043" s="135"/>
      <c r="H1043" s="135"/>
      <c r="I1043" s="135"/>
      <c r="J1043" s="135"/>
      <c r="K1043" s="135"/>
      <c r="L1043" s="135"/>
      <c r="M1043" s="135"/>
      <c r="N1043" s="135"/>
    </row>
    <row r="1044" ht="15.0" customHeight="1">
      <c r="A1044" s="134"/>
      <c r="B1044" s="135"/>
      <c r="C1044" s="135"/>
      <c r="D1044" s="135"/>
      <c r="E1044" s="135"/>
      <c r="F1044" s="135"/>
      <c r="G1044" s="135"/>
      <c r="H1044" s="135"/>
      <c r="I1044" s="135"/>
      <c r="J1044" s="135"/>
      <c r="K1044" s="135"/>
      <c r="L1044" s="135"/>
      <c r="M1044" s="135"/>
      <c r="N1044" s="135"/>
    </row>
    <row r="1045" ht="15.0" customHeight="1">
      <c r="A1045" s="134"/>
      <c r="B1045" s="135"/>
      <c r="C1045" s="135"/>
      <c r="D1045" s="135"/>
      <c r="E1045" s="135"/>
      <c r="F1045" s="135"/>
      <c r="G1045" s="135"/>
      <c r="H1045" s="135"/>
      <c r="I1045" s="135"/>
      <c r="J1045" s="135"/>
      <c r="K1045" s="135"/>
      <c r="L1045" s="135"/>
      <c r="M1045" s="135"/>
      <c r="N1045" s="135"/>
    </row>
    <row r="1046" ht="15.0" customHeight="1">
      <c r="A1046" s="134"/>
      <c r="B1046" s="135"/>
      <c r="C1046" s="135"/>
      <c r="D1046" s="135"/>
      <c r="E1046" s="135"/>
      <c r="F1046" s="135"/>
      <c r="G1046" s="135"/>
      <c r="H1046" s="135"/>
      <c r="I1046" s="135"/>
      <c r="J1046" s="135"/>
      <c r="K1046" s="135"/>
      <c r="L1046" s="135"/>
      <c r="M1046" s="135"/>
      <c r="N1046" s="135"/>
    </row>
    <row r="1047" ht="15.0" customHeight="1">
      <c r="A1047" s="134"/>
      <c r="B1047" s="135"/>
      <c r="C1047" s="135"/>
      <c r="D1047" s="135"/>
      <c r="E1047" s="135"/>
      <c r="F1047" s="135"/>
      <c r="G1047" s="135"/>
      <c r="H1047" s="135"/>
      <c r="I1047" s="135"/>
      <c r="J1047" s="135"/>
      <c r="K1047" s="135"/>
      <c r="L1047" s="135"/>
      <c r="M1047" s="135"/>
      <c r="N1047" s="135"/>
    </row>
    <row r="1048" ht="15.0" customHeight="1">
      <c r="A1048" s="134"/>
      <c r="B1048" s="135"/>
      <c r="C1048" s="135"/>
      <c r="D1048" s="135"/>
      <c r="E1048" s="135"/>
      <c r="F1048" s="135"/>
      <c r="G1048" s="135"/>
      <c r="H1048" s="135"/>
      <c r="I1048" s="135"/>
      <c r="J1048" s="135"/>
      <c r="K1048" s="135"/>
      <c r="L1048" s="135"/>
      <c r="M1048" s="135"/>
      <c r="N1048" s="135"/>
    </row>
    <row r="1049" ht="15.0" customHeight="1">
      <c r="A1049" s="134"/>
      <c r="B1049" s="135"/>
      <c r="C1049" s="135"/>
      <c r="D1049" s="135"/>
      <c r="E1049" s="135"/>
      <c r="F1049" s="135"/>
      <c r="G1049" s="135"/>
      <c r="H1049" s="135"/>
      <c r="I1049" s="135"/>
      <c r="J1049" s="135"/>
      <c r="K1049" s="135"/>
      <c r="L1049" s="135"/>
      <c r="M1049" s="135"/>
      <c r="N1049" s="135"/>
    </row>
    <row r="1050" ht="15.0" customHeight="1">
      <c r="A1050" s="134"/>
      <c r="B1050" s="135"/>
      <c r="C1050" s="135"/>
      <c r="D1050" s="135"/>
      <c r="E1050" s="135"/>
      <c r="F1050" s="135"/>
      <c r="G1050" s="135"/>
      <c r="H1050" s="135"/>
      <c r="I1050" s="135"/>
      <c r="J1050" s="135"/>
      <c r="K1050" s="135"/>
      <c r="L1050" s="135"/>
      <c r="M1050" s="135"/>
      <c r="N1050" s="135"/>
    </row>
    <row r="1051" ht="15.0" customHeight="1">
      <c r="A1051" s="134"/>
      <c r="B1051" s="135"/>
      <c r="C1051" s="135"/>
      <c r="D1051" s="135"/>
      <c r="E1051" s="135"/>
      <c r="F1051" s="135"/>
      <c r="G1051" s="135"/>
      <c r="H1051" s="135"/>
      <c r="I1051" s="135"/>
      <c r="J1051" s="135"/>
      <c r="K1051" s="135"/>
      <c r="L1051" s="135"/>
      <c r="M1051" s="135"/>
      <c r="N1051" s="135"/>
    </row>
    <row r="1052" ht="15.0" customHeight="1">
      <c r="A1052" s="134"/>
      <c r="B1052" s="135"/>
      <c r="C1052" s="135"/>
      <c r="D1052" s="135"/>
      <c r="E1052" s="135"/>
      <c r="F1052" s="135"/>
      <c r="G1052" s="135"/>
      <c r="H1052" s="135"/>
      <c r="I1052" s="135"/>
      <c r="J1052" s="135"/>
      <c r="K1052" s="135"/>
      <c r="L1052" s="135"/>
      <c r="M1052" s="135"/>
      <c r="N1052" s="135"/>
    </row>
    <row r="1053" ht="15.0" customHeight="1">
      <c r="A1053" s="134"/>
      <c r="B1053" s="135"/>
      <c r="C1053" s="135"/>
      <c r="D1053" s="135"/>
      <c r="E1053" s="135"/>
      <c r="F1053" s="135"/>
      <c r="G1053" s="135"/>
      <c r="H1053" s="135"/>
      <c r="I1053" s="135"/>
      <c r="J1053" s="135"/>
      <c r="K1053" s="135"/>
      <c r="L1053" s="135"/>
      <c r="M1053" s="135"/>
      <c r="N1053" s="135"/>
    </row>
    <row r="1054" ht="15.0" customHeight="1">
      <c r="A1054" s="134"/>
      <c r="B1054" s="135"/>
      <c r="C1054" s="135"/>
      <c r="D1054" s="135"/>
      <c r="E1054" s="135"/>
      <c r="F1054" s="135"/>
      <c r="G1054" s="135"/>
      <c r="H1054" s="135"/>
      <c r="I1054" s="135"/>
      <c r="J1054" s="135"/>
      <c r="K1054" s="135"/>
      <c r="L1054" s="135"/>
      <c r="M1054" s="135"/>
      <c r="N1054" s="135"/>
    </row>
    <row r="1055" ht="15.0" customHeight="1">
      <c r="A1055" s="134"/>
      <c r="B1055" s="135"/>
      <c r="C1055" s="135"/>
      <c r="D1055" s="135"/>
      <c r="E1055" s="135"/>
      <c r="F1055" s="135"/>
      <c r="G1055" s="135"/>
      <c r="H1055" s="135"/>
      <c r="I1055" s="135"/>
      <c r="J1055" s="135"/>
      <c r="K1055" s="135"/>
      <c r="L1055" s="135"/>
      <c r="M1055" s="135"/>
      <c r="N1055" s="135"/>
    </row>
    <row r="1056" ht="15.0" customHeight="1">
      <c r="A1056" s="134"/>
      <c r="B1056" s="135"/>
      <c r="C1056" s="135"/>
      <c r="D1056" s="135"/>
      <c r="E1056" s="135"/>
      <c r="F1056" s="135"/>
      <c r="G1056" s="135"/>
      <c r="H1056" s="135"/>
      <c r="I1056" s="135"/>
      <c r="J1056" s="135"/>
      <c r="K1056" s="135"/>
      <c r="L1056" s="135"/>
      <c r="M1056" s="135"/>
      <c r="N1056" s="135"/>
    </row>
    <row r="1057" ht="15.0" customHeight="1">
      <c r="A1057" s="134"/>
      <c r="B1057" s="135"/>
      <c r="C1057" s="135"/>
      <c r="D1057" s="135"/>
      <c r="E1057" s="135"/>
      <c r="F1057" s="135"/>
      <c r="G1057" s="135"/>
      <c r="H1057" s="135"/>
      <c r="I1057" s="135"/>
      <c r="J1057" s="135"/>
      <c r="K1057" s="135"/>
      <c r="L1057" s="135"/>
      <c r="M1057" s="135"/>
      <c r="N1057" s="135"/>
    </row>
    <row r="1058" ht="15.0" customHeight="1">
      <c r="A1058" s="134"/>
      <c r="B1058" s="135"/>
      <c r="C1058" s="135"/>
      <c r="D1058" s="135"/>
      <c r="E1058" s="135"/>
      <c r="F1058" s="135"/>
      <c r="G1058" s="135"/>
      <c r="H1058" s="135"/>
      <c r="I1058" s="135"/>
      <c r="J1058" s="135"/>
      <c r="K1058" s="135"/>
      <c r="L1058" s="135"/>
      <c r="M1058" s="135"/>
      <c r="N1058" s="135"/>
    </row>
    <row r="1059" ht="15.0" customHeight="1">
      <c r="A1059" s="134"/>
      <c r="B1059" s="135"/>
      <c r="C1059" s="135"/>
      <c r="D1059" s="135"/>
      <c r="E1059" s="135"/>
      <c r="F1059" s="135"/>
      <c r="G1059" s="135"/>
      <c r="H1059" s="135"/>
      <c r="I1059" s="135"/>
      <c r="J1059" s="135"/>
      <c r="K1059" s="135"/>
      <c r="L1059" s="135"/>
      <c r="M1059" s="135"/>
      <c r="N1059" s="135"/>
    </row>
    <row r="1060" ht="15.0" customHeight="1">
      <c r="A1060" s="134"/>
      <c r="B1060" s="135"/>
      <c r="C1060" s="135"/>
      <c r="D1060" s="135"/>
      <c r="E1060" s="135"/>
      <c r="F1060" s="135"/>
      <c r="G1060" s="135"/>
      <c r="H1060" s="135"/>
      <c r="I1060" s="135"/>
      <c r="J1060" s="135"/>
      <c r="K1060" s="135"/>
      <c r="L1060" s="135"/>
      <c r="M1060" s="135"/>
      <c r="N1060" s="135"/>
    </row>
    <row r="1061" ht="15.0" customHeight="1">
      <c r="A1061" s="134"/>
      <c r="B1061" s="135"/>
      <c r="C1061" s="135"/>
      <c r="D1061" s="135"/>
      <c r="E1061" s="135"/>
      <c r="F1061" s="135"/>
      <c r="G1061" s="135"/>
      <c r="H1061" s="135"/>
      <c r="I1061" s="135"/>
      <c r="J1061" s="135"/>
      <c r="K1061" s="135"/>
      <c r="L1061" s="135"/>
      <c r="M1061" s="135"/>
      <c r="N1061" s="135"/>
    </row>
    <row r="1062" ht="15.0" customHeight="1">
      <c r="A1062" s="134"/>
      <c r="B1062" s="135"/>
      <c r="C1062" s="135"/>
      <c r="D1062" s="135"/>
      <c r="E1062" s="135"/>
      <c r="F1062" s="135"/>
      <c r="G1062" s="135"/>
      <c r="H1062" s="135"/>
      <c r="I1062" s="135"/>
      <c r="J1062" s="135"/>
      <c r="K1062" s="135"/>
      <c r="L1062" s="135"/>
      <c r="M1062" s="135"/>
      <c r="N1062" s="135"/>
    </row>
    <row r="1063" ht="15.0" customHeight="1">
      <c r="A1063" s="134"/>
      <c r="B1063" s="135"/>
      <c r="C1063" s="135"/>
      <c r="D1063" s="135"/>
      <c r="E1063" s="135"/>
      <c r="F1063" s="135"/>
      <c r="G1063" s="135"/>
      <c r="H1063" s="135"/>
      <c r="I1063" s="135"/>
      <c r="J1063" s="135"/>
      <c r="K1063" s="135"/>
      <c r="L1063" s="135"/>
      <c r="M1063" s="135"/>
      <c r="N1063" s="135"/>
    </row>
    <row r="1064" ht="15.0" customHeight="1">
      <c r="A1064" s="134"/>
      <c r="B1064" s="135"/>
      <c r="C1064" s="135"/>
      <c r="D1064" s="135"/>
      <c r="E1064" s="135"/>
      <c r="F1064" s="135"/>
      <c r="G1064" s="135"/>
      <c r="H1064" s="135"/>
      <c r="I1064" s="135"/>
      <c r="J1064" s="135"/>
      <c r="K1064" s="135"/>
      <c r="L1064" s="135"/>
      <c r="M1064" s="135"/>
      <c r="N1064" s="135"/>
    </row>
    <row r="1065" ht="15.0" customHeight="1">
      <c r="A1065" s="134"/>
      <c r="B1065" s="135"/>
      <c r="C1065" s="135"/>
      <c r="D1065" s="135"/>
      <c r="E1065" s="135"/>
      <c r="F1065" s="135"/>
      <c r="G1065" s="135"/>
      <c r="H1065" s="135"/>
      <c r="I1065" s="135"/>
      <c r="J1065" s="135"/>
      <c r="K1065" s="135"/>
      <c r="L1065" s="135"/>
      <c r="M1065" s="135"/>
      <c r="N1065" s="135"/>
    </row>
    <row r="1066" ht="15.0" customHeight="1">
      <c r="A1066" s="134"/>
      <c r="B1066" s="135"/>
      <c r="C1066" s="135"/>
      <c r="D1066" s="135"/>
      <c r="E1066" s="135"/>
      <c r="F1066" s="135"/>
      <c r="G1066" s="135"/>
      <c r="H1066" s="135"/>
      <c r="I1066" s="135"/>
      <c r="J1066" s="135"/>
      <c r="K1066" s="135"/>
      <c r="L1066" s="135"/>
      <c r="M1066" s="135"/>
      <c r="N1066" s="135"/>
    </row>
    <row r="1067" ht="15.0" customHeight="1">
      <c r="A1067" s="134"/>
      <c r="B1067" s="135"/>
      <c r="C1067" s="135"/>
      <c r="D1067" s="135"/>
      <c r="E1067" s="135"/>
      <c r="F1067" s="135"/>
      <c r="G1067" s="135"/>
      <c r="H1067" s="135"/>
      <c r="I1067" s="135"/>
      <c r="J1067" s="135"/>
      <c r="K1067" s="135"/>
      <c r="L1067" s="135"/>
      <c r="M1067" s="135"/>
      <c r="N1067" s="135"/>
    </row>
    <row r="1068" ht="15.0" customHeight="1">
      <c r="A1068" s="134"/>
      <c r="B1068" s="135"/>
      <c r="C1068" s="135"/>
      <c r="D1068" s="135"/>
      <c r="E1068" s="135"/>
      <c r="F1068" s="135"/>
      <c r="G1068" s="135"/>
      <c r="H1068" s="135"/>
      <c r="I1068" s="135"/>
      <c r="J1068" s="135"/>
      <c r="K1068" s="135"/>
      <c r="L1068" s="135"/>
      <c r="M1068" s="135"/>
      <c r="N1068" s="135"/>
    </row>
    <row r="1069" ht="15.0" customHeight="1">
      <c r="A1069" s="134"/>
      <c r="B1069" s="135"/>
      <c r="C1069" s="135"/>
      <c r="D1069" s="135"/>
      <c r="E1069" s="135"/>
      <c r="F1069" s="135"/>
      <c r="G1069" s="135"/>
      <c r="H1069" s="135"/>
      <c r="I1069" s="135"/>
      <c r="J1069" s="135"/>
      <c r="K1069" s="135"/>
      <c r="L1069" s="135"/>
      <c r="M1069" s="135"/>
      <c r="N1069" s="135"/>
    </row>
    <row r="1070" ht="15.0" customHeight="1">
      <c r="A1070" s="134"/>
      <c r="B1070" s="135"/>
      <c r="C1070" s="135"/>
      <c r="D1070" s="135"/>
      <c r="E1070" s="135"/>
      <c r="F1070" s="135"/>
      <c r="G1070" s="135"/>
      <c r="H1070" s="135"/>
      <c r="I1070" s="135"/>
      <c r="J1070" s="135"/>
      <c r="K1070" s="135"/>
      <c r="L1070" s="135"/>
      <c r="M1070" s="135"/>
      <c r="N1070" s="135"/>
    </row>
    <row r="1071" ht="15.0" customHeight="1">
      <c r="A1071" s="134"/>
      <c r="B1071" s="135"/>
      <c r="C1071" s="135"/>
      <c r="D1071" s="135"/>
      <c r="E1071" s="135"/>
      <c r="F1071" s="135"/>
      <c r="G1071" s="135"/>
      <c r="H1071" s="135"/>
      <c r="I1071" s="135"/>
      <c r="J1071" s="135"/>
      <c r="K1071" s="135"/>
      <c r="L1071" s="135"/>
      <c r="M1071" s="135"/>
      <c r="N1071" s="135"/>
    </row>
    <row r="1072" ht="15.0" customHeight="1">
      <c r="A1072" s="134"/>
      <c r="B1072" s="135"/>
      <c r="C1072" s="135"/>
      <c r="D1072" s="135"/>
      <c r="E1072" s="135"/>
      <c r="F1072" s="135"/>
      <c r="G1072" s="135"/>
      <c r="H1072" s="135"/>
      <c r="I1072" s="135"/>
      <c r="J1072" s="135"/>
      <c r="K1072" s="135"/>
      <c r="L1072" s="135"/>
      <c r="M1072" s="135"/>
      <c r="N1072" s="135"/>
    </row>
    <row r="1073" ht="15.0" customHeight="1">
      <c r="A1073" s="134"/>
      <c r="B1073" s="135"/>
      <c r="C1073" s="135"/>
      <c r="D1073" s="135"/>
      <c r="E1073" s="135"/>
      <c r="F1073" s="135"/>
      <c r="G1073" s="135"/>
      <c r="H1073" s="135"/>
      <c r="I1073" s="135"/>
      <c r="J1073" s="135"/>
      <c r="K1073" s="135"/>
      <c r="L1073" s="135"/>
      <c r="M1073" s="135"/>
      <c r="N1073" s="135"/>
    </row>
    <row r="1074" ht="15.0" customHeight="1">
      <c r="A1074" s="134"/>
      <c r="B1074" s="135"/>
      <c r="C1074" s="135"/>
      <c r="D1074" s="135"/>
      <c r="E1074" s="135"/>
      <c r="F1074" s="135"/>
      <c r="G1074" s="135"/>
      <c r="H1074" s="135"/>
      <c r="I1074" s="135"/>
      <c r="J1074" s="135"/>
      <c r="K1074" s="135"/>
      <c r="L1074" s="135"/>
      <c r="M1074" s="135"/>
      <c r="N1074" s="135"/>
    </row>
    <row r="1075" ht="15.0" customHeight="1">
      <c r="A1075" s="134"/>
      <c r="B1075" s="135"/>
      <c r="C1075" s="135"/>
      <c r="D1075" s="135"/>
      <c r="E1075" s="135"/>
      <c r="F1075" s="135"/>
      <c r="G1075" s="135"/>
      <c r="H1075" s="135"/>
      <c r="I1075" s="135"/>
      <c r="J1075" s="135"/>
      <c r="K1075" s="135"/>
      <c r="L1075" s="135"/>
      <c r="M1075" s="135"/>
      <c r="N1075" s="135"/>
    </row>
    <row r="1076" ht="15.0" customHeight="1">
      <c r="A1076" s="134"/>
      <c r="B1076" s="135"/>
      <c r="C1076" s="135"/>
      <c r="D1076" s="135"/>
      <c r="E1076" s="135"/>
      <c r="F1076" s="135"/>
      <c r="G1076" s="135"/>
      <c r="H1076" s="135"/>
      <c r="I1076" s="135"/>
      <c r="J1076" s="135"/>
      <c r="K1076" s="135"/>
      <c r="L1076" s="135"/>
      <c r="M1076" s="135"/>
      <c r="N1076" s="135"/>
    </row>
    <row r="1077" ht="15.0" customHeight="1">
      <c r="A1077" s="134"/>
      <c r="B1077" s="135"/>
      <c r="C1077" s="135"/>
      <c r="D1077" s="135"/>
      <c r="E1077" s="135"/>
      <c r="F1077" s="135"/>
      <c r="G1077" s="135"/>
      <c r="H1077" s="135"/>
      <c r="I1077" s="135"/>
      <c r="J1077" s="135"/>
      <c r="K1077" s="135"/>
      <c r="L1077" s="135"/>
      <c r="M1077" s="135"/>
      <c r="N1077" s="135"/>
    </row>
    <row r="1078" ht="15.0" customHeight="1">
      <c r="A1078" s="134"/>
      <c r="B1078" s="135"/>
      <c r="C1078" s="135"/>
      <c r="D1078" s="135"/>
      <c r="E1078" s="135"/>
      <c r="F1078" s="135"/>
      <c r="G1078" s="135"/>
      <c r="H1078" s="135"/>
      <c r="I1078" s="135"/>
      <c r="J1078" s="135"/>
      <c r="K1078" s="135"/>
      <c r="L1078" s="135"/>
      <c r="M1078" s="135"/>
      <c r="N1078" s="135"/>
    </row>
    <row r="1079" ht="15.0" customHeight="1">
      <c r="A1079" s="134"/>
      <c r="B1079" s="135"/>
      <c r="C1079" s="135"/>
      <c r="D1079" s="135"/>
      <c r="E1079" s="135"/>
      <c r="F1079" s="135"/>
      <c r="G1079" s="135"/>
      <c r="H1079" s="135"/>
      <c r="I1079" s="135"/>
      <c r="J1079" s="135"/>
      <c r="K1079" s="135"/>
      <c r="L1079" s="135"/>
      <c r="M1079" s="135"/>
      <c r="N1079" s="135"/>
    </row>
    <row r="1080" ht="15.0" customHeight="1">
      <c r="A1080" s="134"/>
      <c r="B1080" s="135"/>
      <c r="C1080" s="135"/>
      <c r="D1080" s="135"/>
      <c r="E1080" s="135"/>
      <c r="F1080" s="135"/>
      <c r="G1080" s="135"/>
      <c r="H1080" s="135"/>
      <c r="I1080" s="135"/>
      <c r="J1080" s="135"/>
      <c r="K1080" s="135"/>
      <c r="L1080" s="135"/>
      <c r="M1080" s="135"/>
      <c r="N1080" s="135"/>
    </row>
    <row r="1081" ht="15.0" customHeight="1">
      <c r="A1081" s="134"/>
      <c r="B1081" s="135"/>
      <c r="C1081" s="135"/>
      <c r="D1081" s="135"/>
      <c r="E1081" s="135"/>
      <c r="F1081" s="135"/>
      <c r="G1081" s="135"/>
      <c r="H1081" s="135"/>
      <c r="I1081" s="135"/>
      <c r="J1081" s="135"/>
      <c r="K1081" s="135"/>
      <c r="L1081" s="135"/>
      <c r="M1081" s="135"/>
      <c r="N1081" s="135"/>
    </row>
    <row r="1082" ht="15.0" customHeight="1">
      <c r="A1082" s="134"/>
      <c r="B1082" s="135"/>
      <c r="C1082" s="135"/>
      <c r="D1082" s="135"/>
      <c r="E1082" s="135"/>
      <c r="F1082" s="135"/>
      <c r="G1082" s="135"/>
      <c r="H1082" s="135"/>
      <c r="I1082" s="135"/>
      <c r="J1082" s="135"/>
      <c r="K1082" s="135"/>
      <c r="L1082" s="135"/>
      <c r="M1082" s="135"/>
      <c r="N1082" s="135"/>
    </row>
    <row r="1083" ht="15.0" customHeight="1">
      <c r="A1083" s="134"/>
      <c r="B1083" s="135"/>
      <c r="C1083" s="135"/>
      <c r="D1083" s="135"/>
      <c r="E1083" s="135"/>
      <c r="F1083" s="135"/>
      <c r="G1083" s="135"/>
      <c r="H1083" s="135"/>
      <c r="I1083" s="135"/>
      <c r="J1083" s="135"/>
      <c r="K1083" s="135"/>
      <c r="L1083" s="135"/>
      <c r="M1083" s="135"/>
      <c r="N1083" s="135"/>
    </row>
    <row r="1084" ht="15.0" customHeight="1">
      <c r="A1084" s="134"/>
      <c r="B1084" s="135"/>
      <c r="C1084" s="135"/>
      <c r="D1084" s="135"/>
      <c r="E1084" s="135"/>
      <c r="F1084" s="135"/>
      <c r="G1084" s="135"/>
      <c r="H1084" s="135"/>
      <c r="I1084" s="135"/>
      <c r="J1084" s="135"/>
      <c r="K1084" s="135"/>
      <c r="L1084" s="135"/>
      <c r="M1084" s="135"/>
      <c r="N1084" s="135"/>
    </row>
    <row r="1085" ht="15.0" customHeight="1">
      <c r="A1085" s="134"/>
      <c r="B1085" s="135"/>
      <c r="C1085" s="135"/>
      <c r="D1085" s="135"/>
      <c r="E1085" s="135"/>
      <c r="F1085" s="135"/>
      <c r="G1085" s="135"/>
      <c r="H1085" s="135"/>
      <c r="I1085" s="135"/>
      <c r="J1085" s="135"/>
      <c r="K1085" s="135"/>
      <c r="L1085" s="135"/>
      <c r="M1085" s="135"/>
      <c r="N1085" s="135"/>
    </row>
    <row r="1086" ht="15.0" customHeight="1">
      <c r="A1086" s="134"/>
      <c r="B1086" s="135"/>
      <c r="C1086" s="135"/>
      <c r="D1086" s="135"/>
      <c r="E1086" s="135"/>
      <c r="F1086" s="135"/>
      <c r="G1086" s="135"/>
      <c r="H1086" s="135"/>
      <c r="I1086" s="135"/>
      <c r="J1086" s="135"/>
      <c r="K1086" s="135"/>
      <c r="L1086" s="135"/>
      <c r="M1086" s="135"/>
      <c r="N1086" s="135"/>
    </row>
    <row r="1087" ht="15.0" customHeight="1">
      <c r="A1087" s="134"/>
      <c r="B1087" s="135"/>
      <c r="C1087" s="135"/>
      <c r="D1087" s="135"/>
      <c r="E1087" s="135"/>
      <c r="F1087" s="135"/>
      <c r="G1087" s="135"/>
      <c r="H1087" s="135"/>
      <c r="I1087" s="135"/>
      <c r="J1087" s="135"/>
      <c r="K1087" s="135"/>
      <c r="L1087" s="135"/>
      <c r="M1087" s="135"/>
      <c r="N1087" s="135"/>
    </row>
    <row r="1088" ht="15.0" customHeight="1">
      <c r="A1088" s="134"/>
      <c r="B1088" s="135"/>
      <c r="C1088" s="135"/>
      <c r="D1088" s="135"/>
      <c r="E1088" s="135"/>
      <c r="F1088" s="135"/>
      <c r="G1088" s="135"/>
      <c r="H1088" s="135"/>
      <c r="I1088" s="135"/>
      <c r="J1088" s="135"/>
      <c r="K1088" s="135"/>
      <c r="L1088" s="135"/>
      <c r="M1088" s="135"/>
      <c r="N1088" s="135"/>
    </row>
    <row r="1089" ht="15.0" customHeight="1">
      <c r="A1089" s="134"/>
      <c r="B1089" s="135"/>
      <c r="C1089" s="135"/>
      <c r="D1089" s="135"/>
      <c r="E1089" s="135"/>
      <c r="F1089" s="135"/>
      <c r="G1089" s="135"/>
      <c r="H1089" s="135"/>
      <c r="I1089" s="135"/>
      <c r="J1089" s="135"/>
      <c r="K1089" s="135"/>
      <c r="L1089" s="135"/>
      <c r="M1089" s="135"/>
      <c r="N1089" s="135"/>
    </row>
    <row r="1090" ht="15.0" customHeight="1">
      <c r="A1090" s="134"/>
      <c r="B1090" s="135"/>
      <c r="C1090" s="135"/>
      <c r="D1090" s="135"/>
      <c r="E1090" s="135"/>
      <c r="F1090" s="135"/>
      <c r="G1090" s="135"/>
      <c r="H1090" s="135"/>
      <c r="I1090" s="135"/>
      <c r="J1090" s="135"/>
      <c r="K1090" s="135"/>
      <c r="L1090" s="135"/>
      <c r="M1090" s="135"/>
      <c r="N1090" s="135"/>
    </row>
    <row r="1091" ht="15.0" customHeight="1">
      <c r="A1091" s="134"/>
      <c r="B1091" s="135"/>
      <c r="C1091" s="135"/>
      <c r="D1091" s="135"/>
      <c r="E1091" s="135"/>
      <c r="F1091" s="135"/>
      <c r="G1091" s="135"/>
      <c r="H1091" s="135"/>
      <c r="I1091" s="135"/>
      <c r="J1091" s="135"/>
      <c r="K1091" s="135"/>
      <c r="L1091" s="135"/>
      <c r="M1091" s="135"/>
      <c r="N1091" s="135"/>
    </row>
    <row r="1092" ht="15.0" customHeight="1">
      <c r="A1092" s="134"/>
      <c r="B1092" s="135"/>
      <c r="C1092" s="135"/>
      <c r="D1092" s="135"/>
      <c r="E1092" s="135"/>
      <c r="F1092" s="135"/>
      <c r="G1092" s="135"/>
      <c r="H1092" s="135"/>
      <c r="I1092" s="135"/>
      <c r="J1092" s="135"/>
      <c r="K1092" s="135"/>
      <c r="L1092" s="135"/>
      <c r="M1092" s="135"/>
      <c r="N1092" s="135"/>
    </row>
    <row r="1093" ht="15.0" customHeight="1">
      <c r="A1093" s="134"/>
      <c r="B1093" s="135"/>
      <c r="C1093" s="135"/>
      <c r="D1093" s="135"/>
      <c r="E1093" s="135"/>
      <c r="F1093" s="135"/>
      <c r="G1093" s="135"/>
      <c r="H1093" s="135"/>
      <c r="I1093" s="135"/>
      <c r="J1093" s="135"/>
      <c r="K1093" s="135"/>
      <c r="L1093" s="135"/>
      <c r="M1093" s="135"/>
      <c r="N1093" s="135"/>
    </row>
    <row r="1094" ht="15.0" customHeight="1">
      <c r="A1094" s="134"/>
      <c r="B1094" s="135"/>
      <c r="C1094" s="135"/>
      <c r="D1094" s="135"/>
      <c r="E1094" s="135"/>
      <c r="F1094" s="135"/>
      <c r="G1094" s="135"/>
      <c r="H1094" s="135"/>
      <c r="I1094" s="135"/>
      <c r="J1094" s="135"/>
      <c r="K1094" s="135"/>
      <c r="L1094" s="135"/>
      <c r="M1094" s="135"/>
      <c r="N1094" s="135"/>
    </row>
    <row r="1095" ht="15.0" customHeight="1">
      <c r="A1095" s="134"/>
      <c r="B1095" s="135"/>
      <c r="C1095" s="135"/>
      <c r="D1095" s="135"/>
      <c r="E1095" s="135"/>
      <c r="F1095" s="135"/>
      <c r="G1095" s="135"/>
      <c r="H1095" s="135"/>
      <c r="I1095" s="135"/>
      <c r="J1095" s="135"/>
      <c r="K1095" s="135"/>
      <c r="L1095" s="135"/>
      <c r="M1095" s="135"/>
      <c r="N1095" s="135"/>
    </row>
    <row r="1096" ht="15.0" customHeight="1">
      <c r="A1096" s="134"/>
      <c r="B1096" s="135"/>
      <c r="C1096" s="135"/>
      <c r="D1096" s="135"/>
      <c r="E1096" s="135"/>
      <c r="F1096" s="135"/>
      <c r="G1096" s="135"/>
      <c r="H1096" s="135"/>
      <c r="I1096" s="135"/>
      <c r="J1096" s="135"/>
      <c r="K1096" s="135"/>
      <c r="L1096" s="135"/>
      <c r="M1096" s="135"/>
      <c r="N1096" s="135"/>
    </row>
    <row r="1097" ht="15.0" customHeight="1">
      <c r="A1097" s="134"/>
      <c r="B1097" s="135"/>
      <c r="C1097" s="135"/>
      <c r="D1097" s="135"/>
      <c r="E1097" s="135"/>
      <c r="F1097" s="135"/>
      <c r="G1097" s="135"/>
      <c r="H1097" s="135"/>
      <c r="I1097" s="135"/>
      <c r="J1097" s="135"/>
      <c r="K1097" s="135"/>
      <c r="L1097" s="135"/>
      <c r="M1097" s="135"/>
      <c r="N1097" s="135"/>
    </row>
    <row r="1098" ht="15.0" customHeight="1">
      <c r="A1098" s="134"/>
      <c r="B1098" s="135"/>
      <c r="C1098" s="135"/>
      <c r="D1098" s="135"/>
      <c r="E1098" s="135"/>
      <c r="F1098" s="135"/>
      <c r="G1098" s="135"/>
      <c r="H1098" s="135"/>
      <c r="I1098" s="135"/>
      <c r="J1098" s="135"/>
      <c r="K1098" s="135"/>
      <c r="L1098" s="135"/>
      <c r="M1098" s="135"/>
      <c r="N1098" s="135"/>
    </row>
    <row r="1099" ht="15.0" customHeight="1">
      <c r="A1099" s="134"/>
      <c r="B1099" s="135"/>
      <c r="C1099" s="135"/>
      <c r="D1099" s="135"/>
      <c r="E1099" s="135"/>
      <c r="F1099" s="135"/>
      <c r="G1099" s="135"/>
      <c r="H1099" s="135"/>
      <c r="I1099" s="135"/>
      <c r="J1099" s="135"/>
      <c r="K1099" s="135"/>
      <c r="L1099" s="135"/>
      <c r="M1099" s="135"/>
      <c r="N1099" s="135"/>
    </row>
    <row r="1100" ht="15.0" customHeight="1">
      <c r="A1100" s="134"/>
      <c r="B1100" s="135"/>
      <c r="C1100" s="135"/>
      <c r="D1100" s="135"/>
      <c r="E1100" s="135"/>
      <c r="F1100" s="135"/>
      <c r="G1100" s="135"/>
      <c r="H1100" s="135"/>
      <c r="I1100" s="135"/>
      <c r="J1100" s="135"/>
      <c r="K1100" s="135"/>
      <c r="L1100" s="135"/>
      <c r="M1100" s="135"/>
      <c r="N1100" s="135"/>
    </row>
    <row r="1101" ht="15.0" customHeight="1">
      <c r="A1101" s="134"/>
      <c r="B1101" s="135"/>
      <c r="C1101" s="135"/>
      <c r="D1101" s="135"/>
      <c r="E1101" s="135"/>
      <c r="F1101" s="135"/>
      <c r="G1101" s="135"/>
      <c r="H1101" s="135"/>
      <c r="I1101" s="135"/>
      <c r="J1101" s="135"/>
      <c r="K1101" s="135"/>
      <c r="L1101" s="135"/>
      <c r="M1101" s="135"/>
      <c r="N1101" s="135"/>
    </row>
    <row r="1102" ht="15.0" customHeight="1">
      <c r="A1102" s="134"/>
      <c r="B1102" s="135"/>
      <c r="C1102" s="135"/>
      <c r="D1102" s="135"/>
      <c r="E1102" s="135"/>
      <c r="F1102" s="135"/>
      <c r="G1102" s="135"/>
      <c r="H1102" s="135"/>
      <c r="I1102" s="135"/>
      <c r="J1102" s="135"/>
      <c r="K1102" s="135"/>
      <c r="L1102" s="135"/>
      <c r="M1102" s="135"/>
      <c r="N1102" s="135"/>
    </row>
    <row r="1103" ht="15.0" customHeight="1">
      <c r="A1103" s="134"/>
      <c r="B1103" s="135"/>
      <c r="C1103" s="135"/>
      <c r="D1103" s="135"/>
      <c r="E1103" s="135"/>
      <c r="F1103" s="135"/>
      <c r="G1103" s="135"/>
      <c r="H1103" s="135"/>
      <c r="I1103" s="135"/>
      <c r="J1103" s="135"/>
      <c r="K1103" s="135"/>
      <c r="L1103" s="135"/>
      <c r="M1103" s="135"/>
      <c r="N1103" s="135"/>
    </row>
    <row r="1104" ht="15.0" customHeight="1">
      <c r="A1104" s="134"/>
      <c r="B1104" s="135"/>
      <c r="C1104" s="135"/>
      <c r="D1104" s="135"/>
      <c r="E1104" s="135"/>
      <c r="F1104" s="135"/>
      <c r="G1104" s="135"/>
      <c r="H1104" s="135"/>
      <c r="I1104" s="135"/>
      <c r="J1104" s="135"/>
      <c r="K1104" s="135"/>
      <c r="L1104" s="135"/>
      <c r="M1104" s="135"/>
      <c r="N1104" s="135"/>
    </row>
    <row r="1105" ht="15.0" customHeight="1">
      <c r="A1105" s="134"/>
      <c r="B1105" s="135"/>
      <c r="C1105" s="135"/>
      <c r="D1105" s="135"/>
      <c r="E1105" s="135"/>
      <c r="F1105" s="135"/>
      <c r="G1105" s="135"/>
      <c r="H1105" s="135"/>
      <c r="I1105" s="135"/>
      <c r="J1105" s="135"/>
      <c r="K1105" s="135"/>
      <c r="L1105" s="135"/>
      <c r="M1105" s="135"/>
      <c r="N1105" s="135"/>
    </row>
    <row r="1106" ht="15.0" customHeight="1">
      <c r="A1106" s="134"/>
      <c r="B1106" s="135"/>
      <c r="C1106" s="135"/>
      <c r="D1106" s="135"/>
      <c r="E1106" s="135"/>
      <c r="F1106" s="135"/>
      <c r="G1106" s="135"/>
      <c r="H1106" s="135"/>
      <c r="I1106" s="135"/>
      <c r="J1106" s="135"/>
      <c r="K1106" s="135"/>
      <c r="L1106" s="135"/>
      <c r="M1106" s="135"/>
      <c r="N1106" s="135"/>
    </row>
    <row r="1107" ht="15.0" customHeight="1">
      <c r="A1107" s="134"/>
      <c r="B1107" s="135"/>
      <c r="C1107" s="135"/>
      <c r="D1107" s="135"/>
      <c r="E1107" s="135"/>
      <c r="F1107" s="135"/>
      <c r="G1107" s="135"/>
      <c r="H1107" s="135"/>
      <c r="I1107" s="135"/>
      <c r="J1107" s="135"/>
      <c r="K1107" s="135"/>
      <c r="L1107" s="135"/>
      <c r="M1107" s="135"/>
      <c r="N1107" s="135"/>
    </row>
    <row r="1108" ht="15.0" customHeight="1">
      <c r="A1108" s="134"/>
      <c r="B1108" s="135"/>
      <c r="C1108" s="135"/>
      <c r="D1108" s="135"/>
      <c r="E1108" s="135"/>
      <c r="F1108" s="135"/>
      <c r="G1108" s="135"/>
      <c r="H1108" s="135"/>
      <c r="I1108" s="135"/>
      <c r="J1108" s="135"/>
      <c r="K1108" s="135"/>
      <c r="L1108" s="135"/>
      <c r="M1108" s="135"/>
      <c r="N1108" s="135"/>
    </row>
    <row r="1109" ht="15.0" customHeight="1">
      <c r="A1109" s="134"/>
      <c r="B1109" s="135"/>
      <c r="C1109" s="135"/>
      <c r="D1109" s="135"/>
      <c r="E1109" s="135"/>
      <c r="F1109" s="135"/>
      <c r="G1109" s="135"/>
      <c r="H1109" s="135"/>
      <c r="I1109" s="135"/>
      <c r="J1109" s="135"/>
      <c r="K1109" s="135"/>
      <c r="L1109" s="135"/>
      <c r="M1109" s="135"/>
      <c r="N1109" s="135"/>
    </row>
    <row r="1110" ht="15.0" customHeight="1">
      <c r="A1110" s="134"/>
      <c r="B1110" s="135"/>
      <c r="C1110" s="135"/>
      <c r="D1110" s="135"/>
      <c r="E1110" s="135"/>
      <c r="F1110" s="135"/>
      <c r="G1110" s="135"/>
      <c r="H1110" s="135"/>
      <c r="I1110" s="135"/>
      <c r="J1110" s="135"/>
      <c r="K1110" s="135"/>
      <c r="L1110" s="135"/>
      <c r="M1110" s="135"/>
      <c r="N1110" s="135"/>
    </row>
    <row r="1111" ht="15.0" customHeight="1">
      <c r="A1111" s="134"/>
      <c r="B1111" s="135"/>
      <c r="C1111" s="135"/>
      <c r="D1111" s="135"/>
      <c r="E1111" s="135"/>
      <c r="F1111" s="135"/>
      <c r="G1111" s="135"/>
      <c r="H1111" s="135"/>
      <c r="I1111" s="135"/>
      <c r="J1111" s="135"/>
      <c r="K1111" s="135"/>
      <c r="L1111" s="135"/>
      <c r="M1111" s="135"/>
      <c r="N1111" s="135"/>
    </row>
    <row r="1112" ht="15.0" customHeight="1">
      <c r="A1112" s="134"/>
      <c r="B1112" s="135"/>
      <c r="C1112" s="135"/>
      <c r="D1112" s="135"/>
      <c r="E1112" s="135"/>
      <c r="F1112" s="135"/>
      <c r="G1112" s="135"/>
      <c r="H1112" s="135"/>
      <c r="I1112" s="135"/>
      <c r="J1112" s="135"/>
      <c r="K1112" s="135"/>
      <c r="L1112" s="135"/>
      <c r="M1112" s="135"/>
      <c r="N1112" s="135"/>
    </row>
    <row r="1113" ht="15.0" customHeight="1">
      <c r="A1113" s="134"/>
      <c r="B1113" s="135"/>
      <c r="C1113" s="135"/>
      <c r="D1113" s="135"/>
      <c r="E1113" s="135"/>
      <c r="F1113" s="135"/>
      <c r="G1113" s="135"/>
      <c r="H1113" s="135"/>
      <c r="I1113" s="135"/>
      <c r="J1113" s="135"/>
      <c r="K1113" s="135"/>
      <c r="L1113" s="135"/>
      <c r="M1113" s="135"/>
      <c r="N1113" s="135"/>
    </row>
    <row r="1114" ht="15.0" customHeight="1">
      <c r="A1114" s="134"/>
      <c r="B1114" s="135"/>
      <c r="C1114" s="135"/>
      <c r="D1114" s="135"/>
      <c r="E1114" s="135"/>
      <c r="F1114" s="135"/>
      <c r="G1114" s="135"/>
      <c r="H1114" s="135"/>
      <c r="I1114" s="135"/>
      <c r="J1114" s="135"/>
      <c r="K1114" s="135"/>
      <c r="L1114" s="135"/>
      <c r="M1114" s="135"/>
      <c r="N1114" s="135"/>
    </row>
    <row r="1115" ht="15.0" customHeight="1">
      <c r="A1115" s="134"/>
      <c r="B1115" s="135"/>
      <c r="C1115" s="135"/>
      <c r="D1115" s="135"/>
      <c r="E1115" s="135"/>
      <c r="F1115" s="135"/>
      <c r="G1115" s="135"/>
      <c r="H1115" s="135"/>
      <c r="I1115" s="135"/>
      <c r="J1115" s="135"/>
      <c r="K1115" s="135"/>
      <c r="L1115" s="135"/>
      <c r="M1115" s="135"/>
      <c r="N1115" s="135"/>
    </row>
    <row r="1116" ht="15.0" customHeight="1">
      <c r="A1116" s="134"/>
      <c r="B1116" s="135"/>
      <c r="C1116" s="135"/>
      <c r="D1116" s="135"/>
      <c r="E1116" s="135"/>
      <c r="F1116" s="135"/>
      <c r="G1116" s="135"/>
      <c r="H1116" s="135"/>
      <c r="I1116" s="135"/>
      <c r="J1116" s="135"/>
      <c r="K1116" s="135"/>
      <c r="L1116" s="135"/>
      <c r="M1116" s="135"/>
      <c r="N1116" s="135"/>
    </row>
    <row r="1117" ht="15.0" customHeight="1">
      <c r="A1117" s="134"/>
      <c r="B1117" s="135"/>
      <c r="C1117" s="135"/>
      <c r="D1117" s="135"/>
      <c r="E1117" s="135"/>
      <c r="F1117" s="135"/>
      <c r="G1117" s="135"/>
      <c r="H1117" s="135"/>
      <c r="I1117" s="135"/>
      <c r="J1117" s="135"/>
      <c r="K1117" s="135"/>
      <c r="L1117" s="135"/>
      <c r="M1117" s="135"/>
      <c r="N1117" s="135"/>
    </row>
    <row r="1118" ht="15.0" customHeight="1">
      <c r="A1118" s="134"/>
      <c r="B1118" s="135"/>
      <c r="C1118" s="135"/>
      <c r="D1118" s="135"/>
      <c r="E1118" s="135"/>
      <c r="F1118" s="135"/>
      <c r="G1118" s="135"/>
      <c r="H1118" s="135"/>
      <c r="I1118" s="135"/>
      <c r="J1118" s="135"/>
      <c r="K1118" s="135"/>
      <c r="L1118" s="135"/>
      <c r="M1118" s="135"/>
      <c r="N1118" s="135"/>
    </row>
    <row r="1119" ht="15.0" customHeight="1">
      <c r="A1119" s="134"/>
      <c r="B1119" s="135"/>
      <c r="C1119" s="135"/>
      <c r="D1119" s="135"/>
      <c r="E1119" s="135"/>
      <c r="F1119" s="135"/>
      <c r="G1119" s="135"/>
      <c r="H1119" s="135"/>
      <c r="I1119" s="135"/>
      <c r="J1119" s="135"/>
      <c r="K1119" s="135"/>
      <c r="L1119" s="135"/>
      <c r="M1119" s="135"/>
      <c r="N1119" s="135"/>
    </row>
    <row r="1120" ht="15.0" customHeight="1">
      <c r="A1120" s="134"/>
      <c r="B1120" s="135"/>
      <c r="C1120" s="135"/>
      <c r="D1120" s="135"/>
      <c r="E1120" s="135"/>
      <c r="F1120" s="135"/>
      <c r="G1120" s="135"/>
      <c r="H1120" s="135"/>
      <c r="I1120" s="135"/>
      <c r="J1120" s="135"/>
      <c r="K1120" s="135"/>
      <c r="L1120" s="135"/>
      <c r="M1120" s="135"/>
      <c r="N1120" s="135"/>
    </row>
    <row r="1121" ht="15.0" customHeight="1">
      <c r="A1121" s="134"/>
      <c r="B1121" s="135"/>
      <c r="C1121" s="135"/>
      <c r="D1121" s="135"/>
      <c r="E1121" s="135"/>
      <c r="F1121" s="135"/>
      <c r="G1121" s="135"/>
      <c r="H1121" s="135"/>
      <c r="I1121" s="135"/>
      <c r="J1121" s="135"/>
      <c r="K1121" s="135"/>
      <c r="L1121" s="135"/>
      <c r="M1121" s="135"/>
      <c r="N1121" s="135"/>
    </row>
  </sheetData>
  <mergeCells count="1">
    <mergeCell ref="A1:N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1.38"/>
    <col customWidth="1" min="2" max="13" width="9.75"/>
    <col customWidth="1" min="14" max="14" width="10.75"/>
  </cols>
  <sheetData>
    <row r="1" ht="13.5" customHeight="1">
      <c r="A1" s="76" t="s">
        <v>144</v>
      </c>
    </row>
    <row r="2" ht="13.5" customHeight="1">
      <c r="A2" s="7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ht="13.5" customHeight="1">
      <c r="A3" s="1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</row>
    <row r="4" ht="13.5" customHeight="1">
      <c r="A4" s="79" t="s">
        <v>14</v>
      </c>
      <c r="B4" s="63"/>
      <c r="C4" s="63"/>
      <c r="D4" s="63"/>
      <c r="E4" s="63"/>
      <c r="F4" s="83"/>
      <c r="G4" s="83"/>
      <c r="H4" s="83"/>
      <c r="I4" s="83"/>
      <c r="J4" s="83"/>
      <c r="K4" s="83"/>
      <c r="L4" s="83"/>
      <c r="M4" s="83"/>
      <c r="N4" s="83"/>
    </row>
    <row r="5" ht="13.5" customHeight="1">
      <c r="A5" s="15" t="s">
        <v>15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17">
        <f t="shared" ref="N5:N12" si="1">SUM(B5:M5)</f>
        <v>0</v>
      </c>
    </row>
    <row r="6" ht="13.5" customHeight="1">
      <c r="A6" s="15" t="s">
        <v>123</v>
      </c>
      <c r="B6" s="46">
        <f>FORMULAS!S137</f>
        <v>9415.428571</v>
      </c>
      <c r="C6" s="46">
        <f>FORMULAS!W137</f>
        <v>9415.428571</v>
      </c>
      <c r="D6" s="46">
        <f>FORMULAS!AA137</f>
        <v>13450.28571</v>
      </c>
      <c r="E6" s="46">
        <f>FORMULAS!AE137</f>
        <v>13450.28571</v>
      </c>
      <c r="F6" s="46">
        <f>FORMULAS!AI137</f>
        <v>19368</v>
      </c>
      <c r="G6" s="46">
        <f>FORMULAS!AM137</f>
        <v>19368</v>
      </c>
      <c r="H6" s="46">
        <f>FORMULAS!AQ137</f>
        <v>9415.428571</v>
      </c>
      <c r="I6" s="46">
        <f>FORMULAS!AU137</f>
        <v>9415.428571</v>
      </c>
      <c r="J6" s="46">
        <f>FORMULAS!AY137</f>
        <v>13450.28571</v>
      </c>
      <c r="K6" s="46">
        <f>FORMULAS!BC137</f>
        <v>13450.28571</v>
      </c>
      <c r="L6" s="46">
        <f>FORMULAS!BG137</f>
        <v>13450.28571</v>
      </c>
      <c r="M6" s="46">
        <f>FORMULAS!BK137</f>
        <v>19368</v>
      </c>
      <c r="N6" s="17">
        <f t="shared" si="1"/>
        <v>163017.1429</v>
      </c>
    </row>
    <row r="7" ht="13.5" customHeight="1">
      <c r="A7" s="15" t="s">
        <v>17</v>
      </c>
      <c r="B7" s="136">
        <f>FORMULAS!S146</f>
        <v>7767.428571</v>
      </c>
      <c r="C7" s="137">
        <f>FORMULAS!W146</f>
        <v>7767.428571</v>
      </c>
      <c r="D7" s="136">
        <f>FORMULAS!AA146</f>
        <v>10324.57143</v>
      </c>
      <c r="E7" s="136">
        <f>FORMULAS!AE146</f>
        <v>10324.57143</v>
      </c>
      <c r="F7" s="136">
        <f>FORMULAS!AI146</f>
        <v>16077.14286</v>
      </c>
      <c r="G7" s="136">
        <f>FORMULAS!AM146</f>
        <v>16077.14286</v>
      </c>
      <c r="H7" s="136">
        <f>FORMULAS!AQ146</f>
        <v>7767.428571</v>
      </c>
      <c r="I7" s="136">
        <f>FORMULAS!AU146</f>
        <v>7767.428571</v>
      </c>
      <c r="J7" s="136">
        <f>FORMULAS!AY146</f>
        <v>10324.57143</v>
      </c>
      <c r="K7" s="46">
        <f>FORMULAS!BC146</f>
        <v>10324.57143</v>
      </c>
      <c r="L7" s="46">
        <f>FORMULAS!BG146</f>
        <v>10324.57143</v>
      </c>
      <c r="M7" s="46">
        <f>FORMULAS!BK146</f>
        <v>16077.14286</v>
      </c>
      <c r="N7" s="17">
        <f t="shared" si="1"/>
        <v>130924</v>
      </c>
    </row>
    <row r="8" ht="13.5" customHeight="1">
      <c r="A8" s="15" t="s">
        <v>18</v>
      </c>
      <c r="B8" s="86">
        <f>FORMULAS!S161+FORMULAS!S196</f>
        <v>0</v>
      </c>
      <c r="C8" s="86">
        <f>FORMULAS!W161+FORMULAS!W196</f>
        <v>0</v>
      </c>
      <c r="D8" s="86">
        <f>FORMULAS!AA161+FORMULAS!AA196</f>
        <v>0</v>
      </c>
      <c r="E8" s="87">
        <f>FORMULAS!AE161+FORMULAS!AE196</f>
        <v>0</v>
      </c>
      <c r="F8" s="87">
        <f>FORMULAS!AI161+FORMULAS!AI196</f>
        <v>0</v>
      </c>
      <c r="G8" s="87">
        <f>FORMULAS!AM161+FORMULAS!AM196</f>
        <v>0</v>
      </c>
      <c r="H8" s="87">
        <f>FORMULAS!AQ161+FORMULAS!AQ196</f>
        <v>0</v>
      </c>
      <c r="I8" s="87">
        <f>FORMULAS!AU161+FORMULAS!AU196</f>
        <v>0</v>
      </c>
      <c r="J8" s="87">
        <f>FORMULAS!AU161+FORMULAS!AU196</f>
        <v>0</v>
      </c>
      <c r="K8" s="87">
        <f>FORMULAS!BC161+FORMULAS!BC196</f>
        <v>0</v>
      </c>
      <c r="L8" s="87">
        <f>FORMULAS!BG161+FORMULAS!BG196</f>
        <v>0</v>
      </c>
      <c r="M8" s="87">
        <f>FORMULAS!BK161+FORMULAS!BK196</f>
        <v>0</v>
      </c>
      <c r="N8" s="17">
        <f t="shared" si="1"/>
        <v>0</v>
      </c>
    </row>
    <row r="9" ht="13.5" customHeight="1">
      <c r="A9" s="20" t="s">
        <v>124</v>
      </c>
      <c r="B9" s="136">
        <f>FORMULAS!S187</f>
        <v>7657.142857</v>
      </c>
      <c r="C9" s="137">
        <f>FORMULAS!W187</f>
        <v>7657.142857</v>
      </c>
      <c r="D9" s="136">
        <f>FORMULAS!AA187</f>
        <v>13600</v>
      </c>
      <c r="E9" s="136">
        <f>FORMULAS!AE187</f>
        <v>13600</v>
      </c>
      <c r="F9" s="136">
        <f>FORMULAS!AI187</f>
        <v>16274.28571</v>
      </c>
      <c r="G9" s="136">
        <f>FORMULAS!AM187</f>
        <v>16274.28571</v>
      </c>
      <c r="H9" s="136">
        <f>FORMULAS!AQ187</f>
        <v>7657.142857</v>
      </c>
      <c r="I9" s="136">
        <f>FORMULAS!AU187</f>
        <v>7657.142857</v>
      </c>
      <c r="J9" s="136">
        <f>FORMULAS!AY187</f>
        <v>13600</v>
      </c>
      <c r="K9" s="46">
        <f>FORMULAS!BC187</f>
        <v>13600</v>
      </c>
      <c r="L9" s="46">
        <f>FORMULAS!BG187</f>
        <v>14171.42857</v>
      </c>
      <c r="M9" s="46">
        <f>FORMULAS!BK187</f>
        <v>16274.28571</v>
      </c>
      <c r="N9" s="17">
        <f t="shared" si="1"/>
        <v>148022.8571</v>
      </c>
    </row>
    <row r="10" ht="13.5" customHeight="1">
      <c r="A10" s="20" t="s">
        <v>20</v>
      </c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7">
        <f t="shared" si="1"/>
        <v>0</v>
      </c>
    </row>
    <row r="11" ht="13.5" customHeight="1">
      <c r="A11" s="15" t="s">
        <v>21</v>
      </c>
      <c r="B11" s="87">
        <v>388.0</v>
      </c>
      <c r="C11" s="87">
        <v>426.88</v>
      </c>
      <c r="D11" s="87">
        <v>388.0</v>
      </c>
      <c r="E11" s="87">
        <v>388.0</v>
      </c>
      <c r="F11" s="87">
        <v>388.0</v>
      </c>
      <c r="G11" s="87">
        <v>388.0</v>
      </c>
      <c r="H11" s="87">
        <v>388.0</v>
      </c>
      <c r="I11" s="87">
        <v>388.0</v>
      </c>
      <c r="J11" s="87">
        <v>388.0</v>
      </c>
      <c r="K11" s="87">
        <v>388.0</v>
      </c>
      <c r="L11" s="87">
        <v>388.0</v>
      </c>
      <c r="M11" s="87">
        <v>388.0</v>
      </c>
      <c r="N11" s="17">
        <f t="shared" si="1"/>
        <v>4694.88</v>
      </c>
    </row>
    <row r="12" ht="13.5" customHeight="1">
      <c r="A12" s="15" t="s">
        <v>22</v>
      </c>
      <c r="B12" s="46">
        <f>PRODUCTION!C3</f>
        <v>700</v>
      </c>
      <c r="C12" s="46">
        <f>PRODUCTION!C4</f>
        <v>1370.6</v>
      </c>
      <c r="D12" s="46">
        <f>PRODUCTION!C5</f>
        <v>1370.6</v>
      </c>
      <c r="E12" s="46">
        <f>PRODUCTION!C6</f>
        <v>1370.6</v>
      </c>
      <c r="F12" s="46">
        <f>PRODUCTION!C7</f>
        <v>1370.6</v>
      </c>
      <c r="G12" s="46">
        <f>PRODUCTION!C8</f>
        <v>1370.6</v>
      </c>
      <c r="H12" s="46">
        <f>PRODUCTION!C9</f>
        <v>1370.6</v>
      </c>
      <c r="I12" s="46">
        <f>PRODUCTION!C10</f>
        <v>1370.6</v>
      </c>
      <c r="J12" s="46">
        <f>PRODUCTION!C11</f>
        <v>1370.6</v>
      </c>
      <c r="K12" s="46">
        <f>PRODUCTION!C12</f>
        <v>1370.6</v>
      </c>
      <c r="L12" s="46">
        <f>PRODUCTION!C13</f>
        <v>1370.6</v>
      </c>
      <c r="M12" s="46">
        <f>PRODUCTION!C14</f>
        <v>1370.6</v>
      </c>
      <c r="N12" s="17">
        <f t="shared" si="1"/>
        <v>15776.6</v>
      </c>
    </row>
    <row r="13" ht="13.5" customHeight="1">
      <c r="A13" s="21" t="s">
        <v>23</v>
      </c>
      <c r="B13" s="22">
        <f t="shared" ref="B13:N13" si="2">SUM(B5:B12)</f>
        <v>25928</v>
      </c>
      <c r="C13" s="22">
        <f t="shared" si="2"/>
        <v>26637.48</v>
      </c>
      <c r="D13" s="22">
        <f t="shared" si="2"/>
        <v>39133.45714</v>
      </c>
      <c r="E13" s="22">
        <f t="shared" si="2"/>
        <v>39133.45714</v>
      </c>
      <c r="F13" s="22">
        <f t="shared" si="2"/>
        <v>53478.02857</v>
      </c>
      <c r="G13" s="22">
        <f t="shared" si="2"/>
        <v>53478.02857</v>
      </c>
      <c r="H13" s="22">
        <f t="shared" si="2"/>
        <v>26598.6</v>
      </c>
      <c r="I13" s="22">
        <f t="shared" si="2"/>
        <v>26598.6</v>
      </c>
      <c r="J13" s="22">
        <f t="shared" si="2"/>
        <v>39133.45714</v>
      </c>
      <c r="K13" s="22">
        <f t="shared" si="2"/>
        <v>39133.45714</v>
      </c>
      <c r="L13" s="22">
        <f t="shared" si="2"/>
        <v>39704.88571</v>
      </c>
      <c r="M13" s="22">
        <f t="shared" si="2"/>
        <v>53478.02857</v>
      </c>
      <c r="N13" s="22">
        <f t="shared" si="2"/>
        <v>462435.48</v>
      </c>
    </row>
    <row r="14" ht="13.5" customHeight="1">
      <c r="A14" s="89" t="s">
        <v>24</v>
      </c>
      <c r="B14" s="90"/>
      <c r="C14" s="90"/>
      <c r="D14" s="90"/>
      <c r="E14" s="90"/>
      <c r="F14" s="63"/>
      <c r="G14" s="63"/>
      <c r="H14" s="63"/>
      <c r="I14" s="63"/>
      <c r="J14" s="63"/>
      <c r="K14" s="63"/>
      <c r="L14" s="63"/>
      <c r="M14" s="63"/>
      <c r="N14" s="83"/>
    </row>
    <row r="15" ht="13.5" customHeight="1">
      <c r="A15" s="35" t="s">
        <v>125</v>
      </c>
      <c r="B15" s="46"/>
      <c r="C15" s="87"/>
      <c r="D15" s="87"/>
      <c r="E15" s="46"/>
      <c r="F15" s="87"/>
      <c r="G15" s="46"/>
      <c r="H15" s="87"/>
      <c r="I15" s="46"/>
      <c r="J15" s="87"/>
      <c r="K15" s="87"/>
      <c r="L15" s="87"/>
      <c r="M15" s="87"/>
      <c r="N15" s="17">
        <f t="shared" ref="N15:N20" si="3">SUM(B15:M15)</f>
        <v>0</v>
      </c>
    </row>
    <row r="16" ht="13.5" customHeight="1">
      <c r="A16" s="35" t="s">
        <v>26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17">
        <f t="shared" si="3"/>
        <v>0</v>
      </c>
    </row>
    <row r="17" ht="13.5" customHeight="1">
      <c r="A17" s="3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17">
        <f t="shared" si="3"/>
        <v>0</v>
      </c>
    </row>
    <row r="18" ht="13.5" customHeight="1">
      <c r="A18" s="3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17">
        <f t="shared" si="3"/>
        <v>0</v>
      </c>
    </row>
    <row r="19" ht="13.5" customHeight="1">
      <c r="A19" s="3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17">
        <f t="shared" si="3"/>
        <v>0</v>
      </c>
    </row>
    <row r="20" ht="13.5" customHeight="1">
      <c r="A20" s="3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17">
        <f t="shared" si="3"/>
        <v>0</v>
      </c>
    </row>
    <row r="21" ht="13.5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</row>
    <row r="22" ht="13.5" customHeight="1">
      <c r="A22" s="89" t="s">
        <v>126</v>
      </c>
      <c r="B22" s="90"/>
      <c r="C22" s="90"/>
      <c r="D22" s="90"/>
      <c r="E22" s="90"/>
      <c r="F22" s="63"/>
      <c r="G22" s="63"/>
      <c r="H22" s="63"/>
      <c r="I22" s="63"/>
      <c r="J22" s="63"/>
      <c r="K22" s="63"/>
      <c r="L22" s="63"/>
      <c r="M22" s="63"/>
      <c r="N22" s="83"/>
    </row>
    <row r="23" ht="13.5" customHeight="1">
      <c r="A23" s="26" t="s">
        <v>31</v>
      </c>
      <c r="B23" s="87">
        <v>0.0</v>
      </c>
      <c r="C23" s="87">
        <v>0.0</v>
      </c>
      <c r="D23" s="87">
        <v>7000.0</v>
      </c>
      <c r="E23" s="87">
        <v>0.0</v>
      </c>
      <c r="F23" s="87">
        <v>7000.0</v>
      </c>
      <c r="G23" s="87">
        <v>0.0</v>
      </c>
      <c r="H23" s="87">
        <v>0.0</v>
      </c>
      <c r="I23" s="87">
        <v>7000.0</v>
      </c>
      <c r="J23" s="87">
        <v>0.0</v>
      </c>
      <c r="K23" s="87">
        <v>0.0</v>
      </c>
      <c r="L23" s="87">
        <v>0.0</v>
      </c>
      <c r="M23" s="87">
        <v>0.0</v>
      </c>
      <c r="N23" s="17">
        <f t="shared" ref="N23:N31" si="5">SUM(B23:M23)</f>
        <v>21000</v>
      </c>
    </row>
    <row r="24" ht="13.5" customHeight="1">
      <c r="A24" s="32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17">
        <f t="shared" si="5"/>
        <v>0</v>
      </c>
    </row>
    <row r="25" ht="13.5" customHeight="1">
      <c r="A25" s="15" t="s">
        <v>127</v>
      </c>
      <c r="B25" s="46"/>
      <c r="C25" s="46"/>
      <c r="D25" s="46"/>
      <c r="E25" s="46"/>
      <c r="F25" s="46"/>
      <c r="G25" s="46"/>
      <c r="H25" s="46"/>
      <c r="I25" s="87"/>
      <c r="J25" s="46"/>
      <c r="K25" s="46"/>
      <c r="L25" s="46"/>
      <c r="M25" s="46"/>
      <c r="N25" s="17">
        <f t="shared" si="5"/>
        <v>0</v>
      </c>
    </row>
    <row r="26" ht="13.5" customHeight="1">
      <c r="A26" s="32"/>
      <c r="B26" s="46"/>
      <c r="C26" s="46"/>
      <c r="D26" s="46"/>
      <c r="E26" s="46"/>
      <c r="F26" s="46"/>
      <c r="G26" s="46"/>
      <c r="H26" s="46"/>
      <c r="I26" s="46"/>
      <c r="J26" s="46"/>
      <c r="K26" s="87"/>
      <c r="L26" s="46"/>
      <c r="M26" s="46"/>
      <c r="N26" s="17">
        <f t="shared" si="5"/>
        <v>0</v>
      </c>
    </row>
    <row r="27" ht="13.5" customHeight="1">
      <c r="A27" s="31" t="s">
        <v>34</v>
      </c>
      <c r="B27" s="46"/>
      <c r="C27" s="46"/>
      <c r="D27" s="139"/>
      <c r="E27" s="140"/>
      <c r="F27" s="141"/>
      <c r="G27" s="141"/>
      <c r="H27" s="140"/>
      <c r="I27" s="141"/>
      <c r="J27" s="140"/>
      <c r="K27" s="141"/>
      <c r="L27" s="141"/>
      <c r="M27" s="141"/>
      <c r="N27" s="17">
        <f t="shared" si="5"/>
        <v>0</v>
      </c>
    </row>
    <row r="28" ht="13.5" customHeight="1">
      <c r="A28" s="33" t="s">
        <v>35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17">
        <f t="shared" si="5"/>
        <v>0</v>
      </c>
    </row>
    <row r="29" ht="13.5" customHeight="1">
      <c r="A29" s="27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17">
        <f t="shared" si="5"/>
        <v>0</v>
      </c>
    </row>
    <row r="30" ht="13.5" customHeight="1">
      <c r="A30" s="31" t="s">
        <v>37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17">
        <f t="shared" si="5"/>
        <v>0</v>
      </c>
    </row>
    <row r="31" ht="13.5" customHeight="1">
      <c r="A31" s="32"/>
      <c r="B31" s="92"/>
      <c r="C31" s="92"/>
      <c r="D31" s="92"/>
      <c r="E31" s="92"/>
      <c r="F31" s="28"/>
      <c r="G31" s="28"/>
      <c r="H31" s="28"/>
      <c r="I31" s="28"/>
      <c r="J31" s="28"/>
      <c r="K31" s="28"/>
      <c r="L31" s="28"/>
      <c r="M31" s="28"/>
      <c r="N31" s="17">
        <f t="shared" si="5"/>
        <v>0</v>
      </c>
    </row>
    <row r="32" ht="13.5" customHeight="1">
      <c r="A32" s="91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7000</v>
      </c>
      <c r="E32" s="28">
        <f t="shared" si="6"/>
        <v>0</v>
      </c>
      <c r="F32" s="28">
        <f t="shared" si="6"/>
        <v>7000</v>
      </c>
      <c r="G32" s="28">
        <f t="shared" si="6"/>
        <v>0</v>
      </c>
      <c r="H32" s="28">
        <f t="shared" si="6"/>
        <v>0</v>
      </c>
      <c r="I32" s="28">
        <f t="shared" si="6"/>
        <v>7000</v>
      </c>
      <c r="J32" s="28">
        <f t="shared" si="6"/>
        <v>0</v>
      </c>
      <c r="K32" s="28">
        <f t="shared" si="6"/>
        <v>0</v>
      </c>
      <c r="L32" s="28">
        <f t="shared" si="6"/>
        <v>0</v>
      </c>
      <c r="M32" s="28">
        <f t="shared" si="6"/>
        <v>0</v>
      </c>
      <c r="N32" s="28">
        <f t="shared" si="6"/>
        <v>21000</v>
      </c>
    </row>
    <row r="33" ht="13.5" customHeight="1">
      <c r="A33" s="79" t="s">
        <v>38</v>
      </c>
      <c r="B33" s="63"/>
      <c r="C33" s="63"/>
      <c r="D33" s="63"/>
      <c r="E33" s="63"/>
      <c r="F33" s="83"/>
      <c r="G33" s="83"/>
      <c r="H33" s="83"/>
      <c r="I33" s="83"/>
      <c r="J33" s="83"/>
      <c r="K33" s="83"/>
      <c r="L33" s="83"/>
      <c r="M33" s="83"/>
      <c r="N33" s="83"/>
    </row>
    <row r="34" ht="13.5" customHeight="1">
      <c r="A34" s="142" t="s">
        <v>39</v>
      </c>
      <c r="B34" s="143">
        <f t="shared" ref="B34:M34" si="7">1999+349+850+61.9+199</f>
        <v>3458.9</v>
      </c>
      <c r="C34" s="143">
        <f t="shared" si="7"/>
        <v>3458.9</v>
      </c>
      <c r="D34" s="143">
        <f t="shared" si="7"/>
        <v>3458.9</v>
      </c>
      <c r="E34" s="143">
        <f t="shared" si="7"/>
        <v>3458.9</v>
      </c>
      <c r="F34" s="143">
        <f t="shared" si="7"/>
        <v>3458.9</v>
      </c>
      <c r="G34" s="143">
        <f t="shared" si="7"/>
        <v>3458.9</v>
      </c>
      <c r="H34" s="143">
        <f t="shared" si="7"/>
        <v>3458.9</v>
      </c>
      <c r="I34" s="143">
        <f t="shared" si="7"/>
        <v>3458.9</v>
      </c>
      <c r="J34" s="143">
        <f t="shared" si="7"/>
        <v>3458.9</v>
      </c>
      <c r="K34" s="143">
        <f t="shared" si="7"/>
        <v>3458.9</v>
      </c>
      <c r="L34" s="143">
        <f t="shared" si="7"/>
        <v>3458.9</v>
      </c>
      <c r="M34" s="143">
        <f t="shared" si="7"/>
        <v>3458.9</v>
      </c>
      <c r="N34" s="95">
        <f t="shared" ref="N34:N51" si="8">SUM(B34:M34)</f>
        <v>41506.8</v>
      </c>
    </row>
    <row r="35" ht="13.5" customHeight="1">
      <c r="A35" s="19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17">
        <f t="shared" si="8"/>
        <v>0</v>
      </c>
    </row>
    <row r="36" ht="13.5" customHeight="1">
      <c r="A36" s="35" t="s">
        <v>41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17">
        <f t="shared" si="8"/>
        <v>0</v>
      </c>
    </row>
    <row r="37" ht="13.5" customHeight="1">
      <c r="A37" s="35" t="s">
        <v>42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17">
        <f t="shared" si="8"/>
        <v>0</v>
      </c>
    </row>
    <row r="38" ht="13.5" customHeight="1">
      <c r="A38" s="35" t="s">
        <v>43</v>
      </c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17">
        <f t="shared" si="8"/>
        <v>0</v>
      </c>
    </row>
    <row r="39" ht="13.5" customHeight="1">
      <c r="A39" s="35" t="s">
        <v>44</v>
      </c>
      <c r="B39" s="46"/>
      <c r="C39" s="46"/>
      <c r="D39" s="46"/>
      <c r="E39" s="46"/>
      <c r="G39" s="46"/>
      <c r="H39" s="46"/>
      <c r="I39" s="46"/>
      <c r="J39" s="46"/>
      <c r="K39" s="46"/>
      <c r="L39" s="46"/>
      <c r="M39" s="46"/>
      <c r="N39" s="17">
        <f t="shared" si="8"/>
        <v>0</v>
      </c>
    </row>
    <row r="40" ht="13.5" customHeight="1">
      <c r="A40" s="35" t="s">
        <v>45</v>
      </c>
      <c r="B40" s="46"/>
      <c r="C40" s="46"/>
      <c r="D40" s="46"/>
      <c r="E40" s="87"/>
      <c r="F40" s="46"/>
      <c r="G40" s="46"/>
      <c r="H40" s="46"/>
      <c r="I40" s="46"/>
      <c r="J40" s="46"/>
      <c r="K40" s="46"/>
      <c r="L40" s="46"/>
      <c r="M40" s="46"/>
      <c r="N40" s="17">
        <f t="shared" si="8"/>
        <v>0</v>
      </c>
    </row>
    <row r="41" ht="13.5" customHeight="1">
      <c r="A41" s="39" t="s">
        <v>145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17">
        <f t="shared" si="8"/>
        <v>0</v>
      </c>
    </row>
    <row r="42" ht="13.5" customHeight="1">
      <c r="A42" s="19" t="s">
        <v>146</v>
      </c>
      <c r="B42" s="144">
        <v>365.0</v>
      </c>
      <c r="C42" s="144">
        <v>365.0</v>
      </c>
      <c r="D42" s="144">
        <v>365.0</v>
      </c>
      <c r="E42" s="144">
        <v>365.0</v>
      </c>
      <c r="F42" s="144">
        <v>365.0</v>
      </c>
      <c r="G42" s="144">
        <v>365.0</v>
      </c>
      <c r="H42" s="144">
        <v>365.0</v>
      </c>
      <c r="I42" s="144">
        <v>365.0</v>
      </c>
      <c r="J42" s="144">
        <v>365.0</v>
      </c>
      <c r="K42" s="144">
        <v>365.0</v>
      </c>
      <c r="L42" s="144">
        <v>365.0</v>
      </c>
      <c r="M42" s="144">
        <v>365.0</v>
      </c>
      <c r="N42" s="17">
        <f t="shared" si="8"/>
        <v>4380</v>
      </c>
    </row>
    <row r="43" ht="13.5" customHeight="1">
      <c r="A43" s="19" t="s">
        <v>147</v>
      </c>
      <c r="B43" s="87">
        <v>1949.0</v>
      </c>
      <c r="C43" s="87">
        <v>1949.0</v>
      </c>
      <c r="D43" s="87">
        <v>1949.0</v>
      </c>
      <c r="E43" s="87">
        <v>1949.0</v>
      </c>
      <c r="F43" s="87">
        <v>1949.0</v>
      </c>
      <c r="G43" s="87">
        <v>1949.0</v>
      </c>
      <c r="H43" s="87">
        <v>1949.0</v>
      </c>
      <c r="I43" s="87">
        <v>1949.0</v>
      </c>
      <c r="J43" s="87">
        <v>1949.0</v>
      </c>
      <c r="K43" s="87">
        <v>1949.0</v>
      </c>
      <c r="L43" s="87">
        <v>1949.0</v>
      </c>
      <c r="M43" s="87">
        <v>1949.0</v>
      </c>
      <c r="N43" s="17">
        <f t="shared" si="8"/>
        <v>23388</v>
      </c>
    </row>
    <row r="44" ht="13.5" customHeight="1">
      <c r="A44" s="19" t="s">
        <v>148</v>
      </c>
      <c r="B44" s="46">
        <f t="shared" ref="B44:M44" si="9">259+259</f>
        <v>518</v>
      </c>
      <c r="C44" s="46">
        <f t="shared" si="9"/>
        <v>518</v>
      </c>
      <c r="D44" s="46">
        <f t="shared" si="9"/>
        <v>518</v>
      </c>
      <c r="E44" s="46">
        <f t="shared" si="9"/>
        <v>518</v>
      </c>
      <c r="F44" s="46">
        <f t="shared" si="9"/>
        <v>518</v>
      </c>
      <c r="G44" s="46">
        <f t="shared" si="9"/>
        <v>518</v>
      </c>
      <c r="H44" s="46">
        <f t="shared" si="9"/>
        <v>518</v>
      </c>
      <c r="I44" s="46">
        <f t="shared" si="9"/>
        <v>518</v>
      </c>
      <c r="J44" s="46">
        <f t="shared" si="9"/>
        <v>518</v>
      </c>
      <c r="K44" s="46">
        <f t="shared" si="9"/>
        <v>518</v>
      </c>
      <c r="L44" s="46">
        <f t="shared" si="9"/>
        <v>518</v>
      </c>
      <c r="M44" s="46">
        <f t="shared" si="9"/>
        <v>518</v>
      </c>
      <c r="N44" s="17">
        <f t="shared" si="8"/>
        <v>6216</v>
      </c>
    </row>
    <row r="45" ht="13.5" customHeight="1">
      <c r="A45" s="19" t="s">
        <v>50</v>
      </c>
      <c r="B45" s="46">
        <f t="shared" ref="B45:M45" si="10">45+97.5+349</f>
        <v>491.5</v>
      </c>
      <c r="C45" s="46">
        <f t="shared" si="10"/>
        <v>491.5</v>
      </c>
      <c r="D45" s="46">
        <f t="shared" si="10"/>
        <v>491.5</v>
      </c>
      <c r="E45" s="46">
        <f t="shared" si="10"/>
        <v>491.5</v>
      </c>
      <c r="F45" s="46">
        <f t="shared" si="10"/>
        <v>491.5</v>
      </c>
      <c r="G45" s="46">
        <f t="shared" si="10"/>
        <v>491.5</v>
      </c>
      <c r="H45" s="46">
        <f t="shared" si="10"/>
        <v>491.5</v>
      </c>
      <c r="I45" s="46">
        <f t="shared" si="10"/>
        <v>491.5</v>
      </c>
      <c r="J45" s="46">
        <f t="shared" si="10"/>
        <v>491.5</v>
      </c>
      <c r="K45" s="46">
        <f t="shared" si="10"/>
        <v>491.5</v>
      </c>
      <c r="L45" s="46">
        <f t="shared" si="10"/>
        <v>491.5</v>
      </c>
      <c r="M45" s="46">
        <f t="shared" si="10"/>
        <v>491.5</v>
      </c>
      <c r="N45" s="17">
        <f t="shared" si="8"/>
        <v>5898</v>
      </c>
    </row>
    <row r="46" ht="13.5" customHeight="1">
      <c r="A46" s="15" t="s">
        <v>51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17">
        <f t="shared" si="8"/>
        <v>0</v>
      </c>
    </row>
    <row r="47" ht="13.5" customHeight="1">
      <c r="A47" s="19" t="s">
        <v>52</v>
      </c>
      <c r="B47" s="87">
        <f t="shared" ref="B47:M47" si="11">850+30+750+2500+750+1250</f>
        <v>6130</v>
      </c>
      <c r="C47" s="87">
        <f t="shared" si="11"/>
        <v>6130</v>
      </c>
      <c r="D47" s="87">
        <f t="shared" si="11"/>
        <v>6130</v>
      </c>
      <c r="E47" s="87">
        <f t="shared" si="11"/>
        <v>6130</v>
      </c>
      <c r="F47" s="87">
        <f t="shared" si="11"/>
        <v>6130</v>
      </c>
      <c r="G47" s="87">
        <f t="shared" si="11"/>
        <v>6130</v>
      </c>
      <c r="H47" s="87">
        <f t="shared" si="11"/>
        <v>6130</v>
      </c>
      <c r="I47" s="87">
        <f t="shared" si="11"/>
        <v>6130</v>
      </c>
      <c r="J47" s="87">
        <f t="shared" si="11"/>
        <v>6130</v>
      </c>
      <c r="K47" s="87">
        <f t="shared" si="11"/>
        <v>6130</v>
      </c>
      <c r="L47" s="87">
        <f t="shared" si="11"/>
        <v>6130</v>
      </c>
      <c r="M47" s="87">
        <f t="shared" si="11"/>
        <v>6130</v>
      </c>
      <c r="N47" s="17">
        <f t="shared" si="8"/>
        <v>73560</v>
      </c>
    </row>
    <row r="48" ht="13.5" customHeight="1">
      <c r="A48" s="19" t="s">
        <v>131</v>
      </c>
      <c r="B48" s="87">
        <f t="shared" ref="B48:M48" si="12">350.33+55.66+80</f>
        <v>485.99</v>
      </c>
      <c r="C48" s="87">
        <f t="shared" si="12"/>
        <v>485.99</v>
      </c>
      <c r="D48" s="87">
        <f t="shared" si="12"/>
        <v>485.99</v>
      </c>
      <c r="E48" s="87">
        <f t="shared" si="12"/>
        <v>485.99</v>
      </c>
      <c r="F48" s="87">
        <f t="shared" si="12"/>
        <v>485.99</v>
      </c>
      <c r="G48" s="87">
        <f t="shared" si="12"/>
        <v>485.99</v>
      </c>
      <c r="H48" s="87">
        <f t="shared" si="12"/>
        <v>485.99</v>
      </c>
      <c r="I48" s="87">
        <f t="shared" si="12"/>
        <v>485.99</v>
      </c>
      <c r="J48" s="87">
        <f t="shared" si="12"/>
        <v>485.99</v>
      </c>
      <c r="K48" s="87">
        <f t="shared" si="12"/>
        <v>485.99</v>
      </c>
      <c r="L48" s="87">
        <f t="shared" si="12"/>
        <v>485.99</v>
      </c>
      <c r="M48" s="87">
        <f t="shared" si="12"/>
        <v>485.99</v>
      </c>
      <c r="N48" s="17">
        <f t="shared" si="8"/>
        <v>5831.88</v>
      </c>
    </row>
    <row r="49" ht="13.5" customHeight="1">
      <c r="A49" s="35" t="s">
        <v>54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17">
        <f t="shared" si="8"/>
        <v>0</v>
      </c>
    </row>
    <row r="50" ht="13.5" customHeight="1">
      <c r="A50" s="19" t="s">
        <v>132</v>
      </c>
      <c r="B50" s="96">
        <f>1600+995</f>
        <v>2595</v>
      </c>
      <c r="C50" s="96">
        <v>1600.0</v>
      </c>
      <c r="D50" s="96">
        <v>1600.0</v>
      </c>
      <c r="E50" s="96">
        <v>1600.0</v>
      </c>
      <c r="F50" s="96">
        <v>1600.0</v>
      </c>
      <c r="G50" s="96">
        <v>1600.0</v>
      </c>
      <c r="H50" s="96">
        <v>1600.0</v>
      </c>
      <c r="I50" s="96">
        <v>1600.0</v>
      </c>
      <c r="J50" s="96">
        <v>1600.0</v>
      </c>
      <c r="K50" s="96">
        <v>1600.0</v>
      </c>
      <c r="L50" s="96">
        <v>1600.0</v>
      </c>
      <c r="M50" s="96">
        <v>1600.0</v>
      </c>
      <c r="N50" s="17">
        <f t="shared" si="8"/>
        <v>20195</v>
      </c>
    </row>
    <row r="51" ht="13.5" customHeight="1">
      <c r="A51" s="1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17">
        <f t="shared" si="8"/>
        <v>0</v>
      </c>
    </row>
    <row r="52" ht="13.5" customHeight="1">
      <c r="A52" s="91" t="s">
        <v>23</v>
      </c>
      <c r="B52" s="28">
        <f t="shared" ref="B52:N52" si="13">SUM(B34:B51)</f>
        <v>15993.39</v>
      </c>
      <c r="C52" s="28">
        <f t="shared" si="13"/>
        <v>14998.39</v>
      </c>
      <c r="D52" s="28">
        <f t="shared" si="13"/>
        <v>14998.39</v>
      </c>
      <c r="E52" s="28">
        <f t="shared" si="13"/>
        <v>14998.39</v>
      </c>
      <c r="F52" s="28">
        <f t="shared" si="13"/>
        <v>14998.39</v>
      </c>
      <c r="G52" s="28">
        <f t="shared" si="13"/>
        <v>14998.39</v>
      </c>
      <c r="H52" s="28">
        <f t="shared" si="13"/>
        <v>14998.39</v>
      </c>
      <c r="I52" s="28">
        <f t="shared" si="13"/>
        <v>14998.39</v>
      </c>
      <c r="J52" s="28">
        <f t="shared" si="13"/>
        <v>14998.39</v>
      </c>
      <c r="K52" s="28">
        <f t="shared" si="13"/>
        <v>14998.39</v>
      </c>
      <c r="L52" s="28">
        <f t="shared" si="13"/>
        <v>14998.39</v>
      </c>
      <c r="M52" s="28">
        <f t="shared" si="13"/>
        <v>14998.39</v>
      </c>
      <c r="N52" s="28">
        <f t="shared" si="13"/>
        <v>180975.68</v>
      </c>
    </row>
    <row r="53" ht="13.5" customHeight="1">
      <c r="A53" s="79" t="s">
        <v>56</v>
      </c>
      <c r="B53" s="63"/>
      <c r="C53" s="63"/>
      <c r="D53" s="63"/>
      <c r="E53" s="63"/>
      <c r="F53" s="83"/>
      <c r="G53" s="83"/>
      <c r="H53" s="83"/>
      <c r="I53" s="83"/>
      <c r="J53" s="83"/>
      <c r="K53" s="83"/>
      <c r="L53" s="83"/>
      <c r="M53" s="83"/>
      <c r="N53" s="83"/>
    </row>
    <row r="54" ht="13.5" customHeight="1">
      <c r="A54" s="32" t="s">
        <v>57</v>
      </c>
      <c r="B54" s="46">
        <v>3695.0</v>
      </c>
      <c r="C54" s="46">
        <v>3695.0</v>
      </c>
      <c r="D54" s="46">
        <v>3695.0</v>
      </c>
      <c r="E54" s="46">
        <v>3695.0</v>
      </c>
      <c r="F54" s="46">
        <v>3695.0</v>
      </c>
      <c r="G54" s="46">
        <v>3695.0</v>
      </c>
      <c r="H54" s="46">
        <v>3695.0</v>
      </c>
      <c r="I54" s="46">
        <v>3695.0</v>
      </c>
      <c r="J54" s="46">
        <v>3695.0</v>
      </c>
      <c r="K54" s="46">
        <v>3695.0</v>
      </c>
      <c r="L54" s="46">
        <v>3695.0</v>
      </c>
      <c r="M54" s="46">
        <v>3695.0</v>
      </c>
      <c r="N54" s="17">
        <f t="shared" ref="N54:N69" si="14">SUM(B54:M54)</f>
        <v>44340</v>
      </c>
    </row>
    <row r="55" ht="13.5" customHeight="1">
      <c r="A55" s="32" t="s">
        <v>58</v>
      </c>
      <c r="B55" s="87"/>
      <c r="C55" s="87"/>
      <c r="D55" s="87">
        <v>1990.0</v>
      </c>
      <c r="E55" s="87">
        <v>1990.0</v>
      </c>
      <c r="F55" s="87">
        <v>1990.0</v>
      </c>
      <c r="G55" s="87">
        <v>1990.0</v>
      </c>
      <c r="H55" s="87">
        <v>1990.0</v>
      </c>
      <c r="I55" s="87">
        <v>1990.0</v>
      </c>
      <c r="J55" s="87">
        <v>1990.0</v>
      </c>
      <c r="K55" s="87">
        <v>1990.0</v>
      </c>
      <c r="L55" s="87">
        <v>1990.0</v>
      </c>
      <c r="M55" s="87">
        <v>1990.0</v>
      </c>
      <c r="N55" s="17">
        <f t="shared" si="14"/>
        <v>19900</v>
      </c>
    </row>
    <row r="56" ht="13.5" customHeight="1">
      <c r="A56" s="31" t="s">
        <v>59</v>
      </c>
      <c r="B56" s="87">
        <f t="shared" ref="B56:M56" si="15">399+399+351+351+57+57</f>
        <v>1614</v>
      </c>
      <c r="C56" s="87">
        <f t="shared" si="15"/>
        <v>1614</v>
      </c>
      <c r="D56" s="87">
        <f t="shared" si="15"/>
        <v>1614</v>
      </c>
      <c r="E56" s="87">
        <f t="shared" si="15"/>
        <v>1614</v>
      </c>
      <c r="F56" s="87">
        <f t="shared" si="15"/>
        <v>1614</v>
      </c>
      <c r="G56" s="87">
        <f t="shared" si="15"/>
        <v>1614</v>
      </c>
      <c r="H56" s="87">
        <f t="shared" si="15"/>
        <v>1614</v>
      </c>
      <c r="I56" s="87">
        <f t="shared" si="15"/>
        <v>1614</v>
      </c>
      <c r="J56" s="87">
        <f t="shared" si="15"/>
        <v>1614</v>
      </c>
      <c r="K56" s="87">
        <f t="shared" si="15"/>
        <v>1614</v>
      </c>
      <c r="L56" s="87">
        <f t="shared" si="15"/>
        <v>1614</v>
      </c>
      <c r="M56" s="87">
        <f t="shared" si="15"/>
        <v>1614</v>
      </c>
      <c r="N56" s="17">
        <f t="shared" si="14"/>
        <v>19368</v>
      </c>
    </row>
    <row r="57" ht="13.5" customHeight="1">
      <c r="A57" s="31" t="s">
        <v>133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17">
        <f t="shared" si="14"/>
        <v>0</v>
      </c>
    </row>
    <row r="58" ht="13.5" customHeight="1">
      <c r="A58" s="31" t="s">
        <v>134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17">
        <f t="shared" si="14"/>
        <v>0</v>
      </c>
    </row>
    <row r="59" ht="13.5" customHeight="1">
      <c r="A59" s="31" t="s">
        <v>135</v>
      </c>
      <c r="B59" s="97">
        <v>1250.0</v>
      </c>
      <c r="C59" s="97">
        <v>1250.0</v>
      </c>
      <c r="D59" s="97">
        <v>1250.0</v>
      </c>
      <c r="E59" s="97">
        <v>1250.0</v>
      </c>
      <c r="F59" s="97">
        <v>1250.0</v>
      </c>
      <c r="G59" s="97">
        <v>1250.0</v>
      </c>
      <c r="H59" s="97">
        <v>1250.0</v>
      </c>
      <c r="I59" s="97">
        <v>1250.0</v>
      </c>
      <c r="J59" s="97">
        <v>1250.0</v>
      </c>
      <c r="K59" s="97">
        <v>1250.0</v>
      </c>
      <c r="L59" s="97">
        <v>1250.0</v>
      </c>
      <c r="M59" s="97">
        <v>1250.0</v>
      </c>
      <c r="N59" s="17">
        <f t="shared" si="14"/>
        <v>15000</v>
      </c>
    </row>
    <row r="60" ht="13.5" customHeight="1">
      <c r="A60" s="32" t="s">
        <v>136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17">
        <f t="shared" si="14"/>
        <v>0</v>
      </c>
    </row>
    <row r="61" ht="13.5" customHeight="1">
      <c r="A61" s="32" t="s">
        <v>137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17">
        <f t="shared" si="14"/>
        <v>0</v>
      </c>
    </row>
    <row r="62" ht="13.5" customHeight="1">
      <c r="A62" s="32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14"/>
        <v>0</v>
      </c>
    </row>
    <row r="63" ht="13.5" customHeight="1">
      <c r="A63" s="31" t="s">
        <v>64</v>
      </c>
      <c r="B63" s="87">
        <f t="shared" ref="B63:M63" si="16">12000+2000+2300+300+2000</f>
        <v>18600</v>
      </c>
      <c r="C63" s="87">
        <f t="shared" si="16"/>
        <v>18600</v>
      </c>
      <c r="D63" s="87">
        <f t="shared" si="16"/>
        <v>18600</v>
      </c>
      <c r="E63" s="87">
        <f t="shared" si="16"/>
        <v>18600</v>
      </c>
      <c r="F63" s="87">
        <f t="shared" si="16"/>
        <v>18600</v>
      </c>
      <c r="G63" s="87">
        <f t="shared" si="16"/>
        <v>18600</v>
      </c>
      <c r="H63" s="87">
        <f t="shared" si="16"/>
        <v>18600</v>
      </c>
      <c r="I63" s="87">
        <f t="shared" si="16"/>
        <v>18600</v>
      </c>
      <c r="J63" s="87">
        <f t="shared" si="16"/>
        <v>18600</v>
      </c>
      <c r="K63" s="87">
        <f t="shared" si="16"/>
        <v>18600</v>
      </c>
      <c r="L63" s="87">
        <f t="shared" si="16"/>
        <v>18600</v>
      </c>
      <c r="M63" s="87">
        <f t="shared" si="16"/>
        <v>18600</v>
      </c>
      <c r="N63" s="17">
        <f t="shared" si="14"/>
        <v>223200</v>
      </c>
    </row>
    <row r="64" ht="13.5" customHeight="1">
      <c r="A64" s="31" t="s">
        <v>149</v>
      </c>
      <c r="B64" s="87">
        <f t="shared" ref="B64:M64" si="17">1401+595+99</f>
        <v>2095</v>
      </c>
      <c r="C64" s="87">
        <f t="shared" si="17"/>
        <v>2095</v>
      </c>
      <c r="D64" s="87">
        <f t="shared" si="17"/>
        <v>2095</v>
      </c>
      <c r="E64" s="87">
        <f t="shared" si="17"/>
        <v>2095</v>
      </c>
      <c r="F64" s="87">
        <f t="shared" si="17"/>
        <v>2095</v>
      </c>
      <c r="G64" s="87">
        <f t="shared" si="17"/>
        <v>2095</v>
      </c>
      <c r="H64" s="87">
        <f t="shared" si="17"/>
        <v>2095</v>
      </c>
      <c r="I64" s="87">
        <f t="shared" si="17"/>
        <v>2095</v>
      </c>
      <c r="J64" s="87">
        <f t="shared" si="17"/>
        <v>2095</v>
      </c>
      <c r="K64" s="87">
        <f t="shared" si="17"/>
        <v>2095</v>
      </c>
      <c r="L64" s="87">
        <f t="shared" si="17"/>
        <v>2095</v>
      </c>
      <c r="M64" s="87">
        <f t="shared" si="17"/>
        <v>2095</v>
      </c>
      <c r="N64" s="17">
        <f t="shared" si="14"/>
        <v>25140</v>
      </c>
    </row>
    <row r="65" ht="13.5" customHeight="1">
      <c r="A65" s="31" t="s">
        <v>66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17">
        <f t="shared" si="14"/>
        <v>0</v>
      </c>
    </row>
    <row r="66" ht="13.5" customHeight="1">
      <c r="A66" s="31" t="s">
        <v>67</v>
      </c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17">
        <f t="shared" si="14"/>
        <v>0</v>
      </c>
    </row>
    <row r="67" ht="13.5" customHeight="1">
      <c r="A67" s="25" t="s">
        <v>68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17">
        <f t="shared" si="14"/>
        <v>0</v>
      </c>
    </row>
    <row r="68" ht="13.5" customHeight="1">
      <c r="A68" s="25" t="s">
        <v>69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17">
        <f t="shared" si="14"/>
        <v>0</v>
      </c>
    </row>
    <row r="69" ht="13.5" customHeight="1">
      <c r="A69" s="39" t="s">
        <v>70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17">
        <f t="shared" si="14"/>
        <v>0</v>
      </c>
    </row>
    <row r="70" ht="13.5" customHeight="1">
      <c r="A70" s="91" t="s">
        <v>23</v>
      </c>
      <c r="B70" s="28">
        <f t="shared" ref="B70:M70" si="18">SUM(B54:B69)</f>
        <v>27254</v>
      </c>
      <c r="C70" s="28">
        <f t="shared" si="18"/>
        <v>27254</v>
      </c>
      <c r="D70" s="28">
        <f t="shared" si="18"/>
        <v>29244</v>
      </c>
      <c r="E70" s="28">
        <f t="shared" si="18"/>
        <v>29244</v>
      </c>
      <c r="F70" s="28">
        <f t="shared" si="18"/>
        <v>29244</v>
      </c>
      <c r="G70" s="28">
        <f t="shared" si="18"/>
        <v>29244</v>
      </c>
      <c r="H70" s="28">
        <f t="shared" si="18"/>
        <v>29244</v>
      </c>
      <c r="I70" s="28">
        <f t="shared" si="18"/>
        <v>29244</v>
      </c>
      <c r="J70" s="28">
        <f t="shared" si="18"/>
        <v>29244</v>
      </c>
      <c r="K70" s="28">
        <f t="shared" si="18"/>
        <v>29244</v>
      </c>
      <c r="L70" s="28">
        <f t="shared" si="18"/>
        <v>29244</v>
      </c>
      <c r="M70" s="28">
        <f t="shared" si="18"/>
        <v>29244</v>
      </c>
      <c r="N70" s="28">
        <f>SUM(N54:N66)</f>
        <v>346948</v>
      </c>
    </row>
    <row r="71" ht="13.5" customHeight="1">
      <c r="A71" s="79" t="s">
        <v>71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</row>
    <row r="72" ht="13.5" customHeight="1">
      <c r="A72" s="32" t="s">
        <v>138</v>
      </c>
      <c r="B72" s="87">
        <v>0.0</v>
      </c>
      <c r="C72" s="87">
        <v>0.0</v>
      </c>
      <c r="D72" s="87">
        <v>0.0</v>
      </c>
      <c r="E72" s="87">
        <v>0.0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0.0</v>
      </c>
      <c r="L72" s="87">
        <v>0.0</v>
      </c>
      <c r="M72" s="87">
        <v>0.0</v>
      </c>
      <c r="N72" s="17">
        <f t="shared" ref="N72:N83" si="19">SUM(B72:M72)</f>
        <v>0</v>
      </c>
    </row>
    <row r="73" ht="13.5" customHeight="1">
      <c r="A73" s="31" t="s">
        <v>73</v>
      </c>
      <c r="B73" s="87">
        <v>0.0</v>
      </c>
      <c r="C73" s="87">
        <v>0.0</v>
      </c>
      <c r="D73" s="87">
        <v>0.0</v>
      </c>
      <c r="E73" s="87">
        <v>0.0</v>
      </c>
      <c r="F73" s="87">
        <v>0.0</v>
      </c>
      <c r="G73" s="87">
        <v>0.0</v>
      </c>
      <c r="H73" s="87">
        <v>0.0</v>
      </c>
      <c r="I73" s="87">
        <v>0.0</v>
      </c>
      <c r="J73" s="87">
        <v>0.0</v>
      </c>
      <c r="K73" s="87">
        <v>0.0</v>
      </c>
      <c r="L73" s="87">
        <v>0.0</v>
      </c>
      <c r="M73" s="87">
        <v>0.0</v>
      </c>
      <c r="N73" s="17">
        <f t="shared" si="19"/>
        <v>0</v>
      </c>
    </row>
    <row r="74" ht="13.5" customHeight="1">
      <c r="A74" s="32" t="s">
        <v>139</v>
      </c>
      <c r="B74" s="97">
        <v>1250.0</v>
      </c>
      <c r="C74" s="97">
        <v>1250.0</v>
      </c>
      <c r="D74" s="97">
        <v>1250.0</v>
      </c>
      <c r="E74" s="97">
        <v>1250.0</v>
      </c>
      <c r="F74" s="97">
        <v>1250.0</v>
      </c>
      <c r="G74" s="97">
        <v>1250.0</v>
      </c>
      <c r="H74" s="97">
        <v>1250.0</v>
      </c>
      <c r="I74" s="97">
        <v>1250.0</v>
      </c>
      <c r="J74" s="97">
        <v>1250.0</v>
      </c>
      <c r="K74" s="97">
        <v>1250.0</v>
      </c>
      <c r="L74" s="97">
        <v>1250.0</v>
      </c>
      <c r="M74" s="97">
        <v>1250.0</v>
      </c>
      <c r="N74" s="17">
        <f t="shared" si="19"/>
        <v>15000</v>
      </c>
    </row>
    <row r="75" ht="13.5" customHeight="1">
      <c r="A75" s="31" t="s">
        <v>137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17">
        <f t="shared" si="19"/>
        <v>0</v>
      </c>
    </row>
    <row r="76" ht="13.5" customHeight="1">
      <c r="A76" s="32" t="s">
        <v>136</v>
      </c>
      <c r="B76" s="46"/>
      <c r="C76" s="46"/>
      <c r="D76" s="46"/>
      <c r="E76" s="46"/>
      <c r="F76" s="87">
        <v>0.0</v>
      </c>
      <c r="G76" s="46"/>
      <c r="H76" s="46"/>
      <c r="I76" s="46"/>
      <c r="J76" s="46"/>
      <c r="K76" s="46"/>
      <c r="L76" s="46"/>
      <c r="M76" s="46"/>
      <c r="N76" s="17">
        <f t="shared" si="19"/>
        <v>0</v>
      </c>
    </row>
    <row r="77" ht="13.5" customHeight="1">
      <c r="A77" s="32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17">
        <f t="shared" si="19"/>
        <v>0</v>
      </c>
    </row>
    <row r="78" ht="13.5" customHeight="1">
      <c r="A78" s="31" t="s">
        <v>140</v>
      </c>
      <c r="B78" s="87">
        <v>0.0</v>
      </c>
      <c r="C78" s="87">
        <v>0.0</v>
      </c>
      <c r="D78" s="87">
        <v>0.0</v>
      </c>
      <c r="E78" s="87">
        <v>0.0</v>
      </c>
      <c r="F78" s="87">
        <v>0.0</v>
      </c>
      <c r="G78" s="87">
        <v>0.0</v>
      </c>
      <c r="H78" s="87">
        <v>0.0</v>
      </c>
      <c r="I78" s="87">
        <v>0.0</v>
      </c>
      <c r="J78" s="87">
        <v>0.0</v>
      </c>
      <c r="K78" s="87">
        <v>0.0</v>
      </c>
      <c r="L78" s="87">
        <v>0.0</v>
      </c>
      <c r="M78" s="87">
        <v>0.0</v>
      </c>
      <c r="N78" s="17">
        <f t="shared" si="19"/>
        <v>0</v>
      </c>
    </row>
    <row r="79" ht="13.5" customHeight="1">
      <c r="A79" s="27" t="s">
        <v>141</v>
      </c>
      <c r="B79" s="87">
        <v>4105.0</v>
      </c>
      <c r="C79" s="87">
        <v>4105.0</v>
      </c>
      <c r="D79" s="87">
        <v>4105.0</v>
      </c>
      <c r="E79" s="87">
        <v>4105.0</v>
      </c>
      <c r="F79" s="87">
        <v>4105.0</v>
      </c>
      <c r="G79" s="87">
        <v>4105.0</v>
      </c>
      <c r="H79" s="87">
        <v>4105.0</v>
      </c>
      <c r="I79" s="87">
        <v>4105.0</v>
      </c>
      <c r="J79" s="87">
        <v>4105.0</v>
      </c>
      <c r="K79" s="87">
        <v>4105.0</v>
      </c>
      <c r="L79" s="87">
        <v>4105.0</v>
      </c>
      <c r="M79" s="87">
        <v>4105.0</v>
      </c>
      <c r="N79" s="17">
        <f t="shared" si="19"/>
        <v>49260</v>
      </c>
    </row>
    <row r="80" ht="13.5" customHeight="1">
      <c r="A80" s="145" t="s">
        <v>79</v>
      </c>
      <c r="B80" s="87">
        <v>1750.0</v>
      </c>
      <c r="C80" s="87">
        <v>1750.0</v>
      </c>
      <c r="D80" s="87">
        <v>1750.0</v>
      </c>
      <c r="E80" s="87">
        <v>1750.0</v>
      </c>
      <c r="F80" s="87">
        <v>1750.0</v>
      </c>
      <c r="G80" s="87">
        <v>1750.0</v>
      </c>
      <c r="H80" s="87">
        <v>1750.0</v>
      </c>
      <c r="I80" s="87">
        <v>1750.0</v>
      </c>
      <c r="J80" s="87">
        <v>1750.0</v>
      </c>
      <c r="K80" s="87">
        <v>1750.0</v>
      </c>
      <c r="L80" s="87">
        <v>1750.0</v>
      </c>
      <c r="M80" s="87">
        <v>1750.0</v>
      </c>
      <c r="N80" s="17">
        <f t="shared" si="19"/>
        <v>21000</v>
      </c>
    </row>
    <row r="81" ht="13.5" customHeight="1">
      <c r="A81" s="43" t="s">
        <v>80</v>
      </c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17">
        <f t="shared" si="19"/>
        <v>0</v>
      </c>
    </row>
    <row r="82" ht="13.5" customHeight="1">
      <c r="A82" s="91" t="s">
        <v>23</v>
      </c>
      <c r="B82" s="28">
        <f t="shared" ref="B82:M82" si="20">SUM(B72:B81)</f>
        <v>7105</v>
      </c>
      <c r="C82" s="28">
        <f t="shared" si="20"/>
        <v>7105</v>
      </c>
      <c r="D82" s="28">
        <f t="shared" si="20"/>
        <v>7105</v>
      </c>
      <c r="E82" s="28">
        <f t="shared" si="20"/>
        <v>7105</v>
      </c>
      <c r="F82" s="28">
        <f t="shared" si="20"/>
        <v>7105</v>
      </c>
      <c r="G82" s="28">
        <f t="shared" si="20"/>
        <v>7105</v>
      </c>
      <c r="H82" s="28">
        <f t="shared" si="20"/>
        <v>7105</v>
      </c>
      <c r="I82" s="28">
        <f t="shared" si="20"/>
        <v>7105</v>
      </c>
      <c r="J82" s="28">
        <f t="shared" si="20"/>
        <v>7105</v>
      </c>
      <c r="K82" s="28">
        <f t="shared" si="20"/>
        <v>7105</v>
      </c>
      <c r="L82" s="28">
        <f t="shared" si="20"/>
        <v>7105</v>
      </c>
      <c r="M82" s="28">
        <f t="shared" si="20"/>
        <v>7105</v>
      </c>
      <c r="N82" s="44">
        <f t="shared" si="19"/>
        <v>85260</v>
      </c>
    </row>
    <row r="83" ht="13.5" customHeight="1">
      <c r="A83" s="99" t="s">
        <v>81</v>
      </c>
      <c r="B83" s="28">
        <f t="shared" ref="B83:M83" si="21">B82+B70+B52</f>
        <v>50352.39</v>
      </c>
      <c r="C83" s="28">
        <f t="shared" si="21"/>
        <v>49357.39</v>
      </c>
      <c r="D83" s="28">
        <f t="shared" si="21"/>
        <v>51347.39</v>
      </c>
      <c r="E83" s="28">
        <f t="shared" si="21"/>
        <v>51347.39</v>
      </c>
      <c r="F83" s="28">
        <f t="shared" si="21"/>
        <v>51347.39</v>
      </c>
      <c r="G83" s="28">
        <f t="shared" si="21"/>
        <v>51347.39</v>
      </c>
      <c r="H83" s="28">
        <f t="shared" si="21"/>
        <v>51347.39</v>
      </c>
      <c r="I83" s="28">
        <f t="shared" si="21"/>
        <v>51347.39</v>
      </c>
      <c r="J83" s="28">
        <f t="shared" si="21"/>
        <v>51347.39</v>
      </c>
      <c r="K83" s="28">
        <f t="shared" si="21"/>
        <v>51347.39</v>
      </c>
      <c r="L83" s="28">
        <f t="shared" si="21"/>
        <v>51347.39</v>
      </c>
      <c r="M83" s="28">
        <f t="shared" si="21"/>
        <v>51347.39</v>
      </c>
      <c r="N83" s="44">
        <f t="shared" si="19"/>
        <v>613183.68</v>
      </c>
    </row>
    <row r="84" ht="13.5" customHeight="1">
      <c r="A84" s="99" t="s">
        <v>82</v>
      </c>
      <c r="B84" s="46">
        <f t="shared" ref="B84:N84" si="22">B83/B112</f>
        <v>260.8932124</v>
      </c>
      <c r="C84" s="46">
        <f t="shared" si="22"/>
        <v>251.8234184</v>
      </c>
      <c r="D84" s="46">
        <f t="shared" si="22"/>
        <v>222.2830736</v>
      </c>
      <c r="E84" s="46">
        <f t="shared" si="22"/>
        <v>235.5384862</v>
      </c>
      <c r="F84" s="46">
        <f t="shared" si="22"/>
        <v>202.9541107</v>
      </c>
      <c r="G84" s="46">
        <f t="shared" si="22"/>
        <v>216.655654</v>
      </c>
      <c r="H84" s="46">
        <f t="shared" si="22"/>
        <v>205.38956</v>
      </c>
      <c r="I84" s="46">
        <f t="shared" si="22"/>
        <v>213.0597095</v>
      </c>
      <c r="J84" s="46">
        <f t="shared" si="22"/>
        <v>228.2106222</v>
      </c>
      <c r="K84" s="46">
        <f t="shared" si="22"/>
        <v>217.5736864</v>
      </c>
      <c r="L84" s="46">
        <f t="shared" si="22"/>
        <v>207.88417</v>
      </c>
      <c r="M84" s="46">
        <f t="shared" si="22"/>
        <v>193.7637358</v>
      </c>
      <c r="N84" s="15">
        <f t="shared" si="22"/>
        <v>219.6216619</v>
      </c>
    </row>
    <row r="85" ht="13.5" customHeight="1">
      <c r="A85" s="79" t="s">
        <v>83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</row>
    <row r="86" ht="13.5" customHeight="1">
      <c r="A86" s="15" t="s">
        <v>84</v>
      </c>
      <c r="B86" s="87">
        <v>820.0</v>
      </c>
      <c r="C86" s="87">
        <v>820.0</v>
      </c>
      <c r="D86" s="87">
        <v>820.0</v>
      </c>
      <c r="E86" s="87">
        <v>820.0</v>
      </c>
      <c r="F86" s="87">
        <v>820.0</v>
      </c>
      <c r="G86" s="87">
        <v>820.0</v>
      </c>
      <c r="H86" s="87">
        <v>820.0</v>
      </c>
      <c r="I86" s="87">
        <v>820.0</v>
      </c>
      <c r="J86" s="87">
        <v>820.0</v>
      </c>
      <c r="K86" s="87">
        <v>820.0</v>
      </c>
      <c r="L86" s="87">
        <v>820.0</v>
      </c>
      <c r="M86" s="87">
        <v>820.0</v>
      </c>
      <c r="N86" s="17">
        <f t="shared" ref="N86:N89" si="23">SUM(B86:M86)</f>
        <v>9840</v>
      </c>
    </row>
    <row r="87" ht="13.5" customHeight="1">
      <c r="A87" s="15" t="s">
        <v>142</v>
      </c>
      <c r="B87" s="46"/>
      <c r="C87" s="46"/>
      <c r="D87" s="46"/>
      <c r="E87" s="87"/>
      <c r="F87" s="87"/>
      <c r="G87" s="87"/>
      <c r="H87" s="46"/>
      <c r="I87" s="46"/>
      <c r="J87" s="46"/>
      <c r="K87" s="87"/>
      <c r="L87" s="46"/>
      <c r="M87" s="46"/>
      <c r="N87" s="17">
        <f t="shared" si="23"/>
        <v>0</v>
      </c>
    </row>
    <row r="88" ht="13.5" customHeight="1">
      <c r="A88" s="91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17">
        <f t="shared" si="23"/>
        <v>0</v>
      </c>
    </row>
    <row r="89" ht="13.5" customHeight="1">
      <c r="A89" s="91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17">
        <f t="shared" si="23"/>
        <v>0</v>
      </c>
    </row>
    <row r="90" ht="13.5" customHeight="1">
      <c r="A90" s="91" t="s">
        <v>23</v>
      </c>
      <c r="B90" s="28">
        <f t="shared" ref="B90:N90" si="24">SUM(B86:B89)</f>
        <v>820</v>
      </c>
      <c r="C90" s="28">
        <f t="shared" si="24"/>
        <v>820</v>
      </c>
      <c r="D90" s="28">
        <f t="shared" si="24"/>
        <v>820</v>
      </c>
      <c r="E90" s="28">
        <f t="shared" si="24"/>
        <v>820</v>
      </c>
      <c r="F90" s="28">
        <f t="shared" si="24"/>
        <v>820</v>
      </c>
      <c r="G90" s="28">
        <f t="shared" si="24"/>
        <v>820</v>
      </c>
      <c r="H90" s="28">
        <f t="shared" si="24"/>
        <v>820</v>
      </c>
      <c r="I90" s="28">
        <f t="shared" si="24"/>
        <v>820</v>
      </c>
      <c r="J90" s="28">
        <f t="shared" si="24"/>
        <v>820</v>
      </c>
      <c r="K90" s="28">
        <f t="shared" si="24"/>
        <v>820</v>
      </c>
      <c r="L90" s="28">
        <f t="shared" si="24"/>
        <v>820</v>
      </c>
      <c r="M90" s="28">
        <f t="shared" si="24"/>
        <v>820</v>
      </c>
      <c r="N90" s="28">
        <f t="shared" si="24"/>
        <v>9840</v>
      </c>
    </row>
    <row r="91" ht="13.5" customHeight="1">
      <c r="A91" s="89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</row>
    <row r="92" ht="13.5" customHeight="1">
      <c r="A92" s="31" t="s">
        <v>89</v>
      </c>
      <c r="B92" s="101">
        <f>PRODUCTION!C18</f>
        <v>750</v>
      </c>
      <c r="C92" s="102">
        <f>PRODUCTION!C19</f>
        <v>750</v>
      </c>
      <c r="D92" s="102">
        <f>PRODUCTION!C20</f>
        <v>750</v>
      </c>
      <c r="E92" s="102">
        <f>PRODUCTION!C21</f>
        <v>750</v>
      </c>
      <c r="F92" s="102">
        <f>PRODUCTION!C22</f>
        <v>750</v>
      </c>
      <c r="G92" s="102">
        <f>PRODUCTION!C23</f>
        <v>750</v>
      </c>
      <c r="H92" s="102">
        <f>PRODUCTION!C24</f>
        <v>750</v>
      </c>
      <c r="I92" s="102">
        <f>PRODUCTION!C25</f>
        <v>750</v>
      </c>
      <c r="J92" s="102">
        <f>PRODUCTION!C26</f>
        <v>750</v>
      </c>
      <c r="K92" s="102">
        <f>PRODUCTION!C27</f>
        <v>750</v>
      </c>
      <c r="L92" s="102">
        <f>PRODUCTION!C28</f>
        <v>750</v>
      </c>
      <c r="M92" s="102">
        <f>PRODUCTION!C29</f>
        <v>750</v>
      </c>
      <c r="N92" s="17">
        <f t="shared" ref="N92:N105" si="25">SUM(B92:M92)</f>
        <v>9000</v>
      </c>
    </row>
    <row r="93" ht="13.5" customHeight="1">
      <c r="A93" s="31" t="s">
        <v>90</v>
      </c>
      <c r="B93" s="87"/>
      <c r="C93" s="87"/>
      <c r="D93" s="46"/>
      <c r="E93" s="87"/>
      <c r="F93" s="103"/>
      <c r="G93" s="87"/>
      <c r="H93" s="87"/>
      <c r="I93" s="87"/>
      <c r="J93" s="87"/>
      <c r="K93" s="87"/>
      <c r="L93" s="46"/>
      <c r="M93" s="87"/>
      <c r="N93" s="17">
        <f t="shared" si="25"/>
        <v>0</v>
      </c>
    </row>
    <row r="94" ht="13.5" customHeight="1">
      <c r="A94" s="31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17">
        <f t="shared" si="25"/>
        <v>2360</v>
      </c>
    </row>
    <row r="95" ht="13.5" customHeight="1">
      <c r="A95" s="31" t="s">
        <v>92</v>
      </c>
      <c r="B95" s="146">
        <v>500.0</v>
      </c>
      <c r="C95" s="105">
        <v>500.0</v>
      </c>
      <c r="D95" s="105">
        <v>0.0</v>
      </c>
      <c r="E95" s="105">
        <v>0.0</v>
      </c>
      <c r="F95" s="104">
        <v>155.0</v>
      </c>
      <c r="G95" s="104">
        <f>350+167</f>
        <v>517</v>
      </c>
      <c r="H95" s="104">
        <v>0.0</v>
      </c>
      <c r="I95" s="105">
        <f>265+3.233</f>
        <v>268.233</v>
      </c>
      <c r="J95" s="105">
        <v>500.0</v>
      </c>
      <c r="K95" s="87">
        <v>456.78</v>
      </c>
      <c r="L95" s="105">
        <v>500.0</v>
      </c>
      <c r="M95" s="105">
        <v>500.0</v>
      </c>
      <c r="N95" s="17">
        <f t="shared" si="25"/>
        <v>3897.013</v>
      </c>
    </row>
    <row r="96" ht="13.5" customHeight="1">
      <c r="A96" s="32" t="s">
        <v>143</v>
      </c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17">
        <f t="shared" si="25"/>
        <v>0</v>
      </c>
    </row>
    <row r="97" ht="13.5" customHeight="1">
      <c r="A97" s="32" t="s">
        <v>94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17">
        <f t="shared" si="25"/>
        <v>0</v>
      </c>
    </row>
    <row r="98" ht="13.5" customHeight="1">
      <c r="A98" s="32" t="s">
        <v>95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17">
        <f t="shared" si="25"/>
        <v>0</v>
      </c>
    </row>
    <row r="99" ht="13.5" customHeight="1">
      <c r="A99" s="31" t="s">
        <v>96</v>
      </c>
      <c r="B99" s="87">
        <v>500.0</v>
      </c>
      <c r="C99" s="87">
        <v>500.0</v>
      </c>
      <c r="D99" s="87">
        <v>500.0</v>
      </c>
      <c r="E99" s="87">
        <v>500.0</v>
      </c>
      <c r="F99" s="87">
        <v>500.0</v>
      </c>
      <c r="G99" s="87">
        <v>500.0</v>
      </c>
      <c r="H99" s="87">
        <v>500.0</v>
      </c>
      <c r="I99" s="87">
        <v>500.0</v>
      </c>
      <c r="J99" s="87">
        <f>500+399</f>
        <v>899</v>
      </c>
      <c r="K99" s="87">
        <v>500.0</v>
      </c>
      <c r="L99" s="87">
        <v>500.0</v>
      </c>
      <c r="M99" s="87">
        <v>500.0</v>
      </c>
      <c r="N99" s="17">
        <f t="shared" si="25"/>
        <v>6399</v>
      </c>
    </row>
    <row r="100" ht="13.5" customHeight="1">
      <c r="A100" s="31" t="s">
        <v>97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17">
        <f t="shared" si="25"/>
        <v>0</v>
      </c>
    </row>
    <row r="101" ht="13.5" customHeight="1">
      <c r="A101" s="32" t="s">
        <v>98</v>
      </c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17">
        <f t="shared" si="25"/>
        <v>0</v>
      </c>
    </row>
    <row r="102" ht="13.5" customHeight="1">
      <c r="A102" s="31" t="s">
        <v>150</v>
      </c>
      <c r="B102" s="46"/>
      <c r="C102" s="46"/>
      <c r="D102" s="46"/>
      <c r="E102" s="46"/>
      <c r="F102" s="46"/>
      <c r="G102" s="46"/>
      <c r="H102" s="46"/>
      <c r="I102" s="87"/>
      <c r="J102" s="87"/>
      <c r="K102" s="87"/>
      <c r="L102" s="87"/>
      <c r="M102" s="87"/>
      <c r="N102" s="17">
        <f t="shared" si="25"/>
        <v>0</v>
      </c>
    </row>
    <row r="103" ht="13.5" customHeight="1">
      <c r="A103" s="32" t="s">
        <v>100</v>
      </c>
      <c r="B103" s="87">
        <v>200.0</v>
      </c>
      <c r="C103" s="87">
        <v>435.0</v>
      </c>
      <c r="D103" s="87">
        <f>200+113.63</f>
        <v>313.63</v>
      </c>
      <c r="E103" s="87">
        <v>200.0</v>
      </c>
      <c r="F103" s="87">
        <v>200.0</v>
      </c>
      <c r="G103" s="87">
        <v>605.0</v>
      </c>
      <c r="H103" s="87">
        <v>605.0</v>
      </c>
      <c r="I103" s="87">
        <v>200.0</v>
      </c>
      <c r="J103" s="87">
        <f>435+200</f>
        <v>635</v>
      </c>
      <c r="K103" s="87">
        <v>200.0</v>
      </c>
      <c r="L103" s="87">
        <v>200.0</v>
      </c>
      <c r="M103" s="87">
        <v>200.0</v>
      </c>
      <c r="N103" s="17">
        <f t="shared" si="25"/>
        <v>3993.63</v>
      </c>
    </row>
    <row r="104" ht="13.5" customHeight="1">
      <c r="A104" s="27" t="s">
        <v>101</v>
      </c>
      <c r="B104" s="98">
        <v>300.0</v>
      </c>
      <c r="C104" s="98">
        <v>375.0</v>
      </c>
      <c r="D104" s="98">
        <v>375.0</v>
      </c>
      <c r="E104" s="98">
        <v>375.0</v>
      </c>
      <c r="F104" s="98">
        <v>375.0</v>
      </c>
      <c r="G104" s="98">
        <v>375.0</v>
      </c>
      <c r="H104" s="98">
        <v>375.0</v>
      </c>
      <c r="I104" s="98">
        <v>375.0</v>
      </c>
      <c r="J104" s="98">
        <v>375.0</v>
      </c>
      <c r="K104" s="98">
        <v>375.0</v>
      </c>
      <c r="L104" s="98">
        <v>375.0</v>
      </c>
      <c r="M104" s="98">
        <v>375.0</v>
      </c>
      <c r="N104" s="17">
        <f t="shared" si="25"/>
        <v>4425</v>
      </c>
    </row>
    <row r="105" ht="13.5" customHeight="1">
      <c r="A105" s="27" t="s">
        <v>102</v>
      </c>
      <c r="B105" s="100"/>
      <c r="C105" s="100"/>
      <c r="D105" s="100"/>
      <c r="E105" s="100"/>
      <c r="F105" s="28"/>
      <c r="G105" s="28"/>
      <c r="H105" s="28"/>
      <c r="I105" s="28"/>
      <c r="J105" s="28"/>
      <c r="K105" s="28"/>
      <c r="L105" s="28"/>
      <c r="M105" s="28"/>
      <c r="N105" s="17">
        <f t="shared" si="25"/>
        <v>0</v>
      </c>
    </row>
    <row r="106" ht="13.5" customHeight="1">
      <c r="A106" s="91"/>
      <c r="B106" s="28"/>
      <c r="C106" s="28"/>
      <c r="D106" s="147"/>
      <c r="E106" s="147"/>
      <c r="F106" s="147"/>
      <c r="G106" s="28"/>
      <c r="H106" s="28"/>
      <c r="I106" s="28"/>
      <c r="J106" s="28"/>
      <c r="K106" s="28"/>
      <c r="L106" s="28"/>
      <c r="M106" s="28"/>
      <c r="N106" s="28"/>
    </row>
    <row r="107" ht="13.5" customHeight="1">
      <c r="A107" s="91" t="s">
        <v>23</v>
      </c>
      <c r="B107" s="28">
        <f t="shared" ref="B107:C107" si="26">SUM(B92:B105)</f>
        <v>2430</v>
      </c>
      <c r="C107" s="28">
        <f t="shared" si="26"/>
        <v>2740</v>
      </c>
      <c r="D107" s="28">
        <f>SUM(D92:D106)</f>
        <v>2118.63</v>
      </c>
      <c r="E107" s="28">
        <f t="shared" ref="E107:N107" si="27">SUM(E92:E105)</f>
        <v>2005</v>
      </c>
      <c r="F107" s="28">
        <f t="shared" si="27"/>
        <v>2160</v>
      </c>
      <c r="G107" s="28">
        <f t="shared" si="27"/>
        <v>2927</v>
      </c>
      <c r="H107" s="28">
        <f t="shared" si="27"/>
        <v>2410</v>
      </c>
      <c r="I107" s="28">
        <f t="shared" si="27"/>
        <v>2273.233</v>
      </c>
      <c r="J107" s="28">
        <f t="shared" si="27"/>
        <v>3339</v>
      </c>
      <c r="K107" s="28">
        <f t="shared" si="27"/>
        <v>2661.78</v>
      </c>
      <c r="L107" s="28">
        <f t="shared" si="27"/>
        <v>2505</v>
      </c>
      <c r="M107" s="28">
        <f t="shared" si="27"/>
        <v>2505</v>
      </c>
      <c r="N107" s="28">
        <f t="shared" si="27"/>
        <v>30074.643</v>
      </c>
    </row>
    <row r="108" ht="13.5" customHeight="1">
      <c r="A108" s="91" t="s">
        <v>104</v>
      </c>
      <c r="B108" s="107">
        <v>-39430.49</v>
      </c>
      <c r="C108" s="108">
        <v>-27407.12</v>
      </c>
      <c r="D108" s="108">
        <v>-28306.93</v>
      </c>
      <c r="E108" s="108">
        <v>-26445.28</v>
      </c>
      <c r="F108" s="108">
        <v>-24000.37</v>
      </c>
      <c r="G108" s="108">
        <v>-12878.0</v>
      </c>
      <c r="H108" s="108">
        <v>-17173.6</v>
      </c>
      <c r="I108" s="108">
        <v>-19100.57</v>
      </c>
      <c r="J108" s="108">
        <v>-20420.35</v>
      </c>
      <c r="K108" s="109">
        <v>-25485.93</v>
      </c>
      <c r="L108" s="110">
        <v>-23000.0</v>
      </c>
      <c r="M108" s="110">
        <v>-23000.0</v>
      </c>
      <c r="N108" s="44">
        <f>SUM(B108:M108)</f>
        <v>-286648.64</v>
      </c>
    </row>
    <row r="109" ht="13.5" customHeight="1">
      <c r="A109" s="112" t="s">
        <v>105</v>
      </c>
      <c r="B109" s="50">
        <f t="shared" ref="B109:N109" si="28">B107+B90+B83+B32+B21+B13</f>
        <v>79530.39</v>
      </c>
      <c r="C109" s="50">
        <f t="shared" si="28"/>
        <v>79554.87</v>
      </c>
      <c r="D109" s="50">
        <f t="shared" si="28"/>
        <v>100419.4771</v>
      </c>
      <c r="E109" s="50">
        <f t="shared" si="28"/>
        <v>93305.84714</v>
      </c>
      <c r="F109" s="113">
        <f t="shared" si="28"/>
        <v>114805.4186</v>
      </c>
      <c r="G109" s="113">
        <f t="shared" si="28"/>
        <v>108572.4186</v>
      </c>
      <c r="H109" s="113">
        <f t="shared" si="28"/>
        <v>81175.99</v>
      </c>
      <c r="I109" s="113">
        <f t="shared" si="28"/>
        <v>88039.223</v>
      </c>
      <c r="J109" s="113">
        <f t="shared" si="28"/>
        <v>94639.84714</v>
      </c>
      <c r="K109" s="113">
        <f t="shared" si="28"/>
        <v>93962.62714</v>
      </c>
      <c r="L109" s="113">
        <f t="shared" si="28"/>
        <v>94377.27571</v>
      </c>
      <c r="M109" s="113">
        <f t="shared" si="28"/>
        <v>108150.4186</v>
      </c>
      <c r="N109" s="50">
        <f t="shared" si="28"/>
        <v>1136533.803</v>
      </c>
    </row>
    <row r="110" ht="13.5" customHeight="1">
      <c r="A110" s="35" t="s">
        <v>106</v>
      </c>
      <c r="B110" s="148">
        <v>108.0</v>
      </c>
      <c r="C110" s="116">
        <v>111.0</v>
      </c>
      <c r="D110" s="116">
        <v>136.0</v>
      </c>
      <c r="E110" s="116">
        <v>125.0</v>
      </c>
      <c r="F110" s="116">
        <v>148.0</v>
      </c>
      <c r="G110" s="116">
        <v>134.0</v>
      </c>
      <c r="H110" s="116">
        <v>145.0</v>
      </c>
      <c r="I110" s="116">
        <v>139.0</v>
      </c>
      <c r="J110" s="116">
        <v>130.0</v>
      </c>
      <c r="K110" s="116">
        <v>136.0</v>
      </c>
      <c r="L110" s="118">
        <v>142.0</v>
      </c>
      <c r="M110" s="118">
        <v>157.0</v>
      </c>
      <c r="N110" s="149">
        <f t="shared" ref="N110:N112" si="29">SUM(B110:M110)</f>
        <v>1611</v>
      </c>
    </row>
    <row r="111" ht="13.5" customHeight="1">
      <c r="A111" s="35" t="s">
        <v>107</v>
      </c>
      <c r="B111" s="120">
        <v>85.0</v>
      </c>
      <c r="C111" s="150">
        <v>85.0</v>
      </c>
      <c r="D111" s="150">
        <v>95.0</v>
      </c>
      <c r="E111" s="120">
        <v>93.0</v>
      </c>
      <c r="F111" s="120">
        <v>105.0</v>
      </c>
      <c r="G111" s="120">
        <v>103.0</v>
      </c>
      <c r="H111" s="120">
        <v>105.0</v>
      </c>
      <c r="I111" s="120">
        <v>102.0</v>
      </c>
      <c r="J111" s="120">
        <v>95.0</v>
      </c>
      <c r="K111" s="120">
        <v>100.0</v>
      </c>
      <c r="L111" s="151">
        <v>105.0</v>
      </c>
      <c r="M111" s="121">
        <v>108.0</v>
      </c>
      <c r="N111" s="149">
        <f t="shared" si="29"/>
        <v>1181</v>
      </c>
    </row>
    <row r="112" ht="13.5" customHeight="1">
      <c r="A112" s="91" t="s">
        <v>23</v>
      </c>
      <c r="B112" s="122">
        <f t="shared" ref="B112:M112" si="30">B110+B111</f>
        <v>193</v>
      </c>
      <c r="C112" s="122">
        <f t="shared" si="30"/>
        <v>196</v>
      </c>
      <c r="D112" s="122">
        <f t="shared" si="30"/>
        <v>231</v>
      </c>
      <c r="E112" s="122">
        <f t="shared" si="30"/>
        <v>218</v>
      </c>
      <c r="F112" s="123">
        <f t="shared" si="30"/>
        <v>253</v>
      </c>
      <c r="G112" s="123">
        <f t="shared" si="30"/>
        <v>237</v>
      </c>
      <c r="H112" s="123">
        <f t="shared" si="30"/>
        <v>250</v>
      </c>
      <c r="I112" s="123">
        <f t="shared" si="30"/>
        <v>241</v>
      </c>
      <c r="J112" s="123">
        <f t="shared" si="30"/>
        <v>225</v>
      </c>
      <c r="K112" s="123">
        <f t="shared" si="30"/>
        <v>236</v>
      </c>
      <c r="L112" s="123">
        <f t="shared" si="30"/>
        <v>247</v>
      </c>
      <c r="M112" s="124">
        <f t="shared" si="30"/>
        <v>265</v>
      </c>
      <c r="N112" s="125">
        <f t="shared" si="29"/>
        <v>2792</v>
      </c>
    </row>
    <row r="113" ht="13.5" customHeight="1">
      <c r="A113" s="126" t="s">
        <v>108</v>
      </c>
      <c r="B113" s="58">
        <f t="shared" ref="B113:N113" si="31">B109/B112</f>
        <v>412.0745596</v>
      </c>
      <c r="C113" s="58">
        <f t="shared" si="31"/>
        <v>405.8921939</v>
      </c>
      <c r="D113" s="58">
        <f t="shared" si="31"/>
        <v>434.7163513</v>
      </c>
      <c r="E113" s="58">
        <f t="shared" si="31"/>
        <v>428.0084731</v>
      </c>
      <c r="F113" s="58">
        <f t="shared" si="31"/>
        <v>453.776358</v>
      </c>
      <c r="G113" s="58">
        <f t="shared" si="31"/>
        <v>458.1114708</v>
      </c>
      <c r="H113" s="58">
        <f t="shared" si="31"/>
        <v>324.70396</v>
      </c>
      <c r="I113" s="58">
        <f t="shared" si="31"/>
        <v>365.3079793</v>
      </c>
      <c r="J113" s="58">
        <f t="shared" si="31"/>
        <v>420.6215429</v>
      </c>
      <c r="K113" s="58">
        <f t="shared" si="31"/>
        <v>398.1467252</v>
      </c>
      <c r="L113" s="58">
        <f t="shared" si="31"/>
        <v>382.0942337</v>
      </c>
      <c r="M113" s="58">
        <f t="shared" si="31"/>
        <v>408.1147871</v>
      </c>
      <c r="N113" s="57">
        <f t="shared" si="31"/>
        <v>407.067981</v>
      </c>
    </row>
    <row r="114" ht="13.5" customHeight="1">
      <c r="A114" s="79" t="s">
        <v>109</v>
      </c>
      <c r="B114" s="63"/>
      <c r="C114" s="63"/>
      <c r="D114" s="63"/>
      <c r="E114" s="63"/>
      <c r="F114" s="83"/>
      <c r="G114" s="83"/>
      <c r="H114" s="83"/>
      <c r="I114" s="83"/>
      <c r="J114" s="83"/>
      <c r="K114" s="83"/>
      <c r="L114" s="83"/>
      <c r="M114" s="83"/>
      <c r="N114" s="83"/>
    </row>
    <row r="115" ht="13.5" customHeight="1">
      <c r="A115" s="59" t="s">
        <v>110</v>
      </c>
      <c r="B115" s="87">
        <f t="shared" ref="B115:M115" si="32">1495</f>
        <v>1495</v>
      </c>
      <c r="C115" s="87">
        <f t="shared" si="32"/>
        <v>1495</v>
      </c>
      <c r="D115" s="87">
        <f t="shared" si="32"/>
        <v>1495</v>
      </c>
      <c r="E115" s="87">
        <f t="shared" si="32"/>
        <v>1495</v>
      </c>
      <c r="F115" s="87">
        <f t="shared" si="32"/>
        <v>1495</v>
      </c>
      <c r="G115" s="87">
        <f t="shared" si="32"/>
        <v>1495</v>
      </c>
      <c r="H115" s="87">
        <f t="shared" si="32"/>
        <v>1495</v>
      </c>
      <c r="I115" s="87">
        <f t="shared" si="32"/>
        <v>1495</v>
      </c>
      <c r="J115" s="87">
        <f t="shared" si="32"/>
        <v>1495</v>
      </c>
      <c r="K115" s="87">
        <f t="shared" si="32"/>
        <v>1495</v>
      </c>
      <c r="L115" s="87">
        <f t="shared" si="32"/>
        <v>1495</v>
      </c>
      <c r="M115" s="87">
        <f t="shared" si="32"/>
        <v>1495</v>
      </c>
      <c r="N115" s="17">
        <f t="shared" ref="N115:N120" si="33">SUM(B115:M115)</f>
        <v>17940</v>
      </c>
    </row>
    <row r="116" ht="13.5" customHeight="1">
      <c r="A116" s="60" t="s">
        <v>111</v>
      </c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17">
        <f t="shared" si="33"/>
        <v>0</v>
      </c>
    </row>
    <row r="117" ht="13.5" customHeight="1">
      <c r="A117" s="59" t="s">
        <v>112</v>
      </c>
      <c r="B117" s="87">
        <f>1750+3381.48
</f>
        <v>5131.48</v>
      </c>
      <c r="C117" s="87">
        <v>1750.0</v>
      </c>
      <c r="D117" s="87">
        <v>1750.0</v>
      </c>
      <c r="E117" s="87">
        <f>1750+3381.48
</f>
        <v>5131.48</v>
      </c>
      <c r="F117" s="87">
        <v>1750.0</v>
      </c>
      <c r="G117" s="87">
        <v>1750.0</v>
      </c>
      <c r="H117" s="87">
        <f>1750+3381.48
</f>
        <v>5131.48</v>
      </c>
      <c r="I117" s="87">
        <v>1750.0</v>
      </c>
      <c r="J117" s="87">
        <v>1750.0</v>
      </c>
      <c r="K117" s="87">
        <f>1750+3424.88</f>
        <v>5174.88</v>
      </c>
      <c r="L117" s="87">
        <v>1750.0</v>
      </c>
      <c r="M117" s="87">
        <v>1750.0</v>
      </c>
      <c r="N117" s="17">
        <f t="shared" si="33"/>
        <v>34569.32</v>
      </c>
    </row>
    <row r="118" ht="13.5" customHeight="1">
      <c r="A118" s="59" t="s">
        <v>80</v>
      </c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17">
        <f t="shared" si="33"/>
        <v>0</v>
      </c>
    </row>
    <row r="119" ht="13.5" customHeight="1">
      <c r="A119" s="61" t="s">
        <v>113</v>
      </c>
      <c r="B119" s="87">
        <v>395.0</v>
      </c>
      <c r="C119" s="87">
        <v>395.0</v>
      </c>
      <c r="D119" s="87">
        <v>395.0</v>
      </c>
      <c r="E119" s="87">
        <v>395.0</v>
      </c>
      <c r="F119" s="87">
        <v>395.0</v>
      </c>
      <c r="G119" s="87">
        <v>395.0</v>
      </c>
      <c r="H119" s="87">
        <v>395.0</v>
      </c>
      <c r="I119" s="87">
        <v>395.0</v>
      </c>
      <c r="J119" s="87">
        <v>395.0</v>
      </c>
      <c r="K119" s="87">
        <v>395.0</v>
      </c>
      <c r="L119" s="87">
        <v>395.0</v>
      </c>
      <c r="M119" s="87">
        <v>395.0</v>
      </c>
      <c r="N119" s="17">
        <f t="shared" si="33"/>
        <v>4740</v>
      </c>
    </row>
    <row r="120" ht="13.5" customHeight="1">
      <c r="A120" s="132" t="s">
        <v>114</v>
      </c>
      <c r="B120" s="87">
        <v>1966.0</v>
      </c>
      <c r="C120" s="87">
        <v>1966.0</v>
      </c>
      <c r="D120" s="87">
        <v>1966.0</v>
      </c>
      <c r="E120" s="87">
        <v>1966.0</v>
      </c>
      <c r="F120" s="87">
        <v>1966.0</v>
      </c>
      <c r="G120" s="87">
        <v>1966.0</v>
      </c>
      <c r="H120" s="87">
        <v>1966.0</v>
      </c>
      <c r="I120" s="87">
        <v>1966.0</v>
      </c>
      <c r="J120" s="87">
        <v>1966.0</v>
      </c>
      <c r="K120" s="87">
        <v>1966.0</v>
      </c>
      <c r="L120" s="87">
        <v>1966.0</v>
      </c>
      <c r="M120" s="87">
        <v>1966.0</v>
      </c>
      <c r="N120" s="17">
        <f t="shared" si="33"/>
        <v>23592</v>
      </c>
    </row>
    <row r="121" ht="13.5" customHeight="1">
      <c r="A121" s="99" t="s">
        <v>23</v>
      </c>
      <c r="B121" s="63">
        <f t="shared" ref="B121:N121" si="34">SUM(B115:B120)</f>
        <v>8987.48</v>
      </c>
      <c r="C121" s="63">
        <f t="shared" si="34"/>
        <v>5606</v>
      </c>
      <c r="D121" s="63">
        <f t="shared" si="34"/>
        <v>5606</v>
      </c>
      <c r="E121" s="63">
        <f t="shared" si="34"/>
        <v>8987.48</v>
      </c>
      <c r="F121" s="63">
        <f t="shared" si="34"/>
        <v>5606</v>
      </c>
      <c r="G121" s="63">
        <f t="shared" si="34"/>
        <v>5606</v>
      </c>
      <c r="H121" s="63">
        <f t="shared" si="34"/>
        <v>8987.48</v>
      </c>
      <c r="I121" s="63">
        <f t="shared" si="34"/>
        <v>5606</v>
      </c>
      <c r="J121" s="63">
        <f t="shared" si="34"/>
        <v>5606</v>
      </c>
      <c r="K121" s="63">
        <f t="shared" si="34"/>
        <v>9030.88</v>
      </c>
      <c r="L121" s="63">
        <f t="shared" si="34"/>
        <v>5606</v>
      </c>
      <c r="M121" s="63">
        <f t="shared" si="34"/>
        <v>5606</v>
      </c>
      <c r="N121" s="63">
        <f t="shared" si="34"/>
        <v>80841.32</v>
      </c>
    </row>
    <row r="122" ht="13.5" customHeight="1">
      <c r="A122" s="152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2"/>
    </row>
    <row r="123" ht="13.5" customHeight="1">
      <c r="A123" s="64" t="s">
        <v>115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</row>
    <row r="124" ht="13.5" customHeight="1">
      <c r="A124" s="64" t="s">
        <v>116</v>
      </c>
      <c r="B124" s="67">
        <f t="shared" ref="B124:M124" si="35">+B13*0.7+B21*0.7+B32*0.7+B52*0.6+B70+B107*0.6</f>
        <v>56457.634</v>
      </c>
      <c r="C124" s="67">
        <f t="shared" si="35"/>
        <v>56543.27</v>
      </c>
      <c r="D124" s="67">
        <f t="shared" si="35"/>
        <v>71807.632</v>
      </c>
      <c r="E124" s="67">
        <f t="shared" si="35"/>
        <v>66839.454</v>
      </c>
      <c r="F124" s="67">
        <f t="shared" si="35"/>
        <v>81873.654</v>
      </c>
      <c r="G124" s="67">
        <f t="shared" si="35"/>
        <v>77433.854</v>
      </c>
      <c r="H124" s="67">
        <f t="shared" si="35"/>
        <v>58308.054</v>
      </c>
      <c r="I124" s="67">
        <f t="shared" si="35"/>
        <v>63125.9938</v>
      </c>
      <c r="J124" s="67">
        <f t="shared" si="35"/>
        <v>67639.854</v>
      </c>
      <c r="K124" s="67">
        <f t="shared" si="35"/>
        <v>67233.522</v>
      </c>
      <c r="L124" s="67">
        <f t="shared" si="35"/>
        <v>67539.454</v>
      </c>
      <c r="M124" s="67">
        <f t="shared" si="35"/>
        <v>77180.654</v>
      </c>
      <c r="N124" s="67">
        <f>SUM(B124:M124)</f>
        <v>811983.0298</v>
      </c>
    </row>
    <row r="125" ht="13.5" customHeight="1">
      <c r="A125" s="64" t="s">
        <v>117</v>
      </c>
      <c r="B125" s="67">
        <f t="shared" ref="B125:N125" si="36">+B13*0.3+B21*0.3+B32*0.3+B52*0.4+B82+B90+B107*0.4</f>
        <v>23072.756</v>
      </c>
      <c r="C125" s="67">
        <f t="shared" si="36"/>
        <v>23011.6</v>
      </c>
      <c r="D125" s="67">
        <f t="shared" si="36"/>
        <v>28611.84514</v>
      </c>
      <c r="E125" s="67">
        <f t="shared" si="36"/>
        <v>26466.39314</v>
      </c>
      <c r="F125" s="67">
        <f t="shared" si="36"/>
        <v>32931.76457</v>
      </c>
      <c r="G125" s="67">
        <f t="shared" si="36"/>
        <v>31138.56457</v>
      </c>
      <c r="H125" s="67">
        <f t="shared" si="36"/>
        <v>22867.936</v>
      </c>
      <c r="I125" s="67">
        <f t="shared" si="36"/>
        <v>24913.2292</v>
      </c>
      <c r="J125" s="67">
        <f t="shared" si="36"/>
        <v>26999.99314</v>
      </c>
      <c r="K125" s="67">
        <f t="shared" si="36"/>
        <v>26729.10514</v>
      </c>
      <c r="L125" s="67">
        <f t="shared" si="36"/>
        <v>26837.82171</v>
      </c>
      <c r="M125" s="67">
        <f t="shared" si="36"/>
        <v>30969.76457</v>
      </c>
      <c r="N125" s="67">
        <f t="shared" si="36"/>
        <v>324550.7732</v>
      </c>
    </row>
    <row r="126" ht="13.5" customHeight="1">
      <c r="A126" s="64" t="s">
        <v>23</v>
      </c>
      <c r="B126" s="67">
        <f t="shared" ref="B126:N126" si="37">SUM(B124:B125)</f>
        <v>79530.39</v>
      </c>
      <c r="C126" s="67">
        <f t="shared" si="37"/>
        <v>79554.87</v>
      </c>
      <c r="D126" s="67">
        <f t="shared" si="37"/>
        <v>100419.4771</v>
      </c>
      <c r="E126" s="67">
        <f t="shared" si="37"/>
        <v>93305.84714</v>
      </c>
      <c r="F126" s="67">
        <f t="shared" si="37"/>
        <v>114805.4186</v>
      </c>
      <c r="G126" s="67">
        <f t="shared" si="37"/>
        <v>108572.4186</v>
      </c>
      <c r="H126" s="67">
        <f t="shared" si="37"/>
        <v>81175.99</v>
      </c>
      <c r="I126" s="67">
        <f t="shared" si="37"/>
        <v>88039.223</v>
      </c>
      <c r="J126" s="67">
        <f t="shared" si="37"/>
        <v>94639.84714</v>
      </c>
      <c r="K126" s="67">
        <f t="shared" si="37"/>
        <v>93962.62714</v>
      </c>
      <c r="L126" s="67">
        <f t="shared" si="37"/>
        <v>94377.27571</v>
      </c>
      <c r="M126" s="67">
        <f t="shared" si="37"/>
        <v>108150.4186</v>
      </c>
      <c r="N126" s="67">
        <f t="shared" si="37"/>
        <v>1136533.803</v>
      </c>
    </row>
    <row r="127" ht="13.5" customHeight="1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</row>
    <row r="128" ht="13.5" customHeight="1">
      <c r="A128" s="69" t="s">
        <v>118</v>
      </c>
      <c r="B128" s="70">
        <f t="shared" ref="B128:N128" si="38">+B109</f>
        <v>79530.39</v>
      </c>
      <c r="C128" s="70">
        <f t="shared" si="38"/>
        <v>79554.87</v>
      </c>
      <c r="D128" s="70">
        <f t="shared" si="38"/>
        <v>100419.4771</v>
      </c>
      <c r="E128" s="70">
        <f t="shared" si="38"/>
        <v>93305.84714</v>
      </c>
      <c r="F128" s="70">
        <f t="shared" si="38"/>
        <v>114805.4186</v>
      </c>
      <c r="G128" s="70">
        <f t="shared" si="38"/>
        <v>108572.4186</v>
      </c>
      <c r="H128" s="70">
        <f t="shared" si="38"/>
        <v>81175.99</v>
      </c>
      <c r="I128" s="70">
        <f t="shared" si="38"/>
        <v>88039.223</v>
      </c>
      <c r="J128" s="70">
        <f t="shared" si="38"/>
        <v>94639.84714</v>
      </c>
      <c r="K128" s="70">
        <f t="shared" si="38"/>
        <v>93962.62714</v>
      </c>
      <c r="L128" s="70">
        <f t="shared" si="38"/>
        <v>94377.27571</v>
      </c>
      <c r="M128" s="70">
        <f t="shared" si="38"/>
        <v>108150.4186</v>
      </c>
      <c r="N128" s="70">
        <f t="shared" si="38"/>
        <v>1136533.803</v>
      </c>
    </row>
    <row r="129" ht="13.5" customHeight="1">
      <c r="A129" s="152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2"/>
    </row>
  </sheetData>
  <mergeCells count="1">
    <mergeCell ref="A1:N1"/>
  </mergeCells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2.88"/>
    <col customWidth="1" min="2" max="3" width="8.13"/>
    <col customWidth="1" min="4" max="4" width="9.25"/>
    <col customWidth="1" min="5" max="5" width="9.75"/>
    <col customWidth="1" min="6" max="9" width="9.13"/>
    <col customWidth="1" min="10" max="10" width="9.63"/>
    <col customWidth="1" min="11" max="11" width="8.13"/>
    <col customWidth="1" min="12" max="12" width="9.0"/>
    <col customWidth="1" min="13" max="13" width="8.88"/>
    <col customWidth="1" min="14" max="14" width="10.5"/>
  </cols>
  <sheetData>
    <row r="1" ht="13.5" customHeight="1">
      <c r="A1" s="76"/>
    </row>
    <row r="2" ht="13.5" customHeight="1">
      <c r="A2" s="7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402"/>
    </row>
    <row r="3" ht="13.5" customHeight="1">
      <c r="A3" s="403"/>
      <c r="B3" s="404" t="s">
        <v>1</v>
      </c>
      <c r="C3" s="404" t="s">
        <v>2</v>
      </c>
      <c r="D3" s="404" t="s">
        <v>3</v>
      </c>
      <c r="E3" s="404" t="s">
        <v>4</v>
      </c>
      <c r="F3" s="404" t="s">
        <v>5</v>
      </c>
      <c r="G3" s="404" t="s">
        <v>6</v>
      </c>
      <c r="H3" s="404" t="s">
        <v>7</v>
      </c>
      <c r="I3" s="404" t="s">
        <v>8</v>
      </c>
      <c r="J3" s="404" t="s">
        <v>9</v>
      </c>
      <c r="K3" s="404" t="s">
        <v>10</v>
      </c>
      <c r="L3" s="404" t="s">
        <v>11</v>
      </c>
      <c r="M3" s="404" t="s">
        <v>12</v>
      </c>
      <c r="N3" s="405" t="s">
        <v>0</v>
      </c>
    </row>
    <row r="4" ht="13.5" customHeight="1">
      <c r="A4" s="406" t="s">
        <v>14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8"/>
    </row>
    <row r="5" ht="13.5" customHeight="1">
      <c r="A5" s="20" t="s">
        <v>15</v>
      </c>
      <c r="B5" s="409"/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  <c r="N5" s="410">
        <f t="shared" ref="N5:N12" si="1">SUM(B5:M5)</f>
        <v>0</v>
      </c>
    </row>
    <row r="6" ht="13.5" customHeight="1">
      <c r="A6" s="20" t="s">
        <v>123</v>
      </c>
      <c r="B6" s="411"/>
      <c r="C6" s="411"/>
      <c r="D6" s="411"/>
      <c r="E6" s="411"/>
      <c r="F6" s="411"/>
      <c r="G6" s="411"/>
      <c r="H6" s="411"/>
      <c r="I6" s="411"/>
      <c r="J6" s="411"/>
      <c r="K6" s="411"/>
      <c r="L6" s="411"/>
      <c r="M6" s="411"/>
      <c r="N6" s="410">
        <f t="shared" si="1"/>
        <v>0</v>
      </c>
    </row>
    <row r="7" ht="13.5" customHeight="1">
      <c r="A7" s="20" t="s">
        <v>17</v>
      </c>
      <c r="B7" s="411"/>
      <c r="C7" s="411"/>
      <c r="D7" s="411"/>
      <c r="E7" s="411"/>
      <c r="F7" s="411"/>
      <c r="G7" s="411"/>
      <c r="H7" s="411"/>
      <c r="I7" s="411"/>
      <c r="J7" s="411"/>
      <c r="K7" s="411"/>
      <c r="L7" s="411"/>
      <c r="M7" s="411"/>
      <c r="N7" s="410">
        <f t="shared" si="1"/>
        <v>0</v>
      </c>
    </row>
    <row r="8" ht="13.5" customHeight="1">
      <c r="A8" s="20" t="s">
        <v>18</v>
      </c>
      <c r="B8" s="411"/>
      <c r="C8" s="411"/>
      <c r="D8" s="411"/>
      <c r="E8" s="411"/>
      <c r="F8" s="411"/>
      <c r="G8" s="411"/>
      <c r="H8" s="409"/>
      <c r="I8" s="411"/>
      <c r="J8" s="409"/>
      <c r="K8" s="409"/>
      <c r="L8" s="409"/>
      <c r="M8" s="409"/>
      <c r="N8" s="410">
        <f t="shared" si="1"/>
        <v>0</v>
      </c>
    </row>
    <row r="9" ht="13.5" customHeight="1">
      <c r="A9" s="20" t="s">
        <v>204</v>
      </c>
      <c r="B9" s="409"/>
      <c r="C9" s="409"/>
      <c r="D9" s="409"/>
      <c r="E9" s="409"/>
      <c r="F9" s="409"/>
      <c r="G9" s="409"/>
      <c r="H9" s="65"/>
      <c r="I9" s="412"/>
      <c r="J9" s="409"/>
      <c r="K9" s="409"/>
      <c r="L9" s="409"/>
      <c r="M9" s="409"/>
      <c r="N9" s="410">
        <f t="shared" si="1"/>
        <v>0</v>
      </c>
    </row>
    <row r="10" ht="13.5" customHeight="1">
      <c r="A10" s="413"/>
      <c r="B10" s="409"/>
      <c r="C10" s="409"/>
      <c r="D10" s="409"/>
      <c r="E10" s="409"/>
      <c r="F10" s="409"/>
      <c r="G10" s="409"/>
      <c r="H10" s="414"/>
      <c r="I10" s="409"/>
      <c r="J10" s="409"/>
      <c r="K10" s="409"/>
      <c r="L10" s="409"/>
      <c r="M10" s="409"/>
      <c r="N10" s="410">
        <f t="shared" si="1"/>
        <v>0</v>
      </c>
    </row>
    <row r="11" ht="13.5" customHeight="1">
      <c r="A11" s="20" t="s">
        <v>21</v>
      </c>
      <c r="B11" s="409"/>
      <c r="C11" s="409"/>
      <c r="D11" s="409"/>
      <c r="E11" s="409"/>
      <c r="F11" s="409"/>
      <c r="G11" s="409"/>
      <c r="H11" s="409"/>
      <c r="I11" s="409"/>
      <c r="J11" s="409"/>
      <c r="K11" s="409"/>
      <c r="L11" s="409"/>
      <c r="M11" s="409"/>
      <c r="N11" s="410">
        <f t="shared" si="1"/>
        <v>0</v>
      </c>
    </row>
    <row r="12" ht="13.5" customHeight="1">
      <c r="A12" s="20" t="s">
        <v>291</v>
      </c>
      <c r="B12" s="415">
        <v>0.0</v>
      </c>
      <c r="C12" s="411"/>
      <c r="D12" s="416">
        <v>0.0</v>
      </c>
      <c r="E12" s="416">
        <v>0.0</v>
      </c>
      <c r="F12" s="416">
        <v>0.0</v>
      </c>
      <c r="G12" s="416">
        <v>0.0</v>
      </c>
      <c r="H12" s="416">
        <v>0.0</v>
      </c>
      <c r="I12" s="416">
        <v>0.0</v>
      </c>
      <c r="J12" s="416">
        <v>0.0</v>
      </c>
      <c r="K12" s="416">
        <v>0.0</v>
      </c>
      <c r="L12" s="415">
        <v>0.0</v>
      </c>
      <c r="M12" s="415">
        <v>0.0</v>
      </c>
      <c r="N12" s="410">
        <f t="shared" si="1"/>
        <v>0</v>
      </c>
    </row>
    <row r="13" ht="13.5" customHeight="1">
      <c r="A13" s="417" t="s">
        <v>23</v>
      </c>
      <c r="B13" s="22">
        <f t="shared" ref="B13:N13" si="2">SUM(B5:B12)</f>
        <v>0</v>
      </c>
      <c r="C13" s="22">
        <f t="shared" si="2"/>
        <v>0</v>
      </c>
      <c r="D13" s="22">
        <f t="shared" si="2"/>
        <v>0</v>
      </c>
      <c r="E13" s="22">
        <f t="shared" si="2"/>
        <v>0</v>
      </c>
      <c r="F13" s="22">
        <f t="shared" si="2"/>
        <v>0</v>
      </c>
      <c r="G13" s="22">
        <f t="shared" si="2"/>
        <v>0</v>
      </c>
      <c r="H13" s="22">
        <f t="shared" si="2"/>
        <v>0</v>
      </c>
      <c r="I13" s="22">
        <f t="shared" si="2"/>
        <v>0</v>
      </c>
      <c r="J13" s="22">
        <f t="shared" si="2"/>
        <v>0</v>
      </c>
      <c r="K13" s="22">
        <f t="shared" si="2"/>
        <v>0</v>
      </c>
      <c r="L13" s="22">
        <f t="shared" si="2"/>
        <v>0</v>
      </c>
      <c r="M13" s="22">
        <f t="shared" si="2"/>
        <v>0</v>
      </c>
      <c r="N13" s="418">
        <f t="shared" si="2"/>
        <v>0</v>
      </c>
    </row>
    <row r="14" ht="13.5" customHeight="1">
      <c r="A14" s="419" t="s">
        <v>24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0"/>
      <c r="M14" s="420"/>
      <c r="N14" s="421"/>
    </row>
    <row r="15" ht="13.5" customHeight="1">
      <c r="A15" s="422"/>
      <c r="B15" s="411"/>
      <c r="C15" s="411"/>
      <c r="D15" s="411"/>
      <c r="E15" s="411"/>
      <c r="F15" s="411"/>
      <c r="G15" s="411"/>
      <c r="H15" s="411"/>
      <c r="I15" s="411"/>
      <c r="J15" s="411"/>
      <c r="K15" s="411"/>
      <c r="L15" s="411"/>
      <c r="M15" s="411"/>
      <c r="N15" s="410">
        <f t="shared" ref="N15:N20" si="3">SUM(B15:M15)</f>
        <v>0</v>
      </c>
    </row>
    <row r="16" ht="13.5" customHeight="1">
      <c r="A16" s="20" t="s">
        <v>292</v>
      </c>
      <c r="B16" s="411"/>
      <c r="C16" s="411"/>
      <c r="D16" s="411"/>
      <c r="E16" s="411"/>
      <c r="F16" s="411"/>
      <c r="G16" s="411"/>
      <c r="H16" s="411"/>
      <c r="I16" s="411"/>
      <c r="J16" s="411"/>
      <c r="K16" s="411"/>
      <c r="L16" s="411"/>
      <c r="M16" s="411"/>
      <c r="N16" s="410">
        <f t="shared" si="3"/>
        <v>0</v>
      </c>
    </row>
    <row r="17" ht="13.5" customHeight="1">
      <c r="A17" s="423"/>
      <c r="B17" s="411"/>
      <c r="C17" s="411"/>
      <c r="D17" s="411"/>
      <c r="E17" s="411"/>
      <c r="F17" s="411"/>
      <c r="G17" s="411"/>
      <c r="H17" s="411"/>
      <c r="I17" s="411"/>
      <c r="J17" s="411"/>
      <c r="K17" s="411"/>
      <c r="L17" s="411"/>
      <c r="M17" s="411"/>
      <c r="N17" s="410">
        <f t="shared" si="3"/>
        <v>0</v>
      </c>
    </row>
    <row r="18" ht="13.5" customHeight="1">
      <c r="A18" s="423"/>
      <c r="B18" s="411"/>
      <c r="C18" s="411"/>
      <c r="D18" s="411"/>
      <c r="E18" s="411"/>
      <c r="F18" s="411"/>
      <c r="G18" s="411"/>
      <c r="H18" s="411"/>
      <c r="I18" s="411"/>
      <c r="J18" s="411"/>
      <c r="K18" s="411"/>
      <c r="L18" s="411"/>
      <c r="M18" s="411"/>
      <c r="N18" s="410">
        <f t="shared" si="3"/>
        <v>0</v>
      </c>
    </row>
    <row r="19" ht="13.5" customHeight="1">
      <c r="A19" s="424"/>
      <c r="B19" s="411"/>
      <c r="C19" s="411"/>
      <c r="D19" s="411"/>
      <c r="E19" s="411"/>
      <c r="F19" s="411"/>
      <c r="G19" s="411"/>
      <c r="H19" s="411"/>
      <c r="I19" s="411"/>
      <c r="J19" s="411"/>
      <c r="K19" s="411"/>
      <c r="L19" s="411"/>
      <c r="M19" s="411"/>
      <c r="N19" s="410">
        <f t="shared" si="3"/>
        <v>0</v>
      </c>
    </row>
    <row r="20" ht="13.5" customHeight="1">
      <c r="A20" s="423"/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0">
        <f t="shared" si="3"/>
        <v>0</v>
      </c>
    </row>
    <row r="21" ht="13.5" customHeight="1">
      <c r="A21" s="425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426">
        <f t="shared" si="4"/>
        <v>0</v>
      </c>
    </row>
    <row r="22" ht="13.5" customHeight="1">
      <c r="A22" s="419" t="s">
        <v>126</v>
      </c>
      <c r="B22" s="420"/>
      <c r="C22" s="420"/>
      <c r="D22" s="420"/>
      <c r="E22" s="420"/>
      <c r="F22" s="420"/>
      <c r="G22" s="420"/>
      <c r="H22" s="420"/>
      <c r="I22" s="420"/>
      <c r="J22" s="420"/>
      <c r="K22" s="420"/>
      <c r="L22" s="420"/>
      <c r="M22" s="420"/>
      <c r="N22" s="421"/>
    </row>
    <row r="23" ht="13.5" customHeight="1">
      <c r="A23" s="427" t="s">
        <v>293</v>
      </c>
      <c r="B23" s="428"/>
      <c r="C23" s="428"/>
      <c r="D23" s="429">
        <v>500.0</v>
      </c>
      <c r="E23" s="428"/>
      <c r="F23" s="428"/>
      <c r="G23" s="428"/>
      <c r="H23" s="428"/>
      <c r="I23" s="430"/>
      <c r="J23" s="430"/>
      <c r="K23" s="428"/>
      <c r="L23" s="428"/>
      <c r="M23" s="428"/>
      <c r="N23" s="410">
        <f t="shared" ref="N23:N31" si="5">SUM(B23:M23)</f>
        <v>500</v>
      </c>
    </row>
    <row r="24" ht="13.5" customHeight="1">
      <c r="A24" s="413"/>
      <c r="B24" s="428"/>
      <c r="C24" s="428"/>
      <c r="D24" s="428"/>
      <c r="E24" s="428"/>
      <c r="F24" s="428"/>
      <c r="G24" s="428"/>
      <c r="H24" s="428"/>
      <c r="I24" s="428"/>
      <c r="J24" s="428"/>
      <c r="K24" s="428"/>
      <c r="L24" s="428"/>
      <c r="M24" s="428"/>
      <c r="N24" s="410">
        <f t="shared" si="5"/>
        <v>0</v>
      </c>
    </row>
    <row r="25" ht="13.5" customHeight="1">
      <c r="A25" s="431" t="s">
        <v>294</v>
      </c>
      <c r="B25" s="94">
        <v>225.42</v>
      </c>
      <c r="C25" s="172">
        <v>225.42</v>
      </c>
      <c r="D25" s="172">
        <v>225.42</v>
      </c>
      <c r="E25" s="172">
        <v>225.42</v>
      </c>
      <c r="F25" s="172">
        <v>225.42</v>
      </c>
      <c r="G25" s="172">
        <v>225.42</v>
      </c>
      <c r="H25" s="172">
        <v>225.42</v>
      </c>
      <c r="I25" s="172">
        <v>225.42</v>
      </c>
      <c r="J25" s="172">
        <v>225.42</v>
      </c>
      <c r="K25" s="172">
        <v>225.42</v>
      </c>
      <c r="L25" s="172">
        <v>225.42</v>
      </c>
      <c r="M25" s="172">
        <v>225.42</v>
      </c>
      <c r="N25" s="410">
        <f t="shared" si="5"/>
        <v>2705.04</v>
      </c>
    </row>
    <row r="26" ht="13.5" customHeight="1">
      <c r="A26" s="413"/>
      <c r="B26" s="428"/>
      <c r="C26" s="428"/>
      <c r="D26" s="428"/>
      <c r="E26" s="428"/>
      <c r="F26" s="428"/>
      <c r="G26" s="428"/>
      <c r="H26" s="428"/>
      <c r="I26" s="428"/>
      <c r="J26" s="428"/>
      <c r="K26" s="428"/>
      <c r="L26" s="428"/>
      <c r="M26" s="428"/>
      <c r="N26" s="410">
        <f t="shared" si="5"/>
        <v>0</v>
      </c>
    </row>
    <row r="27" ht="13.5" customHeight="1">
      <c r="A27" s="20" t="s">
        <v>295</v>
      </c>
      <c r="B27" s="411"/>
      <c r="C27" s="411"/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0">
        <f t="shared" si="5"/>
        <v>0</v>
      </c>
    </row>
    <row r="28" ht="13.5" customHeight="1">
      <c r="A28" s="413"/>
      <c r="B28" s="411"/>
      <c r="C28" s="411"/>
      <c r="D28" s="411"/>
      <c r="E28" s="411"/>
      <c r="F28" s="411"/>
      <c r="G28" s="411"/>
      <c r="H28" s="411"/>
      <c r="I28" s="411"/>
      <c r="J28" s="411"/>
      <c r="K28" s="411"/>
      <c r="L28" s="411"/>
      <c r="M28" s="411"/>
      <c r="N28" s="410">
        <f t="shared" si="5"/>
        <v>0</v>
      </c>
    </row>
    <row r="29" ht="13.5" customHeight="1">
      <c r="A29" s="413"/>
      <c r="B29" s="411"/>
      <c r="C29" s="411"/>
      <c r="D29" s="411"/>
      <c r="E29" s="411"/>
      <c r="F29" s="411"/>
      <c r="G29" s="411"/>
      <c r="H29" s="411"/>
      <c r="I29" s="411"/>
      <c r="J29" s="411"/>
      <c r="K29" s="411"/>
      <c r="L29" s="411"/>
      <c r="M29" s="411"/>
      <c r="N29" s="410">
        <f t="shared" si="5"/>
        <v>0</v>
      </c>
    </row>
    <row r="30" ht="13.5" customHeight="1">
      <c r="A30" s="432"/>
      <c r="B30" s="411"/>
      <c r="C30" s="411"/>
      <c r="D30" s="411"/>
      <c r="E30" s="411"/>
      <c r="F30" s="411"/>
      <c r="G30" s="411"/>
      <c r="H30" s="411"/>
      <c r="I30" s="411"/>
      <c r="J30" s="411"/>
      <c r="K30" s="411"/>
      <c r="L30" s="411"/>
      <c r="M30" s="411"/>
      <c r="N30" s="410">
        <f t="shared" si="5"/>
        <v>0</v>
      </c>
    </row>
    <row r="31" ht="13.5" customHeight="1">
      <c r="A31" s="433"/>
      <c r="B31" s="428"/>
      <c r="C31" s="428"/>
      <c r="D31" s="428"/>
      <c r="E31" s="428"/>
      <c r="F31" s="428"/>
      <c r="G31" s="428"/>
      <c r="H31" s="428"/>
      <c r="I31" s="428"/>
      <c r="J31" s="428"/>
      <c r="K31" s="428"/>
      <c r="L31" s="428"/>
      <c r="M31" s="428"/>
      <c r="N31" s="410">
        <f t="shared" si="5"/>
        <v>0</v>
      </c>
    </row>
    <row r="32" ht="13.5" customHeight="1">
      <c r="A32" s="425" t="s">
        <v>23</v>
      </c>
      <c r="B32" s="28">
        <f t="shared" ref="B32:N32" si="6">SUM(B23:B31)</f>
        <v>225.42</v>
      </c>
      <c r="C32" s="28">
        <f t="shared" si="6"/>
        <v>225.42</v>
      </c>
      <c r="D32" s="28">
        <f t="shared" si="6"/>
        <v>725.42</v>
      </c>
      <c r="E32" s="28">
        <f t="shared" si="6"/>
        <v>225.42</v>
      </c>
      <c r="F32" s="28">
        <f t="shared" si="6"/>
        <v>225.42</v>
      </c>
      <c r="G32" s="28">
        <f t="shared" si="6"/>
        <v>225.42</v>
      </c>
      <c r="H32" s="28">
        <f t="shared" si="6"/>
        <v>225.42</v>
      </c>
      <c r="I32" s="28">
        <f t="shared" si="6"/>
        <v>225.42</v>
      </c>
      <c r="J32" s="28">
        <f t="shared" si="6"/>
        <v>225.42</v>
      </c>
      <c r="K32" s="28">
        <f t="shared" si="6"/>
        <v>225.42</v>
      </c>
      <c r="L32" s="28">
        <f t="shared" si="6"/>
        <v>225.42</v>
      </c>
      <c r="M32" s="28">
        <f t="shared" si="6"/>
        <v>225.42</v>
      </c>
      <c r="N32" s="426">
        <f t="shared" si="6"/>
        <v>3205.04</v>
      </c>
    </row>
    <row r="33" ht="13.5" customHeight="1">
      <c r="A33" s="406" t="s">
        <v>38</v>
      </c>
      <c r="B33" s="407"/>
      <c r="C33" s="407"/>
      <c r="D33" s="407"/>
      <c r="E33" s="407"/>
      <c r="F33" s="407"/>
      <c r="G33" s="407"/>
      <c r="H33" s="407"/>
      <c r="I33" s="407"/>
      <c r="J33" s="407"/>
      <c r="K33" s="407"/>
      <c r="L33" s="407"/>
      <c r="M33" s="407"/>
      <c r="N33" s="421"/>
    </row>
    <row r="34" ht="13.5" customHeight="1">
      <c r="A34" s="20" t="s">
        <v>296</v>
      </c>
      <c r="B34" s="94">
        <v>399.0</v>
      </c>
      <c r="C34" s="172">
        <v>399.0</v>
      </c>
      <c r="D34" s="172">
        <v>399.0</v>
      </c>
      <c r="E34" s="172">
        <v>399.0</v>
      </c>
      <c r="F34" s="172">
        <v>399.0</v>
      </c>
      <c r="G34" s="172">
        <v>399.0</v>
      </c>
      <c r="H34" s="172">
        <v>399.0</v>
      </c>
      <c r="I34" s="172">
        <v>399.0</v>
      </c>
      <c r="J34" s="172">
        <v>399.0</v>
      </c>
      <c r="K34" s="172">
        <v>399.0</v>
      </c>
      <c r="L34" s="172">
        <v>399.0</v>
      </c>
      <c r="M34" s="172">
        <v>399.0</v>
      </c>
      <c r="N34" s="410">
        <f t="shared" ref="N34:N51" si="7">SUM(B34:M34)</f>
        <v>4788</v>
      </c>
    </row>
    <row r="35" ht="13.5" customHeight="1">
      <c r="A35" s="432"/>
      <c r="B35" s="411"/>
      <c r="C35" s="411"/>
      <c r="D35" s="411"/>
      <c r="E35" s="411"/>
      <c r="F35" s="411"/>
      <c r="G35" s="411"/>
      <c r="H35" s="411"/>
      <c r="I35" s="411"/>
      <c r="J35" s="411"/>
      <c r="K35" s="411"/>
      <c r="L35" s="411"/>
      <c r="M35" s="411"/>
      <c r="N35" s="410">
        <f t="shared" si="7"/>
        <v>0</v>
      </c>
    </row>
    <row r="36" ht="13.5" customHeight="1">
      <c r="A36" s="427" t="s">
        <v>297</v>
      </c>
      <c r="B36" s="434">
        <v>1074.0</v>
      </c>
      <c r="C36" s="435">
        <v>1074.0</v>
      </c>
      <c r="D36" s="435">
        <v>1074.0</v>
      </c>
      <c r="E36" s="435">
        <v>1074.0</v>
      </c>
      <c r="F36" s="435">
        <v>1074.0</v>
      </c>
      <c r="G36" s="435">
        <v>1074.0</v>
      </c>
      <c r="H36" s="435">
        <v>1074.0</v>
      </c>
      <c r="I36" s="435">
        <v>1074.0</v>
      </c>
      <c r="J36" s="435">
        <v>1074.0</v>
      </c>
      <c r="K36" s="435">
        <v>1074.0</v>
      </c>
      <c r="L36" s="435">
        <v>1074.0</v>
      </c>
      <c r="M36" s="435">
        <v>1074.0</v>
      </c>
      <c r="N36" s="410">
        <f t="shared" si="7"/>
        <v>12888</v>
      </c>
    </row>
    <row r="37" ht="13.5" customHeight="1">
      <c r="A37" s="427" t="s">
        <v>298</v>
      </c>
      <c r="B37" s="436">
        <v>399.0</v>
      </c>
      <c r="C37" s="437">
        <v>399.0</v>
      </c>
      <c r="D37" s="437">
        <v>399.0</v>
      </c>
      <c r="E37" s="437">
        <v>399.0</v>
      </c>
      <c r="F37" s="437">
        <v>399.0</v>
      </c>
      <c r="G37" s="437">
        <v>399.0</v>
      </c>
      <c r="H37" s="437">
        <v>399.0</v>
      </c>
      <c r="I37" s="437">
        <v>399.0</v>
      </c>
      <c r="J37" s="437">
        <v>399.0</v>
      </c>
      <c r="K37" s="437">
        <v>399.0</v>
      </c>
      <c r="L37" s="437">
        <v>399.0</v>
      </c>
      <c r="M37" s="437">
        <v>399.0</v>
      </c>
      <c r="N37" s="410">
        <f t="shared" si="7"/>
        <v>4788</v>
      </c>
    </row>
    <row r="38" ht="13.5" customHeight="1">
      <c r="A38" s="423"/>
      <c r="B38" s="411"/>
      <c r="C38" s="411"/>
      <c r="D38" s="411"/>
      <c r="E38" s="411"/>
      <c r="F38" s="411"/>
      <c r="G38" s="411"/>
      <c r="H38" s="411"/>
      <c r="I38" s="411"/>
      <c r="J38" s="411"/>
      <c r="K38" s="411"/>
      <c r="L38" s="411"/>
      <c r="M38" s="411"/>
      <c r="N38" s="410">
        <f t="shared" si="7"/>
        <v>0</v>
      </c>
    </row>
    <row r="39" ht="13.5" customHeight="1">
      <c r="A39" s="423"/>
      <c r="B39" s="411"/>
      <c r="C39" s="411"/>
      <c r="D39" s="411"/>
      <c r="E39" s="411"/>
      <c r="F39" s="411"/>
      <c r="G39" s="411"/>
      <c r="H39" s="411"/>
      <c r="I39" s="411"/>
      <c r="J39" s="411"/>
      <c r="K39" s="411"/>
      <c r="L39" s="411"/>
      <c r="M39" s="411"/>
      <c r="N39" s="410">
        <f t="shared" si="7"/>
        <v>0</v>
      </c>
    </row>
    <row r="40" ht="13.5" customHeight="1">
      <c r="A40" s="423"/>
      <c r="B40" s="411"/>
      <c r="C40" s="411"/>
      <c r="D40" s="411"/>
      <c r="E40" s="411"/>
      <c r="F40" s="411"/>
      <c r="G40" s="411"/>
      <c r="H40" s="411"/>
      <c r="I40" s="411"/>
      <c r="J40" s="411"/>
      <c r="K40" s="411"/>
      <c r="L40" s="411"/>
      <c r="M40" s="411"/>
      <c r="N40" s="410">
        <f t="shared" si="7"/>
        <v>0</v>
      </c>
    </row>
    <row r="41" ht="13.5" customHeight="1">
      <c r="A41" s="423"/>
      <c r="B41" s="411"/>
      <c r="C41" s="411"/>
      <c r="D41" s="411"/>
      <c r="E41" s="411"/>
      <c r="F41" s="411"/>
      <c r="G41" s="411"/>
      <c r="H41" s="411"/>
      <c r="I41" s="411"/>
      <c r="J41" s="411"/>
      <c r="K41" s="411"/>
      <c r="L41" s="411"/>
      <c r="M41" s="411"/>
      <c r="N41" s="410">
        <f t="shared" si="7"/>
        <v>0</v>
      </c>
    </row>
    <row r="42" ht="13.5" customHeight="1">
      <c r="A42" s="413"/>
      <c r="B42" s="411"/>
      <c r="C42" s="411"/>
      <c r="D42" s="411"/>
      <c r="E42" s="411"/>
      <c r="F42" s="411"/>
      <c r="G42" s="411"/>
      <c r="H42" s="411"/>
      <c r="I42" s="411"/>
      <c r="J42" s="411"/>
      <c r="K42" s="411"/>
      <c r="L42" s="411"/>
      <c r="M42" s="411"/>
      <c r="N42" s="410">
        <f t="shared" si="7"/>
        <v>0</v>
      </c>
    </row>
    <row r="43" ht="13.5" customHeight="1">
      <c r="A43" s="20" t="s">
        <v>48</v>
      </c>
      <c r="B43" s="94">
        <v>518.0</v>
      </c>
      <c r="C43" s="172">
        <v>518.0</v>
      </c>
      <c r="D43" s="172">
        <v>518.0</v>
      </c>
      <c r="E43" s="172">
        <v>518.0</v>
      </c>
      <c r="F43" s="172">
        <v>518.0</v>
      </c>
      <c r="G43" s="172">
        <v>518.0</v>
      </c>
      <c r="H43" s="172">
        <v>518.0</v>
      </c>
      <c r="I43" s="172">
        <v>518.0</v>
      </c>
      <c r="J43" s="172">
        <v>518.0</v>
      </c>
      <c r="K43" s="172">
        <v>518.0</v>
      </c>
      <c r="L43" s="172">
        <v>518.0</v>
      </c>
      <c r="M43" s="172">
        <v>518.0</v>
      </c>
      <c r="N43" s="410">
        <f t="shared" si="7"/>
        <v>6216</v>
      </c>
    </row>
    <row r="44" ht="13.5" customHeight="1">
      <c r="A44" s="413"/>
      <c r="B44" s="411"/>
      <c r="C44" s="411"/>
      <c r="D44" s="411"/>
      <c r="E44" s="411"/>
      <c r="F44" s="411"/>
      <c r="G44" s="411"/>
      <c r="H44" s="411"/>
      <c r="I44" s="411"/>
      <c r="J44" s="411"/>
      <c r="K44" s="411"/>
      <c r="L44" s="411"/>
      <c r="M44" s="411"/>
      <c r="N44" s="410">
        <f t="shared" si="7"/>
        <v>0</v>
      </c>
    </row>
    <row r="45" ht="13.5" customHeight="1">
      <c r="A45" s="20" t="s">
        <v>299</v>
      </c>
      <c r="B45" s="94">
        <v>45.0</v>
      </c>
      <c r="C45" s="172">
        <v>45.0</v>
      </c>
      <c r="D45" s="172">
        <v>45.0</v>
      </c>
      <c r="E45" s="172">
        <v>45.0</v>
      </c>
      <c r="F45" s="172">
        <v>45.0</v>
      </c>
      <c r="G45" s="172">
        <v>45.0</v>
      </c>
      <c r="H45" s="172">
        <v>45.0</v>
      </c>
      <c r="I45" s="172">
        <v>45.0</v>
      </c>
      <c r="J45" s="172">
        <v>45.0</v>
      </c>
      <c r="K45" s="172">
        <v>45.0</v>
      </c>
      <c r="L45" s="172">
        <v>45.0</v>
      </c>
      <c r="M45" s="172">
        <v>45.0</v>
      </c>
      <c r="N45" s="410">
        <f t="shared" si="7"/>
        <v>540</v>
      </c>
    </row>
    <row r="46" ht="13.5" customHeight="1">
      <c r="A46" s="413"/>
      <c r="B46" s="411"/>
      <c r="C46" s="411"/>
      <c r="D46" s="411"/>
      <c r="E46" s="411"/>
      <c r="F46" s="65"/>
      <c r="G46" s="438"/>
      <c r="H46" s="411"/>
      <c r="I46" s="411"/>
      <c r="J46" s="411"/>
      <c r="K46" s="411"/>
      <c r="L46" s="411"/>
      <c r="M46" s="411"/>
      <c r="N46" s="410">
        <f t="shared" si="7"/>
        <v>0</v>
      </c>
    </row>
    <row r="47" ht="13.5" customHeight="1">
      <c r="A47" s="439" t="s">
        <v>52</v>
      </c>
      <c r="B47" s="94">
        <f>1650+150</f>
        <v>1800</v>
      </c>
      <c r="C47" s="172">
        <f t="shared" ref="C47:I47" si="8">1750</f>
        <v>1750</v>
      </c>
      <c r="D47" s="172">
        <f t="shared" si="8"/>
        <v>1750</v>
      </c>
      <c r="E47" s="172">
        <f t="shared" si="8"/>
        <v>1750</v>
      </c>
      <c r="F47" s="172">
        <f t="shared" si="8"/>
        <v>1750</v>
      </c>
      <c r="G47" s="172">
        <f t="shared" si="8"/>
        <v>1750</v>
      </c>
      <c r="H47" s="172">
        <f t="shared" si="8"/>
        <v>1750</v>
      </c>
      <c r="I47" s="172">
        <f t="shared" si="8"/>
        <v>1750</v>
      </c>
      <c r="J47" s="172">
        <f t="shared" ref="J47:M47" si="9">1750+100</f>
        <v>1850</v>
      </c>
      <c r="K47" s="172">
        <f t="shared" si="9"/>
        <v>1850</v>
      </c>
      <c r="L47" s="172">
        <f t="shared" si="9"/>
        <v>1850</v>
      </c>
      <c r="M47" s="172">
        <f t="shared" si="9"/>
        <v>1850</v>
      </c>
      <c r="N47" s="410">
        <f t="shared" si="7"/>
        <v>21450</v>
      </c>
    </row>
    <row r="48" ht="13.5" customHeight="1">
      <c r="A48" s="413"/>
      <c r="B48" s="411"/>
      <c r="C48" s="411"/>
      <c r="D48" s="411"/>
      <c r="E48" s="411"/>
      <c r="F48" s="411"/>
      <c r="G48" s="411"/>
      <c r="H48" s="411"/>
      <c r="I48" s="411"/>
      <c r="J48" s="411"/>
      <c r="K48" s="411"/>
      <c r="L48" s="411"/>
      <c r="M48" s="411"/>
      <c r="N48" s="410">
        <f t="shared" si="7"/>
        <v>0</v>
      </c>
    </row>
    <row r="49" ht="13.5" customHeight="1">
      <c r="A49" s="422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0">
        <f t="shared" si="7"/>
        <v>0</v>
      </c>
    </row>
    <row r="50" ht="13.5" customHeight="1">
      <c r="A50" s="432"/>
      <c r="B50" s="411"/>
      <c r="C50" s="411"/>
      <c r="D50" s="411"/>
      <c r="E50" s="411"/>
      <c r="F50" s="411"/>
      <c r="G50" s="411"/>
      <c r="H50" s="411"/>
      <c r="I50" s="411"/>
      <c r="J50" s="411"/>
      <c r="K50" s="411"/>
      <c r="L50" s="411"/>
      <c r="M50" s="411"/>
      <c r="N50" s="410">
        <f t="shared" si="7"/>
        <v>0</v>
      </c>
    </row>
    <row r="51" ht="13.5" customHeight="1">
      <c r="A51" s="413"/>
      <c r="B51" s="411"/>
      <c r="C51" s="411"/>
      <c r="D51" s="411"/>
      <c r="E51" s="411"/>
      <c r="F51" s="411"/>
      <c r="G51" s="411"/>
      <c r="H51" s="411"/>
      <c r="I51" s="411"/>
      <c r="J51" s="411"/>
      <c r="K51" s="411"/>
      <c r="L51" s="411"/>
      <c r="M51" s="411"/>
      <c r="N51" s="410">
        <f t="shared" si="7"/>
        <v>0</v>
      </c>
    </row>
    <row r="52" ht="13.5" customHeight="1">
      <c r="A52" s="425" t="s">
        <v>23</v>
      </c>
      <c r="B52" s="28">
        <f t="shared" ref="B52:N52" si="10">SUM(B34:B51)</f>
        <v>4235</v>
      </c>
      <c r="C52" s="28">
        <f t="shared" si="10"/>
        <v>4185</v>
      </c>
      <c r="D52" s="28">
        <f t="shared" si="10"/>
        <v>4185</v>
      </c>
      <c r="E52" s="28">
        <f t="shared" si="10"/>
        <v>4185</v>
      </c>
      <c r="F52" s="28">
        <f t="shared" si="10"/>
        <v>4185</v>
      </c>
      <c r="G52" s="28">
        <f t="shared" si="10"/>
        <v>4185</v>
      </c>
      <c r="H52" s="28">
        <f t="shared" si="10"/>
        <v>4185</v>
      </c>
      <c r="I52" s="28">
        <f t="shared" si="10"/>
        <v>4185</v>
      </c>
      <c r="J52" s="28">
        <f t="shared" si="10"/>
        <v>4285</v>
      </c>
      <c r="K52" s="28">
        <f t="shared" si="10"/>
        <v>4285</v>
      </c>
      <c r="L52" s="28">
        <f t="shared" si="10"/>
        <v>4285</v>
      </c>
      <c r="M52" s="28">
        <f t="shared" si="10"/>
        <v>4285</v>
      </c>
      <c r="N52" s="426">
        <f t="shared" si="10"/>
        <v>50670</v>
      </c>
    </row>
    <row r="53" ht="13.5" customHeight="1">
      <c r="A53" s="406" t="s">
        <v>56</v>
      </c>
      <c r="B53" s="407"/>
      <c r="C53" s="407"/>
      <c r="D53" s="407"/>
      <c r="E53" s="407"/>
      <c r="F53" s="407"/>
      <c r="G53" s="407"/>
      <c r="H53" s="407"/>
      <c r="I53" s="407"/>
      <c r="J53" s="407"/>
      <c r="K53" s="407"/>
      <c r="L53" s="407"/>
      <c r="M53" s="407"/>
      <c r="N53" s="421"/>
    </row>
    <row r="54" ht="13.5" customHeight="1">
      <c r="A54" s="20" t="s">
        <v>300</v>
      </c>
      <c r="B54" s="411"/>
      <c r="C54" s="411"/>
      <c r="D54" s="411"/>
      <c r="E54" s="411"/>
      <c r="F54" s="411"/>
      <c r="G54" s="411"/>
      <c r="H54" s="411"/>
      <c r="I54" s="411"/>
      <c r="J54" s="411"/>
      <c r="K54" s="411"/>
      <c r="L54" s="411"/>
      <c r="M54" s="411"/>
      <c r="N54" s="410">
        <f t="shared" ref="N54:N68" si="11">SUM(B54:M54)</f>
        <v>0</v>
      </c>
    </row>
    <row r="55" ht="13.5" customHeight="1">
      <c r="A55" s="413"/>
      <c r="B55" s="411"/>
      <c r="C55" s="411"/>
      <c r="D55" s="411"/>
      <c r="E55" s="411"/>
      <c r="F55" s="411"/>
      <c r="G55" s="411"/>
      <c r="H55" s="411"/>
      <c r="I55" s="411"/>
      <c r="J55" s="411"/>
      <c r="K55" s="411"/>
      <c r="L55" s="411"/>
      <c r="M55" s="411"/>
      <c r="N55" s="410">
        <f t="shared" si="11"/>
        <v>0</v>
      </c>
    </row>
    <row r="56" ht="13.5" customHeight="1">
      <c r="A56" s="20" t="s">
        <v>301</v>
      </c>
      <c r="B56" s="429">
        <v>408.0</v>
      </c>
      <c r="C56" s="429">
        <v>408.0</v>
      </c>
      <c r="D56" s="429">
        <v>408.0</v>
      </c>
      <c r="E56" s="429">
        <v>408.0</v>
      </c>
      <c r="F56" s="429">
        <v>408.0</v>
      </c>
      <c r="G56" s="429">
        <v>408.0</v>
      </c>
      <c r="H56" s="429">
        <v>408.0</v>
      </c>
      <c r="I56" s="429">
        <v>408.0</v>
      </c>
      <c r="J56" s="429">
        <v>408.0</v>
      </c>
      <c r="K56" s="429">
        <v>408.0</v>
      </c>
      <c r="L56" s="429">
        <v>408.0</v>
      </c>
      <c r="M56" s="429">
        <v>408.0</v>
      </c>
      <c r="N56" s="410">
        <f t="shared" si="11"/>
        <v>4896</v>
      </c>
    </row>
    <row r="57" ht="13.5" customHeight="1">
      <c r="A57" s="413"/>
      <c r="B57" s="411"/>
      <c r="C57" s="411"/>
      <c r="D57" s="411"/>
      <c r="E57" s="411"/>
      <c r="F57" s="411"/>
      <c r="G57" s="411"/>
      <c r="H57" s="411"/>
      <c r="I57" s="411"/>
      <c r="J57" s="411"/>
      <c r="K57" s="411"/>
      <c r="L57" s="411"/>
      <c r="M57" s="411"/>
      <c r="N57" s="410">
        <f t="shared" si="11"/>
        <v>0</v>
      </c>
    </row>
    <row r="58" ht="13.5" customHeight="1">
      <c r="A58" s="413"/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0">
        <f t="shared" si="11"/>
        <v>0</v>
      </c>
    </row>
    <row r="59" ht="13.5" customHeight="1">
      <c r="A59" s="413"/>
      <c r="B59" s="411"/>
      <c r="C59" s="411"/>
      <c r="D59" s="411"/>
      <c r="E59" s="411"/>
      <c r="F59" s="411"/>
      <c r="G59" s="411"/>
      <c r="H59" s="411"/>
      <c r="I59" s="411"/>
      <c r="J59" s="411"/>
      <c r="K59" s="411"/>
      <c r="L59" s="411"/>
      <c r="M59" s="411"/>
      <c r="N59" s="410">
        <f t="shared" si="11"/>
        <v>0</v>
      </c>
    </row>
    <row r="60" ht="13.5" customHeight="1">
      <c r="A60" s="413"/>
      <c r="B60" s="411"/>
      <c r="C60" s="411"/>
      <c r="D60" s="411"/>
      <c r="E60" s="429"/>
      <c r="F60" s="411"/>
      <c r="G60" s="411"/>
      <c r="H60" s="411"/>
      <c r="I60" s="411"/>
      <c r="J60" s="411"/>
      <c r="K60" s="411"/>
      <c r="L60" s="411"/>
      <c r="M60" s="411"/>
      <c r="N60" s="410">
        <f t="shared" si="11"/>
        <v>0</v>
      </c>
    </row>
    <row r="61" ht="13.5" customHeight="1">
      <c r="A61" s="413"/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0">
        <f t="shared" si="11"/>
        <v>0</v>
      </c>
    </row>
    <row r="62" ht="13.5" customHeight="1">
      <c r="A62" s="413"/>
      <c r="B62" s="411"/>
      <c r="C62" s="411"/>
      <c r="D62" s="411"/>
      <c r="E62" s="411"/>
      <c r="F62" s="411"/>
      <c r="G62" s="411"/>
      <c r="H62" s="411"/>
      <c r="I62" s="411"/>
      <c r="J62" s="411"/>
      <c r="K62" s="411"/>
      <c r="L62" s="411"/>
      <c r="M62" s="411"/>
      <c r="N62" s="410">
        <f t="shared" si="11"/>
        <v>0</v>
      </c>
    </row>
    <row r="63" ht="13.5" customHeight="1">
      <c r="A63" s="20" t="s">
        <v>80</v>
      </c>
      <c r="B63" s="94">
        <v>5500.0</v>
      </c>
      <c r="C63" s="172">
        <v>5500.0</v>
      </c>
      <c r="D63" s="172">
        <v>6800.0</v>
      </c>
      <c r="E63" s="172">
        <v>8100.0</v>
      </c>
      <c r="F63" s="172">
        <v>8100.0</v>
      </c>
      <c r="G63" s="172">
        <v>8100.0</v>
      </c>
      <c r="H63" s="172">
        <v>8100.0</v>
      </c>
      <c r="I63" s="172">
        <v>7500.0</v>
      </c>
      <c r="J63" s="172">
        <v>6500.0</v>
      </c>
      <c r="K63" s="172">
        <v>5500.0</v>
      </c>
      <c r="L63" s="172">
        <v>5500.0</v>
      </c>
      <c r="M63" s="172">
        <v>5500.0</v>
      </c>
      <c r="N63" s="410">
        <f t="shared" si="11"/>
        <v>80700</v>
      </c>
    </row>
    <row r="64" ht="13.5" customHeight="1">
      <c r="A64" s="20"/>
      <c r="B64" s="429"/>
      <c r="C64" s="429"/>
      <c r="D64" s="429"/>
      <c r="E64" s="429"/>
      <c r="F64" s="429"/>
      <c r="G64" s="429"/>
      <c r="H64" s="429"/>
      <c r="I64" s="429"/>
      <c r="J64" s="429"/>
      <c r="K64" s="429"/>
      <c r="L64" s="429"/>
      <c r="M64" s="429"/>
      <c r="N64" s="410">
        <f t="shared" si="11"/>
        <v>0</v>
      </c>
    </row>
    <row r="65" ht="13.5" customHeight="1">
      <c r="A65" s="413"/>
      <c r="B65" s="411"/>
      <c r="C65" s="411"/>
      <c r="D65" s="411"/>
      <c r="E65" s="411"/>
      <c r="F65" s="411"/>
      <c r="G65" s="411"/>
      <c r="H65" s="411"/>
      <c r="I65" s="411"/>
      <c r="J65" s="411"/>
      <c r="K65" s="411"/>
      <c r="L65" s="411"/>
      <c r="M65" s="411"/>
      <c r="N65" s="410">
        <f t="shared" si="11"/>
        <v>0</v>
      </c>
    </row>
    <row r="66" ht="13.5" customHeight="1">
      <c r="A66" s="427" t="s">
        <v>302</v>
      </c>
      <c r="B66" s="428"/>
      <c r="C66" s="428"/>
      <c r="D66" s="411"/>
      <c r="E66" s="411"/>
      <c r="F66" s="411"/>
      <c r="G66" s="411"/>
      <c r="H66" s="411"/>
      <c r="I66" s="411"/>
      <c r="J66" s="411"/>
      <c r="K66" s="428"/>
      <c r="L66" s="428"/>
      <c r="M66" s="428"/>
      <c r="N66" s="410">
        <f t="shared" si="11"/>
        <v>0</v>
      </c>
    </row>
    <row r="67" ht="13.5" customHeight="1">
      <c r="A67" s="423"/>
      <c r="B67" s="411"/>
      <c r="C67" s="411"/>
      <c r="D67" s="411"/>
      <c r="E67" s="411"/>
      <c r="F67" s="411"/>
      <c r="G67" s="411"/>
      <c r="H67" s="411"/>
      <c r="I67" s="411"/>
      <c r="J67" s="411"/>
      <c r="K67" s="411"/>
      <c r="L67" s="411"/>
      <c r="M67" s="411"/>
      <c r="N67" s="410">
        <f t="shared" si="11"/>
        <v>0</v>
      </c>
    </row>
    <row r="68" ht="13.5" customHeight="1">
      <c r="A68" s="433"/>
      <c r="B68" s="428"/>
      <c r="C68" s="428"/>
      <c r="D68" s="428"/>
      <c r="E68" s="428"/>
      <c r="F68" s="428"/>
      <c r="G68" s="428"/>
      <c r="H68" s="428"/>
      <c r="I68" s="428"/>
      <c r="J68" s="428"/>
      <c r="K68" s="428"/>
      <c r="L68" s="428"/>
      <c r="M68" s="428"/>
      <c r="N68" s="410">
        <f t="shared" si="11"/>
        <v>0</v>
      </c>
    </row>
    <row r="69" ht="13.5" customHeight="1">
      <c r="A69" s="425" t="s">
        <v>23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440"/>
    </row>
    <row r="70" ht="13.5" customHeight="1">
      <c r="A70" s="406" t="s">
        <v>71</v>
      </c>
      <c r="B70" s="441">
        <f>SUM(B54:B69)</f>
        <v>5908</v>
      </c>
      <c r="C70" s="441">
        <f t="shared" ref="C70:M70" si="12">SUM(C55:C69)</f>
        <v>5908</v>
      </c>
      <c r="D70" s="441">
        <f t="shared" si="12"/>
        <v>7208</v>
      </c>
      <c r="E70" s="441">
        <f t="shared" si="12"/>
        <v>8508</v>
      </c>
      <c r="F70" s="441">
        <f t="shared" si="12"/>
        <v>8508</v>
      </c>
      <c r="G70" s="441">
        <f t="shared" si="12"/>
        <v>8508</v>
      </c>
      <c r="H70" s="441">
        <f t="shared" si="12"/>
        <v>8508</v>
      </c>
      <c r="I70" s="441">
        <f t="shared" si="12"/>
        <v>7908</v>
      </c>
      <c r="J70" s="441">
        <f t="shared" si="12"/>
        <v>6908</v>
      </c>
      <c r="K70" s="441">
        <f t="shared" si="12"/>
        <v>5908</v>
      </c>
      <c r="L70" s="441">
        <f t="shared" si="12"/>
        <v>5908</v>
      </c>
      <c r="M70" s="441">
        <f t="shared" si="12"/>
        <v>5908</v>
      </c>
      <c r="N70" s="442">
        <f>SUM(B70:M70)</f>
        <v>85596</v>
      </c>
    </row>
    <row r="71" ht="13.5" customHeight="1">
      <c r="A71" s="65"/>
      <c r="B71" s="443"/>
      <c r="C71" s="443"/>
      <c r="D71" s="443"/>
      <c r="E71" s="443"/>
      <c r="F71" s="443"/>
      <c r="G71" s="443"/>
      <c r="H71" s="443"/>
      <c r="I71" s="443"/>
      <c r="J71" s="443"/>
      <c r="K71" s="443"/>
      <c r="L71" s="443"/>
      <c r="M71" s="443"/>
      <c r="N71" s="421"/>
    </row>
    <row r="72" ht="13.5" customHeight="1">
      <c r="A72" s="444" t="s">
        <v>303</v>
      </c>
      <c r="B72" s="94">
        <v>199.0</v>
      </c>
      <c r="C72" s="172">
        <v>199.0</v>
      </c>
      <c r="D72" s="172">
        <v>199.0</v>
      </c>
      <c r="E72" s="172">
        <v>199.0</v>
      </c>
      <c r="F72" s="172">
        <v>199.0</v>
      </c>
      <c r="G72" s="172">
        <v>199.0</v>
      </c>
      <c r="H72" s="172">
        <v>199.0</v>
      </c>
      <c r="I72" s="172">
        <v>199.0</v>
      </c>
      <c r="J72" s="172">
        <v>199.0</v>
      </c>
      <c r="K72" s="172">
        <v>199.0</v>
      </c>
      <c r="L72" s="172">
        <v>199.0</v>
      </c>
      <c r="M72" s="172">
        <v>199.0</v>
      </c>
      <c r="N72" s="410">
        <f t="shared" ref="N72:N83" si="13">SUM(B72:M72)</f>
        <v>2388</v>
      </c>
    </row>
    <row r="73" ht="13.5" customHeight="1">
      <c r="A73" s="20" t="s">
        <v>304</v>
      </c>
      <c r="B73" s="415">
        <v>0.0</v>
      </c>
      <c r="C73" s="415">
        <v>0.0</v>
      </c>
      <c r="D73" s="415">
        <v>0.0</v>
      </c>
      <c r="E73" s="415">
        <v>0.0</v>
      </c>
      <c r="F73" s="415">
        <v>0.0</v>
      </c>
      <c r="G73" s="415">
        <v>0.0</v>
      </c>
      <c r="H73" s="415">
        <v>0.0</v>
      </c>
      <c r="I73" s="415">
        <v>0.0</v>
      </c>
      <c r="J73" s="415">
        <v>0.0</v>
      </c>
      <c r="K73" s="415">
        <v>0.0</v>
      </c>
      <c r="L73" s="415">
        <v>0.0</v>
      </c>
      <c r="M73" s="415">
        <v>0.0</v>
      </c>
      <c r="N73" s="410">
        <f t="shared" si="13"/>
        <v>0</v>
      </c>
    </row>
    <row r="74" ht="13.5" customHeight="1">
      <c r="A74" s="20" t="s">
        <v>305</v>
      </c>
      <c r="B74" s="94">
        <v>498.0</v>
      </c>
      <c r="C74" s="172">
        <v>498.0</v>
      </c>
      <c r="D74" s="172">
        <v>498.0</v>
      </c>
      <c r="E74" s="172">
        <v>498.0</v>
      </c>
      <c r="F74" s="172">
        <v>498.0</v>
      </c>
      <c r="G74" s="172">
        <v>498.0</v>
      </c>
      <c r="H74" s="172">
        <v>498.0</v>
      </c>
      <c r="I74" s="172">
        <v>498.0</v>
      </c>
      <c r="J74" s="172">
        <v>498.0</v>
      </c>
      <c r="K74" s="172">
        <v>498.0</v>
      </c>
      <c r="L74" s="172">
        <v>498.0</v>
      </c>
      <c r="M74" s="172">
        <v>498.0</v>
      </c>
      <c r="N74" s="410">
        <f t="shared" si="13"/>
        <v>5976</v>
      </c>
    </row>
    <row r="75" ht="13.5" customHeight="1">
      <c r="A75" s="20" t="s">
        <v>75</v>
      </c>
      <c r="B75" s="445">
        <v>725.0</v>
      </c>
      <c r="C75" s="415">
        <v>725.0</v>
      </c>
      <c r="D75" s="415">
        <v>725.0</v>
      </c>
      <c r="E75" s="415">
        <v>797.5</v>
      </c>
      <c r="F75" s="415">
        <v>797.5</v>
      </c>
      <c r="G75" s="415">
        <v>797.5</v>
      </c>
      <c r="H75" s="415">
        <v>797.5</v>
      </c>
      <c r="I75" s="415">
        <v>797.5</v>
      </c>
      <c r="J75" s="415">
        <v>797.5</v>
      </c>
      <c r="K75" s="415">
        <v>797.5</v>
      </c>
      <c r="L75" s="415">
        <v>797.5</v>
      </c>
      <c r="M75" s="415">
        <v>797.5</v>
      </c>
      <c r="N75" s="410">
        <f t="shared" si="13"/>
        <v>9352.5</v>
      </c>
    </row>
    <row r="76" ht="13.5" customHeight="1">
      <c r="A76" s="20" t="s">
        <v>306</v>
      </c>
      <c r="B76" s="415"/>
      <c r="C76" s="415"/>
      <c r="D76" s="411"/>
      <c r="E76" s="411"/>
      <c r="F76" s="411"/>
      <c r="G76" s="411"/>
      <c r="H76" s="411"/>
      <c r="I76" s="411"/>
      <c r="J76" s="411"/>
      <c r="K76" s="411"/>
      <c r="L76" s="411"/>
      <c r="M76" s="411"/>
      <c r="N76" s="410">
        <f t="shared" si="13"/>
        <v>0</v>
      </c>
    </row>
    <row r="77" ht="13.5" customHeight="1">
      <c r="A77" s="20" t="s">
        <v>307</v>
      </c>
      <c r="B77" s="94">
        <v>50.0</v>
      </c>
      <c r="C77" s="172">
        <v>50.0</v>
      </c>
      <c r="D77" s="172">
        <v>50.0</v>
      </c>
      <c r="E77" s="172">
        <v>50.0</v>
      </c>
      <c r="F77" s="172">
        <v>50.0</v>
      </c>
      <c r="G77" s="172">
        <v>50.0</v>
      </c>
      <c r="H77" s="172">
        <v>50.0</v>
      </c>
      <c r="I77" s="172">
        <v>50.0</v>
      </c>
      <c r="J77" s="172">
        <v>50.0</v>
      </c>
      <c r="K77" s="172">
        <v>50.0</v>
      </c>
      <c r="L77" s="172">
        <v>50.0</v>
      </c>
      <c r="M77" s="172">
        <v>50.0</v>
      </c>
      <c r="N77" s="410">
        <f t="shared" si="13"/>
        <v>600</v>
      </c>
    </row>
    <row r="78" ht="13.5" customHeight="1">
      <c r="A78" s="446" t="s">
        <v>308</v>
      </c>
      <c r="B78" s="430"/>
      <c r="C78" s="430"/>
      <c r="D78" s="428"/>
      <c r="E78" s="428"/>
      <c r="F78" s="428"/>
      <c r="G78" s="428"/>
      <c r="H78" s="428"/>
      <c r="I78" s="428"/>
      <c r="J78" s="411"/>
      <c r="K78" s="411"/>
      <c r="L78" s="411"/>
      <c r="M78" s="411"/>
      <c r="N78" s="410">
        <f t="shared" si="13"/>
        <v>0</v>
      </c>
    </row>
    <row r="79" ht="13.5" customHeight="1">
      <c r="A79" s="447" t="s">
        <v>48</v>
      </c>
      <c r="B79" s="428"/>
      <c r="C79" s="430"/>
      <c r="D79" s="430"/>
      <c r="E79" s="430"/>
      <c r="F79" s="430"/>
      <c r="G79" s="430"/>
      <c r="H79" s="430"/>
      <c r="I79" s="430"/>
      <c r="J79" s="430"/>
      <c r="K79" s="430"/>
      <c r="L79" s="430"/>
      <c r="M79" s="430"/>
      <c r="N79" s="410">
        <f t="shared" si="13"/>
        <v>0</v>
      </c>
    </row>
    <row r="80" ht="13.5" customHeight="1">
      <c r="A80" s="448"/>
      <c r="B80" s="428"/>
      <c r="C80" s="428"/>
      <c r="D80" s="428"/>
      <c r="E80" s="428"/>
      <c r="F80" s="428"/>
      <c r="G80" s="428"/>
      <c r="H80" s="428"/>
      <c r="I80" s="428"/>
      <c r="J80" s="428"/>
      <c r="K80" s="428"/>
      <c r="L80" s="428"/>
      <c r="M80" s="428"/>
      <c r="N80" s="410">
        <f t="shared" si="13"/>
        <v>0</v>
      </c>
    </row>
    <row r="81" ht="13.5" customHeight="1">
      <c r="A81" s="433"/>
      <c r="B81" s="428"/>
      <c r="C81" s="428"/>
      <c r="D81" s="428"/>
      <c r="E81" s="428"/>
      <c r="F81" s="428"/>
      <c r="G81" s="428"/>
      <c r="H81" s="428"/>
      <c r="I81" s="428"/>
      <c r="J81" s="428"/>
      <c r="K81" s="428"/>
      <c r="L81" s="428"/>
      <c r="M81" s="428"/>
      <c r="N81" s="410">
        <f t="shared" si="13"/>
        <v>0</v>
      </c>
    </row>
    <row r="82" ht="13.5" customHeight="1">
      <c r="A82" s="425" t="s">
        <v>23</v>
      </c>
      <c r="B82" s="28">
        <f t="shared" ref="B82:M82" si="14">SUM(B72:B81)</f>
        <v>1472</v>
      </c>
      <c r="C82" s="28">
        <f t="shared" si="14"/>
        <v>1472</v>
      </c>
      <c r="D82" s="28">
        <f t="shared" si="14"/>
        <v>1472</v>
      </c>
      <c r="E82" s="28">
        <f t="shared" si="14"/>
        <v>1544.5</v>
      </c>
      <c r="F82" s="28">
        <f t="shared" si="14"/>
        <v>1544.5</v>
      </c>
      <c r="G82" s="28">
        <f t="shared" si="14"/>
        <v>1544.5</v>
      </c>
      <c r="H82" s="28">
        <f t="shared" si="14"/>
        <v>1544.5</v>
      </c>
      <c r="I82" s="28">
        <f t="shared" si="14"/>
        <v>1544.5</v>
      </c>
      <c r="J82" s="28">
        <f t="shared" si="14"/>
        <v>1544.5</v>
      </c>
      <c r="K82" s="28">
        <f t="shared" si="14"/>
        <v>1544.5</v>
      </c>
      <c r="L82" s="28">
        <f t="shared" si="14"/>
        <v>1544.5</v>
      </c>
      <c r="M82" s="28">
        <f t="shared" si="14"/>
        <v>1544.5</v>
      </c>
      <c r="N82" s="440">
        <f t="shared" si="13"/>
        <v>18316.5</v>
      </c>
    </row>
    <row r="83" ht="13.5" customHeight="1">
      <c r="A83" s="449" t="s">
        <v>81</v>
      </c>
      <c r="B83" s="28">
        <f t="shared" ref="B83:M83" si="15">B52+B70+B82</f>
        <v>11615</v>
      </c>
      <c r="C83" s="28">
        <f t="shared" si="15"/>
        <v>11565</v>
      </c>
      <c r="D83" s="28">
        <f t="shared" si="15"/>
        <v>12865</v>
      </c>
      <c r="E83" s="28">
        <f t="shared" si="15"/>
        <v>14237.5</v>
      </c>
      <c r="F83" s="28">
        <f t="shared" si="15"/>
        <v>14237.5</v>
      </c>
      <c r="G83" s="28">
        <f t="shared" si="15"/>
        <v>14237.5</v>
      </c>
      <c r="H83" s="28">
        <f t="shared" si="15"/>
        <v>14237.5</v>
      </c>
      <c r="I83" s="28">
        <f t="shared" si="15"/>
        <v>13637.5</v>
      </c>
      <c r="J83" s="28">
        <f t="shared" si="15"/>
        <v>12737.5</v>
      </c>
      <c r="K83" s="28">
        <f t="shared" si="15"/>
        <v>11737.5</v>
      </c>
      <c r="L83" s="28">
        <f t="shared" si="15"/>
        <v>11737.5</v>
      </c>
      <c r="M83" s="28">
        <f t="shared" si="15"/>
        <v>11737.5</v>
      </c>
      <c r="N83" s="440">
        <f t="shared" si="13"/>
        <v>154582.5</v>
      </c>
    </row>
    <row r="84" ht="13.5" customHeight="1">
      <c r="A84" s="449" t="s">
        <v>82</v>
      </c>
      <c r="B84" s="46">
        <f t="shared" ref="B84:N84" si="16">B83/B112</f>
        <v>322.6388889</v>
      </c>
      <c r="C84" s="46">
        <f t="shared" si="16"/>
        <v>373.0645161</v>
      </c>
      <c r="D84" s="46">
        <f t="shared" si="16"/>
        <v>247.4038462</v>
      </c>
      <c r="E84" s="46">
        <f t="shared" si="16"/>
        <v>233.4016393</v>
      </c>
      <c r="F84" s="46">
        <f t="shared" si="16"/>
        <v>206.3405797</v>
      </c>
      <c r="G84" s="46">
        <f t="shared" si="16"/>
        <v>222.4609375</v>
      </c>
      <c r="H84" s="46">
        <f t="shared" si="16"/>
        <v>268.6320755</v>
      </c>
      <c r="I84" s="46">
        <f t="shared" si="16"/>
        <v>262.2596154</v>
      </c>
      <c r="J84" s="46">
        <f t="shared" si="16"/>
        <v>244.9519231</v>
      </c>
      <c r="K84" s="46">
        <f t="shared" si="16"/>
        <v>366.796875</v>
      </c>
      <c r="L84" s="46">
        <f t="shared" si="16"/>
        <v>317.2297297</v>
      </c>
      <c r="M84" s="46">
        <f t="shared" si="16"/>
        <v>586.875</v>
      </c>
      <c r="N84" s="47">
        <f t="shared" si="16"/>
        <v>276.5339893</v>
      </c>
    </row>
    <row r="85" ht="13.5" customHeight="1">
      <c r="A85" s="406" t="s">
        <v>83</v>
      </c>
      <c r="B85" s="407"/>
      <c r="C85" s="407"/>
      <c r="D85" s="407"/>
      <c r="E85" s="407"/>
      <c r="F85" s="407"/>
      <c r="G85" s="407"/>
      <c r="H85" s="407"/>
      <c r="I85" s="407"/>
      <c r="J85" s="407"/>
      <c r="K85" s="407"/>
      <c r="L85" s="407"/>
      <c r="M85" s="407"/>
      <c r="N85" s="421"/>
    </row>
    <row r="86" ht="13.5" customHeight="1">
      <c r="A86" s="413"/>
      <c r="B86" s="411"/>
      <c r="C86" s="411"/>
      <c r="D86" s="411"/>
      <c r="E86" s="411"/>
      <c r="F86" s="411"/>
      <c r="G86" s="411"/>
      <c r="H86" s="411"/>
      <c r="I86" s="411"/>
      <c r="J86" s="411"/>
      <c r="K86" s="411"/>
      <c r="L86" s="411"/>
      <c r="M86" s="411"/>
      <c r="N86" s="410">
        <f t="shared" ref="N86:N89" si="17">SUM(B86:M86)</f>
        <v>0</v>
      </c>
    </row>
    <row r="87" ht="13.5" customHeight="1">
      <c r="A87" s="413"/>
      <c r="B87" s="411"/>
      <c r="C87" s="411"/>
      <c r="D87" s="411"/>
      <c r="E87" s="411"/>
      <c r="F87" s="411"/>
      <c r="G87" s="411"/>
      <c r="H87" s="411"/>
      <c r="I87" s="411"/>
      <c r="J87" s="411"/>
      <c r="K87" s="411"/>
      <c r="L87" s="411"/>
      <c r="M87" s="411"/>
      <c r="N87" s="410">
        <f t="shared" si="17"/>
        <v>0</v>
      </c>
    </row>
    <row r="88" ht="13.5" customHeight="1">
      <c r="A88" s="433"/>
      <c r="B88" s="428"/>
      <c r="C88" s="428"/>
      <c r="D88" s="428"/>
      <c r="E88" s="428"/>
      <c r="F88" s="428"/>
      <c r="G88" s="428"/>
      <c r="H88" s="428"/>
      <c r="I88" s="428"/>
      <c r="J88" s="428"/>
      <c r="K88" s="428"/>
      <c r="L88" s="428"/>
      <c r="M88" s="428"/>
      <c r="N88" s="410">
        <f t="shared" si="17"/>
        <v>0</v>
      </c>
    </row>
    <row r="89" ht="13.5" customHeight="1">
      <c r="A89" s="433"/>
      <c r="B89" s="428"/>
      <c r="C89" s="428"/>
      <c r="D89" s="428"/>
      <c r="E89" s="428"/>
      <c r="F89" s="428"/>
      <c r="G89" s="428"/>
      <c r="H89" s="428"/>
      <c r="I89" s="428"/>
      <c r="J89" s="428"/>
      <c r="K89" s="428"/>
      <c r="L89" s="428"/>
      <c r="M89" s="428"/>
      <c r="N89" s="410">
        <f t="shared" si="17"/>
        <v>0</v>
      </c>
    </row>
    <row r="90" ht="13.5" customHeight="1">
      <c r="A90" s="425" t="s">
        <v>23</v>
      </c>
      <c r="B90" s="430">
        <v>0.0</v>
      </c>
      <c r="C90" s="430">
        <v>0.0</v>
      </c>
      <c r="D90" s="430">
        <v>0.0</v>
      </c>
      <c r="E90" s="430">
        <v>0.0</v>
      </c>
      <c r="F90" s="430">
        <v>0.0</v>
      </c>
      <c r="G90" s="430">
        <v>0.0</v>
      </c>
      <c r="H90" s="430">
        <v>0.0</v>
      </c>
      <c r="I90" s="430">
        <v>0.0</v>
      </c>
      <c r="J90" s="430">
        <v>0.0</v>
      </c>
      <c r="K90" s="430">
        <v>0.0</v>
      </c>
      <c r="L90" s="430">
        <v>0.0</v>
      </c>
      <c r="M90" s="430">
        <v>0.0</v>
      </c>
      <c r="N90" s="426">
        <f>SUM(N86:N89)</f>
        <v>0</v>
      </c>
    </row>
    <row r="91" ht="13.5" customHeight="1">
      <c r="A91" s="419" t="s">
        <v>88</v>
      </c>
      <c r="B91" s="407"/>
      <c r="C91" s="407"/>
      <c r="D91" s="407"/>
      <c r="E91" s="407"/>
      <c r="F91" s="407"/>
      <c r="G91" s="407"/>
      <c r="H91" s="407"/>
      <c r="I91" s="407"/>
      <c r="J91" s="407"/>
      <c r="K91" s="407"/>
      <c r="L91" s="407"/>
      <c r="M91" s="407"/>
      <c r="N91" s="421"/>
    </row>
    <row r="92" ht="13.5" customHeight="1">
      <c r="A92" s="439" t="s">
        <v>309</v>
      </c>
      <c r="B92" s="450">
        <f>PRODUCTION!V18</f>
        <v>100</v>
      </c>
      <c r="C92" s="450">
        <f>PRODUCTION!V19</f>
        <v>100</v>
      </c>
      <c r="D92" s="450">
        <f>PRODUCTION!V20</f>
        <v>100</v>
      </c>
      <c r="E92" s="450">
        <f>PRODUCTION!V21</f>
        <v>100</v>
      </c>
      <c r="F92" s="450">
        <f>PRODUCTION!V22</f>
        <v>100</v>
      </c>
      <c r="G92" s="450">
        <f>PRODUCTION!V23</f>
        <v>100</v>
      </c>
      <c r="H92" s="450">
        <f>PRODUCTION!V24</f>
        <v>100</v>
      </c>
      <c r="I92" s="450">
        <f>PRODUCTION!V25</f>
        <v>100</v>
      </c>
      <c r="J92" s="450">
        <f>PRODUCTION!V26</f>
        <v>100</v>
      </c>
      <c r="K92" s="450">
        <f>PRODUCTION!V27</f>
        <v>100</v>
      </c>
      <c r="L92" s="450">
        <f>PRODUCTION!V28</f>
        <v>100</v>
      </c>
      <c r="M92" s="450">
        <f>PRODUCTION!V29</f>
        <v>100</v>
      </c>
      <c r="N92" s="410">
        <f t="shared" ref="N92:N100" si="18">SUM(B92:M92)</f>
        <v>1200</v>
      </c>
    </row>
    <row r="93" ht="13.5" customHeight="1">
      <c r="A93" s="439" t="s">
        <v>310</v>
      </c>
      <c r="B93" s="94">
        <v>250.0</v>
      </c>
      <c r="C93" s="172">
        <v>250.0</v>
      </c>
      <c r="D93" s="172">
        <v>250.0</v>
      </c>
      <c r="E93" s="172">
        <v>250.0</v>
      </c>
      <c r="F93" s="172">
        <v>250.0</v>
      </c>
      <c r="G93" s="172">
        <v>250.0</v>
      </c>
      <c r="H93" s="172">
        <v>250.0</v>
      </c>
      <c r="I93" s="172">
        <f>250+362.26</f>
        <v>612.26</v>
      </c>
      <c r="J93" s="172">
        <f>250+200</f>
        <v>450</v>
      </c>
      <c r="K93" s="172">
        <v>250.0</v>
      </c>
      <c r="L93" s="172">
        <v>250.0</v>
      </c>
      <c r="M93" s="172">
        <v>250.0</v>
      </c>
      <c r="N93" s="410">
        <f t="shared" si="18"/>
        <v>3562.26</v>
      </c>
    </row>
    <row r="94" ht="13.5" customHeight="1">
      <c r="A94" s="439" t="s">
        <v>311</v>
      </c>
      <c r="B94" s="94">
        <v>180.0</v>
      </c>
      <c r="C94" s="172">
        <v>180.0</v>
      </c>
      <c r="D94" s="172">
        <v>180.0</v>
      </c>
      <c r="E94" s="172">
        <v>180.0</v>
      </c>
      <c r="F94" s="172">
        <v>180.0</v>
      </c>
      <c r="G94" s="172">
        <v>180.0</v>
      </c>
      <c r="H94" s="172">
        <v>180.0</v>
      </c>
      <c r="I94" s="172">
        <v>180.0</v>
      </c>
      <c r="J94" s="172">
        <v>180.0</v>
      </c>
      <c r="K94" s="172">
        <v>380.0</v>
      </c>
      <c r="L94" s="172">
        <v>180.0</v>
      </c>
      <c r="M94" s="172">
        <v>180.0</v>
      </c>
      <c r="N94" s="410">
        <f t="shared" si="18"/>
        <v>2360</v>
      </c>
    </row>
    <row r="95" ht="13.5" customHeight="1">
      <c r="A95" s="20" t="s">
        <v>312</v>
      </c>
      <c r="B95" s="139"/>
      <c r="C95" s="451"/>
      <c r="D95" s="451"/>
      <c r="E95" s="172">
        <v>300.0</v>
      </c>
      <c r="F95" s="172">
        <v>300.0</v>
      </c>
      <c r="G95" s="451"/>
      <c r="H95" s="172">
        <v>523.0</v>
      </c>
      <c r="I95" s="172">
        <v>300.0</v>
      </c>
      <c r="J95" s="451"/>
      <c r="K95" s="451"/>
      <c r="L95" s="172">
        <v>300.0</v>
      </c>
      <c r="M95" s="451"/>
      <c r="N95" s="410">
        <f t="shared" si="18"/>
        <v>1723</v>
      </c>
    </row>
    <row r="96" ht="13.5" customHeight="1">
      <c r="A96" s="432"/>
      <c r="B96" s="411"/>
      <c r="C96" s="411"/>
      <c r="D96" s="411"/>
      <c r="E96" s="411"/>
      <c r="F96" s="411"/>
      <c r="G96" s="411"/>
      <c r="H96" s="411"/>
      <c r="I96" s="411"/>
      <c r="J96" s="411"/>
      <c r="K96" s="411"/>
      <c r="L96" s="411"/>
      <c r="M96" s="411"/>
      <c r="N96" s="410">
        <f t="shared" si="18"/>
        <v>0</v>
      </c>
    </row>
    <row r="97" ht="13.5" customHeight="1">
      <c r="A97" s="413"/>
      <c r="B97" s="411"/>
      <c r="C97" s="411"/>
      <c r="D97" s="411"/>
      <c r="E97" s="411"/>
      <c r="F97" s="411"/>
      <c r="G97" s="411"/>
      <c r="H97" s="411"/>
      <c r="I97" s="411"/>
      <c r="J97" s="411"/>
      <c r="K97" s="411"/>
      <c r="L97" s="411"/>
      <c r="M97" s="411"/>
      <c r="N97" s="410">
        <f t="shared" si="18"/>
        <v>0</v>
      </c>
    </row>
    <row r="98" ht="13.5" customHeight="1">
      <c r="A98" s="413"/>
      <c r="B98" s="411"/>
      <c r="C98" s="411"/>
      <c r="D98" s="411"/>
      <c r="E98" s="411"/>
      <c r="F98" s="411"/>
      <c r="G98" s="411"/>
      <c r="H98" s="411"/>
      <c r="I98" s="411"/>
      <c r="J98" s="411"/>
      <c r="K98" s="411"/>
      <c r="L98" s="411"/>
      <c r="M98" s="411"/>
      <c r="N98" s="410">
        <f t="shared" si="18"/>
        <v>0</v>
      </c>
    </row>
    <row r="99" ht="13.5" customHeight="1">
      <c r="A99" s="439" t="s">
        <v>313</v>
      </c>
      <c r="B99" s="94">
        <v>0.0</v>
      </c>
      <c r="C99" s="172">
        <v>0.0</v>
      </c>
      <c r="D99" s="172">
        <v>0.0</v>
      </c>
      <c r="E99" s="172">
        <v>1000.0</v>
      </c>
      <c r="F99" s="172">
        <v>2000.0</v>
      </c>
      <c r="G99" s="172">
        <v>500.0</v>
      </c>
      <c r="H99" s="172">
        <v>1000.0</v>
      </c>
      <c r="I99" s="172">
        <v>1600.0</v>
      </c>
      <c r="J99" s="172">
        <v>1300.0</v>
      </c>
      <c r="K99" s="172">
        <v>500.0</v>
      </c>
      <c r="L99" s="172">
        <v>1000.0</v>
      </c>
      <c r="M99" s="172">
        <v>1000.0</v>
      </c>
      <c r="N99" s="410">
        <f t="shared" si="18"/>
        <v>9900</v>
      </c>
    </row>
    <row r="100" ht="13.5" customHeight="1">
      <c r="A100" s="20" t="s">
        <v>314</v>
      </c>
      <c r="B100" s="411"/>
      <c r="C100" s="411"/>
      <c r="D100" s="411"/>
      <c r="E100" s="411"/>
      <c r="F100" s="411"/>
      <c r="G100" s="411"/>
      <c r="H100" s="411"/>
      <c r="I100" s="411"/>
      <c r="J100" s="411"/>
      <c r="K100" s="411"/>
      <c r="L100" s="411"/>
      <c r="M100" s="411"/>
      <c r="N100" s="410">
        <f t="shared" si="18"/>
        <v>0</v>
      </c>
    </row>
    <row r="101" ht="13.5" customHeight="1">
      <c r="A101" s="13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  <c r="M101" s="138"/>
      <c r="N101" s="410">
        <f>SUM(B99:M99)</f>
        <v>9900</v>
      </c>
    </row>
    <row r="102" ht="13.5" customHeight="1">
      <c r="A102" s="452"/>
      <c r="B102" s="453"/>
      <c r="C102" s="453"/>
      <c r="D102" s="453"/>
      <c r="E102" s="453"/>
      <c r="F102" s="453"/>
      <c r="G102" s="453"/>
      <c r="H102" s="453"/>
      <c r="I102" s="453"/>
      <c r="J102" s="453"/>
      <c r="K102" s="453"/>
      <c r="L102" s="453"/>
      <c r="M102" s="453"/>
      <c r="N102" s="410">
        <f t="shared" ref="N102:N104" si="19">SUM(B102:M102)</f>
        <v>0</v>
      </c>
    </row>
    <row r="103" ht="13.5" customHeight="1">
      <c r="A103" s="20" t="s">
        <v>315</v>
      </c>
      <c r="B103" s="428"/>
      <c r="C103" s="428"/>
      <c r="D103" s="428"/>
      <c r="E103" s="428"/>
      <c r="F103" s="428"/>
      <c r="G103" s="428"/>
      <c r="H103" s="428"/>
      <c r="I103" s="428"/>
      <c r="J103" s="428"/>
      <c r="K103" s="428"/>
      <c r="L103" s="428"/>
      <c r="M103" s="428"/>
      <c r="N103" s="410">
        <f t="shared" si="19"/>
        <v>0</v>
      </c>
    </row>
    <row r="104" ht="13.5" customHeight="1">
      <c r="A104" s="448"/>
      <c r="B104" s="428"/>
      <c r="C104" s="428"/>
      <c r="D104" s="428"/>
      <c r="E104" s="428"/>
      <c r="F104" s="428"/>
      <c r="G104" s="428"/>
      <c r="H104" s="428"/>
      <c r="I104" s="428"/>
      <c r="J104" s="428"/>
      <c r="K104" s="428"/>
      <c r="L104" s="428"/>
      <c r="M104" s="428"/>
      <c r="N104" s="410">
        <f t="shared" si="19"/>
        <v>0</v>
      </c>
    </row>
    <row r="105" ht="13.5" customHeight="1">
      <c r="A105" s="433"/>
      <c r="B105" s="428"/>
      <c r="C105" s="428"/>
      <c r="D105" s="428"/>
      <c r="E105" s="428"/>
      <c r="F105" s="428"/>
      <c r="G105" s="428"/>
      <c r="H105" s="428"/>
      <c r="I105" s="428"/>
      <c r="J105" s="428"/>
      <c r="K105" s="428"/>
      <c r="L105" s="428"/>
      <c r="M105" s="428"/>
      <c r="N105" s="410"/>
    </row>
    <row r="106" ht="13.5" customHeight="1">
      <c r="A106" s="448"/>
      <c r="B106" s="428"/>
      <c r="C106" s="428"/>
      <c r="D106" s="428"/>
      <c r="E106" s="428"/>
      <c r="F106" s="428"/>
      <c r="G106" s="428"/>
      <c r="H106" s="428"/>
      <c r="I106" s="428"/>
      <c r="J106" s="428"/>
      <c r="K106" s="428"/>
      <c r="L106" s="428"/>
      <c r="M106" s="428"/>
      <c r="N106" s="410">
        <f>SUM(B106:M106)</f>
        <v>0</v>
      </c>
    </row>
    <row r="107" ht="13.5" customHeight="1">
      <c r="A107" s="425" t="s">
        <v>23</v>
      </c>
      <c r="B107" s="28">
        <f t="shared" ref="B107:N107" si="20">SUM(B92:B106)</f>
        <v>530</v>
      </c>
      <c r="C107" s="28">
        <f t="shared" si="20"/>
        <v>530</v>
      </c>
      <c r="D107" s="28">
        <f t="shared" si="20"/>
        <v>530</v>
      </c>
      <c r="E107" s="28">
        <f t="shared" si="20"/>
        <v>1830</v>
      </c>
      <c r="F107" s="28">
        <f t="shared" si="20"/>
        <v>2830</v>
      </c>
      <c r="G107" s="28">
        <f t="shared" si="20"/>
        <v>1030</v>
      </c>
      <c r="H107" s="28">
        <f t="shared" si="20"/>
        <v>2053</v>
      </c>
      <c r="I107" s="28">
        <f t="shared" si="20"/>
        <v>2792.26</v>
      </c>
      <c r="J107" s="28">
        <f t="shared" si="20"/>
        <v>2030</v>
      </c>
      <c r="K107" s="28">
        <f t="shared" si="20"/>
        <v>1230</v>
      </c>
      <c r="L107" s="28">
        <f t="shared" si="20"/>
        <v>1830</v>
      </c>
      <c r="M107" s="28">
        <f t="shared" si="20"/>
        <v>1530</v>
      </c>
      <c r="N107" s="426">
        <f t="shared" si="20"/>
        <v>28645.26</v>
      </c>
    </row>
    <row r="108" ht="13.5" customHeight="1">
      <c r="A108" s="425" t="s">
        <v>104</v>
      </c>
      <c r="B108" s="394"/>
      <c r="C108" s="110"/>
      <c r="D108" s="110"/>
      <c r="E108" s="110"/>
      <c r="F108" s="110"/>
      <c r="G108" s="110"/>
      <c r="H108" s="110"/>
      <c r="I108" s="110"/>
      <c r="J108" s="110"/>
      <c r="K108" s="147"/>
      <c r="L108" s="147"/>
      <c r="M108" s="147"/>
      <c r="N108" s="440">
        <f>SUM(B108:M108)</f>
        <v>0</v>
      </c>
    </row>
    <row r="109" ht="13.5" customHeight="1">
      <c r="A109" s="454" t="s">
        <v>316</v>
      </c>
      <c r="B109" s="50">
        <f t="shared" ref="B109:N109" si="21">B107+B90+B83+B32+B21+B13</f>
        <v>12370.42</v>
      </c>
      <c r="C109" s="50">
        <f t="shared" si="21"/>
        <v>12320.42</v>
      </c>
      <c r="D109" s="50">
        <f t="shared" si="21"/>
        <v>14120.42</v>
      </c>
      <c r="E109" s="50">
        <f t="shared" si="21"/>
        <v>16292.92</v>
      </c>
      <c r="F109" s="50">
        <f t="shared" si="21"/>
        <v>17292.92</v>
      </c>
      <c r="G109" s="50">
        <f t="shared" si="21"/>
        <v>15492.92</v>
      </c>
      <c r="H109" s="50">
        <f t="shared" si="21"/>
        <v>16515.92</v>
      </c>
      <c r="I109" s="50">
        <f t="shared" si="21"/>
        <v>16655.18</v>
      </c>
      <c r="J109" s="50">
        <f t="shared" si="21"/>
        <v>14992.92</v>
      </c>
      <c r="K109" s="50">
        <f t="shared" si="21"/>
        <v>13192.92</v>
      </c>
      <c r="L109" s="50">
        <f t="shared" si="21"/>
        <v>13792.92</v>
      </c>
      <c r="M109" s="50">
        <f t="shared" si="21"/>
        <v>13492.92</v>
      </c>
      <c r="N109" s="455">
        <f t="shared" si="21"/>
        <v>186432.8</v>
      </c>
    </row>
    <row r="110" ht="13.5" customHeight="1">
      <c r="A110" s="427" t="s">
        <v>106</v>
      </c>
      <c r="B110" s="456">
        <v>18.0</v>
      </c>
      <c r="C110" s="457">
        <v>14.0</v>
      </c>
      <c r="D110" s="457">
        <v>21.0</v>
      </c>
      <c r="E110" s="457">
        <v>34.0</v>
      </c>
      <c r="F110" s="457">
        <v>28.0</v>
      </c>
      <c r="G110" s="457">
        <v>30.0</v>
      </c>
      <c r="H110" s="457">
        <v>26.0</v>
      </c>
      <c r="I110" s="457">
        <v>18.0</v>
      </c>
      <c r="J110" s="457">
        <v>18.0</v>
      </c>
      <c r="K110" s="457">
        <v>12.0</v>
      </c>
      <c r="L110" s="457">
        <v>17.0</v>
      </c>
      <c r="M110" s="457">
        <v>10.0</v>
      </c>
      <c r="N110" s="410">
        <f t="shared" ref="N110:N112" si="22">SUM(B110:M110)</f>
        <v>246</v>
      </c>
    </row>
    <row r="111" ht="13.5" customHeight="1">
      <c r="A111" s="427" t="s">
        <v>107</v>
      </c>
      <c r="B111" s="458">
        <v>18.0</v>
      </c>
      <c r="C111" s="459">
        <v>17.0</v>
      </c>
      <c r="D111" s="459">
        <v>31.0</v>
      </c>
      <c r="E111" s="459">
        <v>27.0</v>
      </c>
      <c r="F111" s="459">
        <v>41.0</v>
      </c>
      <c r="G111" s="459">
        <v>34.0</v>
      </c>
      <c r="H111" s="459">
        <v>27.0</v>
      </c>
      <c r="I111" s="459">
        <v>34.0</v>
      </c>
      <c r="J111" s="459">
        <v>34.0</v>
      </c>
      <c r="K111" s="459">
        <v>20.0</v>
      </c>
      <c r="L111" s="459">
        <v>20.0</v>
      </c>
      <c r="M111" s="459">
        <v>10.0</v>
      </c>
      <c r="N111" s="410">
        <f t="shared" si="22"/>
        <v>313</v>
      </c>
    </row>
    <row r="112" ht="13.5" customHeight="1">
      <c r="A112" s="425" t="s">
        <v>23</v>
      </c>
      <c r="B112" s="460">
        <f t="shared" ref="B112:M112" si="23">B110+B111</f>
        <v>36</v>
      </c>
      <c r="C112" s="460">
        <f t="shared" si="23"/>
        <v>31</v>
      </c>
      <c r="D112" s="460">
        <f t="shared" si="23"/>
        <v>52</v>
      </c>
      <c r="E112" s="460">
        <f t="shared" si="23"/>
        <v>61</v>
      </c>
      <c r="F112" s="460">
        <f t="shared" si="23"/>
        <v>69</v>
      </c>
      <c r="G112" s="460">
        <f t="shared" si="23"/>
        <v>64</v>
      </c>
      <c r="H112" s="460">
        <f t="shared" si="23"/>
        <v>53</v>
      </c>
      <c r="I112" s="460">
        <f t="shared" si="23"/>
        <v>52</v>
      </c>
      <c r="J112" s="460">
        <f t="shared" si="23"/>
        <v>52</v>
      </c>
      <c r="K112" s="460">
        <f t="shared" si="23"/>
        <v>32</v>
      </c>
      <c r="L112" s="460">
        <f t="shared" si="23"/>
        <v>37</v>
      </c>
      <c r="M112" s="460">
        <f t="shared" si="23"/>
        <v>20</v>
      </c>
      <c r="N112" s="440">
        <f t="shared" si="22"/>
        <v>559</v>
      </c>
    </row>
    <row r="113" ht="13.5" customHeight="1">
      <c r="A113" s="461" t="s">
        <v>108</v>
      </c>
      <c r="B113" s="58">
        <f t="shared" ref="B113:N113" si="24">B109/B112</f>
        <v>343.6227778</v>
      </c>
      <c r="C113" s="58">
        <f t="shared" si="24"/>
        <v>397.4329032</v>
      </c>
      <c r="D113" s="58">
        <f t="shared" si="24"/>
        <v>271.5465385</v>
      </c>
      <c r="E113" s="58">
        <f t="shared" si="24"/>
        <v>267.0970492</v>
      </c>
      <c r="F113" s="58">
        <f t="shared" si="24"/>
        <v>250.622029</v>
      </c>
      <c r="G113" s="58">
        <f t="shared" si="24"/>
        <v>242.076875</v>
      </c>
      <c r="H113" s="58">
        <f t="shared" si="24"/>
        <v>311.6211321</v>
      </c>
      <c r="I113" s="58">
        <f t="shared" si="24"/>
        <v>320.2919231</v>
      </c>
      <c r="J113" s="58">
        <f t="shared" si="24"/>
        <v>288.3253846</v>
      </c>
      <c r="K113" s="58">
        <f t="shared" si="24"/>
        <v>412.27875</v>
      </c>
      <c r="L113" s="58">
        <f t="shared" si="24"/>
        <v>372.7816216</v>
      </c>
      <c r="M113" s="58">
        <f t="shared" si="24"/>
        <v>674.646</v>
      </c>
      <c r="N113" s="57">
        <f t="shared" si="24"/>
        <v>333.5112701</v>
      </c>
    </row>
    <row r="114" ht="13.5" customHeight="1">
      <c r="A114" s="406" t="s">
        <v>109</v>
      </c>
      <c r="B114" s="407"/>
      <c r="C114" s="407"/>
      <c r="D114" s="407"/>
      <c r="E114" s="407"/>
      <c r="F114" s="407"/>
      <c r="G114" s="407"/>
      <c r="H114" s="407"/>
      <c r="I114" s="407"/>
      <c r="J114" s="407"/>
      <c r="K114" s="407"/>
      <c r="L114" s="407"/>
      <c r="M114" s="407"/>
      <c r="N114" s="421"/>
    </row>
    <row r="115" ht="13.5" customHeight="1">
      <c r="A115" s="462"/>
      <c r="B115" s="411"/>
      <c r="C115" s="411"/>
      <c r="D115" s="411"/>
      <c r="E115" s="411"/>
      <c r="F115" s="411"/>
      <c r="G115" s="411"/>
      <c r="H115" s="411"/>
      <c r="I115" s="411"/>
      <c r="J115" s="411"/>
      <c r="K115" s="411"/>
      <c r="L115" s="411"/>
      <c r="M115" s="411"/>
      <c r="N115" s="410">
        <f t="shared" ref="N115:N120" si="25">SUM(B115:M115)</f>
        <v>0</v>
      </c>
    </row>
    <row r="116" ht="13.5" customHeight="1">
      <c r="A116" s="462"/>
      <c r="B116" s="428"/>
      <c r="C116" s="428"/>
      <c r="D116" s="428"/>
      <c r="E116" s="428"/>
      <c r="F116" s="428"/>
      <c r="G116" s="428"/>
      <c r="H116" s="428"/>
      <c r="I116" s="428"/>
      <c r="J116" s="428"/>
      <c r="K116" s="428"/>
      <c r="L116" s="428"/>
      <c r="M116" s="428"/>
      <c r="N116" s="410">
        <f t="shared" si="25"/>
        <v>0</v>
      </c>
    </row>
    <row r="117" ht="13.5" customHeight="1">
      <c r="A117" s="462"/>
      <c r="B117" s="443"/>
      <c r="C117" s="438"/>
      <c r="D117" s="411"/>
      <c r="E117" s="411"/>
      <c r="F117" s="411"/>
      <c r="G117" s="411"/>
      <c r="H117" s="411"/>
      <c r="I117" s="411"/>
      <c r="J117" s="411"/>
      <c r="K117" s="411"/>
      <c r="L117" s="411"/>
      <c r="M117" s="411"/>
      <c r="N117" s="410">
        <f t="shared" si="25"/>
        <v>0</v>
      </c>
    </row>
    <row r="118" ht="13.5" customHeight="1">
      <c r="A118" s="462"/>
      <c r="B118" s="463"/>
      <c r="C118" s="411"/>
      <c r="D118" s="411"/>
      <c r="E118" s="411"/>
      <c r="F118" s="411"/>
      <c r="G118" s="411"/>
      <c r="H118" s="411"/>
      <c r="I118" s="411"/>
      <c r="J118" s="411"/>
      <c r="K118" s="411"/>
      <c r="L118" s="411"/>
      <c r="M118" s="411"/>
      <c r="N118" s="410">
        <f t="shared" si="25"/>
        <v>0</v>
      </c>
    </row>
    <row r="119" ht="13.5" customHeight="1">
      <c r="A119" s="464"/>
      <c r="B119" s="411"/>
      <c r="C119" s="411"/>
      <c r="D119" s="411"/>
      <c r="E119" s="411"/>
      <c r="F119" s="411"/>
      <c r="G119" s="411"/>
      <c r="H119" s="411"/>
      <c r="I119" s="411"/>
      <c r="J119" s="411"/>
      <c r="K119" s="411"/>
      <c r="L119" s="411"/>
      <c r="M119" s="411"/>
      <c r="N119" s="410">
        <f t="shared" si="25"/>
        <v>0</v>
      </c>
    </row>
    <row r="120" ht="13.5" customHeight="1">
      <c r="A120" s="465"/>
      <c r="B120" s="411"/>
      <c r="C120" s="411"/>
      <c r="D120" s="411"/>
      <c r="E120" s="411"/>
      <c r="F120" s="411"/>
      <c r="G120" s="411"/>
      <c r="H120" s="411"/>
      <c r="I120" s="411"/>
      <c r="J120" s="411"/>
      <c r="K120" s="411"/>
      <c r="L120" s="411"/>
      <c r="M120" s="411"/>
      <c r="N120" s="410">
        <f t="shared" si="25"/>
        <v>0</v>
      </c>
    </row>
    <row r="121" ht="13.5" customHeight="1">
      <c r="A121" s="466" t="s">
        <v>23</v>
      </c>
      <c r="B121" s="63">
        <f t="shared" ref="B121:N121" si="26">SUM(B115:B120)</f>
        <v>0</v>
      </c>
      <c r="C121" s="63">
        <f t="shared" si="26"/>
        <v>0</v>
      </c>
      <c r="D121" s="63">
        <f t="shared" si="26"/>
        <v>0</v>
      </c>
      <c r="E121" s="63">
        <f t="shared" si="26"/>
        <v>0</v>
      </c>
      <c r="F121" s="63">
        <f t="shared" si="26"/>
        <v>0</v>
      </c>
      <c r="G121" s="63">
        <f t="shared" si="26"/>
        <v>0</v>
      </c>
      <c r="H121" s="63">
        <f t="shared" si="26"/>
        <v>0</v>
      </c>
      <c r="I121" s="63">
        <f t="shared" si="26"/>
        <v>0</v>
      </c>
      <c r="J121" s="63">
        <f t="shared" si="26"/>
        <v>0</v>
      </c>
      <c r="K121" s="63">
        <f t="shared" si="26"/>
        <v>0</v>
      </c>
      <c r="L121" s="63">
        <f t="shared" si="26"/>
        <v>0</v>
      </c>
      <c r="M121" s="63">
        <f t="shared" si="26"/>
        <v>0</v>
      </c>
      <c r="N121" s="467">
        <f t="shared" si="26"/>
        <v>0</v>
      </c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468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468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468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468"/>
    </row>
    <row r="126" ht="13.5" hidden="1" customHeight="1">
      <c r="A126" s="469"/>
      <c r="B126" s="470"/>
      <c r="C126" s="470"/>
      <c r="D126" s="470"/>
      <c r="E126" s="470"/>
      <c r="F126" s="470"/>
      <c r="G126" s="470"/>
      <c r="H126" s="470"/>
      <c r="I126" s="470"/>
      <c r="J126" s="470"/>
      <c r="K126" s="470"/>
      <c r="L126" s="470"/>
      <c r="M126" s="470"/>
      <c r="N126" s="471"/>
    </row>
    <row r="127" ht="13.5" hidden="1" customHeight="1">
      <c r="A127" s="472" t="s">
        <v>317</v>
      </c>
      <c r="B127" s="473">
        <v>6974.0</v>
      </c>
      <c r="C127" s="473">
        <v>7395.0</v>
      </c>
      <c r="D127" s="473">
        <v>9836.9</v>
      </c>
      <c r="E127" s="473">
        <v>3618.0</v>
      </c>
      <c r="F127" s="473">
        <v>9968.05</v>
      </c>
      <c r="G127" s="473">
        <v>8391.62</v>
      </c>
      <c r="H127" s="473">
        <v>9624.4</v>
      </c>
      <c r="I127" s="473">
        <v>9515.27</v>
      </c>
      <c r="J127" s="473">
        <v>9196.81</v>
      </c>
      <c r="K127" s="473">
        <v>7269.0</v>
      </c>
      <c r="L127" s="473">
        <v>5870.0</v>
      </c>
      <c r="M127" s="473">
        <v>5870.0</v>
      </c>
      <c r="N127" s="474">
        <v>93529.05</v>
      </c>
    </row>
    <row r="128" ht="13.5" hidden="1" customHeight="1">
      <c r="A128" s="475" t="s">
        <v>318</v>
      </c>
      <c r="B128" s="473">
        <v>2377.9</v>
      </c>
      <c r="C128" s="473">
        <v>2077.9</v>
      </c>
      <c r="D128" s="473">
        <v>991.0</v>
      </c>
      <c r="E128" s="473">
        <v>3151.47</v>
      </c>
      <c r="F128" s="473">
        <v>2811.47</v>
      </c>
      <c r="G128" s="473">
        <v>1726.34</v>
      </c>
      <c r="H128" s="473">
        <v>2249.34</v>
      </c>
      <c r="I128" s="473">
        <v>2876.34</v>
      </c>
      <c r="J128" s="473">
        <v>1921.86</v>
      </c>
      <c r="K128" s="473">
        <v>1421.86</v>
      </c>
      <c r="L128" s="473">
        <v>3421.86</v>
      </c>
      <c r="M128" s="473">
        <v>2962.9</v>
      </c>
      <c r="N128" s="474">
        <v>23210.24</v>
      </c>
    </row>
    <row r="129" ht="13.5" hidden="1" customHeight="1">
      <c r="A129" s="472" t="s">
        <v>319</v>
      </c>
      <c r="B129" s="473">
        <v>9351.9</v>
      </c>
      <c r="C129" s="473">
        <v>9472.9</v>
      </c>
      <c r="D129" s="473">
        <v>10827.9</v>
      </c>
      <c r="E129" s="473">
        <v>6769.47</v>
      </c>
      <c r="F129" s="473">
        <v>12779.52</v>
      </c>
      <c r="G129" s="473">
        <v>10117.96</v>
      </c>
      <c r="H129" s="473">
        <v>11873.74</v>
      </c>
      <c r="I129" s="473">
        <v>12391.61</v>
      </c>
      <c r="J129" s="473">
        <v>11118.67</v>
      </c>
      <c r="K129" s="473">
        <v>8690.86</v>
      </c>
      <c r="L129" s="473">
        <v>9291.86</v>
      </c>
      <c r="M129" s="473">
        <v>8832.9</v>
      </c>
      <c r="N129" s="474">
        <v>116739.29</v>
      </c>
    </row>
    <row r="130" ht="13.5" hidden="1" customHeight="1">
      <c r="A130" s="472" t="s">
        <v>320</v>
      </c>
      <c r="B130" s="473">
        <v>1000.0</v>
      </c>
      <c r="C130" s="473">
        <v>1518.0</v>
      </c>
      <c r="D130" s="473">
        <v>1518.0</v>
      </c>
      <c r="E130" s="473">
        <v>1518.0</v>
      </c>
      <c r="F130" s="473">
        <v>1518.0</v>
      </c>
      <c r="G130" s="473">
        <v>1018.0</v>
      </c>
      <c r="H130" s="473">
        <v>1518.0</v>
      </c>
      <c r="I130" s="473">
        <v>3238.78</v>
      </c>
      <c r="J130" s="473">
        <v>3283.78</v>
      </c>
      <c r="K130" s="473">
        <v>7081.0</v>
      </c>
      <c r="L130" s="473">
        <v>2081.0</v>
      </c>
      <c r="M130" s="473">
        <v>2081.0</v>
      </c>
      <c r="N130" s="474">
        <v>32153.55</v>
      </c>
    </row>
    <row r="131" ht="13.5" hidden="1" customHeight="1">
      <c r="A131" s="469"/>
      <c r="B131" s="470"/>
      <c r="C131" s="470"/>
      <c r="D131" s="470"/>
      <c r="E131" s="470"/>
      <c r="F131" s="470"/>
      <c r="G131" s="470"/>
      <c r="H131" s="470"/>
      <c r="I131" s="470"/>
      <c r="J131" s="470"/>
      <c r="K131" s="470"/>
      <c r="L131" s="470"/>
      <c r="M131" s="470"/>
      <c r="N131" s="471"/>
    </row>
    <row r="132" ht="13.5" hidden="1" customHeight="1">
      <c r="A132" s="469"/>
      <c r="B132" s="470"/>
      <c r="C132" s="470"/>
      <c r="D132" s="470"/>
      <c r="E132" s="470"/>
      <c r="F132" s="470"/>
      <c r="G132" s="470"/>
      <c r="H132" s="470"/>
      <c r="I132" s="470"/>
      <c r="J132" s="470"/>
      <c r="K132" s="470"/>
      <c r="L132" s="470"/>
      <c r="M132" s="470"/>
      <c r="N132" s="471"/>
    </row>
    <row r="133" ht="13.5" hidden="1" customHeight="1">
      <c r="A133" s="469"/>
      <c r="B133" s="470"/>
      <c r="C133" s="470"/>
      <c r="D133" s="470"/>
      <c r="E133" s="470"/>
      <c r="F133" s="470"/>
      <c r="G133" s="470"/>
      <c r="H133" s="470"/>
      <c r="I133" s="470"/>
      <c r="J133" s="470"/>
      <c r="K133" s="470"/>
      <c r="L133" s="470"/>
      <c r="M133" s="470"/>
      <c r="N133" s="471"/>
    </row>
    <row r="134" ht="13.5" hidden="1" customHeight="1">
      <c r="A134" s="71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476"/>
    </row>
    <row r="135" ht="13.5" hidden="1" customHeight="1">
      <c r="A135" s="71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476"/>
    </row>
    <row r="136" ht="13.5" hidden="1" customHeight="1">
      <c r="A136" s="71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476"/>
    </row>
    <row r="137" ht="13.5" hidden="1" customHeight="1">
      <c r="A137" s="71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476"/>
    </row>
    <row r="138" ht="13.5" hidden="1" customHeight="1">
      <c r="A138" s="71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476"/>
    </row>
    <row r="139" ht="13.5" hidden="1" customHeight="1">
      <c r="A139" s="71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476"/>
    </row>
    <row r="140" ht="13.5" hidden="1" customHeight="1">
      <c r="A140" s="71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476"/>
    </row>
    <row r="141" ht="13.5" hidden="1" customHeight="1">
      <c r="A141" s="71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476"/>
    </row>
    <row r="142" ht="13.5" hidden="1" customHeight="1">
      <c r="A142" s="71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476"/>
    </row>
    <row r="143" ht="13.5" hidden="1" customHeight="1">
      <c r="A143" s="71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476"/>
    </row>
    <row r="144" ht="13.5" hidden="1" customHeight="1">
      <c r="A144" s="71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476"/>
    </row>
    <row r="145" ht="13.5" hidden="1" customHeight="1">
      <c r="A145" s="71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476"/>
    </row>
    <row r="146" ht="13.5" hidden="1" customHeight="1">
      <c r="A146" s="71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476"/>
    </row>
    <row r="147" ht="13.5" hidden="1" customHeight="1">
      <c r="A147" s="71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476"/>
    </row>
    <row r="148" ht="13.5" hidden="1" customHeight="1">
      <c r="A148" s="71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476"/>
    </row>
    <row r="149" ht="13.5" hidden="1" customHeight="1">
      <c r="A149" s="71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476"/>
    </row>
    <row r="150" ht="13.5" customHeight="1">
      <c r="A150" s="71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476"/>
    </row>
    <row r="151" ht="13.5" customHeight="1">
      <c r="A151" s="71" t="s">
        <v>317</v>
      </c>
      <c r="B151" s="135">
        <f t="shared" ref="B151:N151" si="27">B36+B37+B63+B73+B74+B75+B76+B77+B78+B79+B34</f>
        <v>8645</v>
      </c>
      <c r="C151" s="135">
        <f t="shared" si="27"/>
        <v>8645</v>
      </c>
      <c r="D151" s="135">
        <f t="shared" si="27"/>
        <v>9945</v>
      </c>
      <c r="E151" s="135">
        <f t="shared" si="27"/>
        <v>11317.5</v>
      </c>
      <c r="F151" s="135">
        <f t="shared" si="27"/>
        <v>11317.5</v>
      </c>
      <c r="G151" s="135">
        <f t="shared" si="27"/>
        <v>11317.5</v>
      </c>
      <c r="H151" s="135">
        <f t="shared" si="27"/>
        <v>11317.5</v>
      </c>
      <c r="I151" s="135">
        <f t="shared" si="27"/>
        <v>10717.5</v>
      </c>
      <c r="J151" s="135">
        <f t="shared" si="27"/>
        <v>9717.5</v>
      </c>
      <c r="K151" s="135">
        <f t="shared" si="27"/>
        <v>8717.5</v>
      </c>
      <c r="L151" s="135">
        <f t="shared" si="27"/>
        <v>8717.5</v>
      </c>
      <c r="M151" s="135">
        <f t="shared" si="27"/>
        <v>8717.5</v>
      </c>
      <c r="N151" s="476">
        <f t="shared" si="27"/>
        <v>119092.5</v>
      </c>
    </row>
    <row r="152" ht="13.5" customHeight="1">
      <c r="A152" s="477" t="s">
        <v>318</v>
      </c>
      <c r="B152" s="135">
        <f t="shared" ref="B152:M152" si="28">B25+B93+B94+B95+B96+B100+B47</f>
        <v>2455.42</v>
      </c>
      <c r="C152" s="135">
        <f t="shared" si="28"/>
        <v>2405.42</v>
      </c>
      <c r="D152" s="135">
        <f t="shared" si="28"/>
        <v>2405.42</v>
      </c>
      <c r="E152" s="135">
        <f t="shared" si="28"/>
        <v>2705.42</v>
      </c>
      <c r="F152" s="135">
        <f t="shared" si="28"/>
        <v>2705.42</v>
      </c>
      <c r="G152" s="135">
        <f t="shared" si="28"/>
        <v>2405.42</v>
      </c>
      <c r="H152" s="135">
        <f t="shared" si="28"/>
        <v>2928.42</v>
      </c>
      <c r="I152" s="135">
        <f t="shared" si="28"/>
        <v>3067.68</v>
      </c>
      <c r="J152" s="135">
        <f t="shared" si="28"/>
        <v>2705.42</v>
      </c>
      <c r="K152" s="135">
        <f t="shared" si="28"/>
        <v>2705.42</v>
      </c>
      <c r="L152" s="135">
        <f t="shared" si="28"/>
        <v>2805.42</v>
      </c>
      <c r="M152" s="135">
        <f t="shared" si="28"/>
        <v>2505.42</v>
      </c>
      <c r="N152" s="476">
        <f>N25+N93+N94+N95+N96+N100</f>
        <v>10350.3</v>
      </c>
    </row>
    <row r="153" ht="13.5" customHeight="1">
      <c r="A153" s="71" t="s">
        <v>319</v>
      </c>
      <c r="B153" s="135">
        <f t="shared" ref="B153:N153" si="29">B151+B152</f>
        <v>11100.42</v>
      </c>
      <c r="C153" s="135">
        <f t="shared" si="29"/>
        <v>11050.42</v>
      </c>
      <c r="D153" s="135">
        <f t="shared" si="29"/>
        <v>12350.42</v>
      </c>
      <c r="E153" s="135">
        <f t="shared" si="29"/>
        <v>14022.92</v>
      </c>
      <c r="F153" s="135">
        <f t="shared" si="29"/>
        <v>14022.92</v>
      </c>
      <c r="G153" s="135">
        <f t="shared" si="29"/>
        <v>13722.92</v>
      </c>
      <c r="H153" s="135">
        <f t="shared" si="29"/>
        <v>14245.92</v>
      </c>
      <c r="I153" s="135">
        <f t="shared" si="29"/>
        <v>13785.18</v>
      </c>
      <c r="J153" s="135">
        <f t="shared" si="29"/>
        <v>12422.92</v>
      </c>
      <c r="K153" s="135">
        <f t="shared" si="29"/>
        <v>11422.92</v>
      </c>
      <c r="L153" s="135">
        <f t="shared" si="29"/>
        <v>11522.92</v>
      </c>
      <c r="M153" s="135">
        <f t="shared" si="29"/>
        <v>11222.92</v>
      </c>
      <c r="N153" s="476">
        <f t="shared" si="29"/>
        <v>129442.8</v>
      </c>
    </row>
    <row r="154" ht="13.5" customHeight="1">
      <c r="A154" s="71" t="s">
        <v>320</v>
      </c>
      <c r="B154" s="135">
        <f t="shared" ref="B154:N154" si="30">B112-B153</f>
        <v>-11064.42</v>
      </c>
      <c r="C154" s="135">
        <f t="shared" si="30"/>
        <v>-11019.42</v>
      </c>
      <c r="D154" s="135">
        <f t="shared" si="30"/>
        <v>-12298.42</v>
      </c>
      <c r="E154" s="135">
        <f t="shared" si="30"/>
        <v>-13961.92</v>
      </c>
      <c r="F154" s="135">
        <f t="shared" si="30"/>
        <v>-13953.92</v>
      </c>
      <c r="G154" s="135">
        <f t="shared" si="30"/>
        <v>-13658.92</v>
      </c>
      <c r="H154" s="135">
        <f t="shared" si="30"/>
        <v>-14192.92</v>
      </c>
      <c r="I154" s="135">
        <f t="shared" si="30"/>
        <v>-13733.18</v>
      </c>
      <c r="J154" s="135">
        <f t="shared" si="30"/>
        <v>-12370.92</v>
      </c>
      <c r="K154" s="135">
        <f t="shared" si="30"/>
        <v>-11390.92</v>
      </c>
      <c r="L154" s="135">
        <f t="shared" si="30"/>
        <v>-11485.92</v>
      </c>
      <c r="M154" s="135">
        <f t="shared" si="30"/>
        <v>-11202.92</v>
      </c>
      <c r="N154" s="476">
        <f t="shared" si="30"/>
        <v>-128883.8</v>
      </c>
    </row>
    <row r="155" ht="13.5" customHeight="1">
      <c r="A155" s="71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476"/>
    </row>
    <row r="156" ht="13.5" customHeight="1">
      <c r="A156" s="71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476"/>
    </row>
    <row r="157" ht="13.5" customHeight="1">
      <c r="A157" s="71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476"/>
    </row>
    <row r="158" ht="13.5" customHeight="1">
      <c r="A158" s="71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476"/>
    </row>
    <row r="159" ht="13.5" customHeight="1">
      <c r="A159" s="71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476"/>
    </row>
    <row r="160" ht="13.5" customHeight="1">
      <c r="A160" s="71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476"/>
    </row>
    <row r="161" ht="13.5" customHeight="1">
      <c r="A161" s="71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476"/>
    </row>
    <row r="162" ht="13.5" customHeight="1">
      <c r="A162" s="71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476"/>
    </row>
    <row r="163" ht="13.5" customHeight="1">
      <c r="A163" s="71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476"/>
    </row>
    <row r="164" ht="13.5" customHeight="1">
      <c r="A164" s="71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476"/>
    </row>
    <row r="165" ht="13.5" customHeight="1">
      <c r="A165" s="71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476"/>
    </row>
    <row r="166" ht="13.5" customHeight="1">
      <c r="A166" s="71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476"/>
    </row>
    <row r="167" ht="13.5" customHeight="1">
      <c r="A167" s="71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476"/>
    </row>
    <row r="168" ht="13.5" customHeight="1">
      <c r="A168" s="71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476"/>
    </row>
    <row r="169" ht="13.5" customHeight="1">
      <c r="A169" s="71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476"/>
    </row>
    <row r="170" ht="13.5" customHeight="1">
      <c r="A170" s="71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476"/>
    </row>
    <row r="171" ht="13.5" customHeight="1">
      <c r="A171" s="71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476"/>
    </row>
    <row r="172" ht="13.5" customHeight="1">
      <c r="A172" s="71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476"/>
    </row>
    <row r="173" ht="13.5" customHeight="1">
      <c r="A173" s="71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476"/>
    </row>
    <row r="174" ht="13.5" customHeight="1">
      <c r="A174" s="71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476"/>
    </row>
    <row r="175" ht="13.5" customHeight="1">
      <c r="A175" s="71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476"/>
    </row>
    <row r="176" ht="13.5" customHeight="1">
      <c r="A176" s="71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476"/>
    </row>
    <row r="177" ht="13.5" customHeight="1">
      <c r="A177" s="71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476"/>
    </row>
    <row r="178" ht="13.5" customHeight="1">
      <c r="A178" s="71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476"/>
    </row>
    <row r="179" ht="13.5" customHeight="1">
      <c r="A179" s="71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476"/>
    </row>
    <row r="180" ht="13.5" customHeight="1">
      <c r="A180" s="71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476"/>
    </row>
    <row r="181" ht="13.5" customHeight="1">
      <c r="A181" s="71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476"/>
    </row>
    <row r="182" ht="13.5" customHeight="1">
      <c r="A182" s="71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476"/>
    </row>
    <row r="183" ht="13.5" customHeight="1">
      <c r="A183" s="71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476"/>
    </row>
    <row r="184" ht="13.5" customHeight="1">
      <c r="A184" s="71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476"/>
    </row>
    <row r="185" ht="13.5" customHeight="1">
      <c r="A185" s="71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476"/>
    </row>
    <row r="186" ht="13.5" customHeight="1">
      <c r="A186" s="71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476"/>
    </row>
    <row r="187" ht="13.5" customHeight="1">
      <c r="A187" s="71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476"/>
    </row>
    <row r="188" ht="13.5" customHeight="1">
      <c r="A188" s="71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476"/>
    </row>
    <row r="189" ht="13.5" customHeight="1">
      <c r="A189" s="71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476"/>
    </row>
    <row r="190" ht="13.5" customHeight="1">
      <c r="A190" s="71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476"/>
    </row>
    <row r="191" ht="13.5" customHeight="1">
      <c r="A191" s="71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476"/>
    </row>
    <row r="192" ht="13.5" customHeight="1">
      <c r="A192" s="71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476"/>
    </row>
    <row r="193" ht="13.5" customHeight="1">
      <c r="A193" s="71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476"/>
    </row>
    <row r="194" ht="13.5" customHeight="1">
      <c r="A194" s="71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476"/>
    </row>
    <row r="195" ht="13.5" customHeight="1">
      <c r="A195" s="71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476"/>
    </row>
    <row r="196" ht="13.5" customHeight="1">
      <c r="A196" s="71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476"/>
    </row>
    <row r="197" ht="13.5" customHeight="1">
      <c r="A197" s="71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476"/>
    </row>
    <row r="198" ht="13.5" customHeight="1">
      <c r="A198" s="71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476"/>
    </row>
    <row r="199" ht="13.5" customHeight="1">
      <c r="A199" s="71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476"/>
    </row>
    <row r="200" ht="13.5" customHeight="1">
      <c r="A200" s="71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476"/>
    </row>
    <row r="201" ht="13.5" customHeight="1">
      <c r="A201" s="71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476"/>
    </row>
    <row r="202" ht="13.5" customHeight="1">
      <c r="A202" s="71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476"/>
    </row>
    <row r="203" ht="13.5" customHeight="1">
      <c r="A203" s="71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476"/>
    </row>
    <row r="204" ht="13.5" customHeight="1">
      <c r="A204" s="71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476"/>
    </row>
    <row r="205" ht="13.5" customHeight="1">
      <c r="A205" s="71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476"/>
    </row>
    <row r="206" ht="13.5" customHeight="1">
      <c r="A206" s="71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476"/>
    </row>
    <row r="207" ht="13.5" customHeight="1">
      <c r="A207" s="71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476"/>
    </row>
    <row r="208" ht="13.5" customHeight="1">
      <c r="A208" s="71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476"/>
    </row>
    <row r="209" ht="13.5" customHeight="1">
      <c r="A209" s="71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476"/>
    </row>
    <row r="210" ht="13.5" customHeight="1">
      <c r="A210" s="71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476"/>
    </row>
    <row r="211" ht="13.5" customHeight="1">
      <c r="A211" s="71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476"/>
    </row>
    <row r="212" ht="13.5" customHeight="1">
      <c r="A212" s="71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476"/>
    </row>
    <row r="213" ht="13.5" customHeight="1">
      <c r="A213" s="71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476"/>
    </row>
    <row r="214" ht="13.5" customHeight="1">
      <c r="A214" s="71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476"/>
    </row>
    <row r="215" ht="13.5" customHeight="1">
      <c r="A215" s="71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476"/>
    </row>
    <row r="216" ht="13.5" customHeight="1">
      <c r="A216" s="71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476"/>
    </row>
    <row r="217" ht="13.5" customHeight="1">
      <c r="A217" s="71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476"/>
    </row>
    <row r="218" ht="13.5" customHeight="1">
      <c r="A218" s="71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476"/>
    </row>
    <row r="219" ht="13.5" customHeight="1">
      <c r="A219" s="71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476"/>
    </row>
    <row r="220" ht="13.5" customHeight="1">
      <c r="A220" s="71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476"/>
    </row>
    <row r="221" ht="13.5" customHeight="1">
      <c r="A221" s="71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476"/>
    </row>
    <row r="222" ht="13.5" customHeight="1">
      <c r="A222" s="71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476"/>
    </row>
    <row r="223" ht="13.5" customHeight="1">
      <c r="A223" s="71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476"/>
    </row>
    <row r="224" ht="13.5" customHeight="1">
      <c r="A224" s="71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476"/>
    </row>
    <row r="225" ht="13.5" customHeight="1">
      <c r="A225" s="71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476"/>
    </row>
    <row r="226" ht="13.5" customHeight="1">
      <c r="A226" s="71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476"/>
    </row>
    <row r="227" ht="13.5" customHeight="1">
      <c r="A227" s="71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476"/>
    </row>
    <row r="228" ht="13.5" customHeight="1">
      <c r="A228" s="71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476"/>
    </row>
    <row r="229" ht="13.5" customHeight="1">
      <c r="A229" s="71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476"/>
    </row>
    <row r="230" ht="13.5" customHeight="1">
      <c r="A230" s="71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476"/>
    </row>
    <row r="231" ht="13.5" customHeight="1">
      <c r="A231" s="71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476"/>
    </row>
    <row r="232" ht="13.5" customHeight="1">
      <c r="A232" s="71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476"/>
    </row>
    <row r="233" ht="13.5" customHeight="1">
      <c r="A233" s="71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476"/>
    </row>
    <row r="234" ht="13.5" customHeight="1">
      <c r="A234" s="71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476"/>
    </row>
    <row r="235" ht="13.5" customHeight="1">
      <c r="A235" s="71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476"/>
    </row>
    <row r="236" ht="13.5" customHeight="1">
      <c r="A236" s="71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476"/>
    </row>
    <row r="237" ht="13.5" customHeight="1">
      <c r="A237" s="71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476"/>
    </row>
    <row r="238" ht="13.5" customHeight="1">
      <c r="A238" s="71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476"/>
    </row>
    <row r="239" ht="13.5" customHeight="1">
      <c r="A239" s="71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476"/>
    </row>
    <row r="240" ht="13.5" customHeight="1">
      <c r="A240" s="71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476"/>
    </row>
    <row r="241" ht="13.5" customHeight="1">
      <c r="A241" s="71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476"/>
    </row>
    <row r="242" ht="13.5" customHeight="1">
      <c r="A242" s="71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476"/>
    </row>
    <row r="243" ht="13.5" customHeight="1">
      <c r="A243" s="71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476"/>
    </row>
    <row r="244" ht="13.5" customHeight="1">
      <c r="A244" s="71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476"/>
    </row>
    <row r="245" ht="13.5" customHeight="1">
      <c r="A245" s="71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476"/>
    </row>
    <row r="246" ht="13.5" customHeight="1">
      <c r="A246" s="71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476"/>
    </row>
    <row r="247" ht="13.5" customHeight="1">
      <c r="A247" s="71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476"/>
    </row>
    <row r="248" ht="13.5" customHeight="1">
      <c r="A248" s="71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476"/>
    </row>
    <row r="249" ht="13.5" customHeight="1">
      <c r="A249" s="71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476"/>
    </row>
    <row r="250" ht="13.5" customHeight="1">
      <c r="A250" s="71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476"/>
    </row>
    <row r="251" ht="13.5" customHeight="1">
      <c r="A251" s="71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476"/>
    </row>
    <row r="252" ht="13.5" customHeight="1">
      <c r="A252" s="71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476"/>
    </row>
    <row r="253" ht="13.5" customHeight="1">
      <c r="A253" s="71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476"/>
    </row>
    <row r="254" ht="13.5" customHeight="1">
      <c r="A254" s="71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476"/>
    </row>
    <row r="255" ht="13.5" customHeight="1">
      <c r="A255" s="71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476"/>
    </row>
    <row r="256" ht="13.5" customHeight="1">
      <c r="A256" s="71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476"/>
    </row>
    <row r="257" ht="13.5" customHeight="1">
      <c r="A257" s="71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476"/>
    </row>
    <row r="258" ht="13.5" customHeight="1">
      <c r="A258" s="71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476"/>
    </row>
    <row r="259" ht="13.5" customHeight="1">
      <c r="A259" s="71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476"/>
    </row>
    <row r="260" ht="13.5" customHeight="1">
      <c r="A260" s="71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476"/>
    </row>
    <row r="261" ht="13.5" customHeight="1">
      <c r="A261" s="71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476"/>
    </row>
    <row r="262" ht="13.5" customHeight="1">
      <c r="A262" s="71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476"/>
    </row>
    <row r="263" ht="13.5" customHeight="1">
      <c r="A263" s="71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476"/>
    </row>
    <row r="264" ht="13.5" customHeight="1">
      <c r="A264" s="71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476"/>
    </row>
    <row r="265" ht="13.5" customHeight="1">
      <c r="A265" s="71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476"/>
    </row>
    <row r="266" ht="13.5" customHeight="1">
      <c r="A266" s="71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476"/>
    </row>
    <row r="267" ht="13.5" customHeight="1">
      <c r="A267" s="71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476"/>
    </row>
    <row r="268" ht="13.5" customHeight="1">
      <c r="A268" s="71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476"/>
    </row>
    <row r="269" ht="13.5" customHeight="1">
      <c r="A269" s="71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476"/>
    </row>
    <row r="270" ht="13.5" customHeight="1">
      <c r="A270" s="71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476"/>
    </row>
    <row r="271" ht="13.5" customHeight="1">
      <c r="A271" s="71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476"/>
    </row>
    <row r="272" ht="13.5" customHeight="1">
      <c r="A272" s="71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476"/>
    </row>
    <row r="273" ht="13.5" customHeight="1">
      <c r="A273" s="71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476"/>
    </row>
    <row r="274" ht="13.5" customHeight="1">
      <c r="A274" s="71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476"/>
    </row>
    <row r="275" ht="13.5" customHeight="1">
      <c r="A275" s="71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476"/>
    </row>
    <row r="276" ht="13.5" customHeight="1">
      <c r="A276" s="71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476"/>
    </row>
    <row r="277" ht="13.5" customHeight="1">
      <c r="A277" s="71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476"/>
    </row>
    <row r="278" ht="13.5" customHeight="1">
      <c r="A278" s="71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476"/>
    </row>
    <row r="279" ht="13.5" customHeight="1">
      <c r="A279" s="71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476"/>
    </row>
    <row r="280" ht="13.5" customHeight="1">
      <c r="A280" s="71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476"/>
    </row>
    <row r="281" ht="13.5" customHeight="1">
      <c r="A281" s="71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476"/>
    </row>
    <row r="282" ht="13.5" customHeight="1">
      <c r="A282" s="71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476"/>
    </row>
    <row r="283" ht="13.5" customHeight="1">
      <c r="A283" s="71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476"/>
    </row>
    <row r="284" ht="13.5" customHeight="1">
      <c r="A284" s="71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476"/>
    </row>
    <row r="285" ht="13.5" customHeight="1">
      <c r="A285" s="71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476"/>
    </row>
    <row r="286" ht="13.5" customHeight="1">
      <c r="A286" s="71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476"/>
    </row>
    <row r="287" ht="13.5" customHeight="1">
      <c r="A287" s="71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476"/>
    </row>
    <row r="288" ht="13.5" customHeight="1">
      <c r="A288" s="71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476"/>
    </row>
    <row r="289" ht="13.5" customHeight="1">
      <c r="A289" s="71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476"/>
    </row>
    <row r="290" ht="13.5" customHeight="1">
      <c r="A290" s="71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476"/>
    </row>
    <row r="291" ht="13.5" customHeight="1">
      <c r="A291" s="71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476"/>
    </row>
    <row r="292" ht="13.5" customHeight="1">
      <c r="A292" s="71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476"/>
    </row>
    <row r="293" ht="13.5" customHeight="1">
      <c r="A293" s="71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476"/>
    </row>
    <row r="294" ht="13.5" customHeight="1">
      <c r="A294" s="71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476"/>
    </row>
    <row r="295" ht="13.5" customHeight="1">
      <c r="A295" s="71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476"/>
    </row>
    <row r="296" ht="13.5" customHeight="1">
      <c r="A296" s="71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476"/>
    </row>
    <row r="297" ht="13.5" customHeight="1">
      <c r="A297" s="71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476"/>
    </row>
    <row r="298" ht="13.5" customHeight="1">
      <c r="A298" s="71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476"/>
    </row>
    <row r="299" ht="13.5" customHeight="1">
      <c r="A299" s="71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476"/>
    </row>
    <row r="300" ht="13.5" customHeight="1">
      <c r="A300" s="71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476"/>
    </row>
    <row r="301" ht="13.5" customHeight="1">
      <c r="A301" s="71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476"/>
    </row>
    <row r="302" ht="13.5" customHeight="1">
      <c r="A302" s="71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476"/>
    </row>
    <row r="303" ht="13.5" customHeight="1">
      <c r="A303" s="71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476"/>
    </row>
    <row r="304" ht="13.5" customHeight="1">
      <c r="A304" s="71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476"/>
    </row>
    <row r="305" ht="13.5" customHeight="1">
      <c r="A305" s="71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476"/>
    </row>
    <row r="306" ht="13.5" customHeight="1">
      <c r="A306" s="71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476"/>
    </row>
    <row r="307" ht="13.5" customHeight="1">
      <c r="A307" s="71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476"/>
    </row>
    <row r="308" ht="13.5" customHeight="1">
      <c r="A308" s="71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476"/>
    </row>
    <row r="309" ht="13.5" customHeight="1">
      <c r="A309" s="71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476"/>
    </row>
    <row r="310" ht="13.5" customHeight="1">
      <c r="A310" s="71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476"/>
    </row>
    <row r="311" ht="13.5" customHeight="1">
      <c r="A311" s="71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476"/>
    </row>
    <row r="312" ht="13.5" customHeight="1">
      <c r="A312" s="71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476"/>
    </row>
    <row r="313" ht="13.5" customHeight="1">
      <c r="A313" s="71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476"/>
    </row>
    <row r="314" ht="13.5" customHeight="1">
      <c r="A314" s="71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476"/>
    </row>
    <row r="315" ht="13.5" customHeight="1">
      <c r="A315" s="71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476"/>
    </row>
    <row r="316" ht="13.5" customHeight="1">
      <c r="A316" s="71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476"/>
    </row>
    <row r="317" ht="13.5" customHeight="1">
      <c r="A317" s="71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476"/>
    </row>
    <row r="318" ht="13.5" customHeight="1">
      <c r="A318" s="71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476"/>
    </row>
    <row r="319" ht="13.5" customHeight="1">
      <c r="A319" s="71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476"/>
    </row>
    <row r="320" ht="13.5" customHeight="1">
      <c r="A320" s="71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476"/>
    </row>
    <row r="321" ht="13.5" customHeight="1">
      <c r="A321" s="71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476"/>
    </row>
    <row r="322" ht="13.5" customHeight="1">
      <c r="A322" s="71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476"/>
    </row>
    <row r="323" ht="13.5" customHeight="1">
      <c r="A323" s="71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476"/>
    </row>
    <row r="324" ht="13.5" customHeight="1">
      <c r="A324" s="71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476"/>
    </row>
    <row r="325" ht="13.5" customHeight="1">
      <c r="A325" s="71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476"/>
    </row>
    <row r="326" ht="13.5" customHeight="1">
      <c r="A326" s="71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476"/>
    </row>
    <row r="327" ht="13.5" customHeight="1">
      <c r="A327" s="71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476"/>
    </row>
    <row r="328" ht="13.5" customHeight="1">
      <c r="A328" s="71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476"/>
    </row>
    <row r="329" ht="13.5" customHeight="1">
      <c r="A329" s="71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476"/>
    </row>
    <row r="330" ht="13.5" customHeight="1">
      <c r="A330" s="71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476"/>
    </row>
    <row r="331" ht="13.5" customHeight="1">
      <c r="A331" s="71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476"/>
    </row>
    <row r="332" ht="13.5" customHeight="1">
      <c r="A332" s="71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476"/>
    </row>
    <row r="333" ht="13.5" customHeight="1">
      <c r="A333" s="71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476"/>
    </row>
    <row r="334" ht="13.5" customHeight="1">
      <c r="A334" s="71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476"/>
    </row>
    <row r="335" ht="13.5" customHeight="1">
      <c r="A335" s="71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476"/>
    </row>
    <row r="336" ht="13.5" customHeight="1">
      <c r="A336" s="71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476"/>
    </row>
    <row r="337" ht="13.5" customHeight="1">
      <c r="A337" s="71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476"/>
    </row>
    <row r="338" ht="13.5" customHeight="1">
      <c r="A338" s="71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476"/>
    </row>
    <row r="339" ht="13.5" customHeight="1">
      <c r="A339" s="71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476"/>
    </row>
    <row r="340" ht="13.5" customHeight="1">
      <c r="A340" s="71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476"/>
    </row>
    <row r="341" ht="13.5" customHeight="1">
      <c r="A341" s="71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476"/>
    </row>
    <row r="342" ht="13.5" customHeight="1">
      <c r="A342" s="71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476"/>
    </row>
    <row r="343" ht="13.5" customHeight="1">
      <c r="A343" s="71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476"/>
    </row>
    <row r="344" ht="13.5" customHeight="1">
      <c r="A344" s="71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476"/>
    </row>
    <row r="345" ht="13.5" customHeight="1">
      <c r="A345" s="71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476"/>
    </row>
    <row r="346" ht="13.5" customHeight="1">
      <c r="A346" s="71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476"/>
    </row>
    <row r="347" ht="13.5" customHeight="1">
      <c r="A347" s="71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476"/>
    </row>
    <row r="348" ht="13.5" customHeight="1">
      <c r="A348" s="71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476"/>
    </row>
    <row r="349" ht="13.5" customHeight="1">
      <c r="A349" s="71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476"/>
    </row>
    <row r="350" ht="13.5" customHeight="1">
      <c r="A350" s="71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476"/>
    </row>
    <row r="351" ht="13.5" customHeight="1">
      <c r="A351" s="71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476"/>
    </row>
    <row r="352" ht="13.5" customHeight="1">
      <c r="A352" s="71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476"/>
    </row>
    <row r="353" ht="13.5" customHeight="1">
      <c r="A353" s="71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476"/>
    </row>
    <row r="354" ht="13.5" customHeight="1">
      <c r="A354" s="71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476"/>
    </row>
    <row r="355" ht="13.5" customHeight="1">
      <c r="A355" s="71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476"/>
    </row>
    <row r="356" ht="13.5" customHeight="1">
      <c r="A356" s="71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476"/>
    </row>
    <row r="357" ht="13.5" customHeight="1">
      <c r="A357" s="71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476"/>
    </row>
    <row r="358" ht="13.5" customHeight="1">
      <c r="A358" s="71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476"/>
    </row>
    <row r="359" ht="13.5" customHeight="1">
      <c r="A359" s="71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476"/>
    </row>
    <row r="360" ht="13.5" customHeight="1">
      <c r="A360" s="71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476"/>
    </row>
    <row r="361" ht="13.5" customHeight="1">
      <c r="A361" s="71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476"/>
    </row>
    <row r="362" ht="13.5" customHeight="1">
      <c r="A362" s="71"/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476"/>
    </row>
    <row r="363" ht="13.5" customHeight="1">
      <c r="A363" s="71"/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476"/>
    </row>
    <row r="364" ht="13.5" customHeight="1">
      <c r="A364" s="71"/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476"/>
    </row>
    <row r="365" ht="13.5" customHeight="1">
      <c r="A365" s="71"/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476"/>
    </row>
    <row r="366" ht="13.5" customHeight="1">
      <c r="A366" s="71"/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476"/>
    </row>
    <row r="367" ht="13.5" customHeight="1">
      <c r="A367" s="71"/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476"/>
    </row>
    <row r="368" ht="13.5" customHeight="1">
      <c r="A368" s="71"/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476"/>
    </row>
    <row r="369" ht="13.5" customHeight="1">
      <c r="A369" s="71"/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476"/>
    </row>
    <row r="370" ht="13.5" customHeight="1">
      <c r="A370" s="71"/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476"/>
    </row>
    <row r="371" ht="13.5" customHeight="1">
      <c r="A371" s="71"/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476"/>
    </row>
    <row r="372" ht="13.5" customHeight="1">
      <c r="A372" s="71"/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476"/>
    </row>
    <row r="373" ht="13.5" customHeight="1">
      <c r="A373" s="71"/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476"/>
    </row>
    <row r="374" ht="13.5" customHeight="1">
      <c r="A374" s="71"/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476"/>
    </row>
    <row r="375" ht="13.5" customHeight="1">
      <c r="A375" s="71"/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476"/>
    </row>
    <row r="376" ht="13.5" customHeight="1">
      <c r="A376" s="71"/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476"/>
    </row>
    <row r="377" ht="13.5" customHeight="1">
      <c r="A377" s="71"/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476"/>
    </row>
    <row r="378" ht="13.5" customHeight="1">
      <c r="A378" s="71"/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476"/>
    </row>
    <row r="379" ht="13.5" customHeight="1">
      <c r="A379" s="71"/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476"/>
    </row>
    <row r="380" ht="13.5" customHeight="1">
      <c r="A380" s="71"/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476"/>
    </row>
    <row r="381" ht="13.5" customHeight="1">
      <c r="A381" s="71"/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476"/>
    </row>
    <row r="382" ht="13.5" customHeight="1">
      <c r="A382" s="71"/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476"/>
    </row>
    <row r="383" ht="13.5" customHeight="1">
      <c r="A383" s="71"/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476"/>
    </row>
    <row r="384" ht="13.5" customHeight="1">
      <c r="A384" s="71"/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476"/>
    </row>
    <row r="385" ht="13.5" customHeight="1">
      <c r="A385" s="71"/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476"/>
    </row>
    <row r="386" ht="13.5" customHeight="1">
      <c r="A386" s="71"/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476"/>
    </row>
    <row r="387" ht="13.5" customHeight="1">
      <c r="A387" s="71"/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476"/>
    </row>
    <row r="388" ht="13.5" customHeight="1">
      <c r="A388" s="71"/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476"/>
    </row>
    <row r="389" ht="13.5" customHeight="1">
      <c r="A389" s="71"/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476"/>
    </row>
    <row r="390" ht="13.5" customHeight="1">
      <c r="A390" s="71"/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476"/>
    </row>
    <row r="391" ht="13.5" customHeight="1">
      <c r="A391" s="71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476"/>
    </row>
    <row r="392" ht="13.5" customHeight="1">
      <c r="A392" s="71"/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476"/>
    </row>
    <row r="393" ht="13.5" customHeight="1">
      <c r="A393" s="71"/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476"/>
    </row>
    <row r="394" ht="13.5" customHeight="1">
      <c r="A394" s="71"/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476"/>
    </row>
    <row r="395" ht="13.5" customHeight="1">
      <c r="A395" s="71"/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476"/>
    </row>
    <row r="396" ht="13.5" customHeight="1">
      <c r="A396" s="71"/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476"/>
    </row>
    <row r="397" ht="13.5" customHeight="1">
      <c r="A397" s="71"/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476"/>
    </row>
    <row r="398" ht="13.5" customHeight="1">
      <c r="A398" s="71"/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476"/>
    </row>
    <row r="399" ht="13.5" customHeight="1">
      <c r="A399" s="71"/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476"/>
    </row>
    <row r="400" ht="13.5" customHeight="1">
      <c r="A400" s="71"/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476"/>
    </row>
    <row r="401" ht="13.5" customHeight="1">
      <c r="A401" s="71"/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476"/>
    </row>
    <row r="402" ht="13.5" customHeight="1">
      <c r="A402" s="71"/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476"/>
    </row>
    <row r="403" ht="13.5" customHeight="1">
      <c r="A403" s="71"/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476"/>
    </row>
    <row r="404" ht="13.5" customHeight="1">
      <c r="A404" s="71"/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476"/>
    </row>
    <row r="405" ht="13.5" customHeight="1">
      <c r="A405" s="71"/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476"/>
    </row>
    <row r="406" ht="13.5" customHeight="1">
      <c r="A406" s="71"/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476"/>
    </row>
    <row r="407" ht="13.5" customHeight="1">
      <c r="A407" s="71"/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476"/>
    </row>
    <row r="408" ht="13.5" customHeight="1">
      <c r="A408" s="71"/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476"/>
    </row>
    <row r="409" ht="13.5" customHeight="1">
      <c r="A409" s="71"/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476"/>
    </row>
    <row r="410" ht="13.5" customHeight="1">
      <c r="A410" s="71"/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476"/>
    </row>
    <row r="411" ht="13.5" customHeight="1">
      <c r="A411" s="71"/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476"/>
    </row>
    <row r="412" ht="13.5" customHeight="1">
      <c r="A412" s="71"/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476"/>
    </row>
    <row r="413" ht="13.5" customHeight="1">
      <c r="A413" s="71"/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476"/>
    </row>
    <row r="414" ht="13.5" customHeight="1">
      <c r="A414" s="71"/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476"/>
    </row>
    <row r="415" ht="13.5" customHeight="1">
      <c r="A415" s="71"/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476"/>
    </row>
    <row r="416" ht="13.5" customHeight="1">
      <c r="A416" s="71"/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476"/>
    </row>
    <row r="417" ht="13.5" customHeight="1">
      <c r="A417" s="71"/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476"/>
    </row>
    <row r="418" ht="13.5" customHeight="1">
      <c r="A418" s="71"/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476"/>
    </row>
    <row r="419" ht="13.5" customHeight="1">
      <c r="A419" s="71"/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476"/>
    </row>
    <row r="420" ht="13.5" customHeight="1">
      <c r="A420" s="71"/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476"/>
    </row>
    <row r="421" ht="13.5" customHeight="1">
      <c r="A421" s="71"/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476"/>
    </row>
    <row r="422" ht="13.5" customHeight="1">
      <c r="A422" s="71"/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476"/>
    </row>
    <row r="423" ht="13.5" customHeight="1">
      <c r="A423" s="71"/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476"/>
    </row>
    <row r="424" ht="13.5" customHeight="1">
      <c r="A424" s="71"/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476"/>
    </row>
    <row r="425" ht="13.5" customHeight="1">
      <c r="A425" s="71"/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476"/>
    </row>
    <row r="426" ht="13.5" customHeight="1">
      <c r="A426" s="71"/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476"/>
    </row>
    <row r="427" ht="13.5" customHeight="1">
      <c r="A427" s="71"/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476"/>
    </row>
    <row r="428" ht="13.5" customHeight="1">
      <c r="A428" s="71"/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476"/>
    </row>
    <row r="429" ht="13.5" customHeight="1">
      <c r="A429" s="71"/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476"/>
    </row>
    <row r="430" ht="13.5" customHeight="1">
      <c r="A430" s="71"/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476"/>
    </row>
    <row r="431" ht="13.5" customHeight="1">
      <c r="A431" s="71"/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476"/>
    </row>
    <row r="432" ht="13.5" customHeight="1">
      <c r="A432" s="71"/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476"/>
    </row>
    <row r="433" ht="13.5" customHeight="1">
      <c r="A433" s="71"/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476"/>
    </row>
    <row r="434" ht="13.5" customHeight="1">
      <c r="A434" s="71"/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476"/>
    </row>
    <row r="435" ht="13.5" customHeight="1">
      <c r="A435" s="71"/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476"/>
    </row>
    <row r="436" ht="13.5" customHeight="1">
      <c r="A436" s="71"/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476"/>
    </row>
    <row r="437" ht="13.5" customHeight="1">
      <c r="A437" s="71"/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476"/>
    </row>
    <row r="438" ht="13.5" customHeight="1">
      <c r="A438" s="71"/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476"/>
    </row>
    <row r="439" ht="13.5" customHeight="1">
      <c r="A439" s="71"/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476"/>
    </row>
    <row r="440" ht="13.5" customHeight="1">
      <c r="A440" s="71"/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476"/>
    </row>
    <row r="441" ht="13.5" customHeight="1">
      <c r="A441" s="71"/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476"/>
    </row>
    <row r="442" ht="13.5" customHeight="1">
      <c r="A442" s="71"/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476"/>
    </row>
    <row r="443" ht="13.5" customHeight="1">
      <c r="A443" s="71"/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476"/>
    </row>
    <row r="444" ht="13.5" customHeight="1">
      <c r="A444" s="71"/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476"/>
    </row>
    <row r="445" ht="13.5" customHeight="1">
      <c r="A445" s="71"/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476"/>
    </row>
    <row r="446" ht="13.5" customHeight="1">
      <c r="A446" s="71"/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476"/>
    </row>
    <row r="447" ht="13.5" customHeight="1">
      <c r="A447" s="71"/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476"/>
    </row>
    <row r="448" ht="13.5" customHeight="1">
      <c r="A448" s="71"/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476"/>
    </row>
    <row r="449" ht="13.5" customHeight="1">
      <c r="A449" s="71"/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476"/>
    </row>
    <row r="450" ht="13.5" customHeight="1">
      <c r="A450" s="71"/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476"/>
    </row>
    <row r="451" ht="13.5" customHeight="1">
      <c r="A451" s="71"/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476"/>
    </row>
    <row r="452" ht="13.5" customHeight="1">
      <c r="A452" s="71"/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476"/>
    </row>
    <row r="453" ht="13.5" customHeight="1">
      <c r="A453" s="71"/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476"/>
    </row>
    <row r="454" ht="13.5" customHeight="1">
      <c r="A454" s="71"/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476"/>
    </row>
    <row r="455" ht="13.5" customHeight="1">
      <c r="A455" s="71"/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476"/>
    </row>
    <row r="456" ht="13.5" customHeight="1">
      <c r="A456" s="71"/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476"/>
    </row>
    <row r="457" ht="13.5" customHeight="1">
      <c r="A457" s="71"/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476"/>
    </row>
    <row r="458" ht="13.5" customHeight="1">
      <c r="A458" s="71"/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476"/>
    </row>
    <row r="459" ht="13.5" customHeight="1">
      <c r="A459" s="71"/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476"/>
    </row>
    <row r="460" ht="13.5" customHeight="1">
      <c r="A460" s="71"/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476"/>
    </row>
    <row r="461" ht="13.5" customHeight="1">
      <c r="A461" s="71"/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476"/>
    </row>
    <row r="462" ht="13.5" customHeight="1">
      <c r="A462" s="71"/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476"/>
    </row>
    <row r="463" ht="13.5" customHeight="1">
      <c r="A463" s="71"/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476"/>
    </row>
    <row r="464" ht="13.5" customHeight="1">
      <c r="A464" s="71"/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476"/>
    </row>
    <row r="465" ht="13.5" customHeight="1">
      <c r="A465" s="71"/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476"/>
    </row>
    <row r="466" ht="13.5" customHeight="1">
      <c r="A466" s="71"/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476"/>
    </row>
    <row r="467" ht="13.5" customHeight="1">
      <c r="A467" s="71"/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476"/>
    </row>
    <row r="468" ht="13.5" customHeight="1">
      <c r="A468" s="71"/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476"/>
    </row>
    <row r="469" ht="13.5" customHeight="1">
      <c r="A469" s="71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476"/>
    </row>
    <row r="470" ht="13.5" customHeight="1">
      <c r="A470" s="71"/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476"/>
    </row>
    <row r="471" ht="13.5" customHeight="1">
      <c r="A471" s="71"/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476"/>
    </row>
    <row r="472" ht="13.5" customHeight="1">
      <c r="A472" s="71"/>
      <c r="B472" s="135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476"/>
    </row>
    <row r="473" ht="13.5" customHeight="1">
      <c r="A473" s="71"/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476"/>
    </row>
    <row r="474" ht="13.5" customHeight="1">
      <c r="A474" s="71"/>
      <c r="B474" s="135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476"/>
    </row>
    <row r="475" ht="13.5" customHeight="1">
      <c r="A475" s="71"/>
      <c r="B475" s="135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476"/>
    </row>
    <row r="476" ht="13.5" customHeight="1">
      <c r="A476" s="71"/>
      <c r="B476" s="135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476"/>
    </row>
    <row r="477" ht="13.5" customHeight="1">
      <c r="A477" s="71"/>
      <c r="B477" s="135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476"/>
    </row>
    <row r="478" ht="13.5" customHeight="1">
      <c r="A478" s="71"/>
      <c r="B478" s="135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476"/>
    </row>
    <row r="479" ht="13.5" customHeight="1">
      <c r="A479" s="71"/>
      <c r="B479" s="135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476"/>
    </row>
    <row r="480" ht="13.5" customHeight="1">
      <c r="A480" s="71"/>
      <c r="B480" s="135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476"/>
    </row>
    <row r="481" ht="13.5" customHeight="1">
      <c r="A481" s="71"/>
      <c r="B481" s="135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476"/>
    </row>
    <row r="482" ht="13.5" customHeight="1">
      <c r="A482" s="71"/>
      <c r="B482" s="135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476"/>
    </row>
    <row r="483" ht="13.5" customHeight="1">
      <c r="A483" s="71"/>
      <c r="B483" s="135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476"/>
    </row>
    <row r="484" ht="13.5" customHeight="1">
      <c r="A484" s="71"/>
      <c r="B484" s="135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476"/>
    </row>
    <row r="485" ht="13.5" customHeight="1">
      <c r="A485" s="71"/>
      <c r="B485" s="135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476"/>
    </row>
    <row r="486" ht="13.5" customHeight="1">
      <c r="A486" s="71"/>
      <c r="B486" s="135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476"/>
    </row>
    <row r="487" ht="13.5" customHeight="1">
      <c r="A487" s="71"/>
      <c r="B487" s="135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476"/>
    </row>
    <row r="488" ht="13.5" customHeight="1">
      <c r="A488" s="71"/>
      <c r="B488" s="135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476"/>
    </row>
    <row r="489" ht="13.5" customHeight="1">
      <c r="A489" s="71"/>
      <c r="B489" s="135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476"/>
    </row>
    <row r="490" ht="13.5" customHeight="1">
      <c r="A490" s="71"/>
      <c r="B490" s="135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476"/>
    </row>
    <row r="491" ht="13.5" customHeight="1">
      <c r="A491" s="71"/>
      <c r="B491" s="135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476"/>
    </row>
    <row r="492" ht="13.5" customHeight="1">
      <c r="A492" s="71"/>
      <c r="B492" s="135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476"/>
    </row>
    <row r="493" ht="13.5" customHeight="1">
      <c r="A493" s="71"/>
      <c r="B493" s="135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476"/>
    </row>
    <row r="494" ht="13.5" customHeight="1">
      <c r="A494" s="71"/>
      <c r="B494" s="135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476"/>
    </row>
    <row r="495" ht="13.5" customHeight="1">
      <c r="A495" s="71"/>
      <c r="B495" s="135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476"/>
    </row>
    <row r="496" ht="13.5" customHeight="1">
      <c r="A496" s="71"/>
      <c r="B496" s="135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476"/>
    </row>
    <row r="497" ht="13.5" customHeight="1">
      <c r="A497" s="71"/>
      <c r="B497" s="135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476"/>
    </row>
    <row r="498" ht="13.5" customHeight="1">
      <c r="A498" s="71"/>
      <c r="B498" s="135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476"/>
    </row>
    <row r="499" ht="13.5" customHeight="1">
      <c r="A499" s="71"/>
      <c r="B499" s="135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476"/>
    </row>
    <row r="500" ht="13.5" customHeight="1">
      <c r="A500" s="71"/>
      <c r="B500" s="135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476"/>
    </row>
    <row r="501" ht="13.5" customHeight="1">
      <c r="A501" s="71"/>
      <c r="B501" s="135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476"/>
    </row>
    <row r="502" ht="13.5" customHeight="1">
      <c r="A502" s="71"/>
      <c r="B502" s="135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476"/>
    </row>
    <row r="503" ht="13.5" customHeight="1">
      <c r="A503" s="71"/>
      <c r="B503" s="135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476"/>
    </row>
    <row r="504" ht="13.5" customHeight="1">
      <c r="A504" s="71"/>
      <c r="B504" s="135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476"/>
    </row>
    <row r="505" ht="13.5" customHeight="1">
      <c r="A505" s="71"/>
      <c r="B505" s="135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476"/>
    </row>
    <row r="506" ht="13.5" customHeight="1">
      <c r="A506" s="71"/>
      <c r="B506" s="135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476"/>
    </row>
    <row r="507" ht="13.5" customHeight="1">
      <c r="A507" s="71"/>
      <c r="B507" s="135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476"/>
    </row>
    <row r="508" ht="13.5" customHeight="1">
      <c r="A508" s="71"/>
      <c r="B508" s="135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476"/>
    </row>
    <row r="509" ht="13.5" customHeight="1">
      <c r="A509" s="71"/>
      <c r="B509" s="135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476"/>
    </row>
    <row r="510" ht="13.5" customHeight="1">
      <c r="A510" s="71"/>
      <c r="B510" s="135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476"/>
    </row>
    <row r="511" ht="13.5" customHeight="1">
      <c r="A511" s="71"/>
      <c r="B511" s="135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476"/>
    </row>
    <row r="512" ht="13.5" customHeight="1">
      <c r="A512" s="71"/>
      <c r="B512" s="135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476"/>
    </row>
    <row r="513" ht="13.5" customHeight="1">
      <c r="A513" s="71"/>
      <c r="B513" s="135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476"/>
    </row>
    <row r="514" ht="13.5" customHeight="1">
      <c r="A514" s="71"/>
      <c r="B514" s="135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476"/>
    </row>
    <row r="515" ht="13.5" customHeight="1">
      <c r="A515" s="71"/>
      <c r="B515" s="135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476"/>
    </row>
    <row r="516" ht="13.5" customHeight="1">
      <c r="A516" s="71"/>
      <c r="B516" s="135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476"/>
    </row>
    <row r="517" ht="13.5" customHeight="1">
      <c r="A517" s="71"/>
      <c r="B517" s="135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476"/>
    </row>
    <row r="518" ht="13.5" customHeight="1">
      <c r="A518" s="71"/>
      <c r="B518" s="135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476"/>
    </row>
    <row r="519" ht="13.5" customHeight="1">
      <c r="A519" s="71"/>
      <c r="B519" s="135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476"/>
    </row>
    <row r="520" ht="13.5" customHeight="1">
      <c r="A520" s="71"/>
      <c r="B520" s="135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476"/>
    </row>
    <row r="521" ht="13.5" customHeight="1">
      <c r="A521" s="71"/>
      <c r="B521" s="135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476"/>
    </row>
    <row r="522" ht="13.5" customHeight="1">
      <c r="A522" s="71"/>
      <c r="B522" s="135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476"/>
    </row>
    <row r="523" ht="13.5" customHeight="1">
      <c r="A523" s="71"/>
      <c r="B523" s="135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476"/>
    </row>
    <row r="524" ht="13.5" customHeight="1">
      <c r="A524" s="71"/>
      <c r="B524" s="135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476"/>
    </row>
    <row r="525" ht="13.5" customHeight="1">
      <c r="A525" s="71"/>
      <c r="B525" s="135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476"/>
    </row>
    <row r="526" ht="13.5" customHeight="1">
      <c r="A526" s="71"/>
      <c r="B526" s="135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476"/>
    </row>
    <row r="527" ht="13.5" customHeight="1">
      <c r="A527" s="71"/>
      <c r="B527" s="135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476"/>
    </row>
    <row r="528" ht="13.5" customHeight="1">
      <c r="A528" s="71"/>
      <c r="B528" s="135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476"/>
    </row>
    <row r="529" ht="13.5" customHeight="1">
      <c r="A529" s="71"/>
      <c r="B529" s="135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476"/>
    </row>
    <row r="530" ht="13.5" customHeight="1">
      <c r="A530" s="71"/>
      <c r="B530" s="135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476"/>
    </row>
    <row r="531" ht="13.5" customHeight="1">
      <c r="A531" s="71"/>
      <c r="B531" s="135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476"/>
    </row>
    <row r="532" ht="13.5" customHeight="1">
      <c r="A532" s="71"/>
      <c r="B532" s="135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476"/>
    </row>
    <row r="533" ht="13.5" customHeight="1">
      <c r="A533" s="71"/>
      <c r="B533" s="135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476"/>
    </row>
    <row r="534" ht="13.5" customHeight="1">
      <c r="A534" s="71"/>
      <c r="B534" s="135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476"/>
    </row>
    <row r="535" ht="13.5" customHeight="1">
      <c r="A535" s="71"/>
      <c r="B535" s="135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476"/>
    </row>
    <row r="536" ht="13.5" customHeight="1">
      <c r="A536" s="71"/>
      <c r="B536" s="135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476"/>
    </row>
    <row r="537" ht="13.5" customHeight="1">
      <c r="A537" s="71"/>
      <c r="B537" s="135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476"/>
    </row>
    <row r="538" ht="13.5" customHeight="1">
      <c r="A538" s="71"/>
      <c r="B538" s="135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476"/>
    </row>
    <row r="539" ht="13.5" customHeight="1">
      <c r="A539" s="71"/>
      <c r="B539" s="135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476"/>
    </row>
    <row r="540" ht="13.5" customHeight="1">
      <c r="A540" s="71"/>
      <c r="B540" s="135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476"/>
    </row>
    <row r="541" ht="13.5" customHeight="1">
      <c r="A541" s="71"/>
      <c r="B541" s="135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476"/>
    </row>
    <row r="542" ht="13.5" customHeight="1">
      <c r="A542" s="71"/>
      <c r="B542" s="135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476"/>
    </row>
    <row r="543" ht="13.5" customHeight="1">
      <c r="A543" s="71"/>
      <c r="B543" s="135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476"/>
    </row>
    <row r="544" ht="13.5" customHeight="1">
      <c r="A544" s="71"/>
      <c r="B544" s="135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476"/>
    </row>
    <row r="545" ht="13.5" customHeight="1">
      <c r="A545" s="71"/>
      <c r="B545" s="135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476"/>
    </row>
    <row r="546" ht="13.5" customHeight="1">
      <c r="A546" s="71"/>
      <c r="B546" s="135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476"/>
    </row>
    <row r="547" ht="13.5" customHeight="1">
      <c r="A547" s="71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476"/>
    </row>
    <row r="548" ht="13.5" customHeight="1">
      <c r="A548" s="71"/>
      <c r="B548" s="135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476"/>
    </row>
    <row r="549" ht="13.5" customHeight="1">
      <c r="A549" s="71"/>
      <c r="B549" s="135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476"/>
    </row>
    <row r="550" ht="13.5" customHeight="1">
      <c r="A550" s="71"/>
      <c r="B550" s="135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476"/>
    </row>
    <row r="551" ht="13.5" customHeight="1">
      <c r="A551" s="71"/>
      <c r="B551" s="135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476"/>
    </row>
    <row r="552" ht="13.5" customHeight="1">
      <c r="A552" s="71"/>
      <c r="B552" s="135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476"/>
    </row>
    <row r="553" ht="13.5" customHeight="1">
      <c r="A553" s="71"/>
      <c r="B553" s="135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476"/>
    </row>
    <row r="554" ht="13.5" customHeight="1">
      <c r="A554" s="71"/>
      <c r="B554" s="135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476"/>
    </row>
    <row r="555" ht="13.5" customHeight="1">
      <c r="A555" s="71"/>
      <c r="B555" s="135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476"/>
    </row>
    <row r="556" ht="13.5" customHeight="1">
      <c r="A556" s="71"/>
      <c r="B556" s="135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476"/>
    </row>
    <row r="557" ht="13.5" customHeight="1">
      <c r="A557" s="71"/>
      <c r="B557" s="135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476"/>
    </row>
    <row r="558" ht="13.5" customHeight="1">
      <c r="A558" s="71"/>
      <c r="B558" s="135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476"/>
    </row>
    <row r="559" ht="13.5" customHeight="1">
      <c r="A559" s="71"/>
      <c r="B559" s="135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476"/>
    </row>
    <row r="560" ht="13.5" customHeight="1">
      <c r="A560" s="71"/>
      <c r="B560" s="135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476"/>
    </row>
    <row r="561" ht="13.5" customHeight="1">
      <c r="A561" s="71"/>
      <c r="B561" s="135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476"/>
    </row>
    <row r="562" ht="13.5" customHeight="1">
      <c r="A562" s="71"/>
      <c r="B562" s="135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476"/>
    </row>
    <row r="563" ht="13.5" customHeight="1">
      <c r="A563" s="71"/>
      <c r="B563" s="135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476"/>
    </row>
    <row r="564" ht="13.5" customHeight="1">
      <c r="A564" s="71"/>
      <c r="B564" s="135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476"/>
    </row>
    <row r="565" ht="13.5" customHeight="1">
      <c r="A565" s="71"/>
      <c r="B565" s="135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476"/>
    </row>
    <row r="566" ht="13.5" customHeight="1">
      <c r="A566" s="71"/>
      <c r="B566" s="135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476"/>
    </row>
    <row r="567" ht="13.5" customHeight="1">
      <c r="A567" s="71"/>
      <c r="B567" s="135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476"/>
    </row>
    <row r="568" ht="13.5" customHeight="1">
      <c r="A568" s="71"/>
      <c r="B568" s="135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476"/>
    </row>
    <row r="569" ht="13.5" customHeight="1">
      <c r="A569" s="71"/>
      <c r="B569" s="135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476"/>
    </row>
    <row r="570" ht="13.5" customHeight="1">
      <c r="A570" s="71"/>
      <c r="B570" s="135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476"/>
    </row>
    <row r="571" ht="13.5" customHeight="1">
      <c r="A571" s="71"/>
      <c r="B571" s="135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476"/>
    </row>
    <row r="572" ht="13.5" customHeight="1">
      <c r="A572" s="71"/>
      <c r="B572" s="135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476"/>
    </row>
    <row r="573" ht="13.5" customHeight="1">
      <c r="A573" s="71"/>
      <c r="B573" s="135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476"/>
    </row>
    <row r="574" ht="13.5" customHeight="1">
      <c r="A574" s="71"/>
      <c r="B574" s="135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476"/>
    </row>
    <row r="575" ht="13.5" customHeight="1">
      <c r="A575" s="71"/>
      <c r="B575" s="135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476"/>
    </row>
    <row r="576" ht="13.5" customHeight="1">
      <c r="A576" s="71"/>
      <c r="B576" s="135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476"/>
    </row>
    <row r="577" ht="13.5" customHeight="1">
      <c r="A577" s="71"/>
      <c r="B577" s="135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476"/>
    </row>
    <row r="578" ht="13.5" customHeight="1">
      <c r="A578" s="71"/>
      <c r="B578" s="135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476"/>
    </row>
    <row r="579" ht="13.5" customHeight="1">
      <c r="A579" s="71"/>
      <c r="B579" s="135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476"/>
    </row>
    <row r="580" ht="13.5" customHeight="1">
      <c r="A580" s="71"/>
      <c r="B580" s="135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476"/>
    </row>
    <row r="581" ht="13.5" customHeight="1">
      <c r="A581" s="71"/>
      <c r="B581" s="135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476"/>
    </row>
    <row r="582" ht="13.5" customHeight="1">
      <c r="A582" s="71"/>
      <c r="B582" s="135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476"/>
    </row>
    <row r="583" ht="13.5" customHeight="1">
      <c r="A583" s="71"/>
      <c r="B583" s="135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476"/>
    </row>
    <row r="584" ht="13.5" customHeight="1">
      <c r="A584" s="71"/>
      <c r="B584" s="135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476"/>
    </row>
    <row r="585" ht="13.5" customHeight="1">
      <c r="A585" s="71"/>
      <c r="B585" s="135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476"/>
    </row>
    <row r="586" ht="13.5" customHeight="1">
      <c r="A586" s="71"/>
      <c r="B586" s="135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476"/>
    </row>
    <row r="587" ht="13.5" customHeight="1">
      <c r="A587" s="71"/>
      <c r="B587" s="135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476"/>
    </row>
    <row r="588" ht="13.5" customHeight="1">
      <c r="A588" s="71"/>
      <c r="B588" s="135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476"/>
    </row>
    <row r="589" ht="13.5" customHeight="1">
      <c r="A589" s="71"/>
      <c r="B589" s="135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476"/>
    </row>
    <row r="590" ht="13.5" customHeight="1">
      <c r="A590" s="71"/>
      <c r="B590" s="135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476"/>
    </row>
    <row r="591" ht="13.5" customHeight="1">
      <c r="A591" s="71"/>
      <c r="B591" s="135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476"/>
    </row>
    <row r="592" ht="13.5" customHeight="1">
      <c r="A592" s="71"/>
      <c r="B592" s="135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476"/>
    </row>
    <row r="593" ht="13.5" customHeight="1">
      <c r="A593" s="71"/>
      <c r="B593" s="135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476"/>
    </row>
    <row r="594" ht="13.5" customHeight="1">
      <c r="A594" s="71"/>
      <c r="B594" s="135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476"/>
    </row>
    <row r="595" ht="13.5" customHeight="1">
      <c r="A595" s="71"/>
      <c r="B595" s="135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476"/>
    </row>
    <row r="596" ht="13.5" customHeight="1">
      <c r="A596" s="71"/>
      <c r="B596" s="135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476"/>
    </row>
    <row r="597" ht="13.5" customHeight="1">
      <c r="A597" s="71"/>
      <c r="B597" s="135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476"/>
    </row>
    <row r="598" ht="13.5" customHeight="1">
      <c r="A598" s="71"/>
      <c r="B598" s="135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476"/>
    </row>
    <row r="599" ht="13.5" customHeight="1">
      <c r="A599" s="71"/>
      <c r="B599" s="135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476"/>
    </row>
    <row r="600" ht="13.5" customHeight="1">
      <c r="A600" s="71"/>
      <c r="B600" s="135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476"/>
    </row>
    <row r="601" ht="13.5" customHeight="1">
      <c r="A601" s="71"/>
      <c r="B601" s="135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476"/>
    </row>
    <row r="602" ht="13.5" customHeight="1">
      <c r="A602" s="71"/>
      <c r="B602" s="135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476"/>
    </row>
    <row r="603" ht="13.5" customHeight="1">
      <c r="A603" s="71"/>
      <c r="B603" s="135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476"/>
    </row>
    <row r="604" ht="13.5" customHeight="1">
      <c r="A604" s="71"/>
      <c r="B604" s="135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476"/>
    </row>
    <row r="605" ht="13.5" customHeight="1">
      <c r="A605" s="71"/>
      <c r="B605" s="135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476"/>
    </row>
    <row r="606" ht="13.5" customHeight="1">
      <c r="A606" s="71"/>
      <c r="B606" s="135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476"/>
    </row>
    <row r="607" ht="13.5" customHeight="1">
      <c r="A607" s="71"/>
      <c r="B607" s="135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476"/>
    </row>
    <row r="608" ht="13.5" customHeight="1">
      <c r="A608" s="71"/>
      <c r="B608" s="135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476"/>
    </row>
    <row r="609" ht="13.5" customHeight="1">
      <c r="A609" s="71"/>
      <c r="B609" s="135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476"/>
    </row>
    <row r="610" ht="13.5" customHeight="1">
      <c r="A610" s="71"/>
      <c r="B610" s="135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476"/>
    </row>
    <row r="611" ht="13.5" customHeight="1">
      <c r="A611" s="71"/>
      <c r="B611" s="135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476"/>
    </row>
    <row r="612" ht="13.5" customHeight="1">
      <c r="A612" s="71"/>
      <c r="B612" s="135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476"/>
    </row>
    <row r="613" ht="13.5" customHeight="1">
      <c r="A613" s="71"/>
      <c r="B613" s="135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476"/>
    </row>
    <row r="614" ht="13.5" customHeight="1">
      <c r="A614" s="71"/>
      <c r="B614" s="135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476"/>
    </row>
    <row r="615" ht="13.5" customHeight="1">
      <c r="A615" s="71"/>
      <c r="B615" s="135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476"/>
    </row>
    <row r="616" ht="13.5" customHeight="1">
      <c r="A616" s="71"/>
      <c r="B616" s="135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476"/>
    </row>
    <row r="617" ht="13.5" customHeight="1">
      <c r="A617" s="71"/>
      <c r="B617" s="135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476"/>
    </row>
    <row r="618" ht="13.5" customHeight="1">
      <c r="A618" s="71"/>
      <c r="B618" s="135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476"/>
    </row>
    <row r="619" ht="13.5" customHeight="1">
      <c r="A619" s="71"/>
      <c r="B619" s="135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476"/>
    </row>
    <row r="620" ht="13.5" customHeight="1">
      <c r="A620" s="71"/>
      <c r="B620" s="135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476"/>
    </row>
    <row r="621" ht="13.5" customHeight="1">
      <c r="A621" s="71"/>
      <c r="B621" s="135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476"/>
    </row>
    <row r="622" ht="13.5" customHeight="1">
      <c r="A622" s="71"/>
      <c r="B622" s="135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476"/>
    </row>
    <row r="623" ht="13.5" customHeight="1">
      <c r="A623" s="71"/>
      <c r="B623" s="135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476"/>
    </row>
    <row r="624" ht="13.5" customHeight="1">
      <c r="A624" s="71"/>
      <c r="B624" s="135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476"/>
    </row>
    <row r="625" ht="13.5" customHeight="1">
      <c r="A625" s="71"/>
      <c r="B625" s="135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476"/>
    </row>
    <row r="626" ht="13.5" customHeight="1">
      <c r="A626" s="71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476"/>
    </row>
    <row r="627" ht="13.5" customHeight="1">
      <c r="A627" s="71"/>
      <c r="B627" s="135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476"/>
    </row>
    <row r="628" ht="13.5" customHeight="1">
      <c r="A628" s="71"/>
      <c r="B628" s="135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476"/>
    </row>
    <row r="629" ht="13.5" customHeight="1">
      <c r="A629" s="71"/>
      <c r="B629" s="135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476"/>
    </row>
    <row r="630" ht="13.5" customHeight="1">
      <c r="A630" s="71"/>
      <c r="B630" s="135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476"/>
    </row>
    <row r="631" ht="13.5" customHeight="1">
      <c r="A631" s="71"/>
      <c r="B631" s="135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476"/>
    </row>
    <row r="632" ht="13.5" customHeight="1">
      <c r="A632" s="71"/>
      <c r="B632" s="135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476"/>
    </row>
    <row r="633" ht="13.5" customHeight="1">
      <c r="A633" s="71"/>
      <c r="B633" s="135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476"/>
    </row>
    <row r="634" ht="13.5" customHeight="1">
      <c r="A634" s="71"/>
      <c r="B634" s="135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476"/>
    </row>
    <row r="635" ht="13.5" customHeight="1">
      <c r="A635" s="71"/>
      <c r="B635" s="135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476"/>
    </row>
    <row r="636" ht="13.5" customHeight="1">
      <c r="A636" s="71"/>
      <c r="B636" s="135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476"/>
    </row>
    <row r="637" ht="13.5" customHeight="1">
      <c r="A637" s="71"/>
      <c r="B637" s="135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476"/>
    </row>
    <row r="638" ht="13.5" customHeight="1">
      <c r="A638" s="71"/>
      <c r="B638" s="135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476"/>
    </row>
    <row r="639" ht="13.5" customHeight="1">
      <c r="A639" s="71"/>
      <c r="B639" s="135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476"/>
    </row>
    <row r="640" ht="13.5" customHeight="1">
      <c r="A640" s="71"/>
      <c r="B640" s="135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476"/>
    </row>
    <row r="641" ht="13.5" customHeight="1">
      <c r="A641" s="71"/>
      <c r="B641" s="135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476"/>
    </row>
    <row r="642" ht="13.5" customHeight="1">
      <c r="A642" s="71"/>
      <c r="B642" s="135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476"/>
    </row>
    <row r="643" ht="13.5" customHeight="1">
      <c r="A643" s="71"/>
      <c r="B643" s="135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476"/>
    </row>
    <row r="644" ht="13.5" customHeight="1">
      <c r="A644" s="71"/>
      <c r="B644" s="135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476"/>
    </row>
    <row r="645" ht="13.5" customHeight="1">
      <c r="A645" s="71"/>
      <c r="B645" s="135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476"/>
    </row>
    <row r="646" ht="13.5" customHeight="1">
      <c r="A646" s="71"/>
      <c r="B646" s="135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476"/>
    </row>
    <row r="647" ht="13.5" customHeight="1">
      <c r="A647" s="71"/>
      <c r="B647" s="135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476"/>
    </row>
    <row r="648" ht="13.5" customHeight="1">
      <c r="A648" s="71"/>
      <c r="B648" s="135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476"/>
    </row>
    <row r="649" ht="13.5" customHeight="1">
      <c r="A649" s="71"/>
      <c r="B649" s="135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476"/>
    </row>
    <row r="650" ht="13.5" customHeight="1">
      <c r="A650" s="71"/>
      <c r="B650" s="135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476"/>
    </row>
    <row r="651" ht="13.5" customHeight="1">
      <c r="A651" s="71"/>
      <c r="B651" s="135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476"/>
    </row>
    <row r="652" ht="13.5" customHeight="1">
      <c r="A652" s="71"/>
      <c r="B652" s="135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476"/>
    </row>
    <row r="653" ht="13.5" customHeight="1">
      <c r="A653" s="71"/>
      <c r="B653" s="135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476"/>
    </row>
    <row r="654" ht="13.5" customHeight="1">
      <c r="A654" s="71"/>
      <c r="B654" s="135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476"/>
    </row>
    <row r="655" ht="13.5" customHeight="1">
      <c r="A655" s="71"/>
      <c r="B655" s="135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476"/>
    </row>
    <row r="656" ht="13.5" customHeight="1">
      <c r="A656" s="71"/>
      <c r="B656" s="135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476"/>
    </row>
    <row r="657" ht="13.5" customHeight="1">
      <c r="A657" s="71"/>
      <c r="B657" s="135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476"/>
    </row>
    <row r="658" ht="13.5" customHeight="1">
      <c r="A658" s="71"/>
      <c r="B658" s="135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476"/>
    </row>
    <row r="659" ht="13.5" customHeight="1">
      <c r="A659" s="71"/>
      <c r="B659" s="135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476"/>
    </row>
    <row r="660" ht="13.5" customHeight="1">
      <c r="A660" s="71"/>
      <c r="B660" s="135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476"/>
    </row>
    <row r="661" ht="13.5" customHeight="1">
      <c r="A661" s="71"/>
      <c r="B661" s="135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476"/>
    </row>
    <row r="662" ht="13.5" customHeight="1">
      <c r="A662" s="71"/>
      <c r="B662" s="135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476"/>
    </row>
    <row r="663" ht="13.5" customHeight="1">
      <c r="A663" s="71"/>
      <c r="B663" s="135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476"/>
    </row>
    <row r="664" ht="13.5" customHeight="1">
      <c r="A664" s="71"/>
      <c r="B664" s="135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476"/>
    </row>
    <row r="665" ht="13.5" customHeight="1">
      <c r="A665" s="71"/>
      <c r="B665" s="135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476"/>
    </row>
    <row r="666" ht="13.5" customHeight="1">
      <c r="A666" s="71"/>
      <c r="B666" s="135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476"/>
    </row>
    <row r="667" ht="13.5" customHeight="1">
      <c r="A667" s="71"/>
      <c r="B667" s="135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476"/>
    </row>
    <row r="668" ht="13.5" customHeight="1">
      <c r="A668" s="71"/>
      <c r="B668" s="135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476"/>
    </row>
    <row r="669" ht="13.5" customHeight="1">
      <c r="A669" s="71"/>
      <c r="B669" s="135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476"/>
    </row>
    <row r="670" ht="13.5" customHeight="1">
      <c r="A670" s="71"/>
      <c r="B670" s="135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476"/>
    </row>
    <row r="671" ht="13.5" customHeight="1">
      <c r="A671" s="71"/>
      <c r="B671" s="135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476"/>
    </row>
    <row r="672" ht="13.5" customHeight="1">
      <c r="A672" s="71"/>
      <c r="B672" s="135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476"/>
    </row>
    <row r="673" ht="13.5" customHeight="1">
      <c r="A673" s="71"/>
      <c r="B673" s="135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476"/>
    </row>
    <row r="674" ht="13.5" customHeight="1">
      <c r="A674" s="71"/>
      <c r="B674" s="135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476"/>
    </row>
    <row r="675" ht="13.5" customHeight="1">
      <c r="A675" s="71"/>
      <c r="B675" s="135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476"/>
    </row>
    <row r="676" ht="13.5" customHeight="1">
      <c r="A676" s="71"/>
      <c r="B676" s="135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476"/>
    </row>
    <row r="677" ht="13.5" customHeight="1">
      <c r="A677" s="71"/>
      <c r="B677" s="135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476"/>
    </row>
    <row r="678" ht="13.5" customHeight="1">
      <c r="A678" s="71"/>
      <c r="B678" s="135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476"/>
    </row>
    <row r="679" ht="13.5" customHeight="1">
      <c r="A679" s="71"/>
      <c r="B679" s="135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476"/>
    </row>
    <row r="680" ht="13.5" customHeight="1">
      <c r="A680" s="71"/>
      <c r="B680" s="135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476"/>
    </row>
    <row r="681" ht="13.5" customHeight="1">
      <c r="A681" s="71"/>
      <c r="B681" s="135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476"/>
    </row>
    <row r="682" ht="13.5" customHeight="1">
      <c r="A682" s="71"/>
      <c r="B682" s="135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476"/>
    </row>
    <row r="683" ht="13.5" customHeight="1">
      <c r="A683" s="71"/>
      <c r="B683" s="135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476"/>
    </row>
    <row r="684" ht="13.5" customHeight="1">
      <c r="A684" s="71"/>
      <c r="B684" s="135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476"/>
    </row>
    <row r="685" ht="13.5" customHeight="1">
      <c r="A685" s="71"/>
      <c r="B685" s="135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476"/>
    </row>
    <row r="686" ht="13.5" customHeight="1">
      <c r="A686" s="71"/>
      <c r="B686" s="135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476"/>
    </row>
    <row r="687" ht="13.5" customHeight="1">
      <c r="A687" s="71"/>
      <c r="B687" s="135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476"/>
    </row>
    <row r="688" ht="13.5" customHeight="1">
      <c r="A688" s="71"/>
      <c r="B688" s="135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476"/>
    </row>
    <row r="689" ht="13.5" customHeight="1">
      <c r="A689" s="71"/>
      <c r="B689" s="135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476"/>
    </row>
    <row r="690" ht="13.5" customHeight="1">
      <c r="A690" s="71"/>
      <c r="B690" s="135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476"/>
    </row>
    <row r="691" ht="13.5" customHeight="1">
      <c r="A691" s="71"/>
      <c r="B691" s="135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476"/>
    </row>
    <row r="692" ht="13.5" customHeight="1">
      <c r="A692" s="71"/>
      <c r="B692" s="135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476"/>
    </row>
    <row r="693" ht="13.5" customHeight="1">
      <c r="A693" s="71"/>
      <c r="B693" s="135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476"/>
    </row>
    <row r="694" ht="13.5" customHeight="1">
      <c r="A694" s="71"/>
      <c r="B694" s="135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476"/>
    </row>
    <row r="695" ht="13.5" customHeight="1">
      <c r="A695" s="71"/>
      <c r="B695" s="135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476"/>
    </row>
    <row r="696" ht="13.5" customHeight="1">
      <c r="A696" s="71"/>
      <c r="B696" s="135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476"/>
    </row>
    <row r="697" ht="13.5" customHeight="1">
      <c r="A697" s="71"/>
      <c r="B697" s="135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476"/>
    </row>
    <row r="698" ht="13.5" customHeight="1">
      <c r="A698" s="71"/>
      <c r="B698" s="135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476"/>
    </row>
    <row r="699" ht="13.5" customHeight="1">
      <c r="A699" s="71"/>
      <c r="B699" s="135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476"/>
    </row>
    <row r="700" ht="13.5" customHeight="1">
      <c r="A700" s="71"/>
      <c r="B700" s="135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476"/>
    </row>
    <row r="701" ht="13.5" customHeight="1">
      <c r="A701" s="71"/>
      <c r="B701" s="135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476"/>
    </row>
    <row r="702" ht="13.5" customHeight="1">
      <c r="A702" s="71"/>
      <c r="B702" s="135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476"/>
    </row>
    <row r="703" ht="13.5" customHeight="1">
      <c r="A703" s="71"/>
      <c r="B703" s="135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476"/>
    </row>
    <row r="704" ht="13.5" customHeight="1">
      <c r="A704" s="71"/>
      <c r="B704" s="135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476"/>
    </row>
    <row r="705" ht="13.5" customHeight="1">
      <c r="A705" s="71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476"/>
    </row>
    <row r="706" ht="13.5" customHeight="1">
      <c r="A706" s="71"/>
      <c r="B706" s="135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476"/>
    </row>
    <row r="707" ht="13.5" customHeight="1">
      <c r="A707" s="71"/>
      <c r="B707" s="135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476"/>
    </row>
    <row r="708" ht="13.5" customHeight="1">
      <c r="A708" s="71"/>
      <c r="B708" s="135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476"/>
    </row>
    <row r="709" ht="13.5" customHeight="1">
      <c r="A709" s="71"/>
      <c r="B709" s="135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476"/>
    </row>
    <row r="710" ht="13.5" customHeight="1">
      <c r="A710" s="71"/>
      <c r="B710" s="135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476"/>
    </row>
    <row r="711" ht="13.5" customHeight="1">
      <c r="A711" s="71"/>
      <c r="B711" s="135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476"/>
    </row>
    <row r="712" ht="13.5" customHeight="1">
      <c r="A712" s="71"/>
      <c r="B712" s="135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476"/>
    </row>
    <row r="713" ht="13.5" customHeight="1">
      <c r="A713" s="71"/>
      <c r="B713" s="135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476"/>
    </row>
    <row r="714" ht="13.5" customHeight="1">
      <c r="A714" s="71"/>
      <c r="B714" s="135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476"/>
    </row>
    <row r="715" ht="13.5" customHeight="1">
      <c r="A715" s="71"/>
      <c r="B715" s="135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476"/>
    </row>
    <row r="716" ht="13.5" customHeight="1">
      <c r="A716" s="71"/>
      <c r="B716" s="135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476"/>
    </row>
    <row r="717" ht="13.5" customHeight="1">
      <c r="A717" s="71"/>
      <c r="B717" s="135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476"/>
    </row>
    <row r="718" ht="13.5" customHeight="1">
      <c r="A718" s="71"/>
      <c r="B718" s="135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476"/>
    </row>
    <row r="719" ht="13.5" customHeight="1">
      <c r="A719" s="71"/>
      <c r="B719" s="135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476"/>
    </row>
    <row r="720" ht="13.5" customHeight="1">
      <c r="A720" s="71"/>
      <c r="B720" s="135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476"/>
    </row>
    <row r="721" ht="13.5" customHeight="1">
      <c r="A721" s="71"/>
      <c r="B721" s="135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476"/>
    </row>
    <row r="722" ht="13.5" customHeight="1">
      <c r="A722" s="71"/>
      <c r="B722" s="135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476"/>
    </row>
    <row r="723" ht="13.5" customHeight="1">
      <c r="A723" s="71"/>
      <c r="B723" s="135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476"/>
    </row>
    <row r="724" ht="13.5" customHeight="1">
      <c r="A724" s="71"/>
      <c r="B724" s="135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476"/>
    </row>
    <row r="725" ht="13.5" customHeight="1">
      <c r="A725" s="71"/>
      <c r="B725" s="135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476"/>
    </row>
    <row r="726" ht="13.5" customHeight="1">
      <c r="A726" s="71"/>
      <c r="B726" s="135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476"/>
    </row>
    <row r="727" ht="13.5" customHeight="1">
      <c r="A727" s="71"/>
      <c r="B727" s="135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476"/>
    </row>
    <row r="728" ht="13.5" customHeight="1">
      <c r="A728" s="71"/>
      <c r="B728" s="135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476"/>
    </row>
    <row r="729" ht="13.5" customHeight="1">
      <c r="A729" s="71"/>
      <c r="B729" s="135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476"/>
    </row>
    <row r="730" ht="13.5" customHeight="1">
      <c r="A730" s="71"/>
      <c r="B730" s="135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476"/>
    </row>
    <row r="731" ht="13.5" customHeight="1">
      <c r="A731" s="71"/>
      <c r="B731" s="135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476"/>
    </row>
    <row r="732" ht="13.5" customHeight="1">
      <c r="A732" s="71"/>
      <c r="B732" s="135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476"/>
    </row>
    <row r="733" ht="13.5" customHeight="1">
      <c r="A733" s="71"/>
      <c r="B733" s="135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476"/>
    </row>
    <row r="734" ht="13.5" customHeight="1">
      <c r="A734" s="71"/>
      <c r="B734" s="135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476"/>
    </row>
    <row r="735" ht="13.5" customHeight="1">
      <c r="A735" s="71"/>
      <c r="B735" s="135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476"/>
    </row>
    <row r="736" ht="13.5" customHeight="1">
      <c r="A736" s="71"/>
      <c r="B736" s="135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476"/>
    </row>
    <row r="737" ht="13.5" customHeight="1">
      <c r="A737" s="71"/>
      <c r="B737" s="135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476"/>
    </row>
    <row r="738" ht="13.5" customHeight="1">
      <c r="A738" s="71"/>
      <c r="B738" s="135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476"/>
    </row>
    <row r="739" ht="13.5" customHeight="1">
      <c r="A739" s="71"/>
      <c r="B739" s="135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476"/>
    </row>
    <row r="740" ht="13.5" customHeight="1">
      <c r="A740" s="71"/>
      <c r="B740" s="135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476"/>
    </row>
    <row r="741" ht="13.5" customHeight="1">
      <c r="A741" s="71"/>
      <c r="B741" s="135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476"/>
    </row>
    <row r="742" ht="13.5" customHeight="1">
      <c r="A742" s="71"/>
      <c r="B742" s="135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476"/>
    </row>
    <row r="743" ht="13.5" customHeight="1">
      <c r="A743" s="71"/>
      <c r="B743" s="135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476"/>
    </row>
    <row r="744" ht="13.5" customHeight="1">
      <c r="A744" s="71"/>
      <c r="B744" s="135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476"/>
    </row>
    <row r="745" ht="13.5" customHeight="1">
      <c r="A745" s="71"/>
      <c r="B745" s="135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476"/>
    </row>
    <row r="746" ht="13.5" customHeight="1">
      <c r="A746" s="71"/>
      <c r="B746" s="135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476"/>
    </row>
    <row r="747" ht="13.5" customHeight="1">
      <c r="A747" s="71"/>
      <c r="B747" s="135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476"/>
    </row>
    <row r="748" ht="13.5" customHeight="1">
      <c r="A748" s="71"/>
      <c r="B748" s="135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476"/>
    </row>
    <row r="749" ht="13.5" customHeight="1">
      <c r="A749" s="71"/>
      <c r="B749" s="135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476"/>
    </row>
    <row r="750" ht="13.5" customHeight="1">
      <c r="A750" s="71"/>
      <c r="B750" s="135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476"/>
    </row>
    <row r="751" ht="13.5" customHeight="1">
      <c r="A751" s="71"/>
      <c r="B751" s="135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476"/>
    </row>
    <row r="752" ht="13.5" customHeight="1">
      <c r="A752" s="71"/>
      <c r="B752" s="135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476"/>
    </row>
    <row r="753" ht="13.5" customHeight="1">
      <c r="A753" s="71"/>
      <c r="B753" s="135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476"/>
    </row>
    <row r="754" ht="13.5" customHeight="1">
      <c r="A754" s="71"/>
      <c r="B754" s="135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476"/>
    </row>
    <row r="755" ht="13.5" customHeight="1">
      <c r="A755" s="71"/>
      <c r="B755" s="135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476"/>
    </row>
    <row r="756" ht="13.5" customHeight="1">
      <c r="A756" s="71"/>
      <c r="B756" s="135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476"/>
    </row>
    <row r="757" ht="13.5" customHeight="1">
      <c r="A757" s="71"/>
      <c r="B757" s="135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476"/>
    </row>
    <row r="758" ht="13.5" customHeight="1">
      <c r="A758" s="71"/>
      <c r="B758" s="135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476"/>
    </row>
    <row r="759" ht="13.5" customHeight="1">
      <c r="A759" s="71"/>
      <c r="B759" s="135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476"/>
    </row>
    <row r="760" ht="13.5" customHeight="1">
      <c r="A760" s="71"/>
      <c r="B760" s="135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476"/>
    </row>
    <row r="761" ht="13.5" customHeight="1">
      <c r="A761" s="71"/>
      <c r="B761" s="135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476"/>
    </row>
    <row r="762" ht="13.5" customHeight="1">
      <c r="A762" s="71"/>
      <c r="B762" s="135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476"/>
    </row>
    <row r="763" ht="13.5" customHeight="1">
      <c r="A763" s="71"/>
      <c r="B763" s="135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476"/>
    </row>
    <row r="764" ht="13.5" customHeight="1">
      <c r="A764" s="71"/>
      <c r="B764" s="135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476"/>
    </row>
    <row r="765" ht="13.5" customHeight="1">
      <c r="A765" s="71"/>
      <c r="B765" s="135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476"/>
    </row>
    <row r="766" ht="13.5" customHeight="1">
      <c r="A766" s="71"/>
      <c r="B766" s="135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476"/>
    </row>
    <row r="767" ht="13.5" customHeight="1">
      <c r="A767" s="71"/>
      <c r="B767" s="135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476"/>
    </row>
    <row r="768" ht="13.5" customHeight="1">
      <c r="A768" s="71"/>
      <c r="B768" s="135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476"/>
    </row>
    <row r="769" ht="13.5" customHeight="1">
      <c r="A769" s="71"/>
      <c r="B769" s="135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476"/>
    </row>
    <row r="770" ht="13.5" customHeight="1">
      <c r="A770" s="71"/>
      <c r="B770" s="135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476"/>
    </row>
    <row r="771" ht="13.5" customHeight="1">
      <c r="A771" s="71"/>
      <c r="B771" s="135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476"/>
    </row>
    <row r="772" ht="13.5" customHeight="1">
      <c r="A772" s="71"/>
      <c r="B772" s="135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476"/>
    </row>
    <row r="773" ht="13.5" customHeight="1">
      <c r="A773" s="71"/>
      <c r="B773" s="135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476"/>
    </row>
    <row r="774" ht="13.5" customHeight="1">
      <c r="A774" s="71"/>
      <c r="B774" s="135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476"/>
    </row>
    <row r="775" ht="13.5" customHeight="1">
      <c r="A775" s="71"/>
      <c r="B775" s="135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476"/>
    </row>
    <row r="776" ht="13.5" customHeight="1">
      <c r="A776" s="71"/>
      <c r="B776" s="135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476"/>
    </row>
    <row r="777" ht="13.5" customHeight="1">
      <c r="A777" s="71"/>
      <c r="B777" s="135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476"/>
    </row>
    <row r="778" ht="13.5" customHeight="1">
      <c r="A778" s="71"/>
      <c r="B778" s="135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476"/>
    </row>
    <row r="779" ht="13.5" customHeight="1">
      <c r="A779" s="71"/>
      <c r="B779" s="135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476"/>
    </row>
    <row r="780" ht="13.5" customHeight="1">
      <c r="A780" s="71"/>
      <c r="B780" s="135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476"/>
    </row>
    <row r="781" ht="13.5" customHeight="1">
      <c r="A781" s="71"/>
      <c r="B781" s="135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476"/>
    </row>
    <row r="782" ht="13.5" customHeight="1">
      <c r="A782" s="71"/>
      <c r="B782" s="135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476"/>
    </row>
    <row r="783" ht="13.5" customHeight="1">
      <c r="A783" s="71"/>
      <c r="B783" s="135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476"/>
    </row>
    <row r="784" ht="13.5" customHeight="1">
      <c r="A784" s="71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476"/>
    </row>
    <row r="785" ht="13.5" customHeight="1">
      <c r="A785" s="71"/>
      <c r="B785" s="135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476"/>
    </row>
    <row r="786" ht="13.5" customHeight="1">
      <c r="A786" s="71"/>
      <c r="B786" s="135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476"/>
    </row>
    <row r="787" ht="13.5" customHeight="1">
      <c r="A787" s="71"/>
      <c r="B787" s="135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476"/>
    </row>
    <row r="788" ht="13.5" customHeight="1">
      <c r="A788" s="71"/>
      <c r="B788" s="135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476"/>
    </row>
    <row r="789" ht="13.5" customHeight="1">
      <c r="A789" s="71"/>
      <c r="B789" s="135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476"/>
    </row>
    <row r="790" ht="13.5" customHeight="1">
      <c r="A790" s="71"/>
      <c r="B790" s="135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476"/>
    </row>
    <row r="791" ht="13.5" customHeight="1">
      <c r="A791" s="71"/>
      <c r="B791" s="135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476"/>
    </row>
    <row r="792" ht="13.5" customHeight="1">
      <c r="A792" s="71"/>
      <c r="B792" s="135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476"/>
    </row>
    <row r="793" ht="13.5" customHeight="1">
      <c r="A793" s="71"/>
      <c r="B793" s="135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476"/>
    </row>
    <row r="794" ht="13.5" customHeight="1">
      <c r="A794" s="71"/>
      <c r="B794" s="135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476"/>
    </row>
    <row r="795" ht="13.5" customHeight="1">
      <c r="A795" s="71"/>
      <c r="B795" s="135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476"/>
    </row>
    <row r="796" ht="13.5" customHeight="1">
      <c r="A796" s="71"/>
      <c r="B796" s="135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476"/>
    </row>
    <row r="797" ht="13.5" customHeight="1">
      <c r="A797" s="71"/>
      <c r="B797" s="135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476"/>
    </row>
    <row r="798" ht="13.5" customHeight="1">
      <c r="A798" s="71"/>
      <c r="B798" s="135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476"/>
    </row>
    <row r="799" ht="13.5" customHeight="1">
      <c r="A799" s="71"/>
      <c r="B799" s="135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476"/>
    </row>
    <row r="800" ht="13.5" customHeight="1">
      <c r="A800" s="71"/>
      <c r="B800" s="135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476"/>
    </row>
    <row r="801" ht="13.5" customHeight="1">
      <c r="A801" s="71"/>
      <c r="B801" s="135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476"/>
    </row>
    <row r="802" ht="13.5" customHeight="1">
      <c r="A802" s="71"/>
      <c r="B802" s="135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476"/>
    </row>
    <row r="803" ht="13.5" customHeight="1">
      <c r="A803" s="71"/>
      <c r="B803" s="135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476"/>
    </row>
    <row r="804" ht="13.5" customHeight="1">
      <c r="A804" s="71"/>
      <c r="B804" s="135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476"/>
    </row>
    <row r="805" ht="13.5" customHeight="1">
      <c r="A805" s="71"/>
      <c r="B805" s="135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476"/>
    </row>
    <row r="806" ht="13.5" customHeight="1">
      <c r="A806" s="71"/>
      <c r="B806" s="135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476"/>
    </row>
    <row r="807" ht="13.5" customHeight="1">
      <c r="A807" s="71"/>
      <c r="B807" s="135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476"/>
    </row>
    <row r="808" ht="13.5" customHeight="1">
      <c r="A808" s="71"/>
      <c r="B808" s="135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476"/>
    </row>
    <row r="809" ht="13.5" customHeight="1">
      <c r="A809" s="71"/>
      <c r="B809" s="135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476"/>
    </row>
    <row r="810" ht="13.5" customHeight="1">
      <c r="A810" s="71"/>
      <c r="B810" s="135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476"/>
    </row>
    <row r="811" ht="13.5" customHeight="1">
      <c r="A811" s="71"/>
      <c r="B811" s="135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476"/>
    </row>
    <row r="812" ht="13.5" customHeight="1">
      <c r="A812" s="71"/>
      <c r="B812" s="135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476"/>
    </row>
    <row r="813" ht="13.5" customHeight="1">
      <c r="A813" s="71"/>
      <c r="B813" s="135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476"/>
    </row>
    <row r="814" ht="13.5" customHeight="1">
      <c r="A814" s="71"/>
      <c r="B814" s="135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476"/>
    </row>
    <row r="815" ht="13.5" customHeight="1">
      <c r="A815" s="71"/>
      <c r="B815" s="135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476"/>
    </row>
    <row r="816" ht="13.5" customHeight="1">
      <c r="A816" s="71"/>
      <c r="B816" s="135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476"/>
    </row>
    <row r="817" ht="13.5" customHeight="1">
      <c r="A817" s="71"/>
      <c r="B817" s="135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476"/>
    </row>
    <row r="818" ht="13.5" customHeight="1">
      <c r="A818" s="71"/>
      <c r="B818" s="135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476"/>
    </row>
    <row r="819" ht="13.5" customHeight="1">
      <c r="A819" s="71"/>
      <c r="B819" s="135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476"/>
    </row>
    <row r="820" ht="13.5" customHeight="1">
      <c r="A820" s="71"/>
      <c r="B820" s="135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476"/>
    </row>
    <row r="821" ht="13.5" customHeight="1">
      <c r="A821" s="71"/>
      <c r="B821" s="135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476"/>
    </row>
    <row r="822" ht="13.5" customHeight="1">
      <c r="A822" s="71"/>
      <c r="B822" s="135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476"/>
    </row>
    <row r="823" ht="13.5" customHeight="1">
      <c r="A823" s="71"/>
      <c r="B823" s="135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476"/>
    </row>
    <row r="824" ht="13.5" customHeight="1">
      <c r="A824" s="71"/>
      <c r="B824" s="135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476"/>
    </row>
    <row r="825" ht="13.5" customHeight="1">
      <c r="A825" s="71"/>
      <c r="B825" s="135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476"/>
    </row>
    <row r="826" ht="13.5" customHeight="1">
      <c r="A826" s="71"/>
      <c r="B826" s="135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476"/>
    </row>
    <row r="827" ht="13.5" customHeight="1">
      <c r="A827" s="71"/>
      <c r="B827" s="135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476"/>
    </row>
    <row r="828" ht="13.5" customHeight="1">
      <c r="A828" s="71"/>
      <c r="B828" s="135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476"/>
    </row>
    <row r="829" ht="13.5" customHeight="1">
      <c r="A829" s="71"/>
      <c r="B829" s="135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476"/>
    </row>
    <row r="830" ht="13.5" customHeight="1">
      <c r="A830" s="71"/>
      <c r="B830" s="135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476"/>
    </row>
    <row r="831" ht="13.5" customHeight="1">
      <c r="A831" s="71"/>
      <c r="B831" s="135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476"/>
    </row>
    <row r="832" ht="13.5" customHeight="1">
      <c r="A832" s="71"/>
      <c r="B832" s="135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476"/>
    </row>
    <row r="833" ht="13.5" customHeight="1">
      <c r="A833" s="71"/>
      <c r="B833" s="135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476"/>
    </row>
    <row r="834" ht="13.5" customHeight="1">
      <c r="A834" s="71"/>
      <c r="B834" s="135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476"/>
    </row>
    <row r="835" ht="13.5" customHeight="1">
      <c r="A835" s="71"/>
      <c r="B835" s="135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476"/>
    </row>
    <row r="836" ht="13.5" customHeight="1">
      <c r="A836" s="71"/>
      <c r="B836" s="135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476"/>
    </row>
    <row r="837" ht="13.5" customHeight="1">
      <c r="A837" s="71"/>
      <c r="B837" s="135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476"/>
    </row>
    <row r="838" ht="13.5" customHeight="1">
      <c r="A838" s="71"/>
      <c r="B838" s="135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476"/>
    </row>
    <row r="839" ht="13.5" customHeight="1">
      <c r="A839" s="71"/>
      <c r="B839" s="135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476"/>
    </row>
    <row r="840" ht="13.5" customHeight="1">
      <c r="A840" s="71"/>
      <c r="B840" s="135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476"/>
    </row>
    <row r="841" ht="13.5" customHeight="1">
      <c r="A841" s="71"/>
      <c r="B841" s="135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476"/>
    </row>
    <row r="842" ht="13.5" customHeight="1">
      <c r="A842" s="71"/>
      <c r="B842" s="135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476"/>
    </row>
    <row r="843" ht="13.5" customHeight="1">
      <c r="A843" s="71"/>
      <c r="B843" s="135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476"/>
    </row>
    <row r="844" ht="13.5" customHeight="1">
      <c r="A844" s="71"/>
      <c r="B844" s="135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476"/>
    </row>
    <row r="845" ht="13.5" customHeight="1">
      <c r="A845" s="71"/>
      <c r="B845" s="135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476"/>
    </row>
    <row r="846" ht="13.5" customHeight="1">
      <c r="A846" s="71"/>
      <c r="B846" s="135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476"/>
    </row>
    <row r="847" ht="13.5" customHeight="1">
      <c r="A847" s="71"/>
      <c r="B847" s="135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476"/>
    </row>
    <row r="848" ht="13.5" customHeight="1">
      <c r="A848" s="71"/>
      <c r="B848" s="135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476"/>
    </row>
    <row r="849" ht="13.5" customHeight="1">
      <c r="A849" s="71"/>
      <c r="B849" s="135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476"/>
    </row>
    <row r="850" ht="13.5" customHeight="1">
      <c r="A850" s="71"/>
      <c r="B850" s="135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476"/>
    </row>
    <row r="851" ht="13.5" customHeight="1">
      <c r="A851" s="71"/>
      <c r="B851" s="135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476"/>
    </row>
    <row r="852" ht="13.5" customHeight="1">
      <c r="A852" s="71"/>
      <c r="B852" s="135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476"/>
    </row>
    <row r="853" ht="13.5" customHeight="1">
      <c r="A853" s="71"/>
      <c r="B853" s="135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476"/>
    </row>
    <row r="854" ht="13.5" customHeight="1">
      <c r="A854" s="71"/>
      <c r="B854" s="135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476"/>
    </row>
    <row r="855" ht="13.5" customHeight="1">
      <c r="A855" s="71"/>
      <c r="B855" s="135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476"/>
    </row>
    <row r="856" ht="13.5" customHeight="1">
      <c r="A856" s="71"/>
      <c r="B856" s="135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476"/>
    </row>
    <row r="857" ht="13.5" customHeight="1">
      <c r="A857" s="71"/>
      <c r="B857" s="135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476"/>
    </row>
    <row r="858" ht="13.5" customHeight="1">
      <c r="A858" s="71"/>
      <c r="B858" s="135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476"/>
    </row>
    <row r="859" ht="13.5" customHeight="1">
      <c r="A859" s="71"/>
      <c r="B859" s="135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476"/>
    </row>
    <row r="860" ht="13.5" customHeight="1">
      <c r="A860" s="71"/>
      <c r="B860" s="135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476"/>
    </row>
    <row r="861" ht="13.5" customHeight="1">
      <c r="A861" s="71"/>
      <c r="B861" s="135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476"/>
    </row>
    <row r="862" ht="13.5" customHeight="1">
      <c r="A862" s="71"/>
      <c r="B862" s="135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476"/>
    </row>
    <row r="863" ht="13.5" customHeight="1">
      <c r="A863" s="71"/>
      <c r="B863" s="135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476"/>
    </row>
    <row r="864" ht="13.5" customHeight="1">
      <c r="A864" s="71"/>
      <c r="B864" s="135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476"/>
    </row>
    <row r="865" ht="13.5" customHeight="1">
      <c r="A865" s="71"/>
      <c r="B865" s="135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476"/>
    </row>
    <row r="866" ht="13.5" customHeight="1">
      <c r="A866" s="71"/>
      <c r="B866" s="135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476"/>
    </row>
    <row r="867" ht="13.5" customHeight="1">
      <c r="A867" s="71"/>
      <c r="B867" s="135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476"/>
    </row>
    <row r="868" ht="13.5" customHeight="1">
      <c r="A868" s="71"/>
      <c r="B868" s="135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476"/>
    </row>
    <row r="869" ht="13.5" customHeight="1">
      <c r="A869" s="71"/>
      <c r="B869" s="135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476"/>
    </row>
    <row r="870" ht="13.5" customHeight="1">
      <c r="A870" s="71"/>
      <c r="B870" s="135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476"/>
    </row>
    <row r="871" ht="13.5" customHeight="1">
      <c r="A871" s="71"/>
      <c r="B871" s="135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476"/>
    </row>
    <row r="872" ht="13.5" customHeight="1">
      <c r="A872" s="71"/>
      <c r="B872" s="135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476"/>
    </row>
    <row r="873" ht="13.5" customHeight="1">
      <c r="A873" s="71"/>
      <c r="B873" s="135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476"/>
    </row>
    <row r="874" ht="13.5" customHeight="1">
      <c r="A874" s="71"/>
      <c r="B874" s="135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476"/>
    </row>
    <row r="875" ht="13.5" customHeight="1">
      <c r="A875" s="71"/>
      <c r="B875" s="135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476"/>
    </row>
    <row r="876" ht="13.5" customHeight="1">
      <c r="A876" s="71"/>
      <c r="B876" s="135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476"/>
    </row>
    <row r="877" ht="13.5" customHeight="1">
      <c r="A877" s="71"/>
      <c r="B877" s="135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476"/>
    </row>
    <row r="878" ht="13.5" customHeight="1">
      <c r="A878" s="71"/>
      <c r="B878" s="135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476"/>
    </row>
    <row r="879" ht="13.5" customHeight="1">
      <c r="A879" s="71"/>
      <c r="B879" s="135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476"/>
    </row>
    <row r="880" ht="13.5" customHeight="1">
      <c r="A880" s="71"/>
      <c r="B880" s="135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476"/>
    </row>
    <row r="881" ht="13.5" customHeight="1">
      <c r="A881" s="71"/>
      <c r="B881" s="135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476"/>
    </row>
    <row r="882" ht="13.5" customHeight="1">
      <c r="A882" s="71"/>
      <c r="B882" s="135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476"/>
    </row>
    <row r="883" ht="13.5" customHeight="1">
      <c r="A883" s="71"/>
      <c r="B883" s="135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476"/>
    </row>
    <row r="884" ht="13.5" customHeight="1">
      <c r="A884" s="71"/>
      <c r="B884" s="135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476"/>
    </row>
    <row r="885" ht="13.5" customHeight="1">
      <c r="A885" s="71"/>
      <c r="B885" s="135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476"/>
    </row>
    <row r="886" ht="13.5" customHeight="1">
      <c r="A886" s="71"/>
      <c r="B886" s="135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476"/>
    </row>
    <row r="887" ht="13.5" customHeight="1">
      <c r="A887" s="71"/>
      <c r="B887" s="135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476"/>
    </row>
    <row r="888" ht="13.5" customHeight="1">
      <c r="A888" s="71"/>
      <c r="B888" s="135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476"/>
    </row>
    <row r="889" ht="13.5" customHeight="1">
      <c r="A889" s="71"/>
      <c r="B889" s="135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476"/>
    </row>
    <row r="890" ht="13.5" customHeight="1">
      <c r="A890" s="71"/>
      <c r="B890" s="135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476"/>
    </row>
    <row r="891" ht="13.5" customHeight="1">
      <c r="A891" s="71"/>
      <c r="B891" s="135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476"/>
    </row>
    <row r="892" ht="13.5" customHeight="1">
      <c r="A892" s="71"/>
      <c r="B892" s="135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476"/>
    </row>
    <row r="893" ht="13.5" customHeight="1">
      <c r="A893" s="71"/>
      <c r="B893" s="135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476"/>
    </row>
    <row r="894" ht="13.5" customHeight="1">
      <c r="A894" s="71"/>
      <c r="B894" s="135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476"/>
    </row>
    <row r="895" ht="13.5" customHeight="1">
      <c r="A895" s="71"/>
      <c r="B895" s="135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476"/>
    </row>
    <row r="896" ht="13.5" customHeight="1">
      <c r="A896" s="71"/>
      <c r="B896" s="135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476"/>
    </row>
    <row r="897" ht="13.5" customHeight="1">
      <c r="A897" s="71"/>
      <c r="B897" s="135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476"/>
    </row>
    <row r="898" ht="13.5" customHeight="1">
      <c r="A898" s="71"/>
      <c r="B898" s="135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476"/>
    </row>
    <row r="899" ht="13.5" customHeight="1">
      <c r="A899" s="71"/>
      <c r="B899" s="135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476"/>
    </row>
    <row r="900" ht="13.5" customHeight="1">
      <c r="A900" s="71"/>
      <c r="B900" s="135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476"/>
    </row>
    <row r="901" ht="13.5" customHeight="1">
      <c r="A901" s="71"/>
      <c r="B901" s="135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476"/>
    </row>
    <row r="902" ht="13.5" customHeight="1">
      <c r="A902" s="71"/>
      <c r="B902" s="135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476"/>
    </row>
    <row r="903" ht="13.5" customHeight="1">
      <c r="A903" s="71"/>
      <c r="B903" s="135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476"/>
    </row>
    <row r="904" ht="13.5" customHeight="1">
      <c r="A904" s="71"/>
      <c r="B904" s="135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476"/>
    </row>
    <row r="905" ht="13.5" customHeight="1">
      <c r="A905" s="71"/>
      <c r="B905" s="135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476"/>
    </row>
    <row r="906" ht="13.5" customHeight="1">
      <c r="A906" s="71"/>
      <c r="B906" s="135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476"/>
    </row>
    <row r="907" ht="13.5" customHeight="1">
      <c r="A907" s="71"/>
      <c r="B907" s="135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476"/>
    </row>
    <row r="908" ht="13.5" customHeight="1">
      <c r="A908" s="71"/>
      <c r="B908" s="135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476"/>
    </row>
    <row r="909" ht="13.5" customHeight="1">
      <c r="A909" s="71"/>
      <c r="B909" s="135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476"/>
    </row>
    <row r="910" ht="13.5" customHeight="1">
      <c r="A910" s="71"/>
      <c r="B910" s="135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476"/>
    </row>
    <row r="911" ht="13.5" customHeight="1">
      <c r="A911" s="71"/>
      <c r="B911" s="135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476"/>
    </row>
    <row r="912" ht="13.5" customHeight="1">
      <c r="A912" s="71"/>
      <c r="B912" s="135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476"/>
    </row>
    <row r="913" ht="13.5" customHeight="1">
      <c r="A913" s="71"/>
      <c r="B913" s="135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476"/>
    </row>
    <row r="914" ht="13.5" customHeight="1">
      <c r="A914" s="71"/>
      <c r="B914" s="135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476"/>
    </row>
    <row r="915" ht="13.5" customHeight="1">
      <c r="A915" s="71"/>
      <c r="B915" s="135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476"/>
    </row>
    <row r="916" ht="13.5" customHeight="1">
      <c r="A916" s="71"/>
      <c r="B916" s="135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476"/>
    </row>
    <row r="917" ht="13.5" customHeight="1">
      <c r="A917" s="71"/>
      <c r="B917" s="135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476"/>
    </row>
    <row r="918" ht="13.5" customHeight="1">
      <c r="A918" s="71"/>
      <c r="B918" s="135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476"/>
    </row>
    <row r="919" ht="13.5" customHeight="1">
      <c r="A919" s="71"/>
      <c r="B919" s="135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476"/>
    </row>
    <row r="920" ht="13.5" customHeight="1">
      <c r="A920" s="71"/>
      <c r="B920" s="135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476"/>
    </row>
    <row r="921" ht="13.5" customHeight="1">
      <c r="A921" s="71"/>
      <c r="B921" s="135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476"/>
    </row>
    <row r="922" ht="13.5" customHeight="1">
      <c r="A922" s="71"/>
      <c r="B922" s="135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476"/>
    </row>
    <row r="923" ht="13.5" customHeight="1">
      <c r="A923" s="71"/>
      <c r="B923" s="135"/>
      <c r="C923" s="135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476"/>
    </row>
    <row r="924" ht="13.5" customHeight="1">
      <c r="A924" s="71"/>
      <c r="B924" s="135"/>
      <c r="C924" s="135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476"/>
    </row>
    <row r="925" ht="13.5" customHeight="1">
      <c r="A925" s="71"/>
      <c r="B925" s="135"/>
      <c r="C925" s="135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476"/>
    </row>
    <row r="926" ht="13.5" customHeight="1">
      <c r="A926" s="71"/>
      <c r="B926" s="135"/>
      <c r="C926" s="135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476"/>
    </row>
    <row r="927" ht="13.5" customHeight="1">
      <c r="A927" s="71"/>
      <c r="B927" s="135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476"/>
    </row>
    <row r="928" ht="13.5" customHeight="1">
      <c r="A928" s="71"/>
      <c r="B928" s="135"/>
      <c r="C928" s="135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476"/>
    </row>
    <row r="929" ht="13.5" customHeight="1">
      <c r="A929" s="71"/>
      <c r="B929" s="135"/>
      <c r="C929" s="135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476"/>
    </row>
    <row r="930" ht="13.5" customHeight="1">
      <c r="A930" s="71"/>
      <c r="B930" s="135"/>
      <c r="C930" s="135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476"/>
    </row>
    <row r="931" ht="13.5" customHeight="1">
      <c r="A931" s="71"/>
      <c r="B931" s="135"/>
      <c r="C931" s="135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476"/>
    </row>
    <row r="932" ht="13.5" customHeight="1">
      <c r="A932" s="71"/>
      <c r="B932" s="135"/>
      <c r="C932" s="135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476"/>
    </row>
    <row r="933" ht="13.5" customHeight="1">
      <c r="A933" s="71"/>
      <c r="B933" s="135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476"/>
    </row>
    <row r="934" ht="13.5" customHeight="1">
      <c r="A934" s="71"/>
      <c r="B934" s="135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476"/>
    </row>
    <row r="935" ht="13.5" customHeight="1">
      <c r="A935" s="71"/>
      <c r="B935" s="135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476"/>
    </row>
    <row r="936" ht="13.5" customHeight="1">
      <c r="A936" s="71"/>
      <c r="B936" s="135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476"/>
    </row>
    <row r="937" ht="13.5" customHeight="1">
      <c r="A937" s="71"/>
      <c r="B937" s="135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476"/>
    </row>
    <row r="938" ht="13.5" customHeight="1">
      <c r="A938" s="71"/>
      <c r="B938" s="135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476"/>
    </row>
    <row r="939" ht="13.5" customHeight="1">
      <c r="A939" s="71"/>
      <c r="B939" s="135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476"/>
    </row>
    <row r="940" ht="13.5" customHeight="1">
      <c r="A940" s="71"/>
      <c r="B940" s="135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476"/>
    </row>
    <row r="941" ht="13.5" customHeight="1">
      <c r="A941" s="71"/>
      <c r="B941" s="135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476"/>
    </row>
    <row r="942" ht="13.5" customHeight="1">
      <c r="A942" s="71"/>
      <c r="B942" s="135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476"/>
    </row>
    <row r="943" ht="13.5" customHeight="1">
      <c r="A943" s="71"/>
      <c r="B943" s="135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476"/>
    </row>
    <row r="944" ht="13.5" customHeight="1">
      <c r="A944" s="71"/>
      <c r="B944" s="135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476"/>
    </row>
    <row r="945" ht="13.5" customHeight="1">
      <c r="A945" s="71"/>
      <c r="B945" s="135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476"/>
    </row>
    <row r="946" ht="13.5" customHeight="1">
      <c r="A946" s="71"/>
      <c r="B946" s="135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476"/>
    </row>
    <row r="947" ht="13.5" customHeight="1">
      <c r="A947" s="71"/>
      <c r="B947" s="135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476"/>
    </row>
    <row r="948" ht="13.5" customHeight="1">
      <c r="A948" s="71"/>
      <c r="B948" s="135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476"/>
    </row>
    <row r="949" ht="13.5" customHeight="1">
      <c r="A949" s="71"/>
      <c r="B949" s="135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476"/>
    </row>
    <row r="950" ht="13.5" customHeight="1">
      <c r="A950" s="71"/>
      <c r="B950" s="135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476"/>
    </row>
    <row r="951" ht="13.5" customHeight="1">
      <c r="A951" s="71"/>
      <c r="B951" s="135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476"/>
    </row>
    <row r="952" ht="13.5" customHeight="1">
      <c r="A952" s="71"/>
      <c r="B952" s="135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476"/>
    </row>
    <row r="953" ht="13.5" customHeight="1">
      <c r="A953" s="71"/>
      <c r="B953" s="135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476"/>
    </row>
    <row r="954" ht="13.5" customHeight="1">
      <c r="A954" s="71"/>
      <c r="B954" s="135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476"/>
    </row>
    <row r="955" ht="13.5" customHeight="1">
      <c r="A955" s="71"/>
      <c r="B955" s="135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476"/>
    </row>
    <row r="956" ht="13.5" customHeight="1">
      <c r="A956" s="71"/>
      <c r="B956" s="135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476"/>
    </row>
    <row r="957" ht="13.5" customHeight="1">
      <c r="A957" s="71"/>
      <c r="B957" s="135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476"/>
    </row>
    <row r="958" ht="13.5" customHeight="1">
      <c r="A958" s="71"/>
      <c r="B958" s="135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476"/>
    </row>
    <row r="959" ht="13.5" customHeight="1">
      <c r="A959" s="71"/>
      <c r="B959" s="135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476"/>
    </row>
    <row r="960" ht="13.5" customHeight="1">
      <c r="A960" s="71"/>
      <c r="B960" s="135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476"/>
    </row>
    <row r="961" ht="13.5" customHeight="1">
      <c r="A961" s="71"/>
      <c r="B961" s="135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476"/>
    </row>
    <row r="962" ht="13.5" customHeight="1">
      <c r="A962" s="71"/>
      <c r="B962" s="135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476"/>
    </row>
    <row r="963" ht="13.5" customHeight="1">
      <c r="A963" s="71"/>
      <c r="B963" s="135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476"/>
    </row>
    <row r="964" ht="13.5" customHeight="1">
      <c r="A964" s="71"/>
      <c r="B964" s="135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476"/>
    </row>
    <row r="965" ht="13.5" customHeight="1">
      <c r="A965" s="71"/>
      <c r="B965" s="135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476"/>
    </row>
    <row r="966" ht="13.5" customHeight="1">
      <c r="A966" s="71"/>
      <c r="B966" s="135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476"/>
    </row>
    <row r="967" ht="13.5" customHeight="1">
      <c r="A967" s="71"/>
      <c r="B967" s="135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476"/>
    </row>
    <row r="968" ht="13.5" customHeight="1">
      <c r="A968" s="71"/>
      <c r="B968" s="135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476"/>
    </row>
    <row r="969" ht="13.5" customHeight="1">
      <c r="A969" s="71"/>
      <c r="B969" s="135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476"/>
    </row>
    <row r="970" ht="13.5" customHeight="1">
      <c r="A970" s="71"/>
      <c r="B970" s="135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476"/>
    </row>
    <row r="971" ht="13.5" customHeight="1">
      <c r="A971" s="71"/>
      <c r="B971" s="135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476"/>
    </row>
    <row r="972" ht="13.5" customHeight="1">
      <c r="A972" s="71"/>
      <c r="B972" s="135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476"/>
    </row>
    <row r="973" ht="13.5" customHeight="1">
      <c r="A973" s="71"/>
      <c r="B973" s="135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476"/>
    </row>
    <row r="974" ht="13.5" customHeight="1">
      <c r="A974" s="71"/>
      <c r="B974" s="135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476"/>
    </row>
    <row r="975" ht="13.5" customHeight="1">
      <c r="A975" s="71"/>
      <c r="B975" s="135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476"/>
    </row>
    <row r="976" ht="13.5" customHeight="1">
      <c r="A976" s="71"/>
      <c r="B976" s="135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476"/>
    </row>
    <row r="977" ht="13.5" customHeight="1">
      <c r="A977" s="71"/>
      <c r="B977" s="135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476"/>
    </row>
    <row r="978" ht="13.5" customHeight="1">
      <c r="A978" s="71"/>
      <c r="B978" s="135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476"/>
    </row>
    <row r="979" ht="13.5" customHeight="1">
      <c r="A979" s="71"/>
      <c r="B979" s="135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476"/>
    </row>
    <row r="980" ht="13.5" customHeight="1">
      <c r="A980" s="71"/>
      <c r="B980" s="135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476"/>
    </row>
    <row r="981" ht="13.5" customHeight="1">
      <c r="A981" s="71"/>
      <c r="B981" s="135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476"/>
    </row>
    <row r="982" ht="13.5" customHeight="1">
      <c r="A982" s="71"/>
      <c r="B982" s="135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476"/>
    </row>
    <row r="983" ht="13.5" customHeight="1">
      <c r="A983" s="71"/>
      <c r="B983" s="135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476"/>
    </row>
    <row r="984" ht="13.5" customHeight="1">
      <c r="A984" s="71"/>
      <c r="B984" s="135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476"/>
    </row>
    <row r="985" ht="13.5" customHeight="1">
      <c r="A985" s="71"/>
      <c r="B985" s="135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476"/>
    </row>
    <row r="986" ht="13.5" customHeight="1">
      <c r="A986" s="71"/>
      <c r="B986" s="135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476"/>
    </row>
    <row r="987" ht="13.5" customHeight="1">
      <c r="A987" s="71"/>
      <c r="B987" s="135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476"/>
    </row>
    <row r="988" ht="13.5" customHeight="1">
      <c r="A988" s="71"/>
      <c r="B988" s="135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476"/>
    </row>
    <row r="989" ht="13.5" customHeight="1">
      <c r="A989" s="71"/>
      <c r="B989" s="135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476"/>
    </row>
    <row r="990" ht="13.5" customHeight="1">
      <c r="A990" s="71"/>
      <c r="B990" s="135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476"/>
    </row>
    <row r="991" ht="13.5" customHeight="1">
      <c r="A991" s="71"/>
      <c r="B991" s="135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476"/>
    </row>
    <row r="992" ht="13.5" customHeight="1">
      <c r="A992" s="71"/>
      <c r="B992" s="135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476"/>
    </row>
    <row r="993" ht="13.5" customHeight="1">
      <c r="A993" s="71"/>
      <c r="B993" s="135"/>
      <c r="C993" s="135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476"/>
    </row>
    <row r="994" ht="13.5" customHeight="1">
      <c r="A994" s="71"/>
      <c r="B994" s="135"/>
      <c r="C994" s="135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476"/>
    </row>
    <row r="995" ht="13.5" customHeight="1">
      <c r="A995" s="71"/>
      <c r="B995" s="135"/>
      <c r="C995" s="135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476"/>
    </row>
    <row r="996" ht="13.5" customHeight="1">
      <c r="A996" s="71"/>
      <c r="B996" s="135"/>
      <c r="C996" s="135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476"/>
    </row>
    <row r="997" ht="13.5" customHeight="1">
      <c r="A997" s="71"/>
      <c r="B997" s="135"/>
      <c r="C997" s="135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476"/>
    </row>
    <row r="998" ht="13.5" customHeight="1">
      <c r="A998" s="71"/>
      <c r="B998" s="135"/>
      <c r="C998" s="135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476"/>
    </row>
    <row r="999" ht="13.5" customHeight="1">
      <c r="A999" s="71"/>
      <c r="B999" s="135"/>
      <c r="C999" s="135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476"/>
    </row>
    <row r="1000" ht="13.5" customHeight="1">
      <c r="A1000" s="71"/>
      <c r="B1000" s="135"/>
      <c r="C1000" s="135"/>
      <c r="D1000" s="135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476"/>
    </row>
    <row r="1001" ht="13.5" customHeight="1">
      <c r="A1001" s="71"/>
      <c r="B1001" s="135"/>
      <c r="C1001" s="135"/>
      <c r="D1001" s="135"/>
      <c r="E1001" s="135"/>
      <c r="F1001" s="135"/>
      <c r="G1001" s="135"/>
      <c r="H1001" s="135"/>
      <c r="I1001" s="135"/>
      <c r="J1001" s="135"/>
      <c r="K1001" s="135"/>
      <c r="L1001" s="135"/>
      <c r="M1001" s="135"/>
      <c r="N1001" s="476"/>
    </row>
    <row r="1002" ht="13.5" customHeight="1">
      <c r="A1002" s="71"/>
      <c r="B1002" s="135"/>
      <c r="C1002" s="135"/>
      <c r="D1002" s="135"/>
      <c r="E1002" s="135"/>
      <c r="F1002" s="135"/>
      <c r="G1002" s="135"/>
      <c r="H1002" s="135"/>
      <c r="I1002" s="135"/>
      <c r="J1002" s="135"/>
      <c r="K1002" s="135"/>
      <c r="L1002" s="135"/>
      <c r="M1002" s="135"/>
      <c r="N1002" s="476"/>
    </row>
    <row r="1003" ht="13.5" customHeight="1">
      <c r="A1003" s="71"/>
      <c r="B1003" s="135"/>
      <c r="C1003" s="135"/>
      <c r="D1003" s="135"/>
      <c r="E1003" s="135"/>
      <c r="F1003" s="135"/>
      <c r="G1003" s="135"/>
      <c r="H1003" s="135"/>
      <c r="I1003" s="135"/>
      <c r="J1003" s="135"/>
      <c r="K1003" s="135"/>
      <c r="L1003" s="135"/>
      <c r="M1003" s="135"/>
      <c r="N1003" s="476"/>
    </row>
    <row r="1004" ht="13.5" customHeight="1">
      <c r="A1004" s="71"/>
      <c r="B1004" s="135"/>
      <c r="C1004" s="135"/>
      <c r="D1004" s="135"/>
      <c r="E1004" s="135"/>
      <c r="F1004" s="135"/>
      <c r="G1004" s="135"/>
      <c r="H1004" s="135"/>
      <c r="I1004" s="135"/>
      <c r="J1004" s="135"/>
      <c r="K1004" s="135"/>
      <c r="L1004" s="135"/>
      <c r="M1004" s="135"/>
      <c r="N1004" s="476"/>
    </row>
    <row r="1005" ht="13.5" customHeight="1">
      <c r="A1005" s="71"/>
      <c r="B1005" s="135"/>
      <c r="C1005" s="135"/>
      <c r="D1005" s="135"/>
      <c r="E1005" s="135"/>
      <c r="F1005" s="135"/>
      <c r="G1005" s="135"/>
      <c r="H1005" s="135"/>
      <c r="I1005" s="135"/>
      <c r="J1005" s="135"/>
      <c r="K1005" s="135"/>
      <c r="L1005" s="135"/>
      <c r="M1005" s="135"/>
      <c r="N1005" s="476"/>
    </row>
    <row r="1006" ht="13.5" customHeight="1">
      <c r="A1006" s="71"/>
      <c r="B1006" s="135"/>
      <c r="C1006" s="135"/>
      <c r="D1006" s="135"/>
      <c r="E1006" s="135"/>
      <c r="F1006" s="135"/>
      <c r="G1006" s="135"/>
      <c r="H1006" s="135"/>
      <c r="I1006" s="135"/>
      <c r="J1006" s="135"/>
      <c r="K1006" s="135"/>
      <c r="L1006" s="135"/>
      <c r="M1006" s="135"/>
      <c r="N1006" s="476"/>
    </row>
    <row r="1007" ht="13.5" customHeight="1">
      <c r="A1007" s="71"/>
      <c r="B1007" s="135"/>
      <c r="C1007" s="135"/>
      <c r="D1007" s="135"/>
      <c r="E1007" s="135"/>
      <c r="F1007" s="135"/>
      <c r="G1007" s="135"/>
      <c r="H1007" s="135"/>
      <c r="I1007" s="135"/>
      <c r="J1007" s="135"/>
      <c r="K1007" s="135"/>
      <c r="L1007" s="135"/>
      <c r="M1007" s="135"/>
      <c r="N1007" s="476"/>
    </row>
    <row r="1008" ht="13.5" customHeight="1">
      <c r="A1008" s="71"/>
      <c r="B1008" s="135"/>
      <c r="C1008" s="135"/>
      <c r="D1008" s="135"/>
      <c r="E1008" s="135"/>
      <c r="F1008" s="135"/>
      <c r="G1008" s="135"/>
      <c r="H1008" s="135"/>
      <c r="I1008" s="135"/>
      <c r="J1008" s="135"/>
      <c r="K1008" s="135"/>
      <c r="L1008" s="135"/>
      <c r="M1008" s="135"/>
      <c r="N1008" s="476"/>
    </row>
    <row r="1009" ht="13.5" customHeight="1">
      <c r="A1009" s="71"/>
      <c r="B1009" s="135"/>
      <c r="C1009" s="135"/>
      <c r="D1009" s="135"/>
      <c r="E1009" s="135"/>
      <c r="F1009" s="135"/>
      <c r="G1009" s="135"/>
      <c r="H1009" s="135"/>
      <c r="I1009" s="135"/>
      <c r="J1009" s="135"/>
      <c r="K1009" s="135"/>
      <c r="L1009" s="135"/>
      <c r="M1009" s="135"/>
      <c r="N1009" s="476"/>
    </row>
    <row r="1010" ht="13.5" customHeight="1">
      <c r="A1010" s="71"/>
      <c r="B1010" s="135"/>
      <c r="C1010" s="135"/>
      <c r="D1010" s="135"/>
      <c r="E1010" s="135"/>
      <c r="F1010" s="135"/>
      <c r="G1010" s="135"/>
      <c r="H1010" s="135"/>
      <c r="I1010" s="135"/>
      <c r="J1010" s="135"/>
      <c r="K1010" s="135"/>
      <c r="L1010" s="135"/>
      <c r="M1010" s="135"/>
      <c r="N1010" s="476"/>
    </row>
    <row r="1011" ht="13.5" customHeight="1">
      <c r="A1011" s="71"/>
      <c r="B1011" s="135"/>
      <c r="C1011" s="135"/>
      <c r="D1011" s="135"/>
      <c r="E1011" s="135"/>
      <c r="F1011" s="135"/>
      <c r="G1011" s="135"/>
      <c r="H1011" s="135"/>
      <c r="I1011" s="135"/>
      <c r="J1011" s="135"/>
      <c r="K1011" s="135"/>
      <c r="L1011" s="135"/>
      <c r="M1011" s="135"/>
      <c r="N1011" s="476"/>
    </row>
    <row r="1012" ht="13.5" customHeight="1">
      <c r="A1012" s="71"/>
      <c r="B1012" s="135"/>
      <c r="C1012" s="135"/>
      <c r="D1012" s="135"/>
      <c r="E1012" s="135"/>
      <c r="F1012" s="135"/>
      <c r="G1012" s="135"/>
      <c r="H1012" s="135"/>
      <c r="I1012" s="135"/>
      <c r="J1012" s="135"/>
      <c r="K1012" s="135"/>
      <c r="L1012" s="135"/>
      <c r="M1012" s="135"/>
      <c r="N1012" s="476"/>
    </row>
    <row r="1013" ht="13.5" customHeight="1">
      <c r="A1013" s="71"/>
      <c r="B1013" s="135"/>
      <c r="C1013" s="135"/>
      <c r="D1013" s="135"/>
      <c r="E1013" s="135"/>
      <c r="F1013" s="135"/>
      <c r="G1013" s="135"/>
      <c r="H1013" s="135"/>
      <c r="I1013" s="135"/>
      <c r="J1013" s="135"/>
      <c r="K1013" s="135"/>
      <c r="L1013" s="135"/>
      <c r="M1013" s="135"/>
      <c r="N1013" s="476"/>
    </row>
    <row r="1014" ht="13.5" customHeight="1">
      <c r="A1014" s="71"/>
      <c r="B1014" s="135"/>
      <c r="C1014" s="135"/>
      <c r="D1014" s="135"/>
      <c r="E1014" s="135"/>
      <c r="F1014" s="135"/>
      <c r="G1014" s="135"/>
      <c r="H1014" s="135"/>
      <c r="I1014" s="135"/>
      <c r="J1014" s="135"/>
      <c r="K1014" s="135"/>
      <c r="L1014" s="135"/>
      <c r="M1014" s="135"/>
      <c r="N1014" s="476"/>
    </row>
    <row r="1015" ht="13.5" customHeight="1">
      <c r="A1015" s="71"/>
      <c r="B1015" s="135"/>
      <c r="C1015" s="135"/>
      <c r="D1015" s="135"/>
      <c r="E1015" s="135"/>
      <c r="F1015" s="135"/>
      <c r="G1015" s="135"/>
      <c r="H1015" s="135"/>
      <c r="I1015" s="135"/>
      <c r="J1015" s="135"/>
      <c r="K1015" s="135"/>
      <c r="L1015" s="135"/>
      <c r="M1015" s="135"/>
      <c r="N1015" s="476"/>
    </row>
    <row r="1016" ht="13.5" customHeight="1">
      <c r="A1016" s="71"/>
      <c r="B1016" s="135"/>
      <c r="C1016" s="135"/>
      <c r="D1016" s="135"/>
      <c r="E1016" s="135"/>
      <c r="F1016" s="135"/>
      <c r="G1016" s="135"/>
      <c r="H1016" s="135"/>
      <c r="I1016" s="135"/>
      <c r="J1016" s="135"/>
      <c r="K1016" s="135"/>
      <c r="L1016" s="135"/>
      <c r="M1016" s="135"/>
      <c r="N1016" s="476"/>
    </row>
    <row r="1017" ht="13.5" customHeight="1">
      <c r="A1017" s="71"/>
      <c r="B1017" s="135"/>
      <c r="C1017" s="135"/>
      <c r="D1017" s="135"/>
      <c r="E1017" s="135"/>
      <c r="F1017" s="135"/>
      <c r="G1017" s="135"/>
      <c r="H1017" s="135"/>
      <c r="I1017" s="135"/>
      <c r="J1017" s="135"/>
      <c r="K1017" s="135"/>
      <c r="L1017" s="135"/>
      <c r="M1017" s="135"/>
      <c r="N1017" s="476"/>
    </row>
    <row r="1018" ht="13.5" customHeight="1">
      <c r="A1018" s="71"/>
      <c r="B1018" s="135"/>
      <c r="C1018" s="135"/>
      <c r="D1018" s="135"/>
      <c r="E1018" s="135"/>
      <c r="F1018" s="135"/>
      <c r="G1018" s="135"/>
      <c r="H1018" s="135"/>
      <c r="I1018" s="135"/>
      <c r="J1018" s="135"/>
      <c r="K1018" s="135"/>
      <c r="L1018" s="135"/>
      <c r="M1018" s="135"/>
      <c r="N1018" s="476"/>
    </row>
    <row r="1019" ht="13.5" customHeight="1">
      <c r="A1019" s="71"/>
      <c r="B1019" s="135"/>
      <c r="C1019" s="135"/>
      <c r="D1019" s="135"/>
      <c r="E1019" s="135"/>
      <c r="F1019" s="135"/>
      <c r="G1019" s="135"/>
      <c r="H1019" s="135"/>
      <c r="I1019" s="135"/>
      <c r="J1019" s="135"/>
      <c r="K1019" s="135"/>
      <c r="L1019" s="135"/>
      <c r="M1019" s="135"/>
      <c r="N1019" s="476"/>
    </row>
    <row r="1020" ht="13.5" customHeight="1">
      <c r="A1020" s="71"/>
      <c r="B1020" s="135"/>
      <c r="C1020" s="135"/>
      <c r="D1020" s="135"/>
      <c r="E1020" s="135"/>
      <c r="F1020" s="135"/>
      <c r="G1020" s="135"/>
      <c r="H1020" s="135"/>
      <c r="I1020" s="135"/>
      <c r="J1020" s="135"/>
      <c r="K1020" s="135"/>
      <c r="L1020" s="135"/>
      <c r="M1020" s="135"/>
      <c r="N1020" s="476"/>
    </row>
    <row r="1021" ht="13.5" customHeight="1">
      <c r="A1021" s="71"/>
      <c r="B1021" s="135"/>
      <c r="C1021" s="135"/>
      <c r="D1021" s="135"/>
      <c r="E1021" s="135"/>
      <c r="F1021" s="135"/>
      <c r="G1021" s="135"/>
      <c r="H1021" s="135"/>
      <c r="I1021" s="135"/>
      <c r="J1021" s="135"/>
      <c r="K1021" s="135"/>
      <c r="L1021" s="135"/>
      <c r="M1021" s="135"/>
      <c r="N1021" s="476"/>
    </row>
    <row r="1022" ht="13.5" customHeight="1">
      <c r="A1022" s="71"/>
      <c r="B1022" s="135"/>
      <c r="C1022" s="135"/>
      <c r="D1022" s="135"/>
      <c r="E1022" s="135"/>
      <c r="F1022" s="135"/>
      <c r="G1022" s="135"/>
      <c r="H1022" s="135"/>
      <c r="I1022" s="135"/>
      <c r="J1022" s="135"/>
      <c r="K1022" s="135"/>
      <c r="L1022" s="135"/>
      <c r="M1022" s="135"/>
      <c r="N1022" s="476"/>
    </row>
    <row r="1023" ht="13.5" customHeight="1">
      <c r="A1023" s="71"/>
      <c r="B1023" s="135"/>
      <c r="C1023" s="135"/>
      <c r="D1023" s="135"/>
      <c r="E1023" s="135"/>
      <c r="F1023" s="135"/>
      <c r="G1023" s="135"/>
      <c r="H1023" s="135"/>
      <c r="I1023" s="135"/>
      <c r="J1023" s="135"/>
      <c r="K1023" s="135"/>
      <c r="L1023" s="135"/>
      <c r="M1023" s="135"/>
      <c r="N1023" s="476"/>
    </row>
    <row r="1024" ht="13.5" customHeight="1">
      <c r="A1024" s="71"/>
      <c r="B1024" s="135"/>
      <c r="C1024" s="135"/>
      <c r="D1024" s="135"/>
      <c r="E1024" s="135"/>
      <c r="F1024" s="135"/>
      <c r="G1024" s="135"/>
      <c r="H1024" s="135"/>
      <c r="I1024" s="135"/>
      <c r="J1024" s="135"/>
      <c r="K1024" s="135"/>
      <c r="L1024" s="135"/>
      <c r="M1024" s="135"/>
      <c r="N1024" s="476"/>
    </row>
    <row r="1025" ht="13.5" customHeight="1">
      <c r="A1025" s="71"/>
      <c r="B1025" s="135"/>
      <c r="C1025" s="135"/>
      <c r="D1025" s="135"/>
      <c r="E1025" s="135"/>
      <c r="F1025" s="135"/>
      <c r="G1025" s="135"/>
      <c r="H1025" s="135"/>
      <c r="I1025" s="135"/>
      <c r="J1025" s="135"/>
      <c r="K1025" s="135"/>
      <c r="L1025" s="135"/>
      <c r="M1025" s="135"/>
      <c r="N1025" s="476"/>
    </row>
    <row r="1026" ht="13.5" customHeight="1">
      <c r="A1026" s="71"/>
      <c r="B1026" s="135"/>
      <c r="C1026" s="135"/>
      <c r="D1026" s="135"/>
      <c r="E1026" s="135"/>
      <c r="F1026" s="135"/>
      <c r="G1026" s="135"/>
      <c r="H1026" s="135"/>
      <c r="I1026" s="135"/>
      <c r="J1026" s="135"/>
      <c r="K1026" s="135"/>
      <c r="L1026" s="135"/>
      <c r="M1026" s="135"/>
      <c r="N1026" s="476"/>
    </row>
    <row r="1027" ht="13.5" customHeight="1">
      <c r="A1027" s="71"/>
      <c r="B1027" s="135"/>
      <c r="C1027" s="135"/>
      <c r="D1027" s="135"/>
      <c r="E1027" s="135"/>
      <c r="F1027" s="135"/>
      <c r="G1027" s="135"/>
      <c r="H1027" s="135"/>
      <c r="I1027" s="135"/>
      <c r="J1027" s="135"/>
      <c r="K1027" s="135"/>
      <c r="L1027" s="135"/>
      <c r="M1027" s="135"/>
      <c r="N1027" s="476"/>
    </row>
    <row r="1028" ht="13.5" customHeight="1">
      <c r="A1028" s="71"/>
      <c r="B1028" s="135"/>
      <c r="C1028" s="135"/>
      <c r="D1028" s="135"/>
      <c r="E1028" s="135"/>
      <c r="F1028" s="135"/>
      <c r="G1028" s="135"/>
      <c r="H1028" s="135"/>
      <c r="I1028" s="135"/>
      <c r="J1028" s="135"/>
      <c r="K1028" s="135"/>
      <c r="L1028" s="135"/>
      <c r="M1028" s="135"/>
      <c r="N1028" s="476"/>
    </row>
    <row r="1029" ht="13.5" customHeight="1">
      <c r="A1029" s="71"/>
      <c r="B1029" s="135"/>
      <c r="C1029" s="135"/>
      <c r="D1029" s="135"/>
      <c r="E1029" s="135"/>
      <c r="F1029" s="135"/>
      <c r="G1029" s="135"/>
      <c r="H1029" s="135"/>
      <c r="I1029" s="135"/>
      <c r="J1029" s="135"/>
      <c r="K1029" s="135"/>
      <c r="L1029" s="135"/>
      <c r="M1029" s="135"/>
      <c r="N1029" s="476"/>
    </row>
    <row r="1030" ht="13.5" customHeight="1">
      <c r="A1030" s="71"/>
      <c r="B1030" s="135"/>
      <c r="C1030" s="135"/>
      <c r="D1030" s="135"/>
      <c r="E1030" s="135"/>
      <c r="F1030" s="135"/>
      <c r="G1030" s="135"/>
      <c r="H1030" s="135"/>
      <c r="I1030" s="135"/>
      <c r="J1030" s="135"/>
      <c r="K1030" s="135"/>
      <c r="L1030" s="135"/>
      <c r="M1030" s="135"/>
      <c r="N1030" s="476"/>
    </row>
    <row r="1031" ht="13.5" customHeight="1">
      <c r="A1031" s="71"/>
      <c r="B1031" s="135"/>
      <c r="C1031" s="135"/>
      <c r="D1031" s="135"/>
      <c r="E1031" s="135"/>
      <c r="F1031" s="135"/>
      <c r="G1031" s="135"/>
      <c r="H1031" s="135"/>
      <c r="I1031" s="135"/>
      <c r="J1031" s="135"/>
      <c r="K1031" s="135"/>
      <c r="L1031" s="135"/>
      <c r="M1031" s="135"/>
      <c r="N1031" s="476"/>
    </row>
    <row r="1032" ht="13.5" customHeight="1">
      <c r="A1032" s="71"/>
      <c r="B1032" s="135"/>
      <c r="C1032" s="135"/>
      <c r="D1032" s="135"/>
      <c r="E1032" s="135"/>
      <c r="F1032" s="135"/>
      <c r="G1032" s="135"/>
      <c r="H1032" s="135"/>
      <c r="I1032" s="135"/>
      <c r="J1032" s="135"/>
      <c r="K1032" s="135"/>
      <c r="L1032" s="135"/>
      <c r="M1032" s="135"/>
      <c r="N1032" s="476"/>
    </row>
    <row r="1033" ht="13.5" customHeight="1">
      <c r="A1033" s="71"/>
      <c r="B1033" s="135"/>
      <c r="C1033" s="135"/>
      <c r="D1033" s="135"/>
      <c r="E1033" s="135"/>
      <c r="F1033" s="135"/>
      <c r="G1033" s="135"/>
      <c r="H1033" s="135"/>
      <c r="I1033" s="135"/>
      <c r="J1033" s="135"/>
      <c r="K1033" s="135"/>
      <c r="L1033" s="135"/>
      <c r="M1033" s="135"/>
      <c r="N1033" s="476"/>
    </row>
    <row r="1034" ht="13.5" customHeight="1">
      <c r="A1034" s="71"/>
      <c r="B1034" s="135"/>
      <c r="C1034" s="135"/>
      <c r="D1034" s="135"/>
      <c r="E1034" s="135"/>
      <c r="F1034" s="135"/>
      <c r="G1034" s="135"/>
      <c r="H1034" s="135"/>
      <c r="I1034" s="135"/>
      <c r="J1034" s="135"/>
      <c r="K1034" s="135"/>
      <c r="L1034" s="135"/>
      <c r="M1034" s="135"/>
      <c r="N1034" s="476"/>
    </row>
    <row r="1035" ht="13.5" customHeight="1">
      <c r="A1035" s="71"/>
      <c r="B1035" s="135"/>
      <c r="C1035" s="135"/>
      <c r="D1035" s="135"/>
      <c r="E1035" s="135"/>
      <c r="F1035" s="135"/>
      <c r="G1035" s="135"/>
      <c r="H1035" s="135"/>
      <c r="I1035" s="135"/>
      <c r="J1035" s="135"/>
      <c r="K1035" s="135"/>
      <c r="L1035" s="135"/>
      <c r="M1035" s="135"/>
      <c r="N1035" s="476"/>
    </row>
    <row r="1036" ht="13.5" customHeight="1">
      <c r="A1036" s="71"/>
      <c r="B1036" s="135"/>
      <c r="C1036" s="135"/>
      <c r="D1036" s="135"/>
      <c r="E1036" s="135"/>
      <c r="F1036" s="135"/>
      <c r="G1036" s="135"/>
      <c r="H1036" s="135"/>
      <c r="I1036" s="135"/>
      <c r="J1036" s="135"/>
      <c r="K1036" s="135"/>
      <c r="L1036" s="135"/>
      <c r="M1036" s="135"/>
      <c r="N1036" s="476"/>
    </row>
    <row r="1037" ht="13.5" customHeight="1">
      <c r="A1037" s="71"/>
      <c r="B1037" s="135"/>
      <c r="C1037" s="135"/>
      <c r="D1037" s="135"/>
      <c r="E1037" s="135"/>
      <c r="F1037" s="135"/>
      <c r="G1037" s="135"/>
      <c r="H1037" s="135"/>
      <c r="I1037" s="135"/>
      <c r="J1037" s="135"/>
      <c r="K1037" s="135"/>
      <c r="L1037" s="135"/>
      <c r="M1037" s="135"/>
      <c r="N1037" s="476"/>
    </row>
    <row r="1038" ht="13.5" customHeight="1">
      <c r="A1038" s="71"/>
      <c r="B1038" s="135"/>
      <c r="C1038" s="135"/>
      <c r="D1038" s="135"/>
      <c r="E1038" s="135"/>
      <c r="F1038" s="135"/>
      <c r="G1038" s="135"/>
      <c r="H1038" s="135"/>
      <c r="I1038" s="135"/>
      <c r="J1038" s="135"/>
      <c r="K1038" s="135"/>
      <c r="L1038" s="135"/>
      <c r="M1038" s="135"/>
      <c r="N1038" s="476"/>
    </row>
    <row r="1039" ht="13.5" customHeight="1">
      <c r="A1039" s="71"/>
      <c r="B1039" s="135"/>
      <c r="C1039" s="135"/>
      <c r="D1039" s="135"/>
      <c r="E1039" s="135"/>
      <c r="F1039" s="135"/>
      <c r="G1039" s="135"/>
      <c r="H1039" s="135"/>
      <c r="I1039" s="135"/>
      <c r="J1039" s="135"/>
      <c r="K1039" s="135"/>
      <c r="L1039" s="135"/>
      <c r="M1039" s="135"/>
      <c r="N1039" s="476"/>
    </row>
    <row r="1040" ht="13.5" customHeight="1">
      <c r="A1040" s="71"/>
      <c r="B1040" s="135"/>
      <c r="C1040" s="135"/>
      <c r="D1040" s="135"/>
      <c r="E1040" s="135"/>
      <c r="F1040" s="135"/>
      <c r="G1040" s="135"/>
      <c r="H1040" s="135"/>
      <c r="I1040" s="135"/>
      <c r="J1040" s="135"/>
      <c r="K1040" s="135"/>
      <c r="L1040" s="135"/>
      <c r="M1040" s="135"/>
      <c r="N1040" s="476"/>
    </row>
    <row r="1041" ht="13.5" customHeight="1">
      <c r="A1041" s="71"/>
      <c r="B1041" s="135"/>
      <c r="C1041" s="135"/>
      <c r="D1041" s="135"/>
      <c r="E1041" s="135"/>
      <c r="F1041" s="135"/>
      <c r="G1041" s="135"/>
      <c r="H1041" s="135"/>
      <c r="I1041" s="135"/>
      <c r="J1041" s="135"/>
      <c r="K1041" s="135"/>
      <c r="L1041" s="135"/>
      <c r="M1041" s="135"/>
      <c r="N1041" s="476"/>
    </row>
    <row r="1042" ht="13.5" customHeight="1">
      <c r="A1042" s="71"/>
      <c r="B1042" s="135"/>
      <c r="C1042" s="135"/>
      <c r="D1042" s="135"/>
      <c r="E1042" s="135"/>
      <c r="F1042" s="135"/>
      <c r="G1042" s="135"/>
      <c r="H1042" s="135"/>
      <c r="I1042" s="135"/>
      <c r="J1042" s="135"/>
      <c r="K1042" s="135"/>
      <c r="L1042" s="135"/>
      <c r="M1042" s="135"/>
      <c r="N1042" s="476"/>
    </row>
    <row r="1043" ht="13.5" customHeight="1">
      <c r="A1043" s="71"/>
      <c r="B1043" s="135"/>
      <c r="C1043" s="135"/>
      <c r="D1043" s="135"/>
      <c r="E1043" s="135"/>
      <c r="F1043" s="135"/>
      <c r="G1043" s="135"/>
      <c r="H1043" s="135"/>
      <c r="I1043" s="135"/>
      <c r="J1043" s="135"/>
      <c r="K1043" s="135"/>
      <c r="L1043" s="135"/>
      <c r="M1043" s="135"/>
      <c r="N1043" s="476"/>
    </row>
    <row r="1044" ht="13.5" customHeight="1">
      <c r="A1044" s="71"/>
      <c r="B1044" s="135"/>
      <c r="C1044" s="135"/>
      <c r="D1044" s="135"/>
      <c r="E1044" s="135"/>
      <c r="F1044" s="135"/>
      <c r="G1044" s="135"/>
      <c r="H1044" s="135"/>
      <c r="I1044" s="135"/>
      <c r="J1044" s="135"/>
      <c r="K1044" s="135"/>
      <c r="L1044" s="135"/>
      <c r="M1044" s="135"/>
      <c r="N1044" s="476"/>
    </row>
    <row r="1045" ht="13.5" customHeight="1">
      <c r="A1045" s="71"/>
      <c r="B1045" s="135"/>
      <c r="C1045" s="135"/>
      <c r="D1045" s="135"/>
      <c r="E1045" s="135"/>
      <c r="F1045" s="135"/>
      <c r="G1045" s="135"/>
      <c r="H1045" s="135"/>
      <c r="I1045" s="135"/>
      <c r="J1045" s="135"/>
      <c r="K1045" s="135"/>
      <c r="L1045" s="135"/>
      <c r="M1045" s="135"/>
      <c r="N1045" s="476"/>
    </row>
    <row r="1046" ht="13.5" customHeight="1">
      <c r="A1046" s="71"/>
      <c r="B1046" s="135"/>
      <c r="C1046" s="135"/>
      <c r="D1046" s="135"/>
      <c r="E1046" s="135"/>
      <c r="F1046" s="135"/>
      <c r="G1046" s="135"/>
      <c r="H1046" s="135"/>
      <c r="I1046" s="135"/>
      <c r="J1046" s="135"/>
      <c r="K1046" s="135"/>
      <c r="L1046" s="135"/>
      <c r="M1046" s="135"/>
      <c r="N1046" s="476"/>
    </row>
    <row r="1047" ht="13.5" customHeight="1">
      <c r="A1047" s="71"/>
      <c r="B1047" s="135"/>
      <c r="C1047" s="135"/>
      <c r="D1047" s="135"/>
      <c r="E1047" s="135"/>
      <c r="F1047" s="135"/>
      <c r="G1047" s="135"/>
      <c r="H1047" s="135"/>
      <c r="I1047" s="135"/>
      <c r="J1047" s="135"/>
      <c r="K1047" s="135"/>
      <c r="L1047" s="135"/>
      <c r="M1047" s="135"/>
      <c r="N1047" s="476"/>
    </row>
    <row r="1048" ht="13.5" customHeight="1">
      <c r="A1048" s="71"/>
      <c r="B1048" s="135"/>
      <c r="C1048" s="135"/>
      <c r="D1048" s="135"/>
      <c r="E1048" s="135"/>
      <c r="F1048" s="135"/>
      <c r="G1048" s="135"/>
      <c r="H1048" s="135"/>
      <c r="I1048" s="135"/>
      <c r="J1048" s="135"/>
      <c r="K1048" s="135"/>
      <c r="L1048" s="135"/>
      <c r="M1048" s="135"/>
      <c r="N1048" s="476"/>
    </row>
    <row r="1049" ht="13.5" customHeight="1">
      <c r="A1049" s="71"/>
      <c r="B1049" s="135"/>
      <c r="C1049" s="135"/>
      <c r="D1049" s="135"/>
      <c r="E1049" s="135"/>
      <c r="F1049" s="135"/>
      <c r="G1049" s="135"/>
      <c r="H1049" s="135"/>
      <c r="I1049" s="135"/>
      <c r="J1049" s="135"/>
      <c r="K1049" s="135"/>
      <c r="L1049" s="135"/>
      <c r="M1049" s="135"/>
      <c r="N1049" s="476"/>
    </row>
    <row r="1050" ht="13.5" customHeight="1">
      <c r="A1050" s="71"/>
      <c r="B1050" s="135"/>
      <c r="C1050" s="135"/>
      <c r="D1050" s="135"/>
      <c r="E1050" s="135"/>
      <c r="F1050" s="135"/>
      <c r="G1050" s="135"/>
      <c r="H1050" s="135"/>
      <c r="I1050" s="135"/>
      <c r="J1050" s="135"/>
      <c r="K1050" s="135"/>
      <c r="L1050" s="135"/>
      <c r="M1050" s="135"/>
      <c r="N1050" s="476"/>
    </row>
    <row r="1051" ht="13.5" customHeight="1">
      <c r="A1051" s="71"/>
      <c r="B1051" s="135"/>
      <c r="C1051" s="135"/>
      <c r="D1051" s="135"/>
      <c r="E1051" s="135"/>
      <c r="F1051" s="135"/>
      <c r="G1051" s="135"/>
      <c r="H1051" s="135"/>
      <c r="I1051" s="135"/>
      <c r="J1051" s="135"/>
      <c r="K1051" s="135"/>
      <c r="L1051" s="135"/>
      <c r="M1051" s="135"/>
      <c r="N1051" s="476"/>
    </row>
    <row r="1052" ht="13.5" customHeight="1">
      <c r="A1052" s="71"/>
      <c r="B1052" s="135"/>
      <c r="C1052" s="135"/>
      <c r="D1052" s="135"/>
      <c r="E1052" s="135"/>
      <c r="F1052" s="135"/>
      <c r="G1052" s="135"/>
      <c r="H1052" s="135"/>
      <c r="I1052" s="135"/>
      <c r="J1052" s="135"/>
      <c r="K1052" s="135"/>
      <c r="L1052" s="135"/>
      <c r="M1052" s="135"/>
      <c r="N1052" s="476"/>
    </row>
    <row r="1053" ht="13.5" customHeight="1">
      <c r="A1053" s="71"/>
      <c r="B1053" s="135"/>
      <c r="C1053" s="135"/>
      <c r="D1053" s="135"/>
      <c r="E1053" s="135"/>
      <c r="F1053" s="135"/>
      <c r="G1053" s="135"/>
      <c r="H1053" s="135"/>
      <c r="I1053" s="135"/>
      <c r="J1053" s="135"/>
      <c r="K1053" s="135"/>
      <c r="L1053" s="135"/>
      <c r="M1053" s="135"/>
      <c r="N1053" s="476"/>
    </row>
    <row r="1054" ht="13.5" customHeight="1">
      <c r="A1054" s="71"/>
      <c r="B1054" s="135"/>
      <c r="C1054" s="135"/>
      <c r="D1054" s="135"/>
      <c r="E1054" s="135"/>
      <c r="F1054" s="135"/>
      <c r="G1054" s="135"/>
      <c r="H1054" s="135"/>
      <c r="I1054" s="135"/>
      <c r="J1054" s="135"/>
      <c r="K1054" s="135"/>
      <c r="L1054" s="135"/>
      <c r="M1054" s="135"/>
      <c r="N1054" s="476"/>
    </row>
    <row r="1055" ht="13.5" customHeight="1">
      <c r="A1055" s="71"/>
      <c r="B1055" s="135"/>
      <c r="C1055" s="135"/>
      <c r="D1055" s="135"/>
      <c r="E1055" s="135"/>
      <c r="F1055" s="135"/>
      <c r="G1055" s="135"/>
      <c r="H1055" s="135"/>
      <c r="I1055" s="135"/>
      <c r="J1055" s="135"/>
      <c r="K1055" s="135"/>
      <c r="L1055" s="135"/>
      <c r="M1055" s="135"/>
      <c r="N1055" s="476"/>
    </row>
    <row r="1056" ht="13.5" customHeight="1">
      <c r="A1056" s="71"/>
      <c r="B1056" s="135"/>
      <c r="C1056" s="135"/>
      <c r="D1056" s="135"/>
      <c r="E1056" s="135"/>
      <c r="F1056" s="135"/>
      <c r="G1056" s="135"/>
      <c r="H1056" s="135"/>
      <c r="I1056" s="135"/>
      <c r="J1056" s="135"/>
      <c r="K1056" s="135"/>
      <c r="L1056" s="135"/>
      <c r="M1056" s="135"/>
      <c r="N1056" s="476"/>
    </row>
    <row r="1057" ht="13.5" customHeight="1">
      <c r="A1057" s="71"/>
      <c r="B1057" s="135"/>
      <c r="C1057" s="135"/>
      <c r="D1057" s="135"/>
      <c r="E1057" s="135"/>
      <c r="F1057" s="135"/>
      <c r="G1057" s="135"/>
      <c r="H1057" s="135"/>
      <c r="I1057" s="135"/>
      <c r="J1057" s="135"/>
      <c r="K1057" s="135"/>
      <c r="L1057" s="135"/>
      <c r="M1057" s="135"/>
      <c r="N1057" s="476"/>
    </row>
    <row r="1058" ht="13.5" customHeight="1">
      <c r="A1058" s="71"/>
      <c r="B1058" s="135"/>
      <c r="C1058" s="135"/>
      <c r="D1058" s="135"/>
      <c r="E1058" s="135"/>
      <c r="F1058" s="135"/>
      <c r="G1058" s="135"/>
      <c r="H1058" s="135"/>
      <c r="I1058" s="135"/>
      <c r="J1058" s="135"/>
      <c r="K1058" s="135"/>
      <c r="L1058" s="135"/>
      <c r="M1058" s="135"/>
      <c r="N1058" s="476"/>
    </row>
    <row r="1059" ht="13.5" customHeight="1">
      <c r="A1059" s="71"/>
      <c r="B1059" s="135"/>
      <c r="C1059" s="135"/>
      <c r="D1059" s="135"/>
      <c r="E1059" s="135"/>
      <c r="F1059" s="135"/>
      <c r="G1059" s="135"/>
      <c r="H1059" s="135"/>
      <c r="I1059" s="135"/>
      <c r="J1059" s="135"/>
      <c r="K1059" s="135"/>
      <c r="L1059" s="135"/>
      <c r="M1059" s="135"/>
      <c r="N1059" s="476"/>
    </row>
    <row r="1060" ht="13.5" customHeight="1">
      <c r="A1060" s="71"/>
      <c r="B1060" s="135"/>
      <c r="C1060" s="135"/>
      <c r="D1060" s="135"/>
      <c r="E1060" s="135"/>
      <c r="F1060" s="135"/>
      <c r="G1060" s="135"/>
      <c r="H1060" s="135"/>
      <c r="I1060" s="135"/>
      <c r="J1060" s="135"/>
      <c r="K1060" s="135"/>
      <c r="L1060" s="135"/>
      <c r="M1060" s="135"/>
      <c r="N1060" s="476"/>
    </row>
    <row r="1061" ht="13.5" customHeight="1">
      <c r="A1061" s="71"/>
      <c r="B1061" s="135"/>
      <c r="C1061" s="135"/>
      <c r="D1061" s="135"/>
      <c r="E1061" s="135"/>
      <c r="F1061" s="135"/>
      <c r="G1061" s="135"/>
      <c r="H1061" s="135"/>
      <c r="I1061" s="135"/>
      <c r="J1061" s="135"/>
      <c r="K1061" s="135"/>
      <c r="L1061" s="135"/>
      <c r="M1061" s="135"/>
      <c r="N1061" s="476"/>
    </row>
    <row r="1062" ht="13.5" customHeight="1">
      <c r="A1062" s="71"/>
      <c r="B1062" s="135"/>
      <c r="C1062" s="135"/>
      <c r="D1062" s="135"/>
      <c r="E1062" s="135"/>
      <c r="F1062" s="135"/>
      <c r="G1062" s="135"/>
      <c r="H1062" s="135"/>
      <c r="I1062" s="135"/>
      <c r="J1062" s="135"/>
      <c r="K1062" s="135"/>
      <c r="L1062" s="135"/>
      <c r="M1062" s="135"/>
      <c r="N1062" s="476"/>
    </row>
    <row r="1063" ht="13.5" customHeight="1">
      <c r="A1063" s="71"/>
      <c r="B1063" s="135"/>
      <c r="C1063" s="135"/>
      <c r="D1063" s="135"/>
      <c r="E1063" s="135"/>
      <c r="F1063" s="135"/>
      <c r="G1063" s="135"/>
      <c r="H1063" s="135"/>
      <c r="I1063" s="135"/>
      <c r="J1063" s="135"/>
      <c r="K1063" s="135"/>
      <c r="L1063" s="135"/>
      <c r="M1063" s="135"/>
      <c r="N1063" s="476"/>
    </row>
    <row r="1064" ht="13.5" customHeight="1">
      <c r="A1064" s="71"/>
      <c r="B1064" s="135"/>
      <c r="C1064" s="135"/>
      <c r="D1064" s="135"/>
      <c r="E1064" s="135"/>
      <c r="F1064" s="135"/>
      <c r="G1064" s="135"/>
      <c r="H1064" s="135"/>
      <c r="I1064" s="135"/>
      <c r="J1064" s="135"/>
      <c r="K1064" s="135"/>
      <c r="L1064" s="135"/>
      <c r="M1064" s="135"/>
      <c r="N1064" s="476"/>
    </row>
    <row r="1065" ht="13.5" customHeight="1">
      <c r="A1065" s="71"/>
      <c r="B1065" s="135"/>
      <c r="C1065" s="135"/>
      <c r="D1065" s="135"/>
      <c r="E1065" s="135"/>
      <c r="F1065" s="135"/>
      <c r="G1065" s="135"/>
      <c r="H1065" s="135"/>
      <c r="I1065" s="135"/>
      <c r="J1065" s="135"/>
      <c r="K1065" s="135"/>
      <c r="L1065" s="135"/>
      <c r="M1065" s="135"/>
      <c r="N1065" s="476"/>
    </row>
    <row r="1066" ht="13.5" customHeight="1">
      <c r="A1066" s="71"/>
      <c r="B1066" s="135"/>
      <c r="C1066" s="135"/>
      <c r="D1066" s="135"/>
      <c r="E1066" s="135"/>
      <c r="F1066" s="135"/>
      <c r="G1066" s="135"/>
      <c r="H1066" s="135"/>
      <c r="I1066" s="135"/>
      <c r="J1066" s="135"/>
      <c r="K1066" s="135"/>
      <c r="L1066" s="135"/>
      <c r="M1066" s="135"/>
      <c r="N1066" s="476"/>
    </row>
    <row r="1067" ht="13.5" customHeight="1">
      <c r="A1067" s="71"/>
      <c r="B1067" s="135"/>
      <c r="C1067" s="135"/>
      <c r="D1067" s="135"/>
      <c r="E1067" s="135"/>
      <c r="F1067" s="135"/>
      <c r="G1067" s="135"/>
      <c r="H1067" s="135"/>
      <c r="I1067" s="135"/>
      <c r="J1067" s="135"/>
      <c r="K1067" s="135"/>
      <c r="L1067" s="135"/>
      <c r="M1067" s="135"/>
      <c r="N1067" s="476"/>
    </row>
    <row r="1068" ht="13.5" customHeight="1">
      <c r="A1068" s="71"/>
      <c r="B1068" s="135"/>
      <c r="C1068" s="135"/>
      <c r="D1068" s="135"/>
      <c r="E1068" s="135"/>
      <c r="F1068" s="135"/>
      <c r="G1068" s="135"/>
      <c r="H1068" s="135"/>
      <c r="I1068" s="135"/>
      <c r="J1068" s="135"/>
      <c r="K1068" s="135"/>
      <c r="L1068" s="135"/>
      <c r="M1068" s="135"/>
      <c r="N1068" s="476"/>
    </row>
    <row r="1069" ht="13.5" customHeight="1">
      <c r="A1069" s="71"/>
      <c r="B1069" s="135"/>
      <c r="C1069" s="135"/>
      <c r="D1069" s="135"/>
      <c r="E1069" s="135"/>
      <c r="F1069" s="135"/>
      <c r="G1069" s="135"/>
      <c r="H1069" s="135"/>
      <c r="I1069" s="135"/>
      <c r="J1069" s="135"/>
      <c r="K1069" s="135"/>
      <c r="L1069" s="135"/>
      <c r="M1069" s="135"/>
      <c r="N1069" s="476"/>
    </row>
    <row r="1070" ht="13.5" customHeight="1">
      <c r="A1070" s="71"/>
      <c r="B1070" s="135"/>
      <c r="C1070" s="135"/>
      <c r="D1070" s="135"/>
      <c r="E1070" s="135"/>
      <c r="F1070" s="135"/>
      <c r="G1070" s="135"/>
      <c r="H1070" s="135"/>
      <c r="I1070" s="135"/>
      <c r="J1070" s="135"/>
      <c r="K1070" s="135"/>
      <c r="L1070" s="135"/>
      <c r="M1070" s="135"/>
      <c r="N1070" s="476"/>
    </row>
    <row r="1071" ht="13.5" customHeight="1">
      <c r="A1071" s="71"/>
      <c r="B1071" s="135"/>
      <c r="C1071" s="135"/>
      <c r="D1071" s="135"/>
      <c r="E1071" s="135"/>
      <c r="F1071" s="135"/>
      <c r="G1071" s="135"/>
      <c r="H1071" s="135"/>
      <c r="I1071" s="135"/>
      <c r="J1071" s="135"/>
      <c r="K1071" s="135"/>
      <c r="L1071" s="135"/>
      <c r="M1071" s="135"/>
      <c r="N1071" s="476"/>
    </row>
    <row r="1072" ht="13.5" customHeight="1">
      <c r="A1072" s="71"/>
      <c r="B1072" s="135"/>
      <c r="C1072" s="135"/>
      <c r="D1072" s="135"/>
      <c r="E1072" s="135"/>
      <c r="F1072" s="135"/>
      <c r="G1072" s="135"/>
      <c r="H1072" s="135"/>
      <c r="I1072" s="135"/>
      <c r="J1072" s="135"/>
      <c r="K1072" s="135"/>
      <c r="L1072" s="135"/>
      <c r="M1072" s="135"/>
      <c r="N1072" s="476"/>
    </row>
    <row r="1073" ht="13.5" customHeight="1">
      <c r="A1073" s="71"/>
      <c r="B1073" s="135"/>
      <c r="C1073" s="135"/>
      <c r="D1073" s="135"/>
      <c r="E1073" s="135"/>
      <c r="F1073" s="135"/>
      <c r="G1073" s="135"/>
      <c r="H1073" s="135"/>
      <c r="I1073" s="135"/>
      <c r="J1073" s="135"/>
      <c r="K1073" s="135"/>
      <c r="L1073" s="135"/>
      <c r="M1073" s="135"/>
      <c r="N1073" s="476"/>
    </row>
    <row r="1074" ht="13.5" customHeight="1">
      <c r="A1074" s="71"/>
      <c r="B1074" s="135"/>
      <c r="C1074" s="135"/>
      <c r="D1074" s="135"/>
      <c r="E1074" s="135"/>
      <c r="F1074" s="135"/>
      <c r="G1074" s="135"/>
      <c r="H1074" s="135"/>
      <c r="I1074" s="135"/>
      <c r="J1074" s="135"/>
      <c r="K1074" s="135"/>
      <c r="L1074" s="135"/>
      <c r="M1074" s="135"/>
      <c r="N1074" s="476"/>
    </row>
    <row r="1075" ht="13.5" customHeight="1">
      <c r="A1075" s="71"/>
      <c r="B1075" s="135"/>
      <c r="C1075" s="135"/>
      <c r="D1075" s="135"/>
      <c r="E1075" s="135"/>
      <c r="F1075" s="135"/>
      <c r="G1075" s="135"/>
      <c r="H1075" s="135"/>
      <c r="I1075" s="135"/>
      <c r="J1075" s="135"/>
      <c r="K1075" s="135"/>
      <c r="L1075" s="135"/>
      <c r="M1075" s="135"/>
      <c r="N1075" s="476"/>
    </row>
    <row r="1076" ht="13.5" customHeight="1">
      <c r="A1076" s="71"/>
      <c r="B1076" s="135"/>
      <c r="C1076" s="135"/>
      <c r="D1076" s="135"/>
      <c r="E1076" s="135"/>
      <c r="F1076" s="135"/>
      <c r="G1076" s="135"/>
      <c r="H1076" s="135"/>
      <c r="I1076" s="135"/>
      <c r="J1076" s="135"/>
      <c r="K1076" s="135"/>
      <c r="L1076" s="135"/>
      <c r="M1076" s="135"/>
      <c r="N1076" s="476"/>
    </row>
    <row r="1077" ht="13.5" customHeight="1">
      <c r="A1077" s="71"/>
      <c r="B1077" s="135"/>
      <c r="C1077" s="135"/>
      <c r="D1077" s="135"/>
      <c r="E1077" s="135"/>
      <c r="F1077" s="135"/>
      <c r="G1077" s="135"/>
      <c r="H1077" s="135"/>
      <c r="I1077" s="135"/>
      <c r="J1077" s="135"/>
      <c r="K1077" s="135"/>
      <c r="L1077" s="135"/>
      <c r="M1077" s="135"/>
      <c r="N1077" s="476"/>
    </row>
    <row r="1078" ht="13.5" customHeight="1">
      <c r="A1078" s="71"/>
      <c r="B1078" s="135"/>
      <c r="C1078" s="135"/>
      <c r="D1078" s="135"/>
      <c r="E1078" s="135"/>
      <c r="F1078" s="135"/>
      <c r="G1078" s="135"/>
      <c r="H1078" s="135"/>
      <c r="I1078" s="135"/>
      <c r="J1078" s="135"/>
      <c r="K1078" s="135"/>
      <c r="L1078" s="135"/>
      <c r="M1078" s="135"/>
      <c r="N1078" s="476"/>
    </row>
    <row r="1079" ht="13.5" customHeight="1">
      <c r="A1079" s="71"/>
      <c r="B1079" s="135"/>
      <c r="C1079" s="135"/>
      <c r="D1079" s="135"/>
      <c r="E1079" s="135"/>
      <c r="F1079" s="135"/>
      <c r="G1079" s="135"/>
      <c r="H1079" s="135"/>
      <c r="I1079" s="135"/>
      <c r="J1079" s="135"/>
      <c r="K1079" s="135"/>
      <c r="L1079" s="135"/>
      <c r="M1079" s="135"/>
      <c r="N1079" s="476"/>
    </row>
    <row r="1080" ht="13.5" customHeight="1">
      <c r="A1080" s="71"/>
      <c r="B1080" s="135"/>
      <c r="C1080" s="135"/>
      <c r="D1080" s="135"/>
      <c r="E1080" s="135"/>
      <c r="F1080" s="135"/>
      <c r="G1080" s="135"/>
      <c r="H1080" s="135"/>
      <c r="I1080" s="135"/>
      <c r="J1080" s="135"/>
      <c r="K1080" s="135"/>
      <c r="L1080" s="135"/>
      <c r="M1080" s="135"/>
      <c r="N1080" s="476"/>
    </row>
    <row r="1081" ht="13.5" customHeight="1">
      <c r="A1081" s="71"/>
      <c r="B1081" s="135"/>
      <c r="C1081" s="135"/>
      <c r="D1081" s="135"/>
      <c r="E1081" s="135"/>
      <c r="F1081" s="135"/>
      <c r="G1081" s="135"/>
      <c r="H1081" s="135"/>
      <c r="I1081" s="135"/>
      <c r="J1081" s="135"/>
      <c r="K1081" s="135"/>
      <c r="L1081" s="135"/>
      <c r="M1081" s="135"/>
      <c r="N1081" s="476"/>
    </row>
    <row r="1082" ht="13.5" customHeight="1">
      <c r="A1082" s="71"/>
      <c r="B1082" s="135"/>
      <c r="C1082" s="135"/>
      <c r="D1082" s="135"/>
      <c r="E1082" s="135"/>
      <c r="F1082" s="135"/>
      <c r="G1082" s="135"/>
      <c r="H1082" s="135"/>
      <c r="I1082" s="135"/>
      <c r="J1082" s="135"/>
      <c r="K1082" s="135"/>
      <c r="L1082" s="135"/>
      <c r="M1082" s="135"/>
      <c r="N1082" s="476"/>
    </row>
    <row r="1083" ht="13.5" customHeight="1">
      <c r="A1083" s="71"/>
      <c r="B1083" s="135"/>
      <c r="C1083" s="135"/>
      <c r="D1083" s="135"/>
      <c r="E1083" s="135"/>
      <c r="F1083" s="135"/>
      <c r="G1083" s="135"/>
      <c r="H1083" s="135"/>
      <c r="I1083" s="135"/>
      <c r="J1083" s="135"/>
      <c r="K1083" s="135"/>
      <c r="L1083" s="135"/>
      <c r="M1083" s="135"/>
      <c r="N1083" s="476"/>
    </row>
    <row r="1084" ht="13.5" customHeight="1">
      <c r="A1084" s="71"/>
      <c r="B1084" s="135"/>
      <c r="C1084" s="135"/>
      <c r="D1084" s="135"/>
      <c r="E1084" s="135"/>
      <c r="F1084" s="135"/>
      <c r="G1084" s="135"/>
      <c r="H1084" s="135"/>
      <c r="I1084" s="135"/>
      <c r="J1084" s="135"/>
      <c r="K1084" s="135"/>
      <c r="L1084" s="135"/>
      <c r="M1084" s="135"/>
      <c r="N1084" s="476"/>
    </row>
    <row r="1085" ht="13.5" customHeight="1">
      <c r="A1085" s="71"/>
      <c r="B1085" s="135"/>
      <c r="C1085" s="135"/>
      <c r="D1085" s="135"/>
      <c r="E1085" s="135"/>
      <c r="F1085" s="135"/>
      <c r="G1085" s="135"/>
      <c r="H1085" s="135"/>
      <c r="I1085" s="135"/>
      <c r="J1085" s="135"/>
      <c r="K1085" s="135"/>
      <c r="L1085" s="135"/>
      <c r="M1085" s="135"/>
      <c r="N1085" s="476"/>
    </row>
    <row r="1086" ht="13.5" customHeight="1">
      <c r="A1086" s="71"/>
      <c r="B1086" s="135"/>
      <c r="C1086" s="135"/>
      <c r="D1086" s="135"/>
      <c r="E1086" s="135"/>
      <c r="F1086" s="135"/>
      <c r="G1086" s="135"/>
      <c r="H1086" s="135"/>
      <c r="I1086" s="135"/>
      <c r="J1086" s="135"/>
      <c r="K1086" s="135"/>
      <c r="L1086" s="135"/>
      <c r="M1086" s="135"/>
      <c r="N1086" s="476"/>
    </row>
    <row r="1087" ht="13.5" customHeight="1">
      <c r="A1087" s="71"/>
      <c r="B1087" s="135"/>
      <c r="C1087" s="135"/>
      <c r="D1087" s="135"/>
      <c r="E1087" s="135"/>
      <c r="F1087" s="135"/>
      <c r="G1087" s="135"/>
      <c r="H1087" s="135"/>
      <c r="I1087" s="135"/>
      <c r="J1087" s="135"/>
      <c r="K1087" s="135"/>
      <c r="L1087" s="135"/>
      <c r="M1087" s="135"/>
      <c r="N1087" s="476"/>
    </row>
    <row r="1088" ht="13.5" customHeight="1">
      <c r="A1088" s="71"/>
      <c r="B1088" s="135"/>
      <c r="C1088" s="135"/>
      <c r="D1088" s="135"/>
      <c r="E1088" s="135"/>
      <c r="F1088" s="135"/>
      <c r="G1088" s="135"/>
      <c r="H1088" s="135"/>
      <c r="I1088" s="135"/>
      <c r="J1088" s="135"/>
      <c r="K1088" s="135"/>
      <c r="L1088" s="135"/>
      <c r="M1088" s="135"/>
      <c r="N1088" s="476"/>
    </row>
    <row r="1089" ht="13.5" customHeight="1">
      <c r="A1089" s="71"/>
      <c r="B1089" s="135"/>
      <c r="C1089" s="135"/>
      <c r="D1089" s="135"/>
      <c r="E1089" s="135"/>
      <c r="F1089" s="135"/>
      <c r="G1089" s="135"/>
      <c r="H1089" s="135"/>
      <c r="I1089" s="135"/>
      <c r="J1089" s="135"/>
      <c r="K1089" s="135"/>
      <c r="L1089" s="135"/>
      <c r="M1089" s="135"/>
      <c r="N1089" s="476"/>
    </row>
    <row r="1090" ht="13.5" customHeight="1">
      <c r="A1090" s="71"/>
      <c r="B1090" s="135"/>
      <c r="C1090" s="135"/>
      <c r="D1090" s="135"/>
      <c r="E1090" s="135"/>
      <c r="F1090" s="135"/>
      <c r="G1090" s="135"/>
      <c r="H1090" s="135"/>
      <c r="I1090" s="135"/>
      <c r="J1090" s="135"/>
      <c r="K1090" s="135"/>
      <c r="L1090" s="135"/>
      <c r="M1090" s="135"/>
      <c r="N1090" s="476"/>
    </row>
    <row r="1091" ht="13.5" customHeight="1">
      <c r="A1091" s="71"/>
      <c r="B1091" s="135"/>
      <c r="C1091" s="135"/>
      <c r="D1091" s="135"/>
      <c r="E1091" s="135"/>
      <c r="F1091" s="135"/>
      <c r="G1091" s="135"/>
      <c r="H1091" s="135"/>
      <c r="I1091" s="135"/>
      <c r="J1091" s="135"/>
      <c r="K1091" s="135"/>
      <c r="L1091" s="135"/>
      <c r="M1091" s="135"/>
      <c r="N1091" s="476"/>
    </row>
    <row r="1092" ht="13.5" customHeight="1">
      <c r="A1092" s="71"/>
      <c r="B1092" s="135"/>
      <c r="C1092" s="135"/>
      <c r="D1092" s="135"/>
      <c r="E1092" s="135"/>
      <c r="F1092" s="135"/>
      <c r="G1092" s="135"/>
      <c r="H1092" s="135"/>
      <c r="I1092" s="135"/>
      <c r="J1092" s="135"/>
      <c r="K1092" s="135"/>
      <c r="L1092" s="135"/>
      <c r="M1092" s="135"/>
      <c r="N1092" s="476"/>
    </row>
    <row r="1093" ht="13.5" customHeight="1">
      <c r="A1093" s="71"/>
      <c r="B1093" s="135"/>
      <c r="C1093" s="135"/>
      <c r="D1093" s="135"/>
      <c r="E1093" s="135"/>
      <c r="F1093" s="135"/>
      <c r="G1093" s="135"/>
      <c r="H1093" s="135"/>
      <c r="I1093" s="135"/>
      <c r="J1093" s="135"/>
      <c r="K1093" s="135"/>
      <c r="L1093" s="135"/>
      <c r="M1093" s="135"/>
      <c r="N1093" s="476"/>
    </row>
    <row r="1094" ht="13.5" customHeight="1">
      <c r="A1094" s="71"/>
      <c r="B1094" s="135"/>
      <c r="C1094" s="135"/>
      <c r="D1094" s="135"/>
      <c r="E1094" s="135"/>
      <c r="F1094" s="135"/>
      <c r="G1094" s="135"/>
      <c r="H1094" s="135"/>
      <c r="I1094" s="135"/>
      <c r="J1094" s="135"/>
      <c r="K1094" s="135"/>
      <c r="L1094" s="135"/>
      <c r="M1094" s="135"/>
      <c r="N1094" s="476"/>
    </row>
    <row r="1095" ht="13.5" customHeight="1">
      <c r="A1095" s="71"/>
      <c r="B1095" s="135"/>
      <c r="C1095" s="135"/>
      <c r="D1095" s="135"/>
      <c r="E1095" s="135"/>
      <c r="F1095" s="135"/>
      <c r="G1095" s="135"/>
      <c r="H1095" s="135"/>
      <c r="I1095" s="135"/>
      <c r="J1095" s="135"/>
      <c r="K1095" s="135"/>
      <c r="L1095" s="135"/>
      <c r="M1095" s="135"/>
      <c r="N1095" s="476"/>
    </row>
    <row r="1096" ht="13.5" customHeight="1">
      <c r="A1096" s="71"/>
      <c r="B1096" s="135"/>
      <c r="C1096" s="135"/>
      <c r="D1096" s="135"/>
      <c r="E1096" s="135"/>
      <c r="F1096" s="135"/>
      <c r="G1096" s="135"/>
      <c r="H1096" s="135"/>
      <c r="I1096" s="135"/>
      <c r="J1096" s="135"/>
      <c r="K1096" s="135"/>
      <c r="L1096" s="135"/>
      <c r="M1096" s="135"/>
      <c r="N1096" s="476"/>
    </row>
    <row r="1097" ht="13.5" customHeight="1">
      <c r="A1097" s="71"/>
      <c r="B1097" s="135"/>
      <c r="C1097" s="135"/>
      <c r="D1097" s="135"/>
      <c r="E1097" s="135"/>
      <c r="F1097" s="135"/>
      <c r="G1097" s="135"/>
      <c r="H1097" s="135"/>
      <c r="I1097" s="135"/>
      <c r="J1097" s="135"/>
      <c r="K1097" s="135"/>
      <c r="L1097" s="135"/>
      <c r="M1097" s="135"/>
      <c r="N1097" s="476"/>
    </row>
    <row r="1098" ht="13.5" customHeight="1">
      <c r="A1098" s="71"/>
      <c r="B1098" s="135"/>
      <c r="C1098" s="135"/>
      <c r="D1098" s="135"/>
      <c r="E1098" s="135"/>
      <c r="F1098" s="135"/>
      <c r="G1098" s="135"/>
      <c r="H1098" s="135"/>
      <c r="I1098" s="135"/>
      <c r="J1098" s="135"/>
      <c r="K1098" s="135"/>
      <c r="L1098" s="135"/>
      <c r="M1098" s="135"/>
      <c r="N1098" s="476"/>
    </row>
    <row r="1099" ht="13.5" customHeight="1">
      <c r="A1099" s="71"/>
      <c r="B1099" s="135"/>
      <c r="C1099" s="135"/>
      <c r="D1099" s="135"/>
      <c r="E1099" s="135"/>
      <c r="F1099" s="135"/>
      <c r="G1099" s="135"/>
      <c r="H1099" s="135"/>
      <c r="I1099" s="135"/>
      <c r="J1099" s="135"/>
      <c r="K1099" s="135"/>
      <c r="L1099" s="135"/>
      <c r="M1099" s="135"/>
      <c r="N1099" s="476"/>
    </row>
    <row r="1100" ht="13.5" customHeight="1">
      <c r="A1100" s="71"/>
      <c r="B1100" s="135"/>
      <c r="C1100" s="135"/>
      <c r="D1100" s="135"/>
      <c r="E1100" s="135"/>
      <c r="F1100" s="135"/>
      <c r="G1100" s="135"/>
      <c r="H1100" s="135"/>
      <c r="I1100" s="135"/>
      <c r="J1100" s="135"/>
      <c r="K1100" s="135"/>
      <c r="L1100" s="135"/>
      <c r="M1100" s="135"/>
      <c r="N1100" s="476"/>
    </row>
    <row r="1101" ht="13.5" customHeight="1">
      <c r="A1101" s="71"/>
      <c r="B1101" s="135"/>
      <c r="C1101" s="135"/>
      <c r="D1101" s="135"/>
      <c r="E1101" s="135"/>
      <c r="F1101" s="135"/>
      <c r="G1101" s="135"/>
      <c r="H1101" s="135"/>
      <c r="I1101" s="135"/>
      <c r="J1101" s="135"/>
      <c r="K1101" s="135"/>
      <c r="L1101" s="135"/>
      <c r="M1101" s="135"/>
      <c r="N1101" s="476"/>
    </row>
    <row r="1102" ht="13.5" customHeight="1">
      <c r="A1102" s="71"/>
      <c r="B1102" s="135"/>
      <c r="C1102" s="135"/>
      <c r="D1102" s="135"/>
      <c r="E1102" s="135"/>
      <c r="F1102" s="135"/>
      <c r="G1102" s="135"/>
      <c r="H1102" s="135"/>
      <c r="I1102" s="135"/>
      <c r="J1102" s="135"/>
      <c r="K1102" s="135"/>
      <c r="L1102" s="135"/>
      <c r="M1102" s="135"/>
      <c r="N1102" s="476"/>
    </row>
    <row r="1103" ht="13.5" customHeight="1">
      <c r="A1103" s="71"/>
      <c r="B1103" s="135"/>
      <c r="C1103" s="135"/>
      <c r="D1103" s="135"/>
      <c r="E1103" s="135"/>
      <c r="F1103" s="135"/>
      <c r="G1103" s="135"/>
      <c r="H1103" s="135"/>
      <c r="I1103" s="135"/>
      <c r="J1103" s="135"/>
      <c r="K1103" s="135"/>
      <c r="L1103" s="135"/>
      <c r="M1103" s="135"/>
      <c r="N1103" s="476"/>
    </row>
    <row r="1104" ht="13.5" customHeight="1">
      <c r="A1104" s="71"/>
      <c r="B1104" s="135"/>
      <c r="C1104" s="135"/>
      <c r="D1104" s="135"/>
      <c r="E1104" s="135"/>
      <c r="F1104" s="135"/>
      <c r="G1104" s="135"/>
      <c r="H1104" s="135"/>
      <c r="I1104" s="135"/>
      <c r="J1104" s="135"/>
      <c r="K1104" s="135"/>
      <c r="L1104" s="135"/>
      <c r="M1104" s="135"/>
      <c r="N1104" s="476"/>
    </row>
    <row r="1105" ht="13.5" customHeight="1">
      <c r="A1105" s="71"/>
      <c r="B1105" s="135"/>
      <c r="C1105" s="135"/>
      <c r="D1105" s="135"/>
      <c r="E1105" s="135"/>
      <c r="F1105" s="135"/>
      <c r="G1105" s="135"/>
      <c r="H1105" s="135"/>
      <c r="I1105" s="135"/>
      <c r="J1105" s="135"/>
      <c r="K1105" s="135"/>
      <c r="L1105" s="135"/>
      <c r="M1105" s="135"/>
      <c r="N1105" s="476"/>
    </row>
    <row r="1106" ht="13.5" customHeight="1">
      <c r="A1106" s="71"/>
      <c r="B1106" s="135"/>
      <c r="C1106" s="135"/>
      <c r="D1106" s="135"/>
      <c r="E1106" s="135"/>
      <c r="F1106" s="135"/>
      <c r="G1106" s="135"/>
      <c r="H1106" s="135"/>
      <c r="I1106" s="135"/>
      <c r="J1106" s="135"/>
      <c r="K1106" s="135"/>
      <c r="L1106" s="135"/>
      <c r="M1106" s="135"/>
      <c r="N1106" s="476"/>
    </row>
    <row r="1107" ht="13.5" customHeight="1">
      <c r="A1107" s="71"/>
      <c r="B1107" s="135"/>
      <c r="C1107" s="135"/>
      <c r="D1107" s="135"/>
      <c r="E1107" s="135"/>
      <c r="F1107" s="135"/>
      <c r="G1107" s="135"/>
      <c r="H1107" s="135"/>
      <c r="I1107" s="135"/>
      <c r="J1107" s="135"/>
      <c r="K1107" s="135"/>
      <c r="L1107" s="135"/>
      <c r="M1107" s="135"/>
      <c r="N1107" s="476"/>
    </row>
    <row r="1108" ht="13.5" customHeight="1">
      <c r="A1108" s="71"/>
      <c r="B1108" s="135"/>
      <c r="C1108" s="135"/>
      <c r="D1108" s="135"/>
      <c r="E1108" s="135"/>
      <c r="F1108" s="135"/>
      <c r="G1108" s="135"/>
      <c r="H1108" s="135"/>
      <c r="I1108" s="135"/>
      <c r="J1108" s="135"/>
      <c r="K1108" s="135"/>
      <c r="L1108" s="135"/>
      <c r="M1108" s="135"/>
      <c r="N1108" s="476"/>
    </row>
    <row r="1109" ht="13.5" customHeight="1">
      <c r="A1109" s="71"/>
      <c r="B1109" s="135"/>
      <c r="C1109" s="135"/>
      <c r="D1109" s="135"/>
      <c r="E1109" s="135"/>
      <c r="F1109" s="135"/>
      <c r="G1109" s="135"/>
      <c r="H1109" s="135"/>
      <c r="I1109" s="135"/>
      <c r="J1109" s="135"/>
      <c r="K1109" s="135"/>
      <c r="L1109" s="135"/>
      <c r="M1109" s="135"/>
      <c r="N1109" s="476"/>
    </row>
    <row r="1110" ht="13.5" customHeight="1">
      <c r="A1110" s="71"/>
      <c r="B1110" s="135"/>
      <c r="C1110" s="135"/>
      <c r="D1110" s="135"/>
      <c r="E1110" s="135"/>
      <c r="F1110" s="135"/>
      <c r="G1110" s="135"/>
      <c r="H1110" s="135"/>
      <c r="I1110" s="135"/>
      <c r="J1110" s="135"/>
      <c r="K1110" s="135"/>
      <c r="L1110" s="135"/>
      <c r="M1110" s="135"/>
      <c r="N1110" s="476"/>
    </row>
    <row r="1111" ht="13.5" customHeight="1">
      <c r="A1111" s="71"/>
      <c r="B1111" s="135"/>
      <c r="C1111" s="135"/>
      <c r="D1111" s="135"/>
      <c r="E1111" s="135"/>
      <c r="F1111" s="135"/>
      <c r="G1111" s="135"/>
      <c r="H1111" s="135"/>
      <c r="I1111" s="135"/>
      <c r="J1111" s="135"/>
      <c r="K1111" s="135"/>
      <c r="L1111" s="135"/>
      <c r="M1111" s="135"/>
      <c r="N1111" s="476"/>
    </row>
    <row r="1112" ht="13.5" customHeight="1">
      <c r="A1112" s="71"/>
      <c r="B1112" s="135"/>
      <c r="C1112" s="135"/>
      <c r="D1112" s="135"/>
      <c r="E1112" s="135"/>
      <c r="F1112" s="135"/>
      <c r="G1112" s="135"/>
      <c r="H1112" s="135"/>
      <c r="I1112" s="135"/>
      <c r="J1112" s="135"/>
      <c r="K1112" s="135"/>
      <c r="L1112" s="135"/>
      <c r="M1112" s="135"/>
      <c r="N1112" s="476"/>
    </row>
    <row r="1113" ht="13.5" customHeight="1">
      <c r="A1113" s="71"/>
      <c r="B1113" s="135"/>
      <c r="C1113" s="135"/>
      <c r="D1113" s="135"/>
      <c r="E1113" s="135"/>
      <c r="F1113" s="135"/>
      <c r="G1113" s="135"/>
      <c r="H1113" s="135"/>
      <c r="I1113" s="135"/>
      <c r="J1113" s="135"/>
      <c r="K1113" s="135"/>
      <c r="L1113" s="135"/>
      <c r="M1113" s="135"/>
      <c r="N1113" s="476"/>
    </row>
    <row r="1114" ht="13.5" customHeight="1">
      <c r="A1114" s="71"/>
      <c r="B1114" s="135"/>
      <c r="C1114" s="135"/>
      <c r="D1114" s="135"/>
      <c r="E1114" s="135"/>
      <c r="F1114" s="135"/>
      <c r="G1114" s="135"/>
      <c r="H1114" s="135"/>
      <c r="I1114" s="135"/>
      <c r="J1114" s="135"/>
      <c r="K1114" s="135"/>
      <c r="L1114" s="135"/>
      <c r="M1114" s="135"/>
      <c r="N1114" s="476"/>
    </row>
    <row r="1115" ht="13.5" customHeight="1">
      <c r="A1115" s="71"/>
      <c r="B1115" s="135"/>
      <c r="C1115" s="135"/>
      <c r="D1115" s="135"/>
      <c r="E1115" s="135"/>
      <c r="F1115" s="135"/>
      <c r="G1115" s="135"/>
      <c r="H1115" s="135"/>
      <c r="I1115" s="135"/>
      <c r="J1115" s="135"/>
      <c r="K1115" s="135"/>
      <c r="L1115" s="135"/>
      <c r="M1115" s="135"/>
      <c r="N1115" s="476"/>
    </row>
    <row r="1116" ht="13.5" customHeight="1">
      <c r="A1116" s="71"/>
      <c r="B1116" s="135"/>
      <c r="C1116" s="135"/>
      <c r="D1116" s="135"/>
      <c r="E1116" s="135"/>
      <c r="F1116" s="135"/>
      <c r="G1116" s="135"/>
      <c r="H1116" s="135"/>
      <c r="I1116" s="135"/>
      <c r="J1116" s="135"/>
      <c r="K1116" s="135"/>
      <c r="L1116" s="135"/>
      <c r="M1116" s="135"/>
      <c r="N1116" s="476"/>
    </row>
    <row r="1117" ht="13.5" customHeight="1">
      <c r="A1117" s="71"/>
      <c r="B1117" s="135"/>
      <c r="C1117" s="135"/>
      <c r="D1117" s="135"/>
      <c r="E1117" s="135"/>
      <c r="F1117" s="135"/>
      <c r="G1117" s="135"/>
      <c r="H1117" s="135"/>
      <c r="I1117" s="135"/>
      <c r="J1117" s="135"/>
      <c r="K1117" s="135"/>
      <c r="L1117" s="135"/>
      <c r="M1117" s="135"/>
      <c r="N1117" s="476"/>
    </row>
    <row r="1118" ht="13.5" customHeight="1">
      <c r="A1118" s="71"/>
      <c r="B1118" s="135"/>
      <c r="C1118" s="135"/>
      <c r="D1118" s="135"/>
      <c r="E1118" s="135"/>
      <c r="F1118" s="135"/>
      <c r="G1118" s="135"/>
      <c r="H1118" s="135"/>
      <c r="I1118" s="135"/>
      <c r="J1118" s="135"/>
      <c r="K1118" s="135"/>
      <c r="L1118" s="135"/>
      <c r="M1118" s="135"/>
      <c r="N1118" s="476"/>
    </row>
    <row r="1119" ht="13.5" customHeight="1">
      <c r="A1119" s="71"/>
      <c r="B1119" s="135"/>
      <c r="C1119" s="135"/>
      <c r="D1119" s="135"/>
      <c r="E1119" s="135"/>
      <c r="F1119" s="135"/>
      <c r="G1119" s="135"/>
      <c r="H1119" s="135"/>
      <c r="I1119" s="135"/>
      <c r="J1119" s="135"/>
      <c r="K1119" s="135"/>
      <c r="L1119" s="135"/>
      <c r="M1119" s="135"/>
      <c r="N1119" s="476"/>
    </row>
    <row r="1120" ht="13.5" customHeight="1">
      <c r="A1120" s="71"/>
      <c r="B1120" s="135"/>
      <c r="C1120" s="135"/>
      <c r="D1120" s="135"/>
      <c r="E1120" s="135"/>
      <c r="F1120" s="135"/>
      <c r="G1120" s="135"/>
      <c r="H1120" s="135"/>
      <c r="I1120" s="135"/>
      <c r="J1120" s="135"/>
      <c r="K1120" s="135"/>
      <c r="L1120" s="135"/>
      <c r="M1120" s="135"/>
      <c r="N1120" s="476"/>
    </row>
    <row r="1121" ht="13.5" customHeight="1">
      <c r="A1121" s="71"/>
      <c r="B1121" s="135"/>
      <c r="C1121" s="135"/>
      <c r="D1121" s="135"/>
      <c r="E1121" s="135"/>
      <c r="F1121" s="135"/>
      <c r="G1121" s="135"/>
      <c r="H1121" s="135"/>
      <c r="I1121" s="135"/>
      <c r="J1121" s="135"/>
      <c r="K1121" s="135"/>
      <c r="L1121" s="135"/>
      <c r="M1121" s="135"/>
      <c r="N1121" s="476"/>
    </row>
    <row r="1122" ht="13.5" customHeight="1">
      <c r="A1122" s="71"/>
      <c r="B1122" s="135"/>
      <c r="C1122" s="135"/>
      <c r="D1122" s="135"/>
      <c r="E1122" s="135"/>
      <c r="F1122" s="135"/>
      <c r="G1122" s="135"/>
      <c r="H1122" s="135"/>
      <c r="I1122" s="135"/>
      <c r="J1122" s="135"/>
      <c r="K1122" s="135"/>
      <c r="L1122" s="135"/>
      <c r="M1122" s="135"/>
      <c r="N1122" s="476"/>
    </row>
    <row r="1123" ht="13.5" customHeight="1">
      <c r="A1123" s="71"/>
      <c r="B1123" s="135"/>
      <c r="C1123" s="135"/>
      <c r="D1123" s="135"/>
      <c r="E1123" s="135"/>
      <c r="F1123" s="135"/>
      <c r="G1123" s="135"/>
      <c r="H1123" s="135"/>
      <c r="I1123" s="135"/>
      <c r="J1123" s="135"/>
      <c r="K1123" s="135"/>
      <c r="L1123" s="135"/>
      <c r="M1123" s="135"/>
      <c r="N1123" s="476"/>
    </row>
    <row r="1124" ht="13.5" customHeight="1">
      <c r="A1124" s="71"/>
      <c r="B1124" s="135"/>
      <c r="C1124" s="135"/>
      <c r="D1124" s="135"/>
      <c r="E1124" s="135"/>
      <c r="F1124" s="135"/>
      <c r="G1124" s="135"/>
      <c r="H1124" s="135"/>
      <c r="I1124" s="135"/>
      <c r="J1124" s="135"/>
      <c r="K1124" s="135"/>
      <c r="L1124" s="135"/>
      <c r="M1124" s="135"/>
      <c r="N1124" s="476"/>
    </row>
    <row r="1125" ht="13.5" customHeight="1">
      <c r="A1125" s="71"/>
      <c r="B1125" s="135"/>
      <c r="C1125" s="135"/>
      <c r="D1125" s="135"/>
      <c r="E1125" s="135"/>
      <c r="F1125" s="135"/>
      <c r="G1125" s="135"/>
      <c r="H1125" s="135"/>
      <c r="I1125" s="135"/>
      <c r="J1125" s="135"/>
      <c r="K1125" s="135"/>
      <c r="L1125" s="135"/>
      <c r="M1125" s="135"/>
      <c r="N1125" s="476"/>
    </row>
  </sheetData>
  <mergeCells count="1">
    <mergeCell ref="A1:N1"/>
  </mergeCells>
  <printOptions gridLines="1" horizontalCentered="1"/>
  <pageMargins bottom="0.75" footer="0.0" header="0.0" left="0.25" right="0.25" top="0.75"/>
  <pageSetup fitToHeight="0" cellComments="atEnd" orientation="landscape" pageOrder="overThenDown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1.75"/>
    <col customWidth="1" min="2" max="3" width="10.75"/>
    <col customWidth="1" min="4" max="4" width="10.0"/>
    <col customWidth="1" min="5" max="5" width="10.63"/>
    <col customWidth="1" min="6" max="6" width="11.88"/>
    <col customWidth="1" min="7" max="7" width="9.88"/>
    <col customWidth="1" min="8" max="8" width="11.5"/>
    <col customWidth="1" min="9" max="9" width="9.13"/>
    <col customWidth="1" min="10" max="10" width="10.25"/>
    <col customWidth="1" min="11" max="11" width="10.0"/>
    <col customWidth="1" min="12" max="13" width="9.13"/>
    <col customWidth="1" min="14" max="14" width="11.5"/>
  </cols>
  <sheetData>
    <row r="1" ht="13.5" customHeight="1">
      <c r="A1" s="76" t="s">
        <v>321</v>
      </c>
    </row>
    <row r="2" ht="13.5" customHeight="1">
      <c r="A2" s="7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ht="13.5" customHeight="1">
      <c r="A3" s="1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</row>
    <row r="4" ht="13.5" customHeight="1">
      <c r="A4" s="79" t="s">
        <v>14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</row>
    <row r="5" ht="13.5" customHeight="1">
      <c r="A5" s="15" t="s">
        <v>15</v>
      </c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17">
        <f t="shared" ref="N5:N12" si="1">SUM(B5:M5)</f>
        <v>0</v>
      </c>
    </row>
    <row r="6" ht="13.5" customHeight="1">
      <c r="A6" s="15" t="s">
        <v>123</v>
      </c>
      <c r="B6" s="479"/>
      <c r="C6" s="479"/>
      <c r="D6" s="479"/>
      <c r="E6" s="479"/>
      <c r="F6" s="479"/>
      <c r="G6" s="479"/>
      <c r="H6" s="479"/>
      <c r="I6" s="479"/>
      <c r="J6" s="479"/>
      <c r="K6" s="479"/>
      <c r="L6" s="479"/>
      <c r="M6" s="479"/>
      <c r="N6" s="17">
        <f t="shared" si="1"/>
        <v>0</v>
      </c>
    </row>
    <row r="7" ht="13.5" customHeight="1">
      <c r="A7" s="15" t="s">
        <v>17</v>
      </c>
      <c r="B7" s="479"/>
      <c r="C7" s="479"/>
      <c r="D7" s="479"/>
      <c r="E7" s="479"/>
      <c r="F7" s="479"/>
      <c r="G7" s="479"/>
      <c r="H7" s="479"/>
      <c r="I7" s="479"/>
      <c r="J7" s="479"/>
      <c r="K7" s="479"/>
      <c r="L7" s="479"/>
      <c r="M7" s="479"/>
      <c r="N7" s="17">
        <f t="shared" si="1"/>
        <v>0</v>
      </c>
    </row>
    <row r="8" ht="13.5" customHeight="1">
      <c r="A8" s="15" t="s">
        <v>18</v>
      </c>
      <c r="B8" s="479"/>
      <c r="C8" s="479"/>
      <c r="D8" s="479"/>
      <c r="E8" s="479"/>
      <c r="F8" s="479"/>
      <c r="G8" s="479"/>
      <c r="H8" s="479"/>
      <c r="I8" s="479"/>
      <c r="J8" s="479"/>
      <c r="K8" s="479"/>
      <c r="L8" s="479"/>
      <c r="M8" s="479"/>
      <c r="N8" s="17">
        <f t="shared" si="1"/>
        <v>0</v>
      </c>
    </row>
    <row r="9" ht="13.5" customHeight="1">
      <c r="A9" s="20" t="s">
        <v>204</v>
      </c>
      <c r="B9" s="478"/>
      <c r="C9" s="478"/>
      <c r="D9" s="478"/>
      <c r="E9" s="478"/>
      <c r="F9" s="478"/>
      <c r="G9" s="478"/>
      <c r="H9" s="478"/>
      <c r="I9" s="478"/>
      <c r="J9" s="478"/>
      <c r="K9" s="478"/>
      <c r="L9" s="478"/>
      <c r="M9" s="478"/>
      <c r="N9" s="17">
        <f t="shared" si="1"/>
        <v>0</v>
      </c>
    </row>
    <row r="10" ht="13.5" customHeight="1">
      <c r="A10" s="15"/>
      <c r="B10" s="478"/>
      <c r="C10" s="478"/>
      <c r="D10" s="478"/>
      <c r="E10" s="478"/>
      <c r="F10" s="478"/>
      <c r="G10" s="478"/>
      <c r="H10" s="478"/>
      <c r="I10" s="478"/>
      <c r="J10" s="478"/>
      <c r="K10" s="478"/>
      <c r="L10" s="478"/>
      <c r="M10" s="478"/>
      <c r="N10" s="17">
        <f t="shared" si="1"/>
        <v>0</v>
      </c>
    </row>
    <row r="11" ht="13.5" customHeight="1">
      <c r="A11" s="15" t="s">
        <v>21</v>
      </c>
      <c r="B11" s="478"/>
      <c r="C11" s="478"/>
      <c r="D11" s="478"/>
      <c r="E11" s="478"/>
      <c r="F11" s="478"/>
      <c r="G11" s="478"/>
      <c r="H11" s="478"/>
      <c r="I11" s="478"/>
      <c r="J11" s="478"/>
      <c r="K11" s="478"/>
      <c r="L11" s="478"/>
      <c r="M11" s="478"/>
      <c r="N11" s="17">
        <f t="shared" si="1"/>
        <v>0</v>
      </c>
    </row>
    <row r="12" ht="13.5" customHeight="1">
      <c r="A12" s="19" t="s">
        <v>291</v>
      </c>
      <c r="B12" s="480"/>
      <c r="C12" s="480"/>
      <c r="D12" s="481"/>
      <c r="E12" s="482"/>
      <c r="F12" s="481"/>
      <c r="G12" s="481"/>
      <c r="H12" s="481"/>
      <c r="I12" s="481"/>
      <c r="J12" s="481"/>
      <c r="K12" s="481"/>
      <c r="L12" s="480"/>
      <c r="M12" s="480"/>
      <c r="N12" s="17">
        <f t="shared" si="1"/>
        <v>0</v>
      </c>
    </row>
    <row r="13" ht="13.5" customHeight="1">
      <c r="A13" s="21" t="s">
        <v>23</v>
      </c>
      <c r="B13" s="88">
        <f t="shared" ref="B13:N13" si="2">SUM(B5:B12)</f>
        <v>0</v>
      </c>
      <c r="C13" s="88">
        <f t="shared" si="2"/>
        <v>0</v>
      </c>
      <c r="D13" s="88">
        <f t="shared" si="2"/>
        <v>0</v>
      </c>
      <c r="E13" s="88">
        <f t="shared" si="2"/>
        <v>0</v>
      </c>
      <c r="F13" s="88">
        <f t="shared" si="2"/>
        <v>0</v>
      </c>
      <c r="G13" s="88">
        <f t="shared" si="2"/>
        <v>0</v>
      </c>
      <c r="H13" s="88">
        <f t="shared" si="2"/>
        <v>0</v>
      </c>
      <c r="I13" s="88">
        <f t="shared" si="2"/>
        <v>0</v>
      </c>
      <c r="J13" s="88">
        <f t="shared" si="2"/>
        <v>0</v>
      </c>
      <c r="K13" s="88">
        <f t="shared" si="2"/>
        <v>0</v>
      </c>
      <c r="L13" s="88">
        <f t="shared" si="2"/>
        <v>0</v>
      </c>
      <c r="M13" s="88">
        <f t="shared" si="2"/>
        <v>0</v>
      </c>
      <c r="N13" s="22">
        <f t="shared" si="2"/>
        <v>0</v>
      </c>
    </row>
    <row r="14" ht="13.5" customHeight="1">
      <c r="A14" s="89" t="s">
        <v>24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83"/>
    </row>
    <row r="15" ht="13.5" customHeight="1">
      <c r="A15" s="35" t="s">
        <v>214</v>
      </c>
      <c r="B15" s="479"/>
      <c r="C15" s="479"/>
      <c r="D15" s="480"/>
      <c r="E15" s="479"/>
      <c r="F15" s="479"/>
      <c r="G15" s="479"/>
      <c r="H15" s="479"/>
      <c r="I15" s="479"/>
      <c r="J15" s="479"/>
      <c r="K15" s="479"/>
      <c r="L15" s="479"/>
      <c r="M15" s="479"/>
      <c r="N15" s="17">
        <f t="shared" ref="N15:N20" si="3">SUM(B15:M15)</f>
        <v>0</v>
      </c>
    </row>
    <row r="16" ht="13.5" customHeight="1">
      <c r="A16" s="39" t="s">
        <v>322</v>
      </c>
      <c r="B16" s="480">
        <v>425.0</v>
      </c>
      <c r="C16" s="480">
        <v>425.0</v>
      </c>
      <c r="D16" s="480">
        <v>425.0</v>
      </c>
      <c r="E16" s="480">
        <v>425.0</v>
      </c>
      <c r="F16" s="480">
        <v>425.0</v>
      </c>
      <c r="G16" s="480">
        <v>425.0</v>
      </c>
      <c r="H16" s="483">
        <v>425.0</v>
      </c>
      <c r="I16" s="483">
        <v>425.0</v>
      </c>
      <c r="J16" s="480">
        <v>425.0</v>
      </c>
      <c r="K16" s="480">
        <v>425.0</v>
      </c>
      <c r="L16" s="483">
        <v>425.0</v>
      </c>
      <c r="M16" s="483">
        <v>425.0</v>
      </c>
      <c r="N16" s="17">
        <f t="shared" si="3"/>
        <v>5100</v>
      </c>
    </row>
    <row r="17" ht="13.5" customHeight="1">
      <c r="A17" s="35"/>
      <c r="B17" s="479"/>
      <c r="C17" s="479"/>
      <c r="D17" s="479"/>
      <c r="E17" s="479"/>
      <c r="F17" s="479"/>
      <c r="G17" s="479"/>
      <c r="H17" s="479"/>
      <c r="I17" s="479"/>
      <c r="J17" s="479"/>
      <c r="K17" s="479"/>
      <c r="L17" s="479"/>
      <c r="M17" s="479"/>
      <c r="N17" s="17">
        <f t="shared" si="3"/>
        <v>0</v>
      </c>
    </row>
    <row r="18" ht="13.5" customHeight="1">
      <c r="A18" s="39"/>
      <c r="B18" s="479"/>
      <c r="C18" s="479"/>
      <c r="D18" s="479"/>
      <c r="E18" s="479"/>
      <c r="F18" s="483"/>
      <c r="G18" s="479"/>
      <c r="H18" s="479"/>
      <c r="I18" s="479"/>
      <c r="J18" s="479"/>
      <c r="K18" s="479"/>
      <c r="L18" s="479"/>
      <c r="M18" s="479"/>
      <c r="N18" s="17">
        <f t="shared" si="3"/>
        <v>0</v>
      </c>
    </row>
    <row r="19" ht="13.5" customHeight="1">
      <c r="A19" s="27"/>
      <c r="B19" s="480"/>
      <c r="C19" s="479"/>
      <c r="D19" s="479"/>
      <c r="E19" s="479"/>
      <c r="F19" s="479"/>
      <c r="G19" s="479"/>
      <c r="H19" s="479"/>
      <c r="I19" s="479"/>
      <c r="J19" s="479"/>
      <c r="K19" s="479"/>
      <c r="L19" s="479"/>
      <c r="M19" s="479"/>
      <c r="N19" s="17">
        <f t="shared" si="3"/>
        <v>0</v>
      </c>
    </row>
    <row r="20" ht="13.5" customHeight="1">
      <c r="A20" s="35"/>
      <c r="B20" s="479"/>
      <c r="C20" s="479"/>
      <c r="D20" s="479"/>
      <c r="E20" s="479"/>
      <c r="F20" s="479"/>
      <c r="G20" s="479"/>
      <c r="H20" s="479"/>
      <c r="I20" s="479"/>
      <c r="J20" s="479"/>
      <c r="K20" s="479"/>
      <c r="L20" s="479"/>
      <c r="M20" s="479"/>
      <c r="N20" s="17">
        <f t="shared" si="3"/>
        <v>0</v>
      </c>
    </row>
    <row r="21" ht="13.5" customHeight="1">
      <c r="A21" s="91" t="s">
        <v>23</v>
      </c>
      <c r="B21" s="28">
        <f t="shared" ref="B21:N21" si="4">SUM(B15:B20)</f>
        <v>425</v>
      </c>
      <c r="C21" s="28">
        <f t="shared" si="4"/>
        <v>425</v>
      </c>
      <c r="D21" s="28">
        <f t="shared" si="4"/>
        <v>425</v>
      </c>
      <c r="E21" s="28">
        <f t="shared" si="4"/>
        <v>425</v>
      </c>
      <c r="F21" s="28">
        <f t="shared" si="4"/>
        <v>425</v>
      </c>
      <c r="G21" s="28">
        <f t="shared" si="4"/>
        <v>425</v>
      </c>
      <c r="H21" s="28">
        <f t="shared" si="4"/>
        <v>425</v>
      </c>
      <c r="I21" s="28">
        <f t="shared" si="4"/>
        <v>425</v>
      </c>
      <c r="J21" s="28">
        <f t="shared" si="4"/>
        <v>425</v>
      </c>
      <c r="K21" s="28">
        <f t="shared" si="4"/>
        <v>425</v>
      </c>
      <c r="L21" s="28">
        <f t="shared" si="4"/>
        <v>425</v>
      </c>
      <c r="M21" s="28">
        <f t="shared" si="4"/>
        <v>425</v>
      </c>
      <c r="N21" s="28">
        <f t="shared" si="4"/>
        <v>5100</v>
      </c>
    </row>
    <row r="22" ht="13.5" customHeight="1">
      <c r="A22" s="89" t="s">
        <v>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3"/>
    </row>
    <row r="23" ht="13.5" customHeight="1">
      <c r="A23" s="39" t="s">
        <v>323</v>
      </c>
      <c r="B23" s="483">
        <v>8250.0</v>
      </c>
      <c r="C23" s="483">
        <v>8250.0</v>
      </c>
      <c r="D23" s="483">
        <v>8250.0</v>
      </c>
      <c r="E23" s="483">
        <v>8250.0</v>
      </c>
      <c r="F23" s="483">
        <v>8250.0</v>
      </c>
      <c r="G23" s="483">
        <v>8250.0</v>
      </c>
      <c r="H23" s="483">
        <v>8250.0</v>
      </c>
      <c r="I23" s="483">
        <v>8250.0</v>
      </c>
      <c r="J23" s="483">
        <v>8250.0</v>
      </c>
      <c r="K23" s="483">
        <v>8250.0</v>
      </c>
      <c r="L23" s="483">
        <v>8250.0</v>
      </c>
      <c r="M23" s="483">
        <v>8250.0</v>
      </c>
      <c r="N23" s="17">
        <f t="shared" ref="N23:N31" si="5">SUM(B23:M23)</f>
        <v>99000</v>
      </c>
    </row>
    <row r="24" ht="13.5" customHeight="1">
      <c r="A24" s="15"/>
      <c r="B24" s="479"/>
      <c r="C24" s="479"/>
      <c r="D24" s="479"/>
      <c r="E24" s="479"/>
      <c r="F24" s="479"/>
      <c r="G24" s="479"/>
      <c r="H24" s="479"/>
      <c r="I24" s="479"/>
      <c r="J24" s="479"/>
      <c r="K24" s="479"/>
      <c r="L24" s="479"/>
      <c r="M24" s="479"/>
      <c r="N24" s="17">
        <f t="shared" si="5"/>
        <v>0</v>
      </c>
    </row>
    <row r="25" ht="13.5" customHeight="1">
      <c r="A25" s="15"/>
      <c r="B25" s="479"/>
      <c r="C25" s="479"/>
      <c r="D25" s="479"/>
      <c r="E25" s="479"/>
      <c r="F25" s="479"/>
      <c r="G25" s="479"/>
      <c r="H25" s="479"/>
      <c r="I25" s="479"/>
      <c r="J25" s="479"/>
      <c r="K25" s="479"/>
      <c r="L25" s="479"/>
      <c r="M25" s="479"/>
      <c r="N25" s="17">
        <f t="shared" si="5"/>
        <v>0</v>
      </c>
    </row>
    <row r="26" ht="13.5" customHeight="1">
      <c r="A26" s="15"/>
      <c r="B26" s="479"/>
      <c r="C26" s="479"/>
      <c r="D26" s="479"/>
      <c r="E26" s="479"/>
      <c r="F26" s="479"/>
      <c r="G26" s="479"/>
      <c r="H26" s="479"/>
      <c r="I26" s="479"/>
      <c r="J26" s="479"/>
      <c r="K26" s="479"/>
      <c r="L26" s="479"/>
      <c r="M26" s="479"/>
      <c r="N26" s="17">
        <f t="shared" si="5"/>
        <v>0</v>
      </c>
    </row>
    <row r="27" ht="13.5" customHeight="1">
      <c r="A27" s="31"/>
      <c r="B27" s="479"/>
      <c r="C27" s="479"/>
      <c r="D27" s="479"/>
      <c r="E27" s="479"/>
      <c r="F27" s="479"/>
      <c r="G27" s="479"/>
      <c r="H27" s="479"/>
      <c r="I27" s="479"/>
      <c r="J27" s="479"/>
      <c r="K27" s="479"/>
      <c r="L27" s="479"/>
      <c r="M27" s="479"/>
      <c r="N27" s="17">
        <f t="shared" si="5"/>
        <v>0</v>
      </c>
    </row>
    <row r="28" ht="13.5" customHeight="1">
      <c r="A28" s="15"/>
      <c r="B28" s="479"/>
      <c r="C28" s="479"/>
      <c r="D28" s="479"/>
      <c r="E28" s="479"/>
      <c r="F28" s="479"/>
      <c r="G28" s="479"/>
      <c r="H28" s="479"/>
      <c r="I28" s="479"/>
      <c r="J28" s="479"/>
      <c r="K28" s="479"/>
      <c r="L28" s="479"/>
      <c r="M28" s="479"/>
      <c r="N28" s="17">
        <f t="shared" si="5"/>
        <v>0</v>
      </c>
    </row>
    <row r="29" ht="13.5" customHeight="1">
      <c r="A29" s="19" t="s">
        <v>324</v>
      </c>
      <c r="B29" s="480">
        <v>725.0</v>
      </c>
      <c r="C29" s="480">
        <v>725.0</v>
      </c>
      <c r="D29" s="480">
        <v>725.0</v>
      </c>
      <c r="E29" s="480">
        <v>725.0</v>
      </c>
      <c r="F29" s="480">
        <v>725.0</v>
      </c>
      <c r="G29" s="480">
        <v>725.0</v>
      </c>
      <c r="H29" s="480">
        <v>725.0</v>
      </c>
      <c r="I29" s="480">
        <v>725.0</v>
      </c>
      <c r="J29" s="480">
        <v>725.0</v>
      </c>
      <c r="K29" s="480">
        <v>725.0</v>
      </c>
      <c r="L29" s="480">
        <v>725.0</v>
      </c>
      <c r="M29" s="480">
        <v>725.0</v>
      </c>
      <c r="N29" s="17">
        <f t="shared" si="5"/>
        <v>8700</v>
      </c>
    </row>
    <row r="30" ht="13.5" customHeight="1">
      <c r="A30" s="19" t="s">
        <v>37</v>
      </c>
      <c r="B30" s="483"/>
      <c r="C30" s="479"/>
      <c r="D30" s="479"/>
      <c r="E30" s="479"/>
      <c r="F30" s="479"/>
      <c r="G30" s="479"/>
      <c r="H30" s="479"/>
      <c r="I30" s="479"/>
      <c r="J30" s="479"/>
      <c r="K30" s="479"/>
      <c r="L30" s="479"/>
      <c r="M30" s="479"/>
      <c r="N30" s="17">
        <f t="shared" si="5"/>
        <v>0</v>
      </c>
    </row>
    <row r="31" ht="13.5" customHeight="1">
      <c r="A31" s="91"/>
      <c r="B31" s="479"/>
      <c r="C31" s="479"/>
      <c r="D31" s="479"/>
      <c r="E31" s="479"/>
      <c r="F31" s="479"/>
      <c r="G31" s="479"/>
      <c r="H31" s="479"/>
      <c r="I31" s="479"/>
      <c r="J31" s="479"/>
      <c r="K31" s="479"/>
      <c r="L31" s="479"/>
      <c r="M31" s="479"/>
      <c r="N31" s="17">
        <f t="shared" si="5"/>
        <v>0</v>
      </c>
    </row>
    <row r="32" ht="13.5" customHeight="1">
      <c r="A32" s="91" t="s">
        <v>23</v>
      </c>
      <c r="B32" s="28">
        <f t="shared" ref="B32:N32" si="6">SUM(B23:B31)</f>
        <v>8975</v>
      </c>
      <c r="C32" s="28">
        <f t="shared" si="6"/>
        <v>8975</v>
      </c>
      <c r="D32" s="28">
        <f t="shared" si="6"/>
        <v>8975</v>
      </c>
      <c r="E32" s="28">
        <f t="shared" si="6"/>
        <v>8975</v>
      </c>
      <c r="F32" s="28">
        <f t="shared" si="6"/>
        <v>8975</v>
      </c>
      <c r="G32" s="28">
        <f t="shared" si="6"/>
        <v>8975</v>
      </c>
      <c r="H32" s="28">
        <f t="shared" si="6"/>
        <v>8975</v>
      </c>
      <c r="I32" s="28">
        <f t="shared" si="6"/>
        <v>8975</v>
      </c>
      <c r="J32" s="28">
        <f t="shared" si="6"/>
        <v>8975</v>
      </c>
      <c r="K32" s="28">
        <f t="shared" si="6"/>
        <v>8975</v>
      </c>
      <c r="L32" s="28">
        <f t="shared" si="6"/>
        <v>8975</v>
      </c>
      <c r="M32" s="28">
        <f t="shared" si="6"/>
        <v>8975</v>
      </c>
      <c r="N32" s="28">
        <f t="shared" si="6"/>
        <v>107700</v>
      </c>
    </row>
    <row r="33" ht="13.5" customHeight="1">
      <c r="A33" s="79" t="s">
        <v>38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</row>
    <row r="34" ht="13.5" customHeight="1">
      <c r="A34" s="19" t="s">
        <v>325</v>
      </c>
      <c r="B34" s="480">
        <f t="shared" ref="B34:D34" si="7">3600+61.9</f>
        <v>3661.9</v>
      </c>
      <c r="C34" s="480">
        <f t="shared" si="7"/>
        <v>3661.9</v>
      </c>
      <c r="D34" s="480">
        <f t="shared" si="7"/>
        <v>3661.9</v>
      </c>
      <c r="E34" s="480">
        <f>(3600*0.85)+61.9</f>
        <v>3121.9</v>
      </c>
      <c r="F34" s="480">
        <f t="shared" ref="F34:M34" si="8">3600+61.9</f>
        <v>3661.9</v>
      </c>
      <c r="G34" s="480">
        <f t="shared" si="8"/>
        <v>3661.9</v>
      </c>
      <c r="H34" s="480">
        <f t="shared" si="8"/>
        <v>3661.9</v>
      </c>
      <c r="I34" s="480">
        <f t="shared" si="8"/>
        <v>3661.9</v>
      </c>
      <c r="J34" s="480">
        <f t="shared" si="8"/>
        <v>3661.9</v>
      </c>
      <c r="K34" s="480">
        <f t="shared" si="8"/>
        <v>3661.9</v>
      </c>
      <c r="L34" s="480">
        <f t="shared" si="8"/>
        <v>3661.9</v>
      </c>
      <c r="M34" s="480">
        <f t="shared" si="8"/>
        <v>3661.9</v>
      </c>
      <c r="N34" s="17">
        <f t="shared" ref="N34:N51" si="9">SUM(B34:M34)</f>
        <v>43402.8</v>
      </c>
    </row>
    <row r="35" ht="13.5" customHeight="1">
      <c r="A35" s="19"/>
      <c r="B35" s="479"/>
      <c r="C35" s="479"/>
      <c r="D35" s="479"/>
      <c r="E35" s="479"/>
      <c r="F35" s="479"/>
      <c r="G35" s="479"/>
      <c r="H35" s="479"/>
      <c r="I35" s="479"/>
      <c r="J35" s="479"/>
      <c r="K35" s="479"/>
      <c r="L35" s="479"/>
      <c r="M35" s="479"/>
      <c r="N35" s="17">
        <f t="shared" si="9"/>
        <v>0</v>
      </c>
    </row>
    <row r="36" ht="13.5" customHeight="1">
      <c r="A36" s="35" t="s">
        <v>41</v>
      </c>
      <c r="B36" s="480">
        <v>395.0</v>
      </c>
      <c r="C36" s="480">
        <v>395.0</v>
      </c>
      <c r="D36" s="480">
        <v>395.0</v>
      </c>
      <c r="E36" s="480">
        <v>395.0</v>
      </c>
      <c r="F36" s="480">
        <v>395.0</v>
      </c>
      <c r="G36" s="480">
        <v>395.0</v>
      </c>
      <c r="H36" s="480">
        <v>395.0</v>
      </c>
      <c r="I36" s="480">
        <v>395.0</v>
      </c>
      <c r="J36" s="480">
        <v>395.0</v>
      </c>
      <c r="K36" s="480">
        <v>395.0</v>
      </c>
      <c r="L36" s="480">
        <v>395.0</v>
      </c>
      <c r="M36" s="480">
        <v>395.0</v>
      </c>
      <c r="N36" s="17">
        <f t="shared" si="9"/>
        <v>4740</v>
      </c>
    </row>
    <row r="37" ht="13.5" customHeight="1">
      <c r="A37" s="35" t="s">
        <v>42</v>
      </c>
      <c r="B37" s="480">
        <v>759.0</v>
      </c>
      <c r="C37" s="480">
        <v>759.0</v>
      </c>
      <c r="D37" s="480">
        <v>759.0</v>
      </c>
      <c r="E37" s="480">
        <v>759.0</v>
      </c>
      <c r="F37" s="480">
        <v>759.0</v>
      </c>
      <c r="G37" s="480">
        <v>759.0</v>
      </c>
      <c r="H37" s="480">
        <v>759.0</v>
      </c>
      <c r="I37" s="480">
        <v>759.0</v>
      </c>
      <c r="J37" s="480">
        <v>759.0</v>
      </c>
      <c r="K37" s="480">
        <v>759.0</v>
      </c>
      <c r="L37" s="480">
        <v>759.0</v>
      </c>
      <c r="M37" s="480">
        <v>759.0</v>
      </c>
      <c r="N37" s="17">
        <f t="shared" si="9"/>
        <v>9108</v>
      </c>
    </row>
    <row r="38" ht="13.5" customHeight="1">
      <c r="A38" s="35" t="s">
        <v>43</v>
      </c>
      <c r="B38" s="480"/>
      <c r="C38" s="480"/>
      <c r="D38" s="480"/>
      <c r="E38" s="480"/>
      <c r="F38" s="480"/>
      <c r="G38" s="480"/>
      <c r="H38" s="480"/>
      <c r="I38" s="480"/>
      <c r="J38" s="480"/>
      <c r="K38" s="480"/>
      <c r="L38" s="480"/>
      <c r="M38" s="480"/>
      <c r="N38" s="17">
        <f t="shared" si="9"/>
        <v>0</v>
      </c>
    </row>
    <row r="39" ht="13.5" customHeight="1">
      <c r="A39" s="35"/>
      <c r="B39" s="479"/>
      <c r="C39" s="479"/>
      <c r="D39" s="479"/>
      <c r="E39" s="479"/>
      <c r="F39" s="479"/>
      <c r="G39" s="479"/>
      <c r="H39" s="479"/>
      <c r="I39" s="479"/>
      <c r="J39" s="479"/>
      <c r="K39" s="479"/>
      <c r="L39" s="479"/>
      <c r="M39" s="479"/>
      <c r="N39" s="17">
        <f t="shared" si="9"/>
        <v>0</v>
      </c>
    </row>
    <row r="40" ht="13.5" customHeight="1">
      <c r="A40" s="35"/>
      <c r="B40" s="479"/>
      <c r="C40" s="479"/>
      <c r="D40" s="479"/>
      <c r="E40" s="479"/>
      <c r="F40" s="479"/>
      <c r="G40" s="479"/>
      <c r="H40" s="479"/>
      <c r="I40" s="479"/>
      <c r="J40" s="479"/>
      <c r="K40" s="479"/>
      <c r="L40" s="479"/>
      <c r="M40" s="479"/>
      <c r="N40" s="17">
        <f t="shared" si="9"/>
        <v>0</v>
      </c>
    </row>
    <row r="41" ht="13.5" customHeight="1">
      <c r="A41" s="39" t="s">
        <v>326</v>
      </c>
      <c r="B41" s="480">
        <f t="shared" ref="B41:M41" si="10">12450+3000</f>
        <v>15450</v>
      </c>
      <c r="C41" s="480">
        <f t="shared" si="10"/>
        <v>15450</v>
      </c>
      <c r="D41" s="480">
        <f t="shared" si="10"/>
        <v>15450</v>
      </c>
      <c r="E41" s="480">
        <f t="shared" si="10"/>
        <v>15450</v>
      </c>
      <c r="F41" s="480">
        <f t="shared" si="10"/>
        <v>15450</v>
      </c>
      <c r="G41" s="480">
        <f t="shared" si="10"/>
        <v>15450</v>
      </c>
      <c r="H41" s="480">
        <f t="shared" si="10"/>
        <v>15450</v>
      </c>
      <c r="I41" s="480">
        <f t="shared" si="10"/>
        <v>15450</v>
      </c>
      <c r="J41" s="480">
        <f t="shared" si="10"/>
        <v>15450</v>
      </c>
      <c r="K41" s="480">
        <f t="shared" si="10"/>
        <v>15450</v>
      </c>
      <c r="L41" s="480">
        <f t="shared" si="10"/>
        <v>15450</v>
      </c>
      <c r="M41" s="480">
        <f t="shared" si="10"/>
        <v>15450</v>
      </c>
      <c r="N41" s="17">
        <f t="shared" si="9"/>
        <v>185400</v>
      </c>
    </row>
    <row r="42" ht="13.5" customHeight="1">
      <c r="A42" s="19" t="s">
        <v>225</v>
      </c>
      <c r="B42" s="480">
        <v>1790.0</v>
      </c>
      <c r="C42" s="480">
        <v>1790.0</v>
      </c>
      <c r="D42" s="480">
        <v>1790.0</v>
      </c>
      <c r="E42" s="480">
        <v>1790.0</v>
      </c>
      <c r="F42" s="480">
        <v>1790.0</v>
      </c>
      <c r="G42" s="480">
        <v>1790.0</v>
      </c>
      <c r="H42" s="480">
        <v>1790.0</v>
      </c>
      <c r="I42" s="480">
        <v>1790.0</v>
      </c>
      <c r="J42" s="480">
        <v>1790.0</v>
      </c>
      <c r="K42" s="480">
        <v>1790.0</v>
      </c>
      <c r="L42" s="480">
        <v>1790.0</v>
      </c>
      <c r="M42" s="480">
        <v>1790.0</v>
      </c>
      <c r="N42" s="17">
        <f t="shared" si="9"/>
        <v>21480</v>
      </c>
    </row>
    <row r="43" ht="13.5" customHeight="1">
      <c r="A43" s="19" t="s">
        <v>48</v>
      </c>
      <c r="B43" s="480">
        <v>1987.0</v>
      </c>
      <c r="C43" s="480">
        <v>1987.0</v>
      </c>
      <c r="D43" s="480">
        <v>1987.0</v>
      </c>
      <c r="E43" s="480">
        <v>1987.0</v>
      </c>
      <c r="F43" s="480">
        <v>1987.0</v>
      </c>
      <c r="G43" s="480">
        <v>1987.0</v>
      </c>
      <c r="H43" s="480">
        <v>1987.0</v>
      </c>
      <c r="I43" s="480">
        <v>2106.22</v>
      </c>
      <c r="J43" s="480">
        <v>2106.22</v>
      </c>
      <c r="K43" s="480">
        <v>2106.22</v>
      </c>
      <c r="L43" s="480">
        <v>2106.22</v>
      </c>
      <c r="M43" s="480">
        <v>2106.22</v>
      </c>
      <c r="N43" s="17">
        <f t="shared" si="9"/>
        <v>24440.1</v>
      </c>
    </row>
    <row r="44" ht="13.5" customHeight="1">
      <c r="A44" s="19" t="s">
        <v>327</v>
      </c>
      <c r="B44" s="483">
        <v>399.0</v>
      </c>
      <c r="C44" s="483">
        <v>399.0</v>
      </c>
      <c r="D44" s="483">
        <v>399.0</v>
      </c>
      <c r="E44" s="483">
        <v>399.0</v>
      </c>
      <c r="F44" s="483">
        <v>399.0</v>
      </c>
      <c r="G44" s="483">
        <v>399.0</v>
      </c>
      <c r="H44" s="483">
        <v>399.0</v>
      </c>
      <c r="I44" s="483">
        <v>399.0</v>
      </c>
      <c r="J44" s="483">
        <v>399.0</v>
      </c>
      <c r="K44" s="483">
        <v>399.0</v>
      </c>
      <c r="L44" s="483">
        <v>399.0</v>
      </c>
      <c r="M44" s="483">
        <v>399.0</v>
      </c>
      <c r="N44" s="17">
        <f t="shared" si="9"/>
        <v>4788</v>
      </c>
    </row>
    <row r="45" ht="13.5" customHeight="1">
      <c r="A45" s="19" t="s">
        <v>328</v>
      </c>
      <c r="B45" s="484">
        <v>97.5</v>
      </c>
      <c r="C45" s="484">
        <v>97.5</v>
      </c>
      <c r="D45" s="484">
        <v>97.5</v>
      </c>
      <c r="E45" s="484">
        <v>97.5</v>
      </c>
      <c r="F45" s="484">
        <v>97.5</v>
      </c>
      <c r="G45" s="484">
        <v>97.5</v>
      </c>
      <c r="H45" s="484">
        <v>97.5</v>
      </c>
      <c r="I45" s="484">
        <v>97.5</v>
      </c>
      <c r="J45" s="484">
        <v>97.5</v>
      </c>
      <c r="K45" s="484">
        <v>97.5</v>
      </c>
      <c r="L45" s="484">
        <v>97.5</v>
      </c>
      <c r="M45" s="484">
        <v>97.5</v>
      </c>
      <c r="N45" s="17">
        <f t="shared" si="9"/>
        <v>1170</v>
      </c>
    </row>
    <row r="46" ht="13.5" customHeight="1">
      <c r="A46" s="15"/>
      <c r="B46" s="480"/>
      <c r="C46" s="480"/>
      <c r="D46" s="480"/>
      <c r="E46" s="480"/>
      <c r="F46" s="480"/>
      <c r="G46" s="480"/>
      <c r="H46" s="480"/>
      <c r="I46" s="480"/>
      <c r="J46" s="480"/>
      <c r="K46" s="480"/>
      <c r="L46" s="480"/>
      <c r="M46" s="480"/>
      <c r="N46" s="17">
        <f t="shared" si="9"/>
        <v>0</v>
      </c>
    </row>
    <row r="47" ht="13.5" customHeight="1">
      <c r="A47" s="19" t="s">
        <v>52</v>
      </c>
      <c r="B47" s="480">
        <f t="shared" ref="B47:M47" si="11">1000+2000+750</f>
        <v>3750</v>
      </c>
      <c r="C47" s="480">
        <f t="shared" si="11"/>
        <v>3750</v>
      </c>
      <c r="D47" s="480">
        <f t="shared" si="11"/>
        <v>3750</v>
      </c>
      <c r="E47" s="480">
        <f t="shared" si="11"/>
        <v>3750</v>
      </c>
      <c r="F47" s="480">
        <f t="shared" si="11"/>
        <v>3750</v>
      </c>
      <c r="G47" s="480">
        <f t="shared" si="11"/>
        <v>3750</v>
      </c>
      <c r="H47" s="480">
        <f t="shared" si="11"/>
        <v>3750</v>
      </c>
      <c r="I47" s="480">
        <f t="shared" si="11"/>
        <v>3750</v>
      </c>
      <c r="J47" s="480">
        <f t="shared" si="11"/>
        <v>3750</v>
      </c>
      <c r="K47" s="480">
        <f t="shared" si="11"/>
        <v>3750</v>
      </c>
      <c r="L47" s="480">
        <f t="shared" si="11"/>
        <v>3750</v>
      </c>
      <c r="M47" s="480">
        <f t="shared" si="11"/>
        <v>3750</v>
      </c>
      <c r="N47" s="17">
        <f t="shared" si="9"/>
        <v>45000</v>
      </c>
    </row>
    <row r="48" ht="13.5" customHeight="1">
      <c r="A48" s="15" t="s">
        <v>53</v>
      </c>
      <c r="B48" s="87">
        <f t="shared" ref="B48:M48" si="12">101.33+55.64+80+249</f>
        <v>485.97</v>
      </c>
      <c r="C48" s="87">
        <f t="shared" si="12"/>
        <v>485.97</v>
      </c>
      <c r="D48" s="87">
        <f t="shared" si="12"/>
        <v>485.97</v>
      </c>
      <c r="E48" s="87">
        <f t="shared" si="12"/>
        <v>485.97</v>
      </c>
      <c r="F48" s="87">
        <f t="shared" si="12"/>
        <v>485.97</v>
      </c>
      <c r="G48" s="87">
        <f t="shared" si="12"/>
        <v>485.97</v>
      </c>
      <c r="H48" s="87">
        <f t="shared" si="12"/>
        <v>485.97</v>
      </c>
      <c r="I48" s="87">
        <f t="shared" si="12"/>
        <v>485.97</v>
      </c>
      <c r="J48" s="87">
        <f t="shared" si="12"/>
        <v>485.97</v>
      </c>
      <c r="K48" s="87">
        <f t="shared" si="12"/>
        <v>485.97</v>
      </c>
      <c r="L48" s="87">
        <f t="shared" si="12"/>
        <v>485.97</v>
      </c>
      <c r="M48" s="87">
        <f t="shared" si="12"/>
        <v>485.97</v>
      </c>
      <c r="N48" s="17">
        <f t="shared" si="9"/>
        <v>5831.64</v>
      </c>
    </row>
    <row r="49" ht="13.5" customHeight="1">
      <c r="A49" s="39"/>
      <c r="B49" s="480"/>
      <c r="C49" s="479"/>
      <c r="D49" s="479"/>
      <c r="E49" s="479"/>
      <c r="F49" s="479"/>
      <c r="G49" s="479"/>
      <c r="H49" s="479"/>
      <c r="I49" s="479"/>
      <c r="J49" s="479"/>
      <c r="K49" s="479"/>
      <c r="L49" s="479"/>
      <c r="M49" s="479"/>
      <c r="N49" s="17">
        <f t="shared" si="9"/>
        <v>0</v>
      </c>
    </row>
    <row r="50" ht="13.5" customHeight="1">
      <c r="A50" s="19"/>
      <c r="B50" s="480"/>
      <c r="C50" s="480"/>
      <c r="D50" s="480"/>
      <c r="E50" s="480"/>
      <c r="F50" s="480"/>
      <c r="G50" s="480"/>
      <c r="H50" s="480"/>
      <c r="I50" s="480"/>
      <c r="J50" s="480"/>
      <c r="K50" s="480"/>
      <c r="L50" s="480"/>
      <c r="M50" s="480"/>
      <c r="N50" s="17">
        <f t="shared" si="9"/>
        <v>0</v>
      </c>
    </row>
    <row r="51" ht="13.5" customHeight="1">
      <c r="A51" s="15"/>
      <c r="B51" s="479"/>
      <c r="C51" s="479"/>
      <c r="D51" s="479"/>
      <c r="E51" s="479"/>
      <c r="F51" s="479"/>
      <c r="G51" s="479"/>
      <c r="H51" s="479"/>
      <c r="I51" s="479"/>
      <c r="J51" s="479"/>
      <c r="K51" s="479"/>
      <c r="L51" s="479"/>
      <c r="M51" s="479"/>
      <c r="N51" s="17">
        <f t="shared" si="9"/>
        <v>0</v>
      </c>
    </row>
    <row r="52" ht="13.5" customHeight="1">
      <c r="A52" s="91" t="s">
        <v>23</v>
      </c>
      <c r="B52" s="28">
        <f t="shared" ref="B52:N52" si="13">SUM(B34:B51)</f>
        <v>28775.37</v>
      </c>
      <c r="C52" s="28">
        <f t="shared" si="13"/>
        <v>28775.37</v>
      </c>
      <c r="D52" s="28">
        <f t="shared" si="13"/>
        <v>28775.37</v>
      </c>
      <c r="E52" s="28">
        <f t="shared" si="13"/>
        <v>28235.37</v>
      </c>
      <c r="F52" s="28">
        <f t="shared" si="13"/>
        <v>28775.37</v>
      </c>
      <c r="G52" s="28">
        <f t="shared" si="13"/>
        <v>28775.37</v>
      </c>
      <c r="H52" s="28">
        <f t="shared" si="13"/>
        <v>28775.37</v>
      </c>
      <c r="I52" s="28">
        <f t="shared" si="13"/>
        <v>28894.59</v>
      </c>
      <c r="J52" s="28">
        <f t="shared" si="13"/>
        <v>28894.59</v>
      </c>
      <c r="K52" s="28">
        <f t="shared" si="13"/>
        <v>28894.59</v>
      </c>
      <c r="L52" s="28">
        <f t="shared" si="13"/>
        <v>28894.59</v>
      </c>
      <c r="M52" s="28">
        <f t="shared" si="13"/>
        <v>28894.59</v>
      </c>
      <c r="N52" s="28">
        <f t="shared" si="13"/>
        <v>345360.54</v>
      </c>
    </row>
    <row r="53" ht="13.5" customHeight="1">
      <c r="A53" s="79" t="s">
        <v>56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</row>
    <row r="54" ht="13.5" customHeight="1">
      <c r="A54" s="32" t="s">
        <v>57</v>
      </c>
      <c r="B54" s="479"/>
      <c r="C54" s="479"/>
      <c r="D54" s="479"/>
      <c r="E54" s="479"/>
      <c r="F54" s="479"/>
      <c r="G54" s="479"/>
      <c r="H54" s="479"/>
      <c r="I54" s="479"/>
      <c r="J54" s="479"/>
      <c r="K54" s="479"/>
      <c r="L54" s="479"/>
      <c r="M54" s="479"/>
      <c r="N54" s="17">
        <f t="shared" ref="N54:N69" si="14">SUM(B54:M54)</f>
        <v>0</v>
      </c>
    </row>
    <row r="55" ht="13.5" customHeight="1">
      <c r="A55" s="32" t="s">
        <v>58</v>
      </c>
      <c r="B55" s="483">
        <v>2900.0</v>
      </c>
      <c r="C55" s="483">
        <v>3550.0</v>
      </c>
      <c r="D55" s="483">
        <v>3550.0</v>
      </c>
      <c r="E55" s="483">
        <v>3550.0</v>
      </c>
      <c r="F55" s="483">
        <v>3550.0</v>
      </c>
      <c r="G55" s="483">
        <v>3550.0</v>
      </c>
      <c r="H55" s="483">
        <v>3550.0</v>
      </c>
      <c r="I55" s="483">
        <v>3550.0</v>
      </c>
      <c r="J55" s="483">
        <v>3550.0</v>
      </c>
      <c r="K55" s="483">
        <v>3550.0</v>
      </c>
      <c r="L55" s="483">
        <v>3550.0</v>
      </c>
      <c r="M55" s="483">
        <v>3550.0</v>
      </c>
      <c r="N55" s="17">
        <f t="shared" si="14"/>
        <v>41950</v>
      </c>
    </row>
    <row r="56" ht="13.5" customHeight="1">
      <c r="A56" s="31"/>
      <c r="B56" s="479"/>
      <c r="C56" s="479"/>
      <c r="D56" s="479"/>
      <c r="E56" s="479"/>
      <c r="F56" s="479"/>
      <c r="G56" s="479"/>
      <c r="H56" s="479"/>
      <c r="I56" s="479"/>
      <c r="J56" s="479"/>
      <c r="K56" s="479"/>
      <c r="L56" s="479"/>
      <c r="M56" s="479"/>
      <c r="N56" s="17">
        <f t="shared" si="14"/>
        <v>0</v>
      </c>
    </row>
    <row r="57" ht="13.5" customHeight="1">
      <c r="A57" s="31" t="s">
        <v>133</v>
      </c>
      <c r="B57" s="87">
        <v>0.0</v>
      </c>
      <c r="C57" s="87">
        <v>0.0</v>
      </c>
      <c r="D57" s="87">
        <v>0.0</v>
      </c>
      <c r="E57" s="87">
        <v>0.0</v>
      </c>
      <c r="F57" s="87">
        <v>0.0</v>
      </c>
      <c r="G57" s="87">
        <v>0.0</v>
      </c>
      <c r="H57" s="87">
        <v>0.0</v>
      </c>
      <c r="I57" s="87">
        <v>0.0</v>
      </c>
      <c r="J57" s="87">
        <v>0.0</v>
      </c>
      <c r="K57" s="87">
        <v>0.0</v>
      </c>
      <c r="L57" s="87">
        <v>0.0</v>
      </c>
      <c r="M57" s="87">
        <v>0.0</v>
      </c>
      <c r="N57" s="17">
        <f t="shared" si="14"/>
        <v>0</v>
      </c>
    </row>
    <row r="58" ht="13.5" customHeight="1">
      <c r="A58" s="31"/>
      <c r="B58" s="479"/>
      <c r="C58" s="479"/>
      <c r="D58" s="479"/>
      <c r="E58" s="479"/>
      <c r="F58" s="479"/>
      <c r="G58" s="479"/>
      <c r="H58" s="479"/>
      <c r="I58" s="479"/>
      <c r="J58" s="479"/>
      <c r="K58" s="479"/>
      <c r="L58" s="479"/>
      <c r="M58" s="479"/>
      <c r="N58" s="17">
        <f t="shared" si="14"/>
        <v>0</v>
      </c>
    </row>
    <row r="59" ht="13.5" customHeight="1">
      <c r="A59" s="31" t="s">
        <v>329</v>
      </c>
      <c r="B59" s="483"/>
      <c r="C59" s="483"/>
      <c r="D59" s="483"/>
      <c r="E59" s="483"/>
      <c r="F59" s="483"/>
      <c r="G59" s="483"/>
      <c r="H59" s="483"/>
      <c r="I59" s="483"/>
      <c r="J59" s="483"/>
      <c r="K59" s="483"/>
      <c r="L59" s="483"/>
      <c r="M59" s="483"/>
      <c r="N59" s="17">
        <f t="shared" si="14"/>
        <v>0</v>
      </c>
    </row>
    <row r="60" ht="13.5" customHeight="1">
      <c r="A60" s="32"/>
      <c r="B60" s="479"/>
      <c r="C60" s="479"/>
      <c r="D60" s="479"/>
      <c r="E60" s="479"/>
      <c r="F60" s="479"/>
      <c r="G60" s="479"/>
      <c r="H60" s="479"/>
      <c r="I60" s="479"/>
      <c r="J60" s="479"/>
      <c r="K60" s="479"/>
      <c r="L60" s="479"/>
      <c r="M60" s="479"/>
      <c r="N60" s="17">
        <f t="shared" si="14"/>
        <v>0</v>
      </c>
    </row>
    <row r="61" ht="13.5" customHeight="1">
      <c r="A61" s="32"/>
      <c r="B61" s="479"/>
      <c r="C61" s="479"/>
      <c r="D61" s="479"/>
      <c r="E61" s="479"/>
      <c r="F61" s="479"/>
      <c r="G61" s="479"/>
      <c r="H61" s="479"/>
      <c r="I61" s="479"/>
      <c r="J61" s="479"/>
      <c r="K61" s="479"/>
      <c r="L61" s="479"/>
      <c r="M61" s="479"/>
      <c r="N61" s="17">
        <f t="shared" si="14"/>
        <v>0</v>
      </c>
    </row>
    <row r="62" ht="13.5" customHeight="1">
      <c r="A62" s="31" t="s">
        <v>330</v>
      </c>
      <c r="B62" s="480">
        <v>0.0</v>
      </c>
      <c r="C62" s="480">
        <v>0.0</v>
      </c>
      <c r="D62" s="480">
        <v>0.0</v>
      </c>
      <c r="E62" s="480">
        <v>0.0</v>
      </c>
      <c r="F62" s="480">
        <v>0.0</v>
      </c>
      <c r="G62" s="480">
        <v>0.0</v>
      </c>
      <c r="H62" s="480">
        <v>0.0</v>
      </c>
      <c r="I62" s="480">
        <v>0.0</v>
      </c>
      <c r="J62" s="480">
        <v>0.0</v>
      </c>
      <c r="K62" s="480">
        <v>0.0</v>
      </c>
      <c r="L62" s="480">
        <v>0.0</v>
      </c>
      <c r="M62" s="480">
        <v>0.0</v>
      </c>
      <c r="N62" s="17">
        <f t="shared" si="14"/>
        <v>0</v>
      </c>
    </row>
    <row r="63" ht="13.5" customHeight="1">
      <c r="A63" s="31" t="s">
        <v>331</v>
      </c>
      <c r="B63" s="480">
        <v>15000.0</v>
      </c>
      <c r="C63" s="480">
        <v>15000.0</v>
      </c>
      <c r="D63" s="480">
        <v>15000.0</v>
      </c>
      <c r="E63" s="480">
        <v>15000.0</v>
      </c>
      <c r="F63" s="480">
        <v>15000.0</v>
      </c>
      <c r="G63" s="480">
        <v>15000.0</v>
      </c>
      <c r="H63" s="480">
        <v>15000.0</v>
      </c>
      <c r="I63" s="480">
        <v>15000.0</v>
      </c>
      <c r="J63" s="480">
        <v>15000.0</v>
      </c>
      <c r="K63" s="480">
        <v>15000.0</v>
      </c>
      <c r="L63" s="480">
        <v>15000.0</v>
      </c>
      <c r="M63" s="480">
        <v>15000.0</v>
      </c>
      <c r="N63" s="17">
        <f t="shared" si="14"/>
        <v>180000</v>
      </c>
    </row>
    <row r="64" ht="13.5" customHeight="1">
      <c r="A64" s="32"/>
      <c r="B64" s="479"/>
      <c r="C64" s="479"/>
      <c r="D64" s="479"/>
      <c r="E64" s="479"/>
      <c r="F64" s="479"/>
      <c r="G64" s="479"/>
      <c r="H64" s="479"/>
      <c r="I64" s="479"/>
      <c r="J64" s="479"/>
      <c r="K64" s="479"/>
      <c r="L64" s="479"/>
      <c r="M64" s="479"/>
      <c r="N64" s="17">
        <f t="shared" si="14"/>
        <v>0</v>
      </c>
    </row>
    <row r="65" ht="13.5" customHeight="1">
      <c r="A65" s="31"/>
      <c r="B65" s="479"/>
      <c r="C65" s="479"/>
      <c r="D65" s="479"/>
      <c r="E65" s="479"/>
      <c r="F65" s="479"/>
      <c r="G65" s="479"/>
      <c r="H65" s="479"/>
      <c r="I65" s="479"/>
      <c r="J65" s="479"/>
      <c r="K65" s="479"/>
      <c r="L65" s="479"/>
      <c r="M65" s="479"/>
      <c r="N65" s="17">
        <f t="shared" si="14"/>
        <v>0</v>
      </c>
    </row>
    <row r="66" ht="13.5" customHeight="1">
      <c r="A66" s="31"/>
      <c r="B66" s="479"/>
      <c r="C66" s="479"/>
      <c r="D66" s="483"/>
      <c r="E66" s="479"/>
      <c r="F66" s="479"/>
      <c r="G66" s="479"/>
      <c r="H66" s="479"/>
      <c r="I66" s="479"/>
      <c r="J66" s="479"/>
      <c r="K66" s="479"/>
      <c r="L66" s="479"/>
      <c r="M66" s="479"/>
      <c r="N66" s="17">
        <f t="shared" si="14"/>
        <v>0</v>
      </c>
    </row>
    <row r="67" ht="13.5" customHeight="1">
      <c r="A67" s="25"/>
      <c r="B67" s="479"/>
      <c r="C67" s="479"/>
      <c r="D67" s="479"/>
      <c r="E67" s="479"/>
      <c r="F67" s="479"/>
      <c r="G67" s="479"/>
      <c r="H67" s="479"/>
      <c r="I67" s="479"/>
      <c r="J67" s="479"/>
      <c r="K67" s="479"/>
      <c r="L67" s="479"/>
      <c r="M67" s="479"/>
      <c r="N67" s="17">
        <f t="shared" si="14"/>
        <v>0</v>
      </c>
    </row>
    <row r="68" ht="13.5" customHeight="1">
      <c r="A68" s="25"/>
      <c r="B68" s="480"/>
      <c r="C68" s="479"/>
      <c r="D68" s="479"/>
      <c r="E68" s="479"/>
      <c r="F68" s="479"/>
      <c r="G68" s="479"/>
      <c r="H68" s="479"/>
      <c r="I68" s="479"/>
      <c r="J68" s="479"/>
      <c r="K68" s="479"/>
      <c r="L68" s="479"/>
      <c r="M68" s="479"/>
      <c r="N68" s="17">
        <f t="shared" si="14"/>
        <v>0</v>
      </c>
    </row>
    <row r="69" ht="13.5" customHeight="1">
      <c r="A69" s="39"/>
      <c r="B69" s="479"/>
      <c r="C69" s="479"/>
      <c r="D69" s="479"/>
      <c r="E69" s="479"/>
      <c r="F69" s="479"/>
      <c r="G69" s="479"/>
      <c r="H69" s="479"/>
      <c r="I69" s="479"/>
      <c r="J69" s="479"/>
      <c r="K69" s="479"/>
      <c r="L69" s="479"/>
      <c r="M69" s="479"/>
      <c r="N69" s="17">
        <f t="shared" si="14"/>
        <v>0</v>
      </c>
    </row>
    <row r="70" ht="13.5" customHeight="1">
      <c r="A70" s="91" t="s">
        <v>23</v>
      </c>
      <c r="B70" s="28">
        <f t="shared" ref="B70:M70" si="15">SUM(B54:B69)</f>
        <v>17900</v>
      </c>
      <c r="C70" s="28">
        <f t="shared" si="15"/>
        <v>18550</v>
      </c>
      <c r="D70" s="28">
        <f t="shared" si="15"/>
        <v>18550</v>
      </c>
      <c r="E70" s="28">
        <f t="shared" si="15"/>
        <v>18550</v>
      </c>
      <c r="F70" s="28">
        <f t="shared" si="15"/>
        <v>18550</v>
      </c>
      <c r="G70" s="28">
        <f t="shared" si="15"/>
        <v>18550</v>
      </c>
      <c r="H70" s="28">
        <f t="shared" si="15"/>
        <v>18550</v>
      </c>
      <c r="I70" s="28">
        <f t="shared" si="15"/>
        <v>18550</v>
      </c>
      <c r="J70" s="28">
        <f t="shared" si="15"/>
        <v>18550</v>
      </c>
      <c r="K70" s="28">
        <f t="shared" si="15"/>
        <v>18550</v>
      </c>
      <c r="L70" s="28">
        <f t="shared" si="15"/>
        <v>18550</v>
      </c>
      <c r="M70" s="28">
        <f t="shared" si="15"/>
        <v>18550</v>
      </c>
      <c r="N70" s="28">
        <f>SUM(N54:N66)</f>
        <v>221950</v>
      </c>
    </row>
    <row r="71" ht="13.5" customHeight="1">
      <c r="A71" s="79" t="s">
        <v>71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</row>
    <row r="72" ht="13.5" customHeight="1">
      <c r="A72" s="32" t="s">
        <v>138</v>
      </c>
      <c r="B72" s="87">
        <v>0.0</v>
      </c>
      <c r="C72" s="87">
        <v>0.0</v>
      </c>
      <c r="D72" s="87">
        <v>0.0</v>
      </c>
      <c r="E72" s="87">
        <v>0.0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0.0</v>
      </c>
      <c r="L72" s="87">
        <v>0.0</v>
      </c>
      <c r="M72" s="87">
        <v>0.0</v>
      </c>
      <c r="N72" s="17">
        <f t="shared" ref="N72:N80" si="16">SUM(B72:M72)</f>
        <v>0</v>
      </c>
    </row>
    <row r="73" ht="13.5" customHeight="1">
      <c r="A73" s="31" t="s">
        <v>73</v>
      </c>
      <c r="B73" s="87">
        <v>0.0</v>
      </c>
      <c r="C73" s="87">
        <v>0.0</v>
      </c>
      <c r="D73" s="87">
        <v>0.0</v>
      </c>
      <c r="E73" s="87">
        <v>0.0</v>
      </c>
      <c r="F73" s="87">
        <v>0.0</v>
      </c>
      <c r="G73" s="87">
        <v>0.0</v>
      </c>
      <c r="H73" s="87">
        <v>0.0</v>
      </c>
      <c r="I73" s="87">
        <v>0.0</v>
      </c>
      <c r="J73" s="87">
        <v>0.0</v>
      </c>
      <c r="K73" s="87">
        <v>0.0</v>
      </c>
      <c r="L73" s="87">
        <v>0.0</v>
      </c>
      <c r="M73" s="87">
        <v>0.0</v>
      </c>
      <c r="N73" s="17">
        <f t="shared" si="16"/>
        <v>0</v>
      </c>
    </row>
    <row r="74" ht="13.5" customHeight="1">
      <c r="A74" s="32"/>
      <c r="B74" s="87">
        <v>0.0</v>
      </c>
      <c r="C74" s="87">
        <v>0.0</v>
      </c>
      <c r="D74" s="87">
        <v>0.0</v>
      </c>
      <c r="E74" s="87">
        <v>0.0</v>
      </c>
      <c r="F74" s="87">
        <v>0.0</v>
      </c>
      <c r="G74" s="87">
        <v>0.0</v>
      </c>
      <c r="H74" s="87">
        <v>0.0</v>
      </c>
      <c r="I74" s="87">
        <v>0.0</v>
      </c>
      <c r="J74" s="87">
        <v>0.0</v>
      </c>
      <c r="K74" s="87">
        <v>0.0</v>
      </c>
      <c r="L74" s="87">
        <v>0.0</v>
      </c>
      <c r="M74" s="87">
        <v>0.0</v>
      </c>
      <c r="N74" s="17">
        <f t="shared" si="16"/>
        <v>0</v>
      </c>
    </row>
    <row r="75" ht="13.5" customHeight="1">
      <c r="A75" s="36" t="s">
        <v>139</v>
      </c>
      <c r="B75" s="483">
        <v>0.0</v>
      </c>
      <c r="C75" s="483">
        <v>0.0</v>
      </c>
      <c r="D75" s="483">
        <v>0.0</v>
      </c>
      <c r="E75" s="483">
        <v>0.0</v>
      </c>
      <c r="F75" s="483">
        <v>0.0</v>
      </c>
      <c r="G75" s="483">
        <v>0.0</v>
      </c>
      <c r="H75" s="483">
        <v>0.0</v>
      </c>
      <c r="I75" s="483">
        <v>0.0</v>
      </c>
      <c r="J75" s="483">
        <v>0.0</v>
      </c>
      <c r="K75" s="483">
        <v>0.0</v>
      </c>
      <c r="L75" s="483">
        <v>0.0</v>
      </c>
      <c r="M75" s="483">
        <v>0.0</v>
      </c>
      <c r="N75" s="17">
        <f t="shared" si="16"/>
        <v>0</v>
      </c>
    </row>
    <row r="76" ht="13.5" customHeight="1">
      <c r="A76" s="31" t="s">
        <v>76</v>
      </c>
      <c r="B76" s="483">
        <v>899.0</v>
      </c>
      <c r="C76" s="483">
        <v>899.0</v>
      </c>
      <c r="D76" s="483">
        <v>899.0</v>
      </c>
      <c r="E76" s="483">
        <v>899.0</v>
      </c>
      <c r="F76" s="483">
        <v>899.0</v>
      </c>
      <c r="G76" s="483">
        <v>899.0</v>
      </c>
      <c r="H76" s="483">
        <v>899.0</v>
      </c>
      <c r="I76" s="483">
        <v>899.0</v>
      </c>
      <c r="J76" s="483">
        <v>899.0</v>
      </c>
      <c r="K76" s="483">
        <v>899.0</v>
      </c>
      <c r="L76" s="483">
        <v>899.0</v>
      </c>
      <c r="M76" s="483">
        <v>899.0</v>
      </c>
      <c r="N76" s="17">
        <f t="shared" si="16"/>
        <v>10788</v>
      </c>
    </row>
    <row r="77" ht="13.5" customHeight="1">
      <c r="A77" s="32" t="s">
        <v>63</v>
      </c>
      <c r="B77" s="480">
        <v>0.0</v>
      </c>
      <c r="C77" s="480">
        <v>0.0</v>
      </c>
      <c r="D77" s="480">
        <v>0.0</v>
      </c>
      <c r="E77" s="480">
        <v>0.0</v>
      </c>
      <c r="F77" s="480">
        <v>0.0</v>
      </c>
      <c r="G77" s="480">
        <v>0.0</v>
      </c>
      <c r="H77" s="480">
        <v>0.0</v>
      </c>
      <c r="I77" s="480">
        <v>0.0</v>
      </c>
      <c r="J77" s="480">
        <v>0.0</v>
      </c>
      <c r="K77" s="480">
        <v>0.0</v>
      </c>
      <c r="L77" s="480">
        <v>0.0</v>
      </c>
      <c r="M77" s="480">
        <v>0.0</v>
      </c>
      <c r="N77" s="17">
        <f t="shared" si="16"/>
        <v>0</v>
      </c>
    </row>
    <row r="78" ht="13.5" customHeight="1">
      <c r="A78" s="31" t="s">
        <v>140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17">
        <f t="shared" si="16"/>
        <v>0</v>
      </c>
    </row>
    <row r="79" ht="13.5" customHeight="1">
      <c r="A79" s="27" t="s">
        <v>332</v>
      </c>
      <c r="B79" s="96">
        <v>4351.3</v>
      </c>
      <c r="C79" s="96">
        <v>4351.3</v>
      </c>
      <c r="D79" s="96">
        <v>4351.3</v>
      </c>
      <c r="E79" s="96">
        <v>4351.3</v>
      </c>
      <c r="F79" s="96">
        <v>4351.3</v>
      </c>
      <c r="G79" s="96">
        <v>4351.3</v>
      </c>
      <c r="H79" s="96">
        <v>4351.3</v>
      </c>
      <c r="I79" s="96">
        <v>4351.3</v>
      </c>
      <c r="J79" s="96">
        <v>4351.3</v>
      </c>
      <c r="K79" s="96">
        <v>4351.3</v>
      </c>
      <c r="L79" s="96">
        <v>4351.3</v>
      </c>
      <c r="M79" s="96">
        <v>4351.3</v>
      </c>
      <c r="N79" s="17">
        <f t="shared" si="16"/>
        <v>52215.6</v>
      </c>
    </row>
    <row r="80" ht="13.5" customHeight="1">
      <c r="A80" s="42" t="s">
        <v>79</v>
      </c>
      <c r="B80" s="480">
        <v>2350.0</v>
      </c>
      <c r="C80" s="480">
        <v>2350.0</v>
      </c>
      <c r="D80" s="480">
        <v>2350.0</v>
      </c>
      <c r="E80" s="480">
        <v>2350.0</v>
      </c>
      <c r="F80" s="480">
        <v>2350.0</v>
      </c>
      <c r="G80" s="480">
        <v>2232.5</v>
      </c>
      <c r="H80" s="480">
        <v>2232.5</v>
      </c>
      <c r="I80" s="480">
        <v>2350.0</v>
      </c>
      <c r="J80" s="480">
        <v>2350.0</v>
      </c>
      <c r="K80" s="480">
        <v>2350.0</v>
      </c>
      <c r="L80" s="480">
        <v>2350.0</v>
      </c>
      <c r="M80" s="480">
        <v>2350.0</v>
      </c>
      <c r="N80" s="17">
        <f t="shared" si="16"/>
        <v>27965</v>
      </c>
    </row>
    <row r="81" ht="13.5" customHeight="1">
      <c r="A81" s="43"/>
      <c r="B81" s="479"/>
      <c r="C81" s="479"/>
      <c r="D81" s="479"/>
      <c r="E81" s="479"/>
      <c r="F81" s="479"/>
      <c r="G81" s="479"/>
      <c r="H81" s="479"/>
      <c r="I81" s="479"/>
      <c r="J81" s="479"/>
      <c r="K81" s="479"/>
      <c r="L81" s="479"/>
      <c r="M81" s="479"/>
      <c r="N81" s="44"/>
    </row>
    <row r="82" ht="13.5" customHeight="1">
      <c r="A82" s="91" t="s">
        <v>23</v>
      </c>
      <c r="B82" s="28">
        <f t="shared" ref="B82:M82" si="17">SUM(B72:B80)</f>
        <v>7600.3</v>
      </c>
      <c r="C82" s="28">
        <f t="shared" si="17"/>
        <v>7600.3</v>
      </c>
      <c r="D82" s="28">
        <f t="shared" si="17"/>
        <v>7600.3</v>
      </c>
      <c r="E82" s="28">
        <f t="shared" si="17"/>
        <v>7600.3</v>
      </c>
      <c r="F82" s="28">
        <f t="shared" si="17"/>
        <v>7600.3</v>
      </c>
      <c r="G82" s="28">
        <f t="shared" si="17"/>
        <v>7482.8</v>
      </c>
      <c r="H82" s="28">
        <f t="shared" si="17"/>
        <v>7482.8</v>
      </c>
      <c r="I82" s="28">
        <f t="shared" si="17"/>
        <v>7600.3</v>
      </c>
      <c r="J82" s="28">
        <f t="shared" si="17"/>
        <v>7600.3</v>
      </c>
      <c r="K82" s="28">
        <f t="shared" si="17"/>
        <v>7600.3</v>
      </c>
      <c r="L82" s="28">
        <f t="shared" si="17"/>
        <v>7600.3</v>
      </c>
      <c r="M82" s="28">
        <f t="shared" si="17"/>
        <v>7600.3</v>
      </c>
      <c r="N82" s="44">
        <f t="shared" ref="N82:N83" si="19">SUM(B82:M82)</f>
        <v>90968.6</v>
      </c>
    </row>
    <row r="83" ht="13.5" customHeight="1">
      <c r="A83" s="99" t="s">
        <v>81</v>
      </c>
      <c r="B83" s="28">
        <f t="shared" ref="B83:M83" si="18">B52+B70+B82</f>
        <v>54275.67</v>
      </c>
      <c r="C83" s="28">
        <f t="shared" si="18"/>
        <v>54925.67</v>
      </c>
      <c r="D83" s="28">
        <f t="shared" si="18"/>
        <v>54925.67</v>
      </c>
      <c r="E83" s="28">
        <f t="shared" si="18"/>
        <v>54385.67</v>
      </c>
      <c r="F83" s="28">
        <f t="shared" si="18"/>
        <v>54925.67</v>
      </c>
      <c r="G83" s="28">
        <f t="shared" si="18"/>
        <v>54808.17</v>
      </c>
      <c r="H83" s="28">
        <f t="shared" si="18"/>
        <v>54808.17</v>
      </c>
      <c r="I83" s="28">
        <f t="shared" si="18"/>
        <v>55044.89</v>
      </c>
      <c r="J83" s="28">
        <f t="shared" si="18"/>
        <v>55044.89</v>
      </c>
      <c r="K83" s="28">
        <f t="shared" si="18"/>
        <v>55044.89</v>
      </c>
      <c r="L83" s="28">
        <f t="shared" si="18"/>
        <v>55044.89</v>
      </c>
      <c r="M83" s="28">
        <f t="shared" si="18"/>
        <v>55044.89</v>
      </c>
      <c r="N83" s="44">
        <f t="shared" si="19"/>
        <v>658279.14</v>
      </c>
    </row>
    <row r="84" ht="13.5" customHeight="1">
      <c r="A84" s="99" t="s">
        <v>82</v>
      </c>
      <c r="B84" s="46">
        <f t="shared" ref="B84:N84" si="20">B83/B112</f>
        <v>264.7593659</v>
      </c>
      <c r="C84" s="46">
        <f t="shared" si="20"/>
        <v>289.0824737</v>
      </c>
      <c r="D84" s="46">
        <f t="shared" si="20"/>
        <v>215.3947843</v>
      </c>
      <c r="E84" s="46">
        <f t="shared" si="20"/>
        <v>265.2959512</v>
      </c>
      <c r="F84" s="46">
        <f t="shared" si="20"/>
        <v>255.4682326</v>
      </c>
      <c r="G84" s="46">
        <f t="shared" si="20"/>
        <v>249.1280455</v>
      </c>
      <c r="H84" s="46">
        <f t="shared" si="20"/>
        <v>254.9217209</v>
      </c>
      <c r="I84" s="46">
        <f t="shared" si="20"/>
        <v>239.3256087</v>
      </c>
      <c r="J84" s="46">
        <f t="shared" si="20"/>
        <v>268.5116585</v>
      </c>
      <c r="K84" s="46">
        <f t="shared" si="20"/>
        <v>282.2814872</v>
      </c>
      <c r="L84" s="46">
        <f t="shared" si="20"/>
        <v>268.5116585</v>
      </c>
      <c r="M84" s="46">
        <f t="shared" si="20"/>
        <v>229.3537083</v>
      </c>
      <c r="N84" s="15">
        <f t="shared" si="20"/>
        <v>255.1469535</v>
      </c>
    </row>
    <row r="85" ht="13.5" customHeight="1">
      <c r="A85" s="79" t="s">
        <v>83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</row>
    <row r="86" ht="13.5" customHeight="1">
      <c r="A86" s="15" t="s">
        <v>84</v>
      </c>
      <c r="B86" s="480">
        <v>1450.0</v>
      </c>
      <c r="C86" s="480">
        <v>1450.0</v>
      </c>
      <c r="D86" s="480">
        <v>1450.0</v>
      </c>
      <c r="E86" s="480">
        <v>1450.0</v>
      </c>
      <c r="F86" s="480">
        <v>1450.0</v>
      </c>
      <c r="G86" s="480">
        <v>1450.0</v>
      </c>
      <c r="H86" s="480">
        <v>1450.0</v>
      </c>
      <c r="I86" s="480">
        <v>1450.0</v>
      </c>
      <c r="J86" s="480">
        <v>1450.0</v>
      </c>
      <c r="K86" s="480">
        <v>1450.0</v>
      </c>
      <c r="L86" s="480">
        <v>1450.0</v>
      </c>
      <c r="M86" s="480">
        <v>1450.0</v>
      </c>
      <c r="N86" s="17">
        <f t="shared" ref="N86:N89" si="21">SUM(B86:M86)</f>
        <v>17400</v>
      </c>
    </row>
    <row r="87" ht="13.5" customHeight="1">
      <c r="A87" s="15"/>
      <c r="B87" s="479"/>
      <c r="C87" s="479"/>
      <c r="D87" s="483"/>
      <c r="E87" s="479"/>
      <c r="F87" s="479"/>
      <c r="G87" s="479"/>
      <c r="H87" s="479"/>
      <c r="I87" s="479"/>
      <c r="J87" s="480"/>
      <c r="K87" s="480"/>
      <c r="L87" s="479"/>
      <c r="M87" s="479"/>
      <c r="N87" s="17">
        <f t="shared" si="21"/>
        <v>0</v>
      </c>
    </row>
    <row r="88" ht="13.5" customHeight="1">
      <c r="A88" s="39"/>
      <c r="B88" s="479"/>
      <c r="C88" s="479"/>
      <c r="D88" s="479"/>
      <c r="E88" s="479"/>
      <c r="F88" s="479"/>
      <c r="G88" s="480"/>
      <c r="H88" s="479"/>
      <c r="I88" s="479"/>
      <c r="J88" s="479"/>
      <c r="K88" s="479"/>
      <c r="L88" s="479"/>
      <c r="M88" s="479"/>
      <c r="N88" s="17">
        <f t="shared" si="21"/>
        <v>0</v>
      </c>
    </row>
    <row r="89" ht="13.5" customHeight="1">
      <c r="A89" s="91"/>
      <c r="B89" s="479"/>
      <c r="C89" s="479"/>
      <c r="D89" s="479"/>
      <c r="E89" s="479"/>
      <c r="F89" s="479"/>
      <c r="G89" s="479"/>
      <c r="H89" s="479"/>
      <c r="I89" s="479"/>
      <c r="J89" s="479"/>
      <c r="K89" s="479"/>
      <c r="L89" s="479"/>
      <c r="M89" s="479"/>
      <c r="N89" s="17">
        <f t="shared" si="21"/>
        <v>0</v>
      </c>
    </row>
    <row r="90" ht="13.5" customHeight="1">
      <c r="A90" s="91" t="s">
        <v>23</v>
      </c>
      <c r="B90" s="28">
        <f t="shared" ref="B90:N90" si="22">SUM(B86:B89)</f>
        <v>1450</v>
      </c>
      <c r="C90" s="28">
        <f t="shared" si="22"/>
        <v>1450</v>
      </c>
      <c r="D90" s="28">
        <f t="shared" si="22"/>
        <v>1450</v>
      </c>
      <c r="E90" s="28">
        <f t="shared" si="22"/>
        <v>1450</v>
      </c>
      <c r="F90" s="28">
        <f t="shared" si="22"/>
        <v>1450</v>
      </c>
      <c r="G90" s="28">
        <f t="shared" si="22"/>
        <v>1450</v>
      </c>
      <c r="H90" s="28">
        <f t="shared" si="22"/>
        <v>1450</v>
      </c>
      <c r="I90" s="28">
        <f t="shared" si="22"/>
        <v>1450</v>
      </c>
      <c r="J90" s="28">
        <f t="shared" si="22"/>
        <v>1450</v>
      </c>
      <c r="K90" s="28">
        <f t="shared" si="22"/>
        <v>1450</v>
      </c>
      <c r="L90" s="28">
        <f t="shared" si="22"/>
        <v>1450</v>
      </c>
      <c r="M90" s="28">
        <f t="shared" si="22"/>
        <v>1450</v>
      </c>
      <c r="N90" s="28">
        <f t="shared" si="22"/>
        <v>17400</v>
      </c>
    </row>
    <row r="91" ht="13.5" customHeight="1">
      <c r="A91" s="89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</row>
    <row r="92" ht="13.5" customHeight="1">
      <c r="A92" s="19" t="s">
        <v>89</v>
      </c>
      <c r="B92" s="480">
        <f>PRODUCTION!U18</f>
        <v>750</v>
      </c>
      <c r="C92" s="485">
        <f>PRODUCTION!U19</f>
        <v>750</v>
      </c>
      <c r="D92" s="485">
        <f>PRODUCTION!U20</f>
        <v>750</v>
      </c>
      <c r="E92" s="485">
        <f>PRODUCTION!U21</f>
        <v>750</v>
      </c>
      <c r="F92" s="485">
        <f>PRODUCTION!U22</f>
        <v>750</v>
      </c>
      <c r="G92" s="485">
        <f>PRODUCTION!U23</f>
        <v>750</v>
      </c>
      <c r="H92" s="485">
        <f>PRODUCTION!U24</f>
        <v>750</v>
      </c>
      <c r="I92" s="485">
        <f>PRODUCTION!U25</f>
        <v>750</v>
      </c>
      <c r="J92" s="485">
        <f>PRODUCTION!U26</f>
        <v>750</v>
      </c>
      <c r="K92" s="485">
        <f>PRODUCTION!U27</f>
        <v>750</v>
      </c>
      <c r="L92" s="485">
        <f>PRODUCTION!U28</f>
        <v>750</v>
      </c>
      <c r="M92" s="485">
        <f>PRODUCTION!U29</f>
        <v>750</v>
      </c>
      <c r="N92" s="17">
        <f t="shared" ref="N92:N99" si="23">SUM(B92:M92)</f>
        <v>9000</v>
      </c>
    </row>
    <row r="93" ht="13.5" customHeight="1">
      <c r="A93" s="19" t="s">
        <v>333</v>
      </c>
      <c r="B93" s="46"/>
      <c r="C93" s="87"/>
      <c r="D93" s="87"/>
      <c r="E93" s="87"/>
      <c r="F93" s="87"/>
      <c r="G93" s="46"/>
      <c r="H93" s="46"/>
      <c r="I93" s="46"/>
      <c r="J93" s="46"/>
      <c r="K93" s="87"/>
      <c r="L93" s="46"/>
      <c r="M93" s="87"/>
      <c r="N93" s="17">
        <f t="shared" si="23"/>
        <v>0</v>
      </c>
    </row>
    <row r="94" ht="13.5" customHeight="1">
      <c r="A94" s="15"/>
      <c r="B94" s="46"/>
      <c r="C94" s="87"/>
      <c r="D94" s="87"/>
      <c r="E94" s="87"/>
      <c r="F94" s="87"/>
      <c r="G94" s="46"/>
      <c r="H94" s="46"/>
      <c r="I94" s="46"/>
      <c r="J94" s="46"/>
      <c r="K94" s="87"/>
      <c r="L94" s="46"/>
      <c r="M94" s="87"/>
      <c r="N94" s="17">
        <f t="shared" si="23"/>
        <v>0</v>
      </c>
    </row>
    <row r="95" ht="13.5" customHeight="1">
      <c r="A95" s="15"/>
      <c r="B95" s="479"/>
      <c r="C95" s="479"/>
      <c r="D95" s="479"/>
      <c r="E95" s="479"/>
      <c r="F95" s="480"/>
      <c r="G95" s="479"/>
      <c r="H95" s="479"/>
      <c r="I95" s="479"/>
      <c r="J95" s="480"/>
      <c r="K95" s="479"/>
      <c r="L95" s="479"/>
      <c r="M95" s="479"/>
      <c r="N95" s="17">
        <f t="shared" si="23"/>
        <v>0</v>
      </c>
    </row>
    <row r="96" ht="13.5" customHeight="1">
      <c r="A96" s="19"/>
      <c r="B96" s="480"/>
      <c r="C96" s="479"/>
      <c r="D96" s="479"/>
      <c r="E96" s="483"/>
      <c r="F96" s="483"/>
      <c r="G96" s="483"/>
      <c r="H96" s="479"/>
      <c r="I96" s="479"/>
      <c r="J96" s="479"/>
      <c r="K96" s="479"/>
      <c r="L96" s="479"/>
      <c r="M96" s="479"/>
      <c r="N96" s="17">
        <f t="shared" si="23"/>
        <v>0</v>
      </c>
    </row>
    <row r="97" ht="13.5" customHeight="1">
      <c r="A97" s="19" t="s">
        <v>334</v>
      </c>
      <c r="B97" s="479"/>
      <c r="C97" s="479"/>
      <c r="D97" s="479"/>
      <c r="E97" s="479"/>
      <c r="F97" s="479"/>
      <c r="G97" s="479"/>
      <c r="H97" s="483"/>
      <c r="I97" s="483"/>
      <c r="J97" s="483"/>
      <c r="K97" s="483"/>
      <c r="L97" s="483"/>
      <c r="M97" s="479"/>
      <c r="N97" s="17">
        <f t="shared" si="23"/>
        <v>0</v>
      </c>
    </row>
    <row r="98" ht="13.5" customHeight="1">
      <c r="A98" s="19" t="s">
        <v>335</v>
      </c>
      <c r="B98" s="479"/>
      <c r="C98" s="479"/>
      <c r="D98" s="479"/>
      <c r="E98" s="479"/>
      <c r="F98" s="479"/>
      <c r="G98" s="479"/>
      <c r="H98" s="479"/>
      <c r="I98" s="479"/>
      <c r="J98" s="479"/>
      <c r="K98" s="479"/>
      <c r="L98" s="483">
        <v>6250.0</v>
      </c>
      <c r="M98" s="483">
        <v>6250.0</v>
      </c>
      <c r="N98" s="17">
        <f t="shared" si="23"/>
        <v>12500</v>
      </c>
    </row>
    <row r="99" ht="13.5" customHeight="1">
      <c r="A99" s="15" t="s">
        <v>336</v>
      </c>
      <c r="B99" s="480">
        <v>500.0</v>
      </c>
      <c r="C99" s="480">
        <v>1500.0</v>
      </c>
      <c r="D99" s="480">
        <v>1500.0</v>
      </c>
      <c r="E99" s="480">
        <v>1500.0</v>
      </c>
      <c r="F99" s="480">
        <v>1500.0</v>
      </c>
      <c r="G99" s="480">
        <v>1500.0</v>
      </c>
      <c r="H99" s="480">
        <v>1500.0</v>
      </c>
      <c r="I99" s="480">
        <v>1500.0</v>
      </c>
      <c r="J99" s="480">
        <v>1500.0</v>
      </c>
      <c r="K99" s="480">
        <v>1500.0</v>
      </c>
      <c r="L99" s="480">
        <v>1500.0</v>
      </c>
      <c r="M99" s="480">
        <v>1500.0</v>
      </c>
      <c r="N99" s="17">
        <f t="shared" si="23"/>
        <v>17000</v>
      </c>
    </row>
    <row r="100" ht="13.5" customHeight="1">
      <c r="A100" s="15" t="s">
        <v>337</v>
      </c>
      <c r="B100" s="480">
        <v>0.0</v>
      </c>
      <c r="C100" s="480">
        <v>0.0</v>
      </c>
      <c r="D100" s="480">
        <v>0.0</v>
      </c>
      <c r="E100" s="483">
        <v>0.0</v>
      </c>
      <c r="F100" s="483">
        <v>0.0</v>
      </c>
      <c r="G100" s="480">
        <v>0.0</v>
      </c>
      <c r="H100" s="483">
        <v>0.0</v>
      </c>
      <c r="I100" s="483">
        <v>0.0</v>
      </c>
      <c r="J100" s="483">
        <v>0.0</v>
      </c>
      <c r="K100" s="483">
        <v>0.0</v>
      </c>
      <c r="L100" s="483">
        <v>0.0</v>
      </c>
      <c r="M100" s="483">
        <v>0.0</v>
      </c>
      <c r="N100" s="101">
        <v>0.0</v>
      </c>
    </row>
    <row r="101" ht="13.5" customHeight="1">
      <c r="A101" s="19"/>
      <c r="B101" s="87">
        <v>0.0</v>
      </c>
      <c r="C101" s="87">
        <v>0.0</v>
      </c>
      <c r="D101" s="87">
        <v>0.0</v>
      </c>
      <c r="E101" s="87">
        <v>0.0</v>
      </c>
      <c r="F101" s="87">
        <v>0.0</v>
      </c>
      <c r="G101" s="87">
        <v>0.0</v>
      </c>
      <c r="H101" s="87">
        <v>0.0</v>
      </c>
      <c r="I101" s="87">
        <v>0.0</v>
      </c>
      <c r="J101" s="87">
        <v>0.0</v>
      </c>
      <c r="K101" s="87">
        <v>0.0</v>
      </c>
      <c r="L101" s="87">
        <v>0.0</v>
      </c>
      <c r="M101" s="87">
        <v>0.0</v>
      </c>
      <c r="N101" s="17"/>
    </row>
    <row r="102" ht="13.5" customHeight="1">
      <c r="A102" s="31" t="s">
        <v>338</v>
      </c>
      <c r="B102" s="479"/>
      <c r="C102" s="480">
        <v>0.0</v>
      </c>
      <c r="D102" s="480">
        <v>5000.0</v>
      </c>
      <c r="E102" s="480">
        <v>5000.0</v>
      </c>
      <c r="F102" s="480">
        <v>5000.0</v>
      </c>
      <c r="G102" s="480">
        <v>5000.0</v>
      </c>
      <c r="H102" s="483">
        <v>5000.0</v>
      </c>
      <c r="I102" s="483">
        <v>5000.0</v>
      </c>
      <c r="J102" s="480">
        <v>5000.0</v>
      </c>
      <c r="K102" s="480">
        <v>5000.0</v>
      </c>
      <c r="L102" s="480">
        <v>5000.0</v>
      </c>
      <c r="M102" s="479"/>
      <c r="N102" s="17">
        <f t="shared" ref="N102:N105" si="25">SUM(B102:M102)</f>
        <v>45000</v>
      </c>
    </row>
    <row r="103" ht="13.5" customHeight="1">
      <c r="A103" s="15" t="s">
        <v>100</v>
      </c>
      <c r="B103" s="480">
        <v>2500.0</v>
      </c>
      <c r="C103" s="480">
        <v>2500.0</v>
      </c>
      <c r="D103" s="480">
        <v>2500.0</v>
      </c>
      <c r="E103" s="480">
        <v>2500.0</v>
      </c>
      <c r="F103" s="480">
        <f>2500+285.71</f>
        <v>2785.71</v>
      </c>
      <c r="G103" s="480">
        <f t="shared" ref="G103:H103" si="24">2500+605</f>
        <v>3105</v>
      </c>
      <c r="H103" s="480">
        <f t="shared" si="24"/>
        <v>3105</v>
      </c>
      <c r="I103" s="480">
        <v>2500.0</v>
      </c>
      <c r="J103" s="480">
        <v>2500.0</v>
      </c>
      <c r="K103" s="480">
        <v>2500.0</v>
      </c>
      <c r="L103" s="480">
        <v>2500.0</v>
      </c>
      <c r="M103" s="480">
        <v>2500.0</v>
      </c>
      <c r="N103" s="17">
        <f t="shared" si="25"/>
        <v>31495.71</v>
      </c>
    </row>
    <row r="104" ht="13.5" customHeight="1">
      <c r="A104" s="27" t="s">
        <v>101</v>
      </c>
      <c r="B104" s="480">
        <v>125.0</v>
      </c>
      <c r="C104" s="480">
        <v>375.0</v>
      </c>
      <c r="D104" s="480">
        <v>375.0</v>
      </c>
      <c r="E104" s="480">
        <v>375.0</v>
      </c>
      <c r="F104" s="480">
        <v>375.0</v>
      </c>
      <c r="G104" s="480">
        <v>375.0</v>
      </c>
      <c r="H104" s="480">
        <v>375.0</v>
      </c>
      <c r="I104" s="480">
        <v>375.0</v>
      </c>
      <c r="J104" s="480">
        <v>375.0</v>
      </c>
      <c r="K104" s="480">
        <v>375.0</v>
      </c>
      <c r="L104" s="480">
        <v>375.0</v>
      </c>
      <c r="M104" s="480">
        <v>375.0</v>
      </c>
      <c r="N104" s="17">
        <f t="shared" si="25"/>
        <v>4250</v>
      </c>
    </row>
    <row r="105" ht="13.5" customHeight="1">
      <c r="A105" s="486"/>
      <c r="B105" s="479"/>
      <c r="C105" s="479"/>
      <c r="D105" s="479"/>
      <c r="E105" s="479"/>
      <c r="F105" s="483"/>
      <c r="G105" s="483"/>
      <c r="H105" s="483"/>
      <c r="I105" s="483"/>
      <c r="J105" s="483"/>
      <c r="K105" s="483"/>
      <c r="L105" s="483"/>
      <c r="M105" s="483"/>
      <c r="N105" s="17">
        <f t="shared" si="25"/>
        <v>0</v>
      </c>
    </row>
    <row r="106" ht="13.5" customHeight="1">
      <c r="A106" s="486"/>
      <c r="B106" s="479"/>
      <c r="C106" s="479"/>
      <c r="D106" s="479"/>
      <c r="E106" s="479"/>
      <c r="F106" s="479"/>
      <c r="G106" s="479"/>
      <c r="H106" s="479"/>
      <c r="I106" s="479"/>
      <c r="J106" s="479"/>
      <c r="K106" s="483"/>
      <c r="L106" s="483"/>
      <c r="M106" s="483"/>
      <c r="N106" s="28"/>
    </row>
    <row r="107" ht="13.5" customHeight="1">
      <c r="A107" s="91" t="s">
        <v>23</v>
      </c>
      <c r="B107" s="28">
        <f t="shared" ref="B107:N107" si="26">SUM(B92:B105)</f>
        <v>3875</v>
      </c>
      <c r="C107" s="28">
        <f t="shared" si="26"/>
        <v>5125</v>
      </c>
      <c r="D107" s="28">
        <f t="shared" si="26"/>
        <v>10125</v>
      </c>
      <c r="E107" s="28">
        <f t="shared" si="26"/>
        <v>10125</v>
      </c>
      <c r="F107" s="28">
        <f t="shared" si="26"/>
        <v>10410.71</v>
      </c>
      <c r="G107" s="28">
        <f t="shared" si="26"/>
        <v>10730</v>
      </c>
      <c r="H107" s="28">
        <f t="shared" si="26"/>
        <v>10730</v>
      </c>
      <c r="I107" s="28">
        <f t="shared" si="26"/>
        <v>10125</v>
      </c>
      <c r="J107" s="28">
        <f t="shared" si="26"/>
        <v>10125</v>
      </c>
      <c r="K107" s="28">
        <f t="shared" si="26"/>
        <v>10125</v>
      </c>
      <c r="L107" s="28">
        <f t="shared" si="26"/>
        <v>16375</v>
      </c>
      <c r="M107" s="28">
        <f t="shared" si="26"/>
        <v>11375</v>
      </c>
      <c r="N107" s="28">
        <f t="shared" si="26"/>
        <v>119245.71</v>
      </c>
    </row>
    <row r="108" ht="13.5" customHeight="1">
      <c r="A108" s="91" t="s">
        <v>104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44">
        <f>SUM(B108:M108)</f>
        <v>0</v>
      </c>
    </row>
    <row r="109" ht="13.5" customHeight="1">
      <c r="A109" s="112" t="s">
        <v>316</v>
      </c>
      <c r="B109" s="50">
        <f t="shared" ref="B109:M109" si="27">B107+B90+B83+B32+B21+B13+B108</f>
        <v>69000.67</v>
      </c>
      <c r="C109" s="50">
        <f t="shared" si="27"/>
        <v>70900.67</v>
      </c>
      <c r="D109" s="50">
        <f t="shared" si="27"/>
        <v>75900.67</v>
      </c>
      <c r="E109" s="50">
        <f t="shared" si="27"/>
        <v>75360.67</v>
      </c>
      <c r="F109" s="50">
        <f t="shared" si="27"/>
        <v>76186.38</v>
      </c>
      <c r="G109" s="50">
        <f t="shared" si="27"/>
        <v>76388.17</v>
      </c>
      <c r="H109" s="50">
        <f t="shared" si="27"/>
        <v>76388.17</v>
      </c>
      <c r="I109" s="50">
        <f t="shared" si="27"/>
        <v>76019.89</v>
      </c>
      <c r="J109" s="50">
        <f t="shared" si="27"/>
        <v>76019.89</v>
      </c>
      <c r="K109" s="50">
        <f t="shared" si="27"/>
        <v>76019.89</v>
      </c>
      <c r="L109" s="50">
        <f t="shared" si="27"/>
        <v>82269.89</v>
      </c>
      <c r="M109" s="50">
        <f t="shared" si="27"/>
        <v>77269.89</v>
      </c>
      <c r="N109" s="50">
        <f>N107+N90+N83+N32+N21+N13</f>
        <v>907724.85</v>
      </c>
    </row>
    <row r="110" ht="13.5" customHeight="1">
      <c r="A110" s="35" t="s">
        <v>106</v>
      </c>
      <c r="B110" s="148">
        <v>110.0</v>
      </c>
      <c r="C110" s="116">
        <v>100.0</v>
      </c>
      <c r="D110" s="116">
        <v>135.0</v>
      </c>
      <c r="E110" s="117">
        <v>110.0</v>
      </c>
      <c r="F110" s="116">
        <v>120.0</v>
      </c>
      <c r="G110" s="116">
        <v>120.0</v>
      </c>
      <c r="H110" s="116">
        <v>115.0</v>
      </c>
      <c r="I110" s="116">
        <v>135.0</v>
      </c>
      <c r="J110" s="116">
        <v>105.0</v>
      </c>
      <c r="K110" s="116">
        <v>100.0</v>
      </c>
      <c r="L110" s="116">
        <v>110.0</v>
      </c>
      <c r="M110" s="118">
        <v>140.0</v>
      </c>
      <c r="N110" s="149">
        <f t="shared" ref="N110:N112" si="28">SUM(B110:M110)</f>
        <v>1400</v>
      </c>
    </row>
    <row r="111" ht="13.5" customHeight="1">
      <c r="A111" s="35" t="s">
        <v>107</v>
      </c>
      <c r="B111" s="120">
        <v>95.0</v>
      </c>
      <c r="C111" s="120">
        <v>90.0</v>
      </c>
      <c r="D111" s="120">
        <v>120.0</v>
      </c>
      <c r="E111" s="120">
        <v>95.0</v>
      </c>
      <c r="F111" s="120">
        <v>95.0</v>
      </c>
      <c r="G111" s="120">
        <v>100.0</v>
      </c>
      <c r="H111" s="120">
        <v>100.0</v>
      </c>
      <c r="I111" s="120">
        <v>95.0</v>
      </c>
      <c r="J111" s="120">
        <v>100.0</v>
      </c>
      <c r="K111" s="120">
        <v>95.0</v>
      </c>
      <c r="L111" s="120">
        <v>95.0</v>
      </c>
      <c r="M111" s="151">
        <v>100.0</v>
      </c>
      <c r="N111" s="149">
        <f t="shared" si="28"/>
        <v>1180</v>
      </c>
    </row>
    <row r="112" ht="13.5" customHeight="1">
      <c r="A112" s="91" t="s">
        <v>23</v>
      </c>
      <c r="B112" s="122">
        <f t="shared" ref="B112:M112" si="29">B110+B111</f>
        <v>205</v>
      </c>
      <c r="C112" s="122">
        <f t="shared" si="29"/>
        <v>190</v>
      </c>
      <c r="D112" s="122">
        <f t="shared" si="29"/>
        <v>255</v>
      </c>
      <c r="E112" s="122">
        <f t="shared" si="29"/>
        <v>205</v>
      </c>
      <c r="F112" s="122">
        <f t="shared" si="29"/>
        <v>215</v>
      </c>
      <c r="G112" s="122">
        <f t="shared" si="29"/>
        <v>220</v>
      </c>
      <c r="H112" s="122">
        <f t="shared" si="29"/>
        <v>215</v>
      </c>
      <c r="I112" s="122">
        <f t="shared" si="29"/>
        <v>230</v>
      </c>
      <c r="J112" s="122">
        <f t="shared" si="29"/>
        <v>205</v>
      </c>
      <c r="K112" s="122">
        <f t="shared" si="29"/>
        <v>195</v>
      </c>
      <c r="L112" s="122">
        <f t="shared" si="29"/>
        <v>205</v>
      </c>
      <c r="M112" s="122">
        <f t="shared" si="29"/>
        <v>240</v>
      </c>
      <c r="N112" s="125">
        <f t="shared" si="28"/>
        <v>2580</v>
      </c>
    </row>
    <row r="113" ht="13.5" customHeight="1">
      <c r="A113" s="126" t="s">
        <v>108</v>
      </c>
      <c r="B113" s="58">
        <f t="shared" ref="B113:N113" si="30">B109/B112</f>
        <v>336.5886341</v>
      </c>
      <c r="C113" s="58">
        <f t="shared" si="30"/>
        <v>373.1614211</v>
      </c>
      <c r="D113" s="58">
        <f t="shared" si="30"/>
        <v>297.6496863</v>
      </c>
      <c r="E113" s="58">
        <f t="shared" si="30"/>
        <v>367.6130244</v>
      </c>
      <c r="F113" s="58">
        <f t="shared" si="30"/>
        <v>354.3552558</v>
      </c>
      <c r="G113" s="58">
        <f t="shared" si="30"/>
        <v>347.2189545</v>
      </c>
      <c r="H113" s="58">
        <f t="shared" si="30"/>
        <v>355.293814</v>
      </c>
      <c r="I113" s="58">
        <f t="shared" si="30"/>
        <v>330.5212609</v>
      </c>
      <c r="J113" s="58">
        <f t="shared" si="30"/>
        <v>370.8287317</v>
      </c>
      <c r="K113" s="58">
        <f t="shared" si="30"/>
        <v>389.8455897</v>
      </c>
      <c r="L113" s="58">
        <f t="shared" si="30"/>
        <v>401.3165366</v>
      </c>
      <c r="M113" s="58">
        <f t="shared" si="30"/>
        <v>321.957875</v>
      </c>
      <c r="N113" s="179">
        <f t="shared" si="30"/>
        <v>351.8313372</v>
      </c>
    </row>
    <row r="114" ht="13.5" customHeight="1">
      <c r="A114" s="79" t="s">
        <v>109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</row>
    <row r="115" ht="13.5" customHeight="1">
      <c r="A115" s="59" t="s">
        <v>110</v>
      </c>
      <c r="B115" s="480">
        <f t="shared" ref="B115:M115" si="31">1195</f>
        <v>1195</v>
      </c>
      <c r="C115" s="480">
        <f t="shared" si="31"/>
        <v>1195</v>
      </c>
      <c r="D115" s="480">
        <f t="shared" si="31"/>
        <v>1195</v>
      </c>
      <c r="E115" s="480">
        <f t="shared" si="31"/>
        <v>1195</v>
      </c>
      <c r="F115" s="480">
        <f t="shared" si="31"/>
        <v>1195</v>
      </c>
      <c r="G115" s="480">
        <f t="shared" si="31"/>
        <v>1195</v>
      </c>
      <c r="H115" s="480">
        <f t="shared" si="31"/>
        <v>1195</v>
      </c>
      <c r="I115" s="480">
        <f t="shared" si="31"/>
        <v>1195</v>
      </c>
      <c r="J115" s="480">
        <f t="shared" si="31"/>
        <v>1195</v>
      </c>
      <c r="K115" s="480">
        <f t="shared" si="31"/>
        <v>1195</v>
      </c>
      <c r="L115" s="480">
        <f t="shared" si="31"/>
        <v>1195</v>
      </c>
      <c r="M115" s="480">
        <f t="shared" si="31"/>
        <v>1195</v>
      </c>
      <c r="N115" s="17">
        <f t="shared" ref="N115:N120" si="32">SUM(B115:M115)</f>
        <v>14340</v>
      </c>
    </row>
    <row r="116" ht="13.5" customHeight="1">
      <c r="A116" s="60" t="s">
        <v>111</v>
      </c>
      <c r="B116" s="479"/>
      <c r="C116" s="479"/>
      <c r="D116" s="479"/>
      <c r="E116" s="479"/>
      <c r="F116" s="479"/>
      <c r="G116" s="479"/>
      <c r="H116" s="479"/>
      <c r="I116" s="479"/>
      <c r="J116" s="479"/>
      <c r="K116" s="479"/>
      <c r="L116" s="479"/>
      <c r="M116" s="479"/>
      <c r="N116" s="17">
        <f t="shared" si="32"/>
        <v>0</v>
      </c>
    </row>
    <row r="117" ht="13.5" customHeight="1">
      <c r="A117" s="59" t="s">
        <v>112</v>
      </c>
      <c r="B117" s="480">
        <v>3500.0</v>
      </c>
      <c r="C117" s="480">
        <v>3500.0</v>
      </c>
      <c r="D117" s="480">
        <v>3500.0</v>
      </c>
      <c r="E117" s="480">
        <v>3500.0</v>
      </c>
      <c r="F117" s="480">
        <v>3500.0</v>
      </c>
      <c r="G117" s="480">
        <v>3500.0</v>
      </c>
      <c r="H117" s="480">
        <v>3500.0</v>
      </c>
      <c r="I117" s="480">
        <v>3500.0</v>
      </c>
      <c r="J117" s="480">
        <v>3500.0</v>
      </c>
      <c r="K117" s="480">
        <v>3500.0</v>
      </c>
      <c r="L117" s="480">
        <v>3500.0</v>
      </c>
      <c r="M117" s="480">
        <v>3500.0</v>
      </c>
      <c r="N117" s="17">
        <f t="shared" si="32"/>
        <v>42000</v>
      </c>
    </row>
    <row r="118" ht="13.5" customHeight="1">
      <c r="A118" s="59" t="s">
        <v>80</v>
      </c>
      <c r="B118" s="479"/>
      <c r="C118" s="479"/>
      <c r="D118" s="479"/>
      <c r="E118" s="479"/>
      <c r="F118" s="479"/>
      <c r="G118" s="479"/>
      <c r="H118" s="479"/>
      <c r="I118" s="479"/>
      <c r="J118" s="479"/>
      <c r="K118" s="479"/>
      <c r="L118" s="479"/>
      <c r="M118" s="479"/>
      <c r="N118" s="17">
        <f t="shared" si="32"/>
        <v>0</v>
      </c>
    </row>
    <row r="119" ht="13.5" customHeight="1">
      <c r="A119" s="61" t="s">
        <v>113</v>
      </c>
      <c r="B119" s="483">
        <v>249.0</v>
      </c>
      <c r="C119" s="483">
        <v>249.0</v>
      </c>
      <c r="D119" s="483">
        <v>249.0</v>
      </c>
      <c r="E119" s="480">
        <v>249.0</v>
      </c>
      <c r="F119" s="480">
        <v>249.0</v>
      </c>
      <c r="G119" s="480">
        <v>249.0</v>
      </c>
      <c r="H119" s="483">
        <v>249.0</v>
      </c>
      <c r="I119" s="483">
        <v>249.0</v>
      </c>
      <c r="J119" s="483">
        <v>249.0</v>
      </c>
      <c r="K119" s="480">
        <v>249.0</v>
      </c>
      <c r="L119" s="483">
        <v>249.0</v>
      </c>
      <c r="M119" s="483">
        <v>249.0</v>
      </c>
      <c r="N119" s="17">
        <f t="shared" si="32"/>
        <v>2988</v>
      </c>
    </row>
    <row r="120" ht="13.5" customHeight="1">
      <c r="A120" s="132" t="s">
        <v>114</v>
      </c>
      <c r="B120" s="483">
        <v>1966.0</v>
      </c>
      <c r="C120" s="483">
        <v>1966.0</v>
      </c>
      <c r="D120" s="483">
        <v>1966.0</v>
      </c>
      <c r="E120" s="483">
        <v>1966.0</v>
      </c>
      <c r="F120" s="483">
        <v>1966.0</v>
      </c>
      <c r="G120" s="483">
        <v>1966.0</v>
      </c>
      <c r="H120" s="483">
        <v>1966.0</v>
      </c>
      <c r="I120" s="483">
        <v>1966.0</v>
      </c>
      <c r="J120" s="483">
        <v>1966.0</v>
      </c>
      <c r="K120" s="483">
        <v>1966.0</v>
      </c>
      <c r="L120" s="483">
        <v>1966.0</v>
      </c>
      <c r="M120" s="483">
        <v>1966.0</v>
      </c>
      <c r="N120" s="17">
        <f t="shared" si="32"/>
        <v>23592</v>
      </c>
    </row>
    <row r="121" ht="13.5" customHeight="1">
      <c r="A121" s="99" t="s">
        <v>23</v>
      </c>
      <c r="B121" s="63">
        <f t="shared" ref="B121:N121" si="33">SUM(B115:B120)</f>
        <v>6910</v>
      </c>
      <c r="C121" s="63">
        <f t="shared" si="33"/>
        <v>6910</v>
      </c>
      <c r="D121" s="63">
        <f t="shared" si="33"/>
        <v>6910</v>
      </c>
      <c r="E121" s="63">
        <f t="shared" si="33"/>
        <v>6910</v>
      </c>
      <c r="F121" s="63">
        <f t="shared" si="33"/>
        <v>6910</v>
      </c>
      <c r="G121" s="63">
        <f t="shared" si="33"/>
        <v>6910</v>
      </c>
      <c r="H121" s="63">
        <f t="shared" si="33"/>
        <v>6910</v>
      </c>
      <c r="I121" s="63">
        <f t="shared" si="33"/>
        <v>6910</v>
      </c>
      <c r="J121" s="63">
        <f t="shared" si="33"/>
        <v>6910</v>
      </c>
      <c r="K121" s="63">
        <f t="shared" si="33"/>
        <v>6910</v>
      </c>
      <c r="L121" s="63">
        <f t="shared" si="33"/>
        <v>6910</v>
      </c>
      <c r="M121" s="63">
        <f t="shared" si="33"/>
        <v>6910</v>
      </c>
      <c r="N121" s="63">
        <f t="shared" si="33"/>
        <v>82920</v>
      </c>
    </row>
    <row r="122" ht="13.5" customHeight="1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</row>
    <row r="123" ht="13.5" customHeight="1">
      <c r="A123" s="134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</row>
    <row r="124" ht="13.5" customHeight="1">
      <c r="A124" s="64" t="s">
        <v>115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</row>
    <row r="125" ht="13.5" customHeight="1">
      <c r="A125" s="64" t="s">
        <v>116</v>
      </c>
      <c r="B125" s="67">
        <f t="shared" ref="B125:M125" si="34">+B13*0.7+B21*0.7+B32*0.7+B52*0.6+B70+B107*0.6</f>
        <v>44070.222</v>
      </c>
      <c r="C125" s="67">
        <f t="shared" si="34"/>
        <v>45470.222</v>
      </c>
      <c r="D125" s="67">
        <f t="shared" si="34"/>
        <v>48470.222</v>
      </c>
      <c r="E125" s="67">
        <f t="shared" si="34"/>
        <v>48146.222</v>
      </c>
      <c r="F125" s="67">
        <f t="shared" si="34"/>
        <v>48641.648</v>
      </c>
      <c r="G125" s="67">
        <f t="shared" si="34"/>
        <v>48833.222</v>
      </c>
      <c r="H125" s="67">
        <f t="shared" si="34"/>
        <v>48833.222</v>
      </c>
      <c r="I125" s="67">
        <f t="shared" si="34"/>
        <v>48541.754</v>
      </c>
      <c r="J125" s="67">
        <f t="shared" si="34"/>
        <v>48541.754</v>
      </c>
      <c r="K125" s="67">
        <f t="shared" si="34"/>
        <v>48541.754</v>
      </c>
      <c r="L125" s="67">
        <f t="shared" si="34"/>
        <v>52291.754</v>
      </c>
      <c r="M125" s="67">
        <f t="shared" si="34"/>
        <v>49291.754</v>
      </c>
      <c r="N125" s="67">
        <f t="shared" ref="N125:N126" si="36">SUM(B125:M125)</f>
        <v>579673.75</v>
      </c>
    </row>
    <row r="126" ht="13.5" customHeight="1">
      <c r="A126" s="64" t="s">
        <v>117</v>
      </c>
      <c r="B126" s="67">
        <f t="shared" ref="B126:M126" si="35">+B13*0.3+B21*0.3+B32*0.3+B52*0.4+B82+B90+B107*0.4</f>
        <v>24930.448</v>
      </c>
      <c r="C126" s="67">
        <f t="shared" si="35"/>
        <v>25430.448</v>
      </c>
      <c r="D126" s="67">
        <f t="shared" si="35"/>
        <v>27430.448</v>
      </c>
      <c r="E126" s="67">
        <f t="shared" si="35"/>
        <v>27214.448</v>
      </c>
      <c r="F126" s="67">
        <f t="shared" si="35"/>
        <v>27544.732</v>
      </c>
      <c r="G126" s="67">
        <f t="shared" si="35"/>
        <v>27554.948</v>
      </c>
      <c r="H126" s="67">
        <f t="shared" si="35"/>
        <v>27554.948</v>
      </c>
      <c r="I126" s="67">
        <f t="shared" si="35"/>
        <v>27478.136</v>
      </c>
      <c r="J126" s="67">
        <f t="shared" si="35"/>
        <v>27478.136</v>
      </c>
      <c r="K126" s="67">
        <f t="shared" si="35"/>
        <v>27478.136</v>
      </c>
      <c r="L126" s="67">
        <f t="shared" si="35"/>
        <v>29978.136</v>
      </c>
      <c r="M126" s="67">
        <f t="shared" si="35"/>
        <v>27978.136</v>
      </c>
      <c r="N126" s="67">
        <f t="shared" si="36"/>
        <v>328051.1</v>
      </c>
    </row>
    <row r="127" ht="13.5" customHeight="1">
      <c r="A127" s="64" t="s">
        <v>23</v>
      </c>
      <c r="B127" s="67">
        <f t="shared" ref="B127:N127" si="37">SUM(B125:B126)</f>
        <v>69000.67</v>
      </c>
      <c r="C127" s="67">
        <f t="shared" si="37"/>
        <v>70900.67</v>
      </c>
      <c r="D127" s="67">
        <f t="shared" si="37"/>
        <v>75900.67</v>
      </c>
      <c r="E127" s="67">
        <f t="shared" si="37"/>
        <v>75360.67</v>
      </c>
      <c r="F127" s="67">
        <f t="shared" si="37"/>
        <v>76186.38</v>
      </c>
      <c r="G127" s="67">
        <f t="shared" si="37"/>
        <v>76388.17</v>
      </c>
      <c r="H127" s="67">
        <f t="shared" si="37"/>
        <v>76388.17</v>
      </c>
      <c r="I127" s="67">
        <f t="shared" si="37"/>
        <v>76019.89</v>
      </c>
      <c r="J127" s="67">
        <f t="shared" si="37"/>
        <v>76019.89</v>
      </c>
      <c r="K127" s="67">
        <f t="shared" si="37"/>
        <v>76019.89</v>
      </c>
      <c r="L127" s="67">
        <f t="shared" si="37"/>
        <v>82269.89</v>
      </c>
      <c r="M127" s="67">
        <f t="shared" si="37"/>
        <v>77269.89</v>
      </c>
      <c r="N127" s="67">
        <f t="shared" si="37"/>
        <v>907724.85</v>
      </c>
    </row>
    <row r="128" ht="13.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</row>
    <row r="129" ht="13.5" customHeight="1">
      <c r="A129" s="69" t="s">
        <v>118</v>
      </c>
      <c r="B129" s="70">
        <f t="shared" ref="B129:N129" si="38">+B109</f>
        <v>69000.67</v>
      </c>
      <c r="C129" s="70">
        <f t="shared" si="38"/>
        <v>70900.67</v>
      </c>
      <c r="D129" s="70">
        <f t="shared" si="38"/>
        <v>75900.67</v>
      </c>
      <c r="E129" s="70">
        <f t="shared" si="38"/>
        <v>75360.67</v>
      </c>
      <c r="F129" s="70">
        <f t="shared" si="38"/>
        <v>76186.38</v>
      </c>
      <c r="G129" s="70">
        <f t="shared" si="38"/>
        <v>76388.17</v>
      </c>
      <c r="H129" s="70">
        <f t="shared" si="38"/>
        <v>76388.17</v>
      </c>
      <c r="I129" s="70">
        <f t="shared" si="38"/>
        <v>76019.89</v>
      </c>
      <c r="J129" s="70">
        <f t="shared" si="38"/>
        <v>76019.89</v>
      </c>
      <c r="K129" s="70">
        <f t="shared" si="38"/>
        <v>76019.89</v>
      </c>
      <c r="L129" s="70">
        <f t="shared" si="38"/>
        <v>82269.89</v>
      </c>
      <c r="M129" s="70">
        <f t="shared" si="38"/>
        <v>77269.89</v>
      </c>
      <c r="N129" s="70">
        <f t="shared" si="38"/>
        <v>907724.85</v>
      </c>
    </row>
    <row r="130" ht="13.5" customHeight="1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</row>
    <row r="131" ht="13.5" customHeight="1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</row>
  </sheetData>
  <mergeCells count="1">
    <mergeCell ref="A1:N1"/>
  </mergeCells>
  <hyperlinks>
    <hyperlink r:id="rId2" ref="A75"/>
  </hyperlinks>
  <drawing r:id="rId3"/>
  <legacyDrawing r:id="rId4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5.13" defaultRowHeight="15.75"/>
  <cols>
    <col customWidth="1" min="1" max="1" width="21.0"/>
    <col customWidth="1" min="2" max="2" width="1.63"/>
    <col customWidth="1" min="3" max="3" width="4.75"/>
    <col customWidth="1" min="4" max="5" width="3.88"/>
    <col customWidth="1" min="6" max="6" width="3.63"/>
    <col customWidth="1" min="7" max="7" width="4.13"/>
    <col customWidth="1" min="8" max="8" width="3.75"/>
    <col customWidth="1" min="9" max="9" width="3.5"/>
    <col customWidth="1" min="10" max="11" width="4.0"/>
    <col customWidth="1" min="12" max="12" width="3.5"/>
    <col customWidth="1" min="13" max="14" width="3.88"/>
    <col customWidth="1" min="15" max="15" width="3.13"/>
    <col customWidth="1" min="16" max="65" width="11.13"/>
  </cols>
  <sheetData>
    <row r="1" ht="15.0" hidden="1" customHeight="1">
      <c r="A1" s="487"/>
      <c r="B1" s="488"/>
      <c r="C1" s="489" t="s">
        <v>339</v>
      </c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1"/>
      <c r="O1" s="492"/>
      <c r="P1" s="493" t="s">
        <v>340</v>
      </c>
      <c r="Q1" s="494"/>
      <c r="R1" s="494"/>
      <c r="S1" s="495"/>
      <c r="T1" s="493" t="s">
        <v>341</v>
      </c>
      <c r="U1" s="494"/>
      <c r="V1" s="494"/>
      <c r="W1" s="495"/>
      <c r="X1" s="496" t="s">
        <v>342</v>
      </c>
      <c r="Y1" s="494"/>
      <c r="Z1" s="494"/>
      <c r="AA1" s="495"/>
      <c r="AB1" s="493" t="s">
        <v>343</v>
      </c>
      <c r="AC1" s="494"/>
      <c r="AD1" s="494"/>
      <c r="AE1" s="495"/>
      <c r="AF1" s="496" t="s">
        <v>344</v>
      </c>
      <c r="AG1" s="494"/>
      <c r="AH1" s="494"/>
      <c r="AI1" s="495"/>
      <c r="AJ1" s="493" t="s">
        <v>345</v>
      </c>
      <c r="AK1" s="494"/>
      <c r="AL1" s="494"/>
      <c r="AM1" s="495"/>
      <c r="AN1" s="493" t="s">
        <v>346</v>
      </c>
      <c r="AO1" s="494"/>
      <c r="AP1" s="494"/>
      <c r="AQ1" s="495"/>
      <c r="AR1" s="493" t="s">
        <v>347</v>
      </c>
      <c r="AS1" s="494"/>
      <c r="AT1" s="494"/>
      <c r="AU1" s="495"/>
      <c r="AV1" s="497" t="s">
        <v>348</v>
      </c>
      <c r="AW1" s="498"/>
      <c r="AX1" s="498"/>
      <c r="AY1" s="499"/>
      <c r="AZ1" s="493" t="s">
        <v>349</v>
      </c>
      <c r="BA1" s="494"/>
      <c r="BB1" s="494"/>
      <c r="BC1" s="495"/>
      <c r="BD1" s="493" t="s">
        <v>350</v>
      </c>
      <c r="BE1" s="494"/>
      <c r="BF1" s="494"/>
      <c r="BG1" s="495"/>
      <c r="BH1" s="496" t="s">
        <v>351</v>
      </c>
      <c r="BI1" s="494"/>
      <c r="BJ1" s="494"/>
      <c r="BK1" s="495"/>
      <c r="BL1" s="500"/>
      <c r="BM1" s="500"/>
    </row>
    <row r="2" ht="15.0" hidden="1" customHeight="1">
      <c r="A2" s="501"/>
      <c r="B2" s="488"/>
      <c r="C2" s="502"/>
      <c r="N2" s="503"/>
      <c r="O2" s="504"/>
      <c r="P2" s="505" t="s">
        <v>352</v>
      </c>
      <c r="Q2" s="506"/>
      <c r="R2" s="506"/>
      <c r="S2" s="507"/>
      <c r="T2" s="505" t="s">
        <v>352</v>
      </c>
      <c r="U2" s="506"/>
      <c r="V2" s="506"/>
      <c r="W2" s="507"/>
      <c r="X2" s="508" t="s">
        <v>352</v>
      </c>
      <c r="Y2" s="506"/>
      <c r="Z2" s="506"/>
      <c r="AA2" s="507"/>
      <c r="AB2" s="505" t="s">
        <v>352</v>
      </c>
      <c r="AC2" s="506"/>
      <c r="AD2" s="506"/>
      <c r="AE2" s="507"/>
      <c r="AF2" s="508" t="s">
        <v>352</v>
      </c>
      <c r="AG2" s="506"/>
      <c r="AH2" s="506"/>
      <c r="AI2" s="507"/>
      <c r="AJ2" s="505" t="s">
        <v>352</v>
      </c>
      <c r="AK2" s="506"/>
      <c r="AL2" s="506"/>
      <c r="AM2" s="507"/>
      <c r="AN2" s="505" t="s">
        <v>352</v>
      </c>
      <c r="AO2" s="506"/>
      <c r="AP2" s="506"/>
      <c r="AQ2" s="507"/>
      <c r="AR2" s="505" t="s">
        <v>352</v>
      </c>
      <c r="AS2" s="506"/>
      <c r="AT2" s="506"/>
      <c r="AU2" s="507"/>
      <c r="AV2" s="505" t="s">
        <v>352</v>
      </c>
      <c r="AW2" s="506"/>
      <c r="AX2" s="506"/>
      <c r="AY2" s="507"/>
      <c r="AZ2" s="505" t="s">
        <v>352</v>
      </c>
      <c r="BA2" s="506"/>
      <c r="BB2" s="506"/>
      <c r="BC2" s="507"/>
      <c r="BD2" s="505" t="s">
        <v>352</v>
      </c>
      <c r="BE2" s="506"/>
      <c r="BF2" s="506"/>
      <c r="BG2" s="507"/>
      <c r="BH2" s="508" t="s">
        <v>352</v>
      </c>
      <c r="BI2" s="506"/>
      <c r="BJ2" s="506"/>
      <c r="BK2" s="507"/>
      <c r="BL2" s="509"/>
      <c r="BM2" s="509"/>
    </row>
    <row r="3" ht="15.0" hidden="1" customHeight="1">
      <c r="A3" s="510"/>
      <c r="B3" s="511"/>
      <c r="C3" s="512"/>
      <c r="D3" s="513"/>
      <c r="E3" s="513"/>
      <c r="F3" s="513"/>
      <c r="G3" s="513"/>
      <c r="H3" s="513"/>
      <c r="I3" s="513"/>
      <c r="J3" s="513"/>
      <c r="K3" s="513"/>
      <c r="L3" s="513"/>
      <c r="M3" s="513"/>
      <c r="N3" s="514"/>
      <c r="O3" s="515"/>
      <c r="P3" s="516"/>
      <c r="Q3" s="498"/>
      <c r="R3" s="498"/>
      <c r="S3" s="498"/>
      <c r="T3" s="516">
        <v>0.0</v>
      </c>
      <c r="U3" s="498"/>
      <c r="V3" s="498"/>
      <c r="W3" s="498"/>
      <c r="X3" s="517">
        <v>0.0</v>
      </c>
      <c r="Y3" s="498"/>
      <c r="Z3" s="498"/>
      <c r="AA3" s="498"/>
      <c r="AB3" s="516"/>
      <c r="AC3" s="498"/>
      <c r="AD3" s="498"/>
      <c r="AE3" s="498"/>
      <c r="AF3" s="517"/>
      <c r="AG3" s="498"/>
      <c r="AH3" s="498"/>
      <c r="AI3" s="498"/>
      <c r="AJ3" s="516"/>
      <c r="AK3" s="498"/>
      <c r="AL3" s="498"/>
      <c r="AM3" s="498"/>
      <c r="AN3" s="516"/>
      <c r="AO3" s="498"/>
      <c r="AP3" s="498"/>
      <c r="AQ3" s="498"/>
      <c r="AR3" s="518"/>
      <c r="AS3" s="498"/>
      <c r="AT3" s="498"/>
      <c r="AU3" s="499"/>
      <c r="AV3" s="516">
        <v>0.0</v>
      </c>
      <c r="AW3" s="498"/>
      <c r="AX3" s="498"/>
      <c r="AY3" s="499"/>
      <c r="AZ3" s="516"/>
      <c r="BA3" s="498"/>
      <c r="BB3" s="498"/>
      <c r="BC3" s="498"/>
      <c r="BD3" s="516">
        <v>0.0</v>
      </c>
      <c r="BE3" s="498"/>
      <c r="BF3" s="498"/>
      <c r="BG3" s="498"/>
      <c r="BH3" s="517"/>
      <c r="BI3" s="498"/>
      <c r="BJ3" s="498"/>
      <c r="BK3" s="498"/>
      <c r="BL3" s="519"/>
      <c r="BM3" s="519"/>
    </row>
    <row r="4" ht="15.0" hidden="1" customHeight="1">
      <c r="A4" s="520" t="s">
        <v>353</v>
      </c>
      <c r="B4" s="521"/>
      <c r="C4" s="522" t="s">
        <v>354</v>
      </c>
      <c r="D4" s="522" t="s">
        <v>355</v>
      </c>
      <c r="E4" s="522" t="s">
        <v>356</v>
      </c>
      <c r="F4" s="522" t="s">
        <v>357</v>
      </c>
      <c r="G4" s="522" t="s">
        <v>5</v>
      </c>
      <c r="H4" s="522" t="s">
        <v>358</v>
      </c>
      <c r="I4" s="522" t="s">
        <v>359</v>
      </c>
      <c r="J4" s="522" t="s">
        <v>360</v>
      </c>
      <c r="K4" s="522" t="s">
        <v>361</v>
      </c>
      <c r="L4" s="522" t="s">
        <v>362</v>
      </c>
      <c r="M4" s="522" t="s">
        <v>363</v>
      </c>
      <c r="N4" s="522" t="s">
        <v>364</v>
      </c>
      <c r="O4" s="515"/>
      <c r="P4" s="523" t="s">
        <v>319</v>
      </c>
      <c r="Q4" s="523" t="s">
        <v>365</v>
      </c>
      <c r="R4" s="523" t="s">
        <v>366</v>
      </c>
      <c r="S4" s="523" t="s">
        <v>367</v>
      </c>
      <c r="T4" s="523" t="s">
        <v>319</v>
      </c>
      <c r="U4" s="523" t="s">
        <v>365</v>
      </c>
      <c r="V4" s="523" t="s">
        <v>366</v>
      </c>
      <c r="W4" s="523" t="s">
        <v>367</v>
      </c>
      <c r="X4" s="524" t="s">
        <v>319</v>
      </c>
      <c r="Y4" s="524" t="s">
        <v>365</v>
      </c>
      <c r="Z4" s="524" t="s">
        <v>366</v>
      </c>
      <c r="AA4" s="524" t="s">
        <v>367</v>
      </c>
      <c r="AB4" s="525" t="s">
        <v>319</v>
      </c>
      <c r="AC4" s="525" t="s">
        <v>365</v>
      </c>
      <c r="AD4" s="525" t="s">
        <v>366</v>
      </c>
      <c r="AE4" s="525" t="s">
        <v>367</v>
      </c>
      <c r="AF4" s="524" t="s">
        <v>319</v>
      </c>
      <c r="AG4" s="524" t="s">
        <v>365</v>
      </c>
      <c r="AH4" s="524" t="s">
        <v>366</v>
      </c>
      <c r="AI4" s="524" t="s">
        <v>367</v>
      </c>
      <c r="AJ4" s="525" t="s">
        <v>319</v>
      </c>
      <c r="AK4" s="525" t="s">
        <v>365</v>
      </c>
      <c r="AL4" s="525" t="s">
        <v>366</v>
      </c>
      <c r="AM4" s="525" t="s">
        <v>367</v>
      </c>
      <c r="AN4" s="525" t="s">
        <v>319</v>
      </c>
      <c r="AO4" s="525" t="s">
        <v>365</v>
      </c>
      <c r="AP4" s="525" t="s">
        <v>366</v>
      </c>
      <c r="AQ4" s="525" t="s">
        <v>367</v>
      </c>
      <c r="AR4" s="525" t="s">
        <v>319</v>
      </c>
      <c r="AS4" s="525" t="s">
        <v>365</v>
      </c>
      <c r="AT4" s="525" t="s">
        <v>366</v>
      </c>
      <c r="AU4" s="525" t="s">
        <v>367</v>
      </c>
      <c r="AV4" s="523" t="s">
        <v>319</v>
      </c>
      <c r="AW4" s="523" t="s">
        <v>365</v>
      </c>
      <c r="AX4" s="523" t="s">
        <v>366</v>
      </c>
      <c r="AY4" s="523" t="s">
        <v>367</v>
      </c>
      <c r="AZ4" s="525" t="s">
        <v>319</v>
      </c>
      <c r="BA4" s="525" t="s">
        <v>365</v>
      </c>
      <c r="BB4" s="525" t="s">
        <v>366</v>
      </c>
      <c r="BC4" s="525" t="s">
        <v>367</v>
      </c>
      <c r="BD4" s="525" t="s">
        <v>319</v>
      </c>
      <c r="BE4" s="525" t="s">
        <v>365</v>
      </c>
      <c r="BF4" s="525" t="s">
        <v>366</v>
      </c>
      <c r="BG4" s="525" t="s">
        <v>367</v>
      </c>
      <c r="BH4" s="524" t="s">
        <v>319</v>
      </c>
      <c r="BI4" s="524" t="s">
        <v>365</v>
      </c>
      <c r="BJ4" s="524" t="s">
        <v>366</v>
      </c>
      <c r="BK4" s="524" t="s">
        <v>367</v>
      </c>
      <c r="BL4" s="500"/>
      <c r="BM4" s="500"/>
    </row>
    <row r="5" ht="15.0" hidden="1" customHeight="1">
      <c r="A5" s="510" t="s">
        <v>368</v>
      </c>
      <c r="B5" s="511"/>
      <c r="C5" s="526">
        <f>MA!B111</f>
        <v>55</v>
      </c>
      <c r="D5" s="526">
        <f>MA!C111</f>
        <v>70</v>
      </c>
      <c r="E5" s="526">
        <f>MA!D111</f>
        <v>85</v>
      </c>
      <c r="F5" s="526">
        <f>MA!E111</f>
        <v>90</v>
      </c>
      <c r="G5" s="526">
        <f>MA!F111</f>
        <v>100</v>
      </c>
      <c r="H5" s="526">
        <f>MA!G111</f>
        <v>105</v>
      </c>
      <c r="I5" s="526">
        <f>MA!H111</f>
        <v>110</v>
      </c>
      <c r="J5" s="526">
        <f>MA!I111</f>
        <v>110</v>
      </c>
      <c r="K5" s="526">
        <f>MA!J111</f>
        <v>85</v>
      </c>
      <c r="L5" s="526">
        <f>MA!K111</f>
        <v>82</v>
      </c>
      <c r="M5" s="526">
        <f>MA!L111</f>
        <v>80</v>
      </c>
      <c r="N5" s="526">
        <f>MA!M111</f>
        <v>100</v>
      </c>
      <c r="O5" s="515"/>
      <c r="P5" s="527">
        <f t="shared" ref="P5:P6" si="1">SUM(C5:N5)</f>
        <v>1072</v>
      </c>
      <c r="Q5" s="528">
        <f>P3/4</f>
        <v>0</v>
      </c>
      <c r="R5" s="528">
        <f>(P3/2) *(P5/P7)</f>
        <v>0</v>
      </c>
      <c r="S5" s="528">
        <f t="shared" ref="S5:S6" si="2">Q5+R5</f>
        <v>0</v>
      </c>
      <c r="T5" s="527">
        <f t="shared" ref="T5:T6" si="3">SUM(C5:N5)</f>
        <v>1072</v>
      </c>
      <c r="U5" s="528">
        <f>T3/4</f>
        <v>0</v>
      </c>
      <c r="V5" s="528">
        <f>(T3/2) *(T5/T7)</f>
        <v>0</v>
      </c>
      <c r="W5" s="528">
        <f t="shared" ref="W5:W6" si="4">U5+V5</f>
        <v>0</v>
      </c>
      <c r="X5" s="529">
        <f t="shared" ref="X5:X6" si="5">SUM(C5:N5)</f>
        <v>1072</v>
      </c>
      <c r="Y5" s="530">
        <f>X3/4</f>
        <v>0</v>
      </c>
      <c r="Z5" s="530">
        <f>(X3/2) *(X5/X7)</f>
        <v>0</v>
      </c>
      <c r="AA5" s="530">
        <f t="shared" ref="AA5:AA6" si="6">Y5+Z5</f>
        <v>0</v>
      </c>
      <c r="AB5" s="527">
        <f t="shared" ref="AB5:AB6" si="7">SUM(C5:N5)</f>
        <v>1072</v>
      </c>
      <c r="AC5" s="528">
        <f>AB3/4</f>
        <v>0</v>
      </c>
      <c r="AD5" s="528">
        <f>(AB3/2) *(AB5/AB7)</f>
        <v>0</v>
      </c>
      <c r="AE5" s="528">
        <f t="shared" ref="AE5:AE6" si="8">AC5+AD5</f>
        <v>0</v>
      </c>
      <c r="AF5" s="529">
        <f t="shared" ref="AF5:AF6" si="9">SUM(C5:N5)</f>
        <v>1072</v>
      </c>
      <c r="AG5" s="530">
        <f>AF3/4</f>
        <v>0</v>
      </c>
      <c r="AH5" s="530">
        <f>(AF3/2) *(AF5/AF7)</f>
        <v>0</v>
      </c>
      <c r="AI5" s="530">
        <f t="shared" ref="AI5:AI6" si="10">AG5+AH5</f>
        <v>0</v>
      </c>
      <c r="AJ5" s="527">
        <f t="shared" ref="AJ5:AJ6" si="11">SUM(C5:N5)</f>
        <v>1072</v>
      </c>
      <c r="AK5" s="528">
        <f>AJ3/4</f>
        <v>0</v>
      </c>
      <c r="AL5" s="528">
        <f>(AJ3/2) *(AJ5/AJ7)</f>
        <v>0</v>
      </c>
      <c r="AM5" s="528">
        <f t="shared" ref="AM5:AM6" si="12">AK5+AL5</f>
        <v>0</v>
      </c>
      <c r="AN5" s="527">
        <f t="shared" ref="AN5:AN6" si="13">SUM(C5:N5)</f>
        <v>1072</v>
      </c>
      <c r="AO5" s="528">
        <f>AN3/4</f>
        <v>0</v>
      </c>
      <c r="AP5" s="528">
        <f>(AN3/2) *(AN5/AN7)</f>
        <v>0</v>
      </c>
      <c r="AQ5" s="528">
        <f t="shared" ref="AQ5:AQ6" si="14">AO5+AP5</f>
        <v>0</v>
      </c>
      <c r="AR5" s="527">
        <f t="shared" ref="AR5:AR6" si="15">SUM(C5:N5)</f>
        <v>1072</v>
      </c>
      <c r="AS5" s="528">
        <f>AR3/4</f>
        <v>0</v>
      </c>
      <c r="AT5" s="528">
        <f>(AR3/2) *(AR5/AR7)</f>
        <v>0</v>
      </c>
      <c r="AU5" s="528">
        <f t="shared" ref="AU5:AU6" si="16">AS5+AT5</f>
        <v>0</v>
      </c>
      <c r="AV5" s="527">
        <f t="shared" ref="AV5:AV6" si="17">SUM(C5:N5)</f>
        <v>1072</v>
      </c>
      <c r="AW5" s="528">
        <f>AV3/4</f>
        <v>0</v>
      </c>
      <c r="AX5" s="528">
        <f>(AV3/2) *(AV5/AV7)</f>
        <v>0</v>
      </c>
      <c r="AY5" s="528">
        <f t="shared" ref="AY5:AY6" si="18">AW5+AX5</f>
        <v>0</v>
      </c>
      <c r="AZ5" s="527">
        <f t="shared" ref="AZ5:AZ6" si="19">SUM(C5:N5)</f>
        <v>1072</v>
      </c>
      <c r="BA5" s="528">
        <f>AZ3/4</f>
        <v>0</v>
      </c>
      <c r="BB5" s="528">
        <f>(AZ3/2) *(AZ5/AZ7)</f>
        <v>0</v>
      </c>
      <c r="BC5" s="528">
        <f t="shared" ref="BC5:BC6" si="20">BA5+BB5</f>
        <v>0</v>
      </c>
      <c r="BD5" s="527">
        <f t="shared" ref="BD5:BD6" si="21">SUM(C5:N5)</f>
        <v>1072</v>
      </c>
      <c r="BE5" s="528">
        <f>BD3/4</f>
        <v>0</v>
      </c>
      <c r="BF5" s="528">
        <f>(BD3/2) *(BD5/BD7)</f>
        <v>0</v>
      </c>
      <c r="BG5" s="528">
        <f t="shared" ref="BG5:BG6" si="22">BE5+BF5</f>
        <v>0</v>
      </c>
      <c r="BH5" s="529">
        <f t="shared" ref="BH5:BH6" si="23">SUM(C5:N5)</f>
        <v>1072</v>
      </c>
      <c r="BI5" s="530">
        <f>BH3/4</f>
        <v>0</v>
      </c>
      <c r="BJ5" s="530">
        <f>(BH3/2) *(BH5/BH7)</f>
        <v>0</v>
      </c>
      <c r="BK5" s="530">
        <f t="shared" ref="BK5:BK6" si="24">BI5+BJ5</f>
        <v>0</v>
      </c>
      <c r="BL5" s="531"/>
      <c r="BM5" s="531"/>
    </row>
    <row r="6" ht="15.0" hidden="1" customHeight="1">
      <c r="A6" s="510" t="s">
        <v>369</v>
      </c>
      <c r="B6" s="511"/>
      <c r="C6" s="526">
        <f>WA!B110</f>
        <v>45</v>
      </c>
      <c r="D6" s="526">
        <f>WA!C110</f>
        <v>45</v>
      </c>
      <c r="E6" s="526">
        <f>WA!D110</f>
        <v>50</v>
      </c>
      <c r="F6" s="526">
        <f>WA!E110</f>
        <v>55</v>
      </c>
      <c r="G6" s="526">
        <f>WA!F110</f>
        <v>60</v>
      </c>
      <c r="H6" s="526">
        <f>WA!G110</f>
        <v>55</v>
      </c>
      <c r="I6" s="526">
        <f>WA!H110</f>
        <v>60</v>
      </c>
      <c r="J6" s="526">
        <f>WA!I110</f>
        <v>60</v>
      </c>
      <c r="K6" s="526">
        <f>WA!J110</f>
        <v>55</v>
      </c>
      <c r="L6" s="526">
        <f>WA!K110</f>
        <v>60</v>
      </c>
      <c r="M6" s="526">
        <f>WA!L110</f>
        <v>55</v>
      </c>
      <c r="N6" s="526">
        <f>WA!M110</f>
        <v>60</v>
      </c>
      <c r="O6" s="515"/>
      <c r="P6" s="527">
        <f t="shared" si="1"/>
        <v>660</v>
      </c>
      <c r="Q6" s="528">
        <f>P3/4</f>
        <v>0</v>
      </c>
      <c r="R6" s="528">
        <f>(P3/2) *(P6/P7)</f>
        <v>0</v>
      </c>
      <c r="S6" s="528">
        <f t="shared" si="2"/>
        <v>0</v>
      </c>
      <c r="T6" s="527">
        <f t="shared" si="3"/>
        <v>660</v>
      </c>
      <c r="U6" s="528">
        <f>T3/4</f>
        <v>0</v>
      </c>
      <c r="V6" s="528">
        <f>(T3/2) *(T6/T7)</f>
        <v>0</v>
      </c>
      <c r="W6" s="528">
        <f t="shared" si="4"/>
        <v>0</v>
      </c>
      <c r="X6" s="529">
        <f t="shared" si="5"/>
        <v>660</v>
      </c>
      <c r="Y6" s="530">
        <f>X3/4</f>
        <v>0</v>
      </c>
      <c r="Z6" s="530">
        <f>(X3/2) *(X6/X7)</f>
        <v>0</v>
      </c>
      <c r="AA6" s="530">
        <f t="shared" si="6"/>
        <v>0</v>
      </c>
      <c r="AB6" s="527">
        <f t="shared" si="7"/>
        <v>660</v>
      </c>
      <c r="AC6" s="528">
        <f>AB3/4</f>
        <v>0</v>
      </c>
      <c r="AD6" s="528">
        <f>(AB3/2) *(AB6/AB7)</f>
        <v>0</v>
      </c>
      <c r="AE6" s="528">
        <f t="shared" si="8"/>
        <v>0</v>
      </c>
      <c r="AF6" s="529">
        <f t="shared" si="9"/>
        <v>660</v>
      </c>
      <c r="AG6" s="530">
        <f>AF3/4</f>
        <v>0</v>
      </c>
      <c r="AH6" s="530">
        <f>(AF3/2) *(AF6/AF7)</f>
        <v>0</v>
      </c>
      <c r="AI6" s="530">
        <f t="shared" si="10"/>
        <v>0</v>
      </c>
      <c r="AJ6" s="527">
        <f t="shared" si="11"/>
        <v>660</v>
      </c>
      <c r="AK6" s="528">
        <f>AJ3/4</f>
        <v>0</v>
      </c>
      <c r="AL6" s="528">
        <f>(AJ3/2) *(AJ6/AJ7)</f>
        <v>0</v>
      </c>
      <c r="AM6" s="528">
        <f t="shared" si="12"/>
        <v>0</v>
      </c>
      <c r="AN6" s="527">
        <f t="shared" si="13"/>
        <v>660</v>
      </c>
      <c r="AO6" s="528">
        <f>AN3/4</f>
        <v>0</v>
      </c>
      <c r="AP6" s="528">
        <f>(AN3/2) *(AN6/AN7)</f>
        <v>0</v>
      </c>
      <c r="AQ6" s="528">
        <f t="shared" si="14"/>
        <v>0</v>
      </c>
      <c r="AR6" s="527">
        <f t="shared" si="15"/>
        <v>660</v>
      </c>
      <c r="AS6" s="528">
        <f>AR3/4</f>
        <v>0</v>
      </c>
      <c r="AT6" s="528">
        <f>(AR3/2) *(AR6/AR7)</f>
        <v>0</v>
      </c>
      <c r="AU6" s="528">
        <f t="shared" si="16"/>
        <v>0</v>
      </c>
      <c r="AV6" s="527">
        <f t="shared" si="17"/>
        <v>660</v>
      </c>
      <c r="AW6" s="528">
        <f>AV3/4</f>
        <v>0</v>
      </c>
      <c r="AX6" s="528">
        <f>(AV3/2) *(AV6/AV7)</f>
        <v>0</v>
      </c>
      <c r="AY6" s="528">
        <f t="shared" si="18"/>
        <v>0</v>
      </c>
      <c r="AZ6" s="527">
        <f t="shared" si="19"/>
        <v>660</v>
      </c>
      <c r="BA6" s="528">
        <f>AZ3/4</f>
        <v>0</v>
      </c>
      <c r="BB6" s="528">
        <f>(AZ3/2) *(AZ6/AZ7)</f>
        <v>0</v>
      </c>
      <c r="BC6" s="528">
        <f t="shared" si="20"/>
        <v>0</v>
      </c>
      <c r="BD6" s="527">
        <f t="shared" si="21"/>
        <v>660</v>
      </c>
      <c r="BE6" s="528">
        <f>BD3/4</f>
        <v>0</v>
      </c>
      <c r="BF6" s="528">
        <f>(BD3/2) *(BD6/BD7)</f>
        <v>0</v>
      </c>
      <c r="BG6" s="528">
        <f t="shared" si="22"/>
        <v>0</v>
      </c>
      <c r="BH6" s="529">
        <f t="shared" si="23"/>
        <v>660</v>
      </c>
      <c r="BI6" s="530">
        <f>BH3/4</f>
        <v>0</v>
      </c>
      <c r="BJ6" s="530">
        <f>(BH3/2) *(BH6/BH7)</f>
        <v>0</v>
      </c>
      <c r="BK6" s="530">
        <f t="shared" si="24"/>
        <v>0</v>
      </c>
      <c r="BL6" s="531"/>
      <c r="BM6" s="531"/>
    </row>
    <row r="7" ht="15.0" hidden="1" customHeight="1">
      <c r="A7" s="532"/>
      <c r="B7" s="521"/>
      <c r="C7" s="533"/>
      <c r="D7" s="533"/>
      <c r="E7" s="533"/>
      <c r="F7" s="533"/>
      <c r="G7" s="533"/>
      <c r="H7" s="533"/>
      <c r="I7" s="533"/>
      <c r="J7" s="533"/>
      <c r="K7" s="533"/>
      <c r="L7" s="533"/>
      <c r="M7" s="533"/>
      <c r="N7" s="533"/>
      <c r="O7" s="515"/>
      <c r="P7" s="523">
        <f t="shared" ref="P7:BK7" si="25">SUM(P5:P6)</f>
        <v>1732</v>
      </c>
      <c r="Q7" s="534">
        <f t="shared" si="25"/>
        <v>0</v>
      </c>
      <c r="R7" s="534">
        <f t="shared" si="25"/>
        <v>0</v>
      </c>
      <c r="S7" s="534">
        <f t="shared" si="25"/>
        <v>0</v>
      </c>
      <c r="T7" s="523">
        <f t="shared" si="25"/>
        <v>1732</v>
      </c>
      <c r="U7" s="534">
        <f t="shared" si="25"/>
        <v>0</v>
      </c>
      <c r="V7" s="534">
        <f t="shared" si="25"/>
        <v>0</v>
      </c>
      <c r="W7" s="534">
        <f t="shared" si="25"/>
        <v>0</v>
      </c>
      <c r="X7" s="535">
        <f t="shared" si="25"/>
        <v>1732</v>
      </c>
      <c r="Y7" s="536">
        <f t="shared" si="25"/>
        <v>0</v>
      </c>
      <c r="Z7" s="536">
        <f t="shared" si="25"/>
        <v>0</v>
      </c>
      <c r="AA7" s="536">
        <f t="shared" si="25"/>
        <v>0</v>
      </c>
      <c r="AB7" s="523">
        <f t="shared" si="25"/>
        <v>1732</v>
      </c>
      <c r="AC7" s="534">
        <f t="shared" si="25"/>
        <v>0</v>
      </c>
      <c r="AD7" s="534">
        <f t="shared" si="25"/>
        <v>0</v>
      </c>
      <c r="AE7" s="534">
        <f t="shared" si="25"/>
        <v>0</v>
      </c>
      <c r="AF7" s="535">
        <f t="shared" si="25"/>
        <v>1732</v>
      </c>
      <c r="AG7" s="536">
        <f t="shared" si="25"/>
        <v>0</v>
      </c>
      <c r="AH7" s="536">
        <f t="shared" si="25"/>
        <v>0</v>
      </c>
      <c r="AI7" s="536">
        <f t="shared" si="25"/>
        <v>0</v>
      </c>
      <c r="AJ7" s="523">
        <f t="shared" si="25"/>
        <v>1732</v>
      </c>
      <c r="AK7" s="534">
        <f t="shared" si="25"/>
        <v>0</v>
      </c>
      <c r="AL7" s="534">
        <f t="shared" si="25"/>
        <v>0</v>
      </c>
      <c r="AM7" s="534">
        <f t="shared" si="25"/>
        <v>0</v>
      </c>
      <c r="AN7" s="523">
        <f t="shared" si="25"/>
        <v>1732</v>
      </c>
      <c r="AO7" s="534">
        <f t="shared" si="25"/>
        <v>0</v>
      </c>
      <c r="AP7" s="534">
        <f t="shared" si="25"/>
        <v>0</v>
      </c>
      <c r="AQ7" s="534">
        <f t="shared" si="25"/>
        <v>0</v>
      </c>
      <c r="AR7" s="523">
        <f t="shared" si="25"/>
        <v>1732</v>
      </c>
      <c r="AS7" s="534">
        <f t="shared" si="25"/>
        <v>0</v>
      </c>
      <c r="AT7" s="534">
        <f t="shared" si="25"/>
        <v>0</v>
      </c>
      <c r="AU7" s="534">
        <f t="shared" si="25"/>
        <v>0</v>
      </c>
      <c r="AV7" s="523">
        <f t="shared" si="25"/>
        <v>1732</v>
      </c>
      <c r="AW7" s="534">
        <f t="shared" si="25"/>
        <v>0</v>
      </c>
      <c r="AX7" s="534">
        <f t="shared" si="25"/>
        <v>0</v>
      </c>
      <c r="AY7" s="534">
        <f t="shared" si="25"/>
        <v>0</v>
      </c>
      <c r="AZ7" s="523">
        <f t="shared" si="25"/>
        <v>1732</v>
      </c>
      <c r="BA7" s="534">
        <f t="shared" si="25"/>
        <v>0</v>
      </c>
      <c r="BB7" s="534">
        <f t="shared" si="25"/>
        <v>0</v>
      </c>
      <c r="BC7" s="534">
        <f t="shared" si="25"/>
        <v>0</v>
      </c>
      <c r="BD7" s="523">
        <f t="shared" si="25"/>
        <v>1732</v>
      </c>
      <c r="BE7" s="534">
        <f t="shared" si="25"/>
        <v>0</v>
      </c>
      <c r="BF7" s="534">
        <f t="shared" si="25"/>
        <v>0</v>
      </c>
      <c r="BG7" s="534">
        <f t="shared" si="25"/>
        <v>0</v>
      </c>
      <c r="BH7" s="535">
        <f t="shared" si="25"/>
        <v>1732</v>
      </c>
      <c r="BI7" s="536">
        <f t="shared" si="25"/>
        <v>0</v>
      </c>
      <c r="BJ7" s="536">
        <f t="shared" si="25"/>
        <v>0</v>
      </c>
      <c r="BK7" s="536">
        <f t="shared" si="25"/>
        <v>0</v>
      </c>
      <c r="BL7" s="537"/>
      <c r="BM7" s="537"/>
    </row>
    <row r="8" ht="15.0" hidden="1" customHeight="1">
      <c r="A8" s="538"/>
      <c r="B8" s="488"/>
      <c r="C8" s="539"/>
      <c r="D8" s="539"/>
      <c r="E8" s="539"/>
      <c r="F8" s="539"/>
      <c r="G8" s="539"/>
      <c r="H8" s="539"/>
      <c r="I8" s="488"/>
      <c r="J8" s="488"/>
      <c r="K8" s="488"/>
      <c r="L8" s="488"/>
      <c r="M8" s="488"/>
      <c r="N8" s="488"/>
      <c r="O8" s="488"/>
      <c r="P8" s="515"/>
      <c r="Q8" s="515"/>
      <c r="R8" s="515"/>
      <c r="S8" s="515"/>
      <c r="T8" s="540"/>
      <c r="U8" s="540"/>
      <c r="V8" s="540"/>
      <c r="W8" s="540"/>
      <c r="X8" s="541"/>
      <c r="AB8" s="542"/>
      <c r="AC8" s="543"/>
      <c r="AD8" s="543"/>
      <c r="AE8" s="543"/>
      <c r="AF8" s="541"/>
      <c r="AJ8" s="515"/>
      <c r="AK8" s="544"/>
      <c r="AL8" s="544"/>
      <c r="AM8" s="544"/>
      <c r="AN8" s="515"/>
      <c r="AO8" s="544"/>
      <c r="AP8" s="544"/>
      <c r="AQ8" s="544"/>
      <c r="AR8" s="544"/>
      <c r="AS8" s="544"/>
      <c r="AT8" s="544"/>
      <c r="AU8" s="544"/>
      <c r="AV8" s="544"/>
      <c r="AW8" s="544"/>
      <c r="AX8" s="544"/>
      <c r="AY8" s="544"/>
      <c r="AZ8" s="544"/>
      <c r="BA8" s="544"/>
      <c r="BB8" s="544"/>
      <c r="BC8" s="545"/>
      <c r="BD8" s="544"/>
      <c r="BE8" s="544"/>
      <c r="BF8" s="544"/>
      <c r="BG8" s="545"/>
      <c r="BH8" s="544"/>
      <c r="BI8" s="544"/>
      <c r="BJ8" s="544"/>
      <c r="BK8" s="544"/>
      <c r="BL8" s="544"/>
      <c r="BM8" s="544"/>
    </row>
    <row r="9" ht="15.0" hidden="1" customHeight="1">
      <c r="A9" s="538"/>
      <c r="B9" s="488"/>
      <c r="C9" s="489" t="s">
        <v>339</v>
      </c>
      <c r="D9" s="490"/>
      <c r="E9" s="490"/>
      <c r="F9" s="490"/>
      <c r="G9" s="490"/>
      <c r="H9" s="490"/>
      <c r="I9" s="490"/>
      <c r="J9" s="490"/>
      <c r="K9" s="490"/>
      <c r="L9" s="490"/>
      <c r="M9" s="490"/>
      <c r="N9" s="491"/>
      <c r="O9" s="488"/>
      <c r="P9" s="493" t="s">
        <v>340</v>
      </c>
      <c r="Q9" s="494"/>
      <c r="R9" s="494"/>
      <c r="S9" s="495"/>
      <c r="T9" s="493" t="s">
        <v>341</v>
      </c>
      <c r="U9" s="494"/>
      <c r="V9" s="494"/>
      <c r="W9" s="495"/>
      <c r="X9" s="493" t="s">
        <v>342</v>
      </c>
      <c r="Y9" s="494"/>
      <c r="Z9" s="494"/>
      <c r="AA9" s="495"/>
      <c r="AB9" s="493" t="s">
        <v>343</v>
      </c>
      <c r="AC9" s="494"/>
      <c r="AD9" s="494"/>
      <c r="AE9" s="495"/>
      <c r="AF9" s="493" t="s">
        <v>344</v>
      </c>
      <c r="AG9" s="494"/>
      <c r="AH9" s="494"/>
      <c r="AI9" s="495"/>
      <c r="AJ9" s="496" t="s">
        <v>345</v>
      </c>
      <c r="AK9" s="494"/>
      <c r="AL9" s="494"/>
      <c r="AM9" s="495"/>
      <c r="AN9" s="496" t="s">
        <v>346</v>
      </c>
      <c r="AO9" s="494"/>
      <c r="AP9" s="494"/>
      <c r="AQ9" s="495"/>
      <c r="AR9" s="496" t="s">
        <v>347</v>
      </c>
      <c r="AS9" s="494"/>
      <c r="AT9" s="494"/>
      <c r="AU9" s="495"/>
      <c r="AV9" s="493" t="s">
        <v>348</v>
      </c>
      <c r="AW9" s="494"/>
      <c r="AX9" s="494"/>
      <c r="AY9" s="495"/>
      <c r="AZ9" s="493" t="s">
        <v>349</v>
      </c>
      <c r="BA9" s="494"/>
      <c r="BB9" s="494"/>
      <c r="BC9" s="495"/>
      <c r="BD9" s="493" t="s">
        <v>350</v>
      </c>
      <c r="BE9" s="494"/>
      <c r="BF9" s="494"/>
      <c r="BG9" s="495"/>
      <c r="BH9" s="546" t="s">
        <v>351</v>
      </c>
      <c r="BI9" s="494"/>
      <c r="BJ9" s="494"/>
      <c r="BK9" s="495"/>
      <c r="BL9" s="533"/>
      <c r="BM9" s="533"/>
    </row>
    <row r="10" ht="15.0" hidden="1" customHeight="1">
      <c r="A10" s="538"/>
      <c r="B10" s="488"/>
      <c r="C10" s="502"/>
      <c r="N10" s="503"/>
      <c r="O10" s="488"/>
      <c r="P10" s="505" t="s">
        <v>370</v>
      </c>
      <c r="Q10" s="506"/>
      <c r="R10" s="506"/>
      <c r="S10" s="507"/>
      <c r="T10" s="505" t="s">
        <v>370</v>
      </c>
      <c r="U10" s="506"/>
      <c r="V10" s="506"/>
      <c r="W10" s="507"/>
      <c r="X10" s="505" t="s">
        <v>370</v>
      </c>
      <c r="Y10" s="506"/>
      <c r="Z10" s="506"/>
      <c r="AA10" s="507"/>
      <c r="AB10" s="505" t="s">
        <v>370</v>
      </c>
      <c r="AC10" s="506"/>
      <c r="AD10" s="506"/>
      <c r="AE10" s="507"/>
      <c r="AF10" s="505" t="s">
        <v>370</v>
      </c>
      <c r="AG10" s="506"/>
      <c r="AH10" s="506"/>
      <c r="AI10" s="507"/>
      <c r="AJ10" s="547" t="s">
        <v>370</v>
      </c>
      <c r="AK10" s="506"/>
      <c r="AL10" s="506"/>
      <c r="AM10" s="507"/>
      <c r="AN10" s="548" t="s">
        <v>370</v>
      </c>
      <c r="AO10" s="506"/>
      <c r="AP10" s="506"/>
      <c r="AQ10" s="549"/>
      <c r="AR10" s="550" t="s">
        <v>370</v>
      </c>
      <c r="AS10" s="506"/>
      <c r="AT10" s="506"/>
      <c r="AU10" s="507"/>
      <c r="AV10" s="505" t="s">
        <v>370</v>
      </c>
      <c r="AW10" s="506"/>
      <c r="AX10" s="506"/>
      <c r="AY10" s="507"/>
      <c r="AZ10" s="505" t="s">
        <v>370</v>
      </c>
      <c r="BA10" s="506"/>
      <c r="BB10" s="506"/>
      <c r="BC10" s="507"/>
      <c r="BD10" s="505" t="s">
        <v>370</v>
      </c>
      <c r="BE10" s="506"/>
      <c r="BF10" s="506"/>
      <c r="BG10" s="507"/>
      <c r="BH10" s="508" t="s">
        <v>370</v>
      </c>
      <c r="BI10" s="506"/>
      <c r="BJ10" s="506"/>
      <c r="BK10" s="549"/>
      <c r="BL10" s="509"/>
      <c r="BM10" s="509"/>
    </row>
    <row r="11" ht="15.0" hidden="1" customHeight="1">
      <c r="A11" s="538"/>
      <c r="B11" s="488"/>
      <c r="C11" s="512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4"/>
      <c r="O11" s="488"/>
      <c r="P11" s="516">
        <v>0.0</v>
      </c>
      <c r="Q11" s="498"/>
      <c r="R11" s="498"/>
      <c r="S11" s="498"/>
      <c r="T11" s="516">
        <v>0.0</v>
      </c>
      <c r="U11" s="498"/>
      <c r="V11" s="498"/>
      <c r="W11" s="499"/>
      <c r="X11" s="516">
        <v>0.0</v>
      </c>
      <c r="Y11" s="498"/>
      <c r="Z11" s="498"/>
      <c r="AA11" s="499"/>
      <c r="AB11" s="516">
        <v>0.0</v>
      </c>
      <c r="AC11" s="498"/>
      <c r="AD11" s="498"/>
      <c r="AE11" s="499"/>
      <c r="AF11" s="516">
        <v>0.0</v>
      </c>
      <c r="AG11" s="498"/>
      <c r="AH11" s="498"/>
      <c r="AI11" s="499"/>
      <c r="AJ11" s="517"/>
      <c r="AK11" s="498"/>
      <c r="AL11" s="498"/>
      <c r="AM11" s="499"/>
      <c r="AN11" s="517"/>
      <c r="AO11" s="498"/>
      <c r="AP11" s="498"/>
      <c r="AQ11" s="498"/>
      <c r="AR11" s="517"/>
      <c r="AS11" s="498"/>
      <c r="AT11" s="498"/>
      <c r="AU11" s="499"/>
      <c r="AV11" s="516"/>
      <c r="AW11" s="498"/>
      <c r="AX11" s="498"/>
      <c r="AY11" s="499"/>
      <c r="AZ11" s="516">
        <v>0.0</v>
      </c>
      <c r="BA11" s="498"/>
      <c r="BB11" s="498"/>
      <c r="BC11" s="499"/>
      <c r="BD11" s="516">
        <v>0.0</v>
      </c>
      <c r="BE11" s="498"/>
      <c r="BF11" s="498"/>
      <c r="BG11" s="499"/>
      <c r="BH11" s="517"/>
      <c r="BI11" s="498"/>
      <c r="BJ11" s="498"/>
      <c r="BK11" s="499"/>
      <c r="BL11" s="519"/>
      <c r="BM11" s="519"/>
    </row>
    <row r="12" ht="15.0" hidden="1" customHeight="1">
      <c r="A12" s="551" t="s">
        <v>371</v>
      </c>
      <c r="B12" s="488"/>
      <c r="C12" s="522" t="s">
        <v>354</v>
      </c>
      <c r="D12" s="522" t="s">
        <v>355</v>
      </c>
      <c r="E12" s="522" t="s">
        <v>356</v>
      </c>
      <c r="F12" s="522" t="s">
        <v>357</v>
      </c>
      <c r="G12" s="522" t="s">
        <v>5</v>
      </c>
      <c r="H12" s="522" t="s">
        <v>358</v>
      </c>
      <c r="I12" s="522" t="s">
        <v>359</v>
      </c>
      <c r="J12" s="522" t="s">
        <v>360</v>
      </c>
      <c r="K12" s="522" t="s">
        <v>361</v>
      </c>
      <c r="L12" s="522" t="s">
        <v>362</v>
      </c>
      <c r="M12" s="522" t="s">
        <v>363</v>
      </c>
      <c r="N12" s="522" t="s">
        <v>364</v>
      </c>
      <c r="O12" s="488"/>
      <c r="P12" s="523" t="s">
        <v>319</v>
      </c>
      <c r="Q12" s="523" t="s">
        <v>365</v>
      </c>
      <c r="R12" s="523" t="s">
        <v>366</v>
      </c>
      <c r="S12" s="523" t="s">
        <v>367</v>
      </c>
      <c r="T12" s="523" t="s">
        <v>319</v>
      </c>
      <c r="U12" s="523" t="s">
        <v>365</v>
      </c>
      <c r="V12" s="523" t="s">
        <v>366</v>
      </c>
      <c r="W12" s="523" t="s">
        <v>367</v>
      </c>
      <c r="X12" s="525" t="s">
        <v>319</v>
      </c>
      <c r="Y12" s="525" t="s">
        <v>365</v>
      </c>
      <c r="Z12" s="525" t="s">
        <v>366</v>
      </c>
      <c r="AA12" s="525" t="s">
        <v>367</v>
      </c>
      <c r="AB12" s="525" t="s">
        <v>319</v>
      </c>
      <c r="AC12" s="525" t="s">
        <v>365</v>
      </c>
      <c r="AD12" s="525" t="s">
        <v>366</v>
      </c>
      <c r="AE12" s="525" t="s">
        <v>367</v>
      </c>
      <c r="AF12" s="525" t="s">
        <v>319</v>
      </c>
      <c r="AG12" s="525" t="s">
        <v>365</v>
      </c>
      <c r="AH12" s="525" t="s">
        <v>366</v>
      </c>
      <c r="AI12" s="525" t="s">
        <v>367</v>
      </c>
      <c r="AJ12" s="524" t="s">
        <v>319</v>
      </c>
      <c r="AK12" s="524" t="s">
        <v>365</v>
      </c>
      <c r="AL12" s="524" t="s">
        <v>366</v>
      </c>
      <c r="AM12" s="524" t="s">
        <v>367</v>
      </c>
      <c r="AN12" s="524" t="s">
        <v>319</v>
      </c>
      <c r="AO12" s="524" t="s">
        <v>365</v>
      </c>
      <c r="AP12" s="524" t="s">
        <v>366</v>
      </c>
      <c r="AQ12" s="524" t="s">
        <v>367</v>
      </c>
      <c r="AR12" s="524" t="s">
        <v>319</v>
      </c>
      <c r="AS12" s="524" t="s">
        <v>365</v>
      </c>
      <c r="AT12" s="524" t="s">
        <v>366</v>
      </c>
      <c r="AU12" s="524" t="s">
        <v>367</v>
      </c>
      <c r="AV12" s="523" t="s">
        <v>319</v>
      </c>
      <c r="AW12" s="523" t="s">
        <v>365</v>
      </c>
      <c r="AX12" s="523" t="s">
        <v>366</v>
      </c>
      <c r="AY12" s="523" t="s">
        <v>367</v>
      </c>
      <c r="AZ12" s="523" t="s">
        <v>319</v>
      </c>
      <c r="BA12" s="523" t="s">
        <v>365</v>
      </c>
      <c r="BB12" s="523" t="s">
        <v>366</v>
      </c>
      <c r="BC12" s="523" t="s">
        <v>367</v>
      </c>
      <c r="BD12" s="523" t="s">
        <v>319</v>
      </c>
      <c r="BE12" s="523" t="s">
        <v>365</v>
      </c>
      <c r="BF12" s="523" t="s">
        <v>366</v>
      </c>
      <c r="BG12" s="523" t="s">
        <v>367</v>
      </c>
      <c r="BH12" s="552" t="s">
        <v>319</v>
      </c>
      <c r="BI12" s="552" t="s">
        <v>365</v>
      </c>
      <c r="BJ12" s="552" t="s">
        <v>366</v>
      </c>
      <c r="BK12" s="552" t="s">
        <v>367</v>
      </c>
      <c r="BL12" s="533"/>
      <c r="BM12" s="533"/>
    </row>
    <row r="13" ht="15.0" hidden="1" customHeight="1">
      <c r="A13" s="510" t="s">
        <v>368</v>
      </c>
      <c r="B13" s="488"/>
      <c r="C13" s="526">
        <f>MA!B111</f>
        <v>55</v>
      </c>
      <c r="D13" s="526">
        <f>MA!C111</f>
        <v>70</v>
      </c>
      <c r="E13" s="526">
        <f>MA!D111</f>
        <v>85</v>
      </c>
      <c r="F13" s="526">
        <f>MA!E111</f>
        <v>90</v>
      </c>
      <c r="G13" s="526">
        <f>MA!F111</f>
        <v>100</v>
      </c>
      <c r="H13" s="526">
        <f>MA!G111</f>
        <v>105</v>
      </c>
      <c r="I13" s="526">
        <f>MA!H111</f>
        <v>110</v>
      </c>
      <c r="J13" s="526">
        <f>MA!I111</f>
        <v>110</v>
      </c>
      <c r="K13" s="526">
        <f>MA!J111</f>
        <v>85</v>
      </c>
      <c r="L13" s="526">
        <f>MA!K111</f>
        <v>82</v>
      </c>
      <c r="M13" s="526">
        <f>MA!L111</f>
        <v>80</v>
      </c>
      <c r="N13" s="526">
        <f>MA!M111</f>
        <v>100</v>
      </c>
      <c r="O13" s="488"/>
      <c r="P13" s="527">
        <f t="shared" ref="P13:P14" si="26">SUM(C13:N13)</f>
        <v>1072</v>
      </c>
      <c r="Q13" s="528">
        <f>P11/4</f>
        <v>0</v>
      </c>
      <c r="R13" s="528">
        <f>(P11/2) *(P13/P15)</f>
        <v>0</v>
      </c>
      <c r="S13" s="528">
        <f t="shared" ref="S13:S14" si="27">Q13+R13</f>
        <v>0</v>
      </c>
      <c r="T13" s="527">
        <f t="shared" ref="T13:T14" si="28">SUM(C13:N13)</f>
        <v>1072</v>
      </c>
      <c r="U13" s="528">
        <f>T11/4</f>
        <v>0</v>
      </c>
      <c r="V13" s="528">
        <f>(T11/2) *(T13/T15)</f>
        <v>0</v>
      </c>
      <c r="W13" s="528">
        <f t="shared" ref="W13:W14" si="29">U13+V13</f>
        <v>0</v>
      </c>
      <c r="X13" s="527">
        <f t="shared" ref="X13:X14" si="30">SUM(C13:N13)</f>
        <v>1072</v>
      </c>
      <c r="Y13" s="528">
        <f>X11/4</f>
        <v>0</v>
      </c>
      <c r="Z13" s="528">
        <f>(X11/2) *(X13/X15)</f>
        <v>0</v>
      </c>
      <c r="AA13" s="528">
        <f t="shared" ref="AA13:AA14" si="31">Y13+Z13</f>
        <v>0</v>
      </c>
      <c r="AB13" s="527">
        <f t="shared" ref="AB13:AB14" si="32">SUM(C13:N13)</f>
        <v>1072</v>
      </c>
      <c r="AC13" s="528">
        <f>AB11/4</f>
        <v>0</v>
      </c>
      <c r="AD13" s="528">
        <f>(AB11/2) *(AB13/AB15)</f>
        <v>0</v>
      </c>
      <c r="AE13" s="528">
        <f t="shared" ref="AE13:AE14" si="33">AC13+AD13</f>
        <v>0</v>
      </c>
      <c r="AF13" s="527">
        <f t="shared" ref="AF13:AF14" si="34">SUM(C13:N13)</f>
        <v>1072</v>
      </c>
      <c r="AG13" s="528">
        <f>AF11/4</f>
        <v>0</v>
      </c>
      <c r="AH13" s="528">
        <f>(AF11/2) *(AF13/AF15)</f>
        <v>0</v>
      </c>
      <c r="AI13" s="528">
        <f t="shared" ref="AI13:AI14" si="35">AG13+AH13</f>
        <v>0</v>
      </c>
      <c r="AJ13" s="529">
        <f t="shared" ref="AJ13:AJ14" si="36">SUM(C13:N13)</f>
        <v>1072</v>
      </c>
      <c r="AK13" s="530">
        <f>AJ11/4</f>
        <v>0</v>
      </c>
      <c r="AL13" s="530">
        <f>(AJ11/2) *(AJ13/AJ15)</f>
        <v>0</v>
      </c>
      <c r="AM13" s="530">
        <f t="shared" ref="AM13:AM14" si="37">AK13+AL13</f>
        <v>0</v>
      </c>
      <c r="AN13" s="529">
        <f t="shared" ref="AN13:AN14" si="38">SUM(C13:N13)</f>
        <v>1072</v>
      </c>
      <c r="AO13" s="530">
        <f>AN11/4</f>
        <v>0</v>
      </c>
      <c r="AP13" s="530">
        <f>(AN11/2) *(AN13/AN15)</f>
        <v>0</v>
      </c>
      <c r="AQ13" s="530">
        <f t="shared" ref="AQ13:AQ14" si="39">AO13+AP13</f>
        <v>0</v>
      </c>
      <c r="AR13" s="529">
        <f t="shared" ref="AR13:AR14" si="40">SUM(C13:N13)</f>
        <v>1072</v>
      </c>
      <c r="AS13" s="530">
        <f>AR11/4</f>
        <v>0</v>
      </c>
      <c r="AT13" s="530">
        <f>(AR11/2) *(AR13/AR15)</f>
        <v>0</v>
      </c>
      <c r="AU13" s="530">
        <f t="shared" ref="AU13:AU14" si="41">AS13+AT13</f>
        <v>0</v>
      </c>
      <c r="AV13" s="527">
        <f t="shared" ref="AV13:AV14" si="42">SUM(C13:N13)</f>
        <v>1072</v>
      </c>
      <c r="AW13" s="528">
        <f>AV11/4</f>
        <v>0</v>
      </c>
      <c r="AX13" s="528">
        <f>(AV11/2) *(AV13/AV15)</f>
        <v>0</v>
      </c>
      <c r="AY13" s="528">
        <f t="shared" ref="AY13:AY14" si="43">AW13+AX13</f>
        <v>0</v>
      </c>
      <c r="AZ13" s="527">
        <f t="shared" ref="AZ13:AZ14" si="44">SUM(C13:N13)</f>
        <v>1072</v>
      </c>
      <c r="BA13" s="528">
        <f>AZ11/4</f>
        <v>0</v>
      </c>
      <c r="BB13" s="528">
        <f>(AZ11/2) *(AZ13/AZ15)</f>
        <v>0</v>
      </c>
      <c r="BC13" s="528">
        <f t="shared" ref="BC13:BC14" si="45">BA13+BB13</f>
        <v>0</v>
      </c>
      <c r="BD13" s="527">
        <f t="shared" ref="BD13:BD14" si="46">SUM(C13:N13)</f>
        <v>1072</v>
      </c>
      <c r="BE13" s="528">
        <f>BD11/4</f>
        <v>0</v>
      </c>
      <c r="BF13" s="528">
        <f>(BD11/2) *(BD13/BD15)</f>
        <v>0</v>
      </c>
      <c r="BG13" s="528">
        <f t="shared" ref="BG13:BG14" si="47">BE13+BF13</f>
        <v>0</v>
      </c>
      <c r="BH13" s="553">
        <f t="shared" ref="BH13:BH14" si="48">SUM(C13:N13)</f>
        <v>1072</v>
      </c>
      <c r="BI13" s="554">
        <f>BH11/4</f>
        <v>0</v>
      </c>
      <c r="BJ13" s="554">
        <f>(BH11/2) *(BH13/BH15)</f>
        <v>0</v>
      </c>
      <c r="BK13" s="554">
        <f t="shared" ref="BK13:BK14" si="49">BI13+BJ13</f>
        <v>0</v>
      </c>
      <c r="BL13" s="555"/>
      <c r="BM13" s="555"/>
    </row>
    <row r="14" ht="15.0" hidden="1" customHeight="1">
      <c r="A14" s="510" t="s">
        <v>369</v>
      </c>
      <c r="B14" s="488"/>
      <c r="C14" s="526">
        <f>WA!B110</f>
        <v>45</v>
      </c>
      <c r="D14" s="526">
        <f>WA!C110</f>
        <v>45</v>
      </c>
      <c r="E14" s="526">
        <f>WA!D110</f>
        <v>50</v>
      </c>
      <c r="F14" s="526">
        <f>WA!E110</f>
        <v>55</v>
      </c>
      <c r="G14" s="526">
        <f>WA!F110</f>
        <v>60</v>
      </c>
      <c r="H14" s="526">
        <f>WA!G110</f>
        <v>55</v>
      </c>
      <c r="I14" s="526">
        <f>WA!H110</f>
        <v>60</v>
      </c>
      <c r="J14" s="526">
        <f>WA!I110</f>
        <v>60</v>
      </c>
      <c r="K14" s="526">
        <f>WA!J110</f>
        <v>55</v>
      </c>
      <c r="L14" s="526">
        <f>WA!K110</f>
        <v>60</v>
      </c>
      <c r="M14" s="526">
        <f>WA!L110</f>
        <v>55</v>
      </c>
      <c r="N14" s="526">
        <f>WA!M110</f>
        <v>60</v>
      </c>
      <c r="O14" s="488"/>
      <c r="P14" s="527">
        <f t="shared" si="26"/>
        <v>660</v>
      </c>
      <c r="Q14" s="528">
        <f>P11/4</f>
        <v>0</v>
      </c>
      <c r="R14" s="528">
        <f>(P11/2) *(P14/P15)</f>
        <v>0</v>
      </c>
      <c r="S14" s="528">
        <f t="shared" si="27"/>
        <v>0</v>
      </c>
      <c r="T14" s="527">
        <f t="shared" si="28"/>
        <v>660</v>
      </c>
      <c r="U14" s="528">
        <f>T11/4</f>
        <v>0</v>
      </c>
      <c r="V14" s="528">
        <f>(T11/2) *(T14/T15)</f>
        <v>0</v>
      </c>
      <c r="W14" s="528">
        <f t="shared" si="29"/>
        <v>0</v>
      </c>
      <c r="X14" s="527">
        <f t="shared" si="30"/>
        <v>660</v>
      </c>
      <c r="Y14" s="528">
        <f>X11/4</f>
        <v>0</v>
      </c>
      <c r="Z14" s="528">
        <f>(X11/2) *(X14/X15)</f>
        <v>0</v>
      </c>
      <c r="AA14" s="528">
        <f t="shared" si="31"/>
        <v>0</v>
      </c>
      <c r="AB14" s="527">
        <f t="shared" si="32"/>
        <v>660</v>
      </c>
      <c r="AC14" s="528">
        <f>AB11/4</f>
        <v>0</v>
      </c>
      <c r="AD14" s="528">
        <f>(AB11/2) *(AB14/AB15)</f>
        <v>0</v>
      </c>
      <c r="AE14" s="528">
        <f t="shared" si="33"/>
        <v>0</v>
      </c>
      <c r="AF14" s="527">
        <f t="shared" si="34"/>
        <v>660</v>
      </c>
      <c r="AG14" s="528">
        <f>AF11/4</f>
        <v>0</v>
      </c>
      <c r="AH14" s="528">
        <f>(AF11/2) *(AF14/AF15)</f>
        <v>0</v>
      </c>
      <c r="AI14" s="528">
        <f t="shared" si="35"/>
        <v>0</v>
      </c>
      <c r="AJ14" s="529">
        <f t="shared" si="36"/>
        <v>660</v>
      </c>
      <c r="AK14" s="530">
        <f>AJ11/4</f>
        <v>0</v>
      </c>
      <c r="AL14" s="530">
        <f>(AJ11/2) *(AJ14/AJ15)</f>
        <v>0</v>
      </c>
      <c r="AM14" s="530">
        <f t="shared" si="37"/>
        <v>0</v>
      </c>
      <c r="AN14" s="529">
        <f t="shared" si="38"/>
        <v>660</v>
      </c>
      <c r="AO14" s="530">
        <f>AN11/4</f>
        <v>0</v>
      </c>
      <c r="AP14" s="530">
        <f>(AN11/2) *(AN14/AN15)</f>
        <v>0</v>
      </c>
      <c r="AQ14" s="530">
        <f t="shared" si="39"/>
        <v>0</v>
      </c>
      <c r="AR14" s="529">
        <f t="shared" si="40"/>
        <v>660</v>
      </c>
      <c r="AS14" s="530">
        <f>AR11/4</f>
        <v>0</v>
      </c>
      <c r="AT14" s="530">
        <f>(AR11/2) *(AR14/AR15)</f>
        <v>0</v>
      </c>
      <c r="AU14" s="530">
        <f t="shared" si="41"/>
        <v>0</v>
      </c>
      <c r="AV14" s="527">
        <f t="shared" si="42"/>
        <v>660</v>
      </c>
      <c r="AW14" s="528">
        <f>AV11/4</f>
        <v>0</v>
      </c>
      <c r="AX14" s="528">
        <f>(AV11/2) *(AV14/AV15)</f>
        <v>0</v>
      </c>
      <c r="AY14" s="528">
        <f t="shared" si="43"/>
        <v>0</v>
      </c>
      <c r="AZ14" s="527">
        <f t="shared" si="44"/>
        <v>660</v>
      </c>
      <c r="BA14" s="528">
        <f>AZ11/4</f>
        <v>0</v>
      </c>
      <c r="BB14" s="528">
        <f>(AZ11/2) *(AZ14/AZ15)</f>
        <v>0</v>
      </c>
      <c r="BC14" s="528">
        <f t="shared" si="45"/>
        <v>0</v>
      </c>
      <c r="BD14" s="527">
        <f t="shared" si="46"/>
        <v>660</v>
      </c>
      <c r="BE14" s="528">
        <f>BD11/4</f>
        <v>0</v>
      </c>
      <c r="BF14" s="528">
        <f>(BD11/2) *(BD14/BD15)</f>
        <v>0</v>
      </c>
      <c r="BG14" s="528">
        <f t="shared" si="47"/>
        <v>0</v>
      </c>
      <c r="BH14" s="553">
        <f t="shared" si="48"/>
        <v>660</v>
      </c>
      <c r="BI14" s="554">
        <f>BH11/4</f>
        <v>0</v>
      </c>
      <c r="BJ14" s="554">
        <f>(BH11/2) *(BH14/BH15)</f>
        <v>0</v>
      </c>
      <c r="BK14" s="554">
        <f t="shared" si="49"/>
        <v>0</v>
      </c>
      <c r="BL14" s="555"/>
      <c r="BM14" s="555"/>
    </row>
    <row r="15" ht="15.0" hidden="1" customHeight="1">
      <c r="A15" s="538"/>
      <c r="B15" s="488"/>
      <c r="C15" s="488"/>
      <c r="D15" s="488"/>
      <c r="E15" s="488"/>
      <c r="F15" s="488"/>
      <c r="G15" s="488"/>
      <c r="H15" s="488"/>
      <c r="I15" s="488"/>
      <c r="J15" s="488"/>
      <c r="K15" s="488"/>
      <c r="L15" s="488"/>
      <c r="M15" s="488"/>
      <c r="N15" s="488"/>
      <c r="O15" s="488"/>
      <c r="P15" s="523">
        <f t="shared" ref="P15:BK15" si="50">SUM(P13:P14)</f>
        <v>1732</v>
      </c>
      <c r="Q15" s="534">
        <f t="shared" si="50"/>
        <v>0</v>
      </c>
      <c r="R15" s="534">
        <f t="shared" si="50"/>
        <v>0</v>
      </c>
      <c r="S15" s="534">
        <f t="shared" si="50"/>
        <v>0</v>
      </c>
      <c r="T15" s="523">
        <f t="shared" si="50"/>
        <v>1732</v>
      </c>
      <c r="U15" s="534">
        <f t="shared" si="50"/>
        <v>0</v>
      </c>
      <c r="V15" s="534">
        <f t="shared" si="50"/>
        <v>0</v>
      </c>
      <c r="W15" s="534">
        <f t="shared" si="50"/>
        <v>0</v>
      </c>
      <c r="X15" s="523">
        <f t="shared" si="50"/>
        <v>1732</v>
      </c>
      <c r="Y15" s="534">
        <f t="shared" si="50"/>
        <v>0</v>
      </c>
      <c r="Z15" s="534">
        <f t="shared" si="50"/>
        <v>0</v>
      </c>
      <c r="AA15" s="534">
        <f t="shared" si="50"/>
        <v>0</v>
      </c>
      <c r="AB15" s="523">
        <f t="shared" si="50"/>
        <v>1732</v>
      </c>
      <c r="AC15" s="534">
        <f t="shared" si="50"/>
        <v>0</v>
      </c>
      <c r="AD15" s="534">
        <f t="shared" si="50"/>
        <v>0</v>
      </c>
      <c r="AE15" s="534">
        <f t="shared" si="50"/>
        <v>0</v>
      </c>
      <c r="AF15" s="523">
        <f t="shared" si="50"/>
        <v>1732</v>
      </c>
      <c r="AG15" s="534">
        <f t="shared" si="50"/>
        <v>0</v>
      </c>
      <c r="AH15" s="534">
        <f t="shared" si="50"/>
        <v>0</v>
      </c>
      <c r="AI15" s="534">
        <f t="shared" si="50"/>
        <v>0</v>
      </c>
      <c r="AJ15" s="535">
        <f t="shared" si="50"/>
        <v>1732</v>
      </c>
      <c r="AK15" s="536">
        <f t="shared" si="50"/>
        <v>0</v>
      </c>
      <c r="AL15" s="536">
        <f t="shared" si="50"/>
        <v>0</v>
      </c>
      <c r="AM15" s="536">
        <f t="shared" si="50"/>
        <v>0</v>
      </c>
      <c r="AN15" s="535">
        <f t="shared" si="50"/>
        <v>1732</v>
      </c>
      <c r="AO15" s="536">
        <f t="shared" si="50"/>
        <v>0</v>
      </c>
      <c r="AP15" s="536">
        <f t="shared" si="50"/>
        <v>0</v>
      </c>
      <c r="AQ15" s="536">
        <f t="shared" si="50"/>
        <v>0</v>
      </c>
      <c r="AR15" s="535">
        <f t="shared" si="50"/>
        <v>1732</v>
      </c>
      <c r="AS15" s="536">
        <f t="shared" si="50"/>
        <v>0</v>
      </c>
      <c r="AT15" s="536">
        <f t="shared" si="50"/>
        <v>0</v>
      </c>
      <c r="AU15" s="536">
        <f t="shared" si="50"/>
        <v>0</v>
      </c>
      <c r="AV15" s="523">
        <f t="shared" si="50"/>
        <v>1732</v>
      </c>
      <c r="AW15" s="534">
        <f t="shared" si="50"/>
        <v>0</v>
      </c>
      <c r="AX15" s="534">
        <f t="shared" si="50"/>
        <v>0</v>
      </c>
      <c r="AY15" s="534">
        <f t="shared" si="50"/>
        <v>0</v>
      </c>
      <c r="AZ15" s="523">
        <f t="shared" si="50"/>
        <v>1732</v>
      </c>
      <c r="BA15" s="534">
        <f t="shared" si="50"/>
        <v>0</v>
      </c>
      <c r="BB15" s="534">
        <f t="shared" si="50"/>
        <v>0</v>
      </c>
      <c r="BC15" s="534">
        <f t="shared" si="50"/>
        <v>0</v>
      </c>
      <c r="BD15" s="523">
        <f t="shared" si="50"/>
        <v>1732</v>
      </c>
      <c r="BE15" s="534">
        <f t="shared" si="50"/>
        <v>0</v>
      </c>
      <c r="BF15" s="534">
        <f t="shared" si="50"/>
        <v>0</v>
      </c>
      <c r="BG15" s="534">
        <f t="shared" si="50"/>
        <v>0</v>
      </c>
      <c r="BH15" s="552">
        <f t="shared" si="50"/>
        <v>1732</v>
      </c>
      <c r="BI15" s="556">
        <f t="shared" si="50"/>
        <v>0</v>
      </c>
      <c r="BJ15" s="556">
        <f t="shared" si="50"/>
        <v>0</v>
      </c>
      <c r="BK15" s="556">
        <f t="shared" si="50"/>
        <v>0</v>
      </c>
      <c r="BL15" s="557"/>
      <c r="BM15" s="557"/>
    </row>
    <row r="16" ht="15.0" hidden="1" customHeight="1">
      <c r="A16" s="538"/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s="488"/>
      <c r="P16" s="515"/>
      <c r="Q16" s="515"/>
      <c r="R16" s="515"/>
      <c r="S16" s="515"/>
      <c r="T16" s="540"/>
      <c r="U16" s="540"/>
      <c r="V16" s="540"/>
      <c r="W16" s="540"/>
      <c r="X16" s="540"/>
      <c r="Y16" s="558"/>
      <c r="Z16" s="558"/>
      <c r="AA16" s="558"/>
      <c r="AB16" s="542"/>
      <c r="AC16" s="543"/>
      <c r="AD16" s="543"/>
      <c r="AE16" s="543"/>
      <c r="AF16" s="542"/>
      <c r="AG16" s="543"/>
      <c r="AH16" s="543"/>
      <c r="AI16" s="543"/>
      <c r="AJ16" s="541"/>
      <c r="AN16" s="541"/>
      <c r="AR16" s="541"/>
      <c r="AV16" s="544"/>
      <c r="AW16" s="544"/>
      <c r="AX16" s="544"/>
      <c r="AY16" s="545"/>
      <c r="AZ16" s="544"/>
      <c r="BA16" s="544"/>
      <c r="BB16" s="544"/>
      <c r="BC16" s="544"/>
      <c r="BD16" s="544"/>
      <c r="BE16" s="544"/>
      <c r="BF16" s="544"/>
      <c r="BG16" s="544"/>
      <c r="BH16" s="544"/>
      <c r="BI16" s="544"/>
      <c r="BJ16" s="544"/>
      <c r="BK16" s="544"/>
      <c r="BL16" s="544"/>
      <c r="BM16" s="544"/>
    </row>
    <row r="17" ht="15.0" hidden="1" customHeight="1">
      <c r="A17" s="487"/>
      <c r="B17" s="488"/>
      <c r="C17" s="489" t="s">
        <v>372</v>
      </c>
      <c r="D17" s="490"/>
      <c r="E17" s="490"/>
      <c r="F17" s="490"/>
      <c r="G17" s="490"/>
      <c r="H17" s="490"/>
      <c r="I17" s="490"/>
      <c r="J17" s="490"/>
      <c r="K17" s="490"/>
      <c r="L17" s="490"/>
      <c r="M17" s="490"/>
      <c r="N17" s="491"/>
      <c r="O17" s="492"/>
      <c r="P17" s="493" t="s">
        <v>340</v>
      </c>
      <c r="Q17" s="494"/>
      <c r="R17" s="494"/>
      <c r="S17" s="495"/>
      <c r="T17" s="493" t="s">
        <v>341</v>
      </c>
      <c r="U17" s="494"/>
      <c r="V17" s="494"/>
      <c r="W17" s="495"/>
      <c r="X17" s="496" t="s">
        <v>342</v>
      </c>
      <c r="Y17" s="494"/>
      <c r="Z17" s="494"/>
      <c r="AA17" s="495"/>
      <c r="AB17" s="493" t="s">
        <v>343</v>
      </c>
      <c r="AC17" s="494"/>
      <c r="AD17" s="494"/>
      <c r="AE17" s="495"/>
      <c r="AF17" s="496" t="s">
        <v>344</v>
      </c>
      <c r="AG17" s="494"/>
      <c r="AH17" s="494"/>
      <c r="AI17" s="495"/>
      <c r="AJ17" s="493" t="s">
        <v>345</v>
      </c>
      <c r="AK17" s="494"/>
      <c r="AL17" s="494"/>
      <c r="AM17" s="495"/>
      <c r="AN17" s="493" t="s">
        <v>346</v>
      </c>
      <c r="AO17" s="494"/>
      <c r="AP17" s="494"/>
      <c r="AQ17" s="495"/>
      <c r="AR17" s="493" t="s">
        <v>347</v>
      </c>
      <c r="AS17" s="494"/>
      <c r="AT17" s="494"/>
      <c r="AU17" s="495"/>
      <c r="AV17" s="493" t="s">
        <v>348</v>
      </c>
      <c r="AW17" s="494"/>
      <c r="AX17" s="494"/>
      <c r="AY17" s="495"/>
      <c r="AZ17" s="493" t="s">
        <v>349</v>
      </c>
      <c r="BA17" s="494"/>
      <c r="BB17" s="494"/>
      <c r="BC17" s="495"/>
      <c r="BD17" s="493" t="s">
        <v>350</v>
      </c>
      <c r="BE17" s="494"/>
      <c r="BF17" s="494"/>
      <c r="BG17" s="495"/>
      <c r="BH17" s="496" t="s">
        <v>351</v>
      </c>
      <c r="BI17" s="494"/>
      <c r="BJ17" s="494"/>
      <c r="BK17" s="495"/>
      <c r="BL17" s="500"/>
      <c r="BM17" s="500"/>
    </row>
    <row r="18" ht="15.0" hidden="1" customHeight="1">
      <c r="A18" s="501"/>
      <c r="B18" s="488"/>
      <c r="C18" s="502"/>
      <c r="N18" s="503"/>
      <c r="O18" s="559"/>
      <c r="P18" s="505" t="s">
        <v>373</v>
      </c>
      <c r="Q18" s="506"/>
      <c r="R18" s="506"/>
      <c r="S18" s="507"/>
      <c r="T18" s="505" t="s">
        <v>373</v>
      </c>
      <c r="U18" s="506"/>
      <c r="V18" s="506"/>
      <c r="W18" s="507"/>
      <c r="X18" s="547" t="s">
        <v>373</v>
      </c>
      <c r="Y18" s="506"/>
      <c r="Z18" s="506"/>
      <c r="AA18" s="507"/>
      <c r="AB18" s="505" t="s">
        <v>373</v>
      </c>
      <c r="AC18" s="506"/>
      <c r="AD18" s="506"/>
      <c r="AE18" s="507"/>
      <c r="AF18" s="547" t="s">
        <v>373</v>
      </c>
      <c r="AG18" s="506"/>
      <c r="AH18" s="506"/>
      <c r="AI18" s="507"/>
      <c r="AJ18" s="505" t="s">
        <v>373</v>
      </c>
      <c r="AK18" s="506"/>
      <c r="AL18" s="506"/>
      <c r="AM18" s="507"/>
      <c r="AN18" s="505" t="s">
        <v>373</v>
      </c>
      <c r="AO18" s="506"/>
      <c r="AP18" s="506"/>
      <c r="AQ18" s="549"/>
      <c r="AR18" s="560" t="s">
        <v>373</v>
      </c>
      <c r="AS18" s="506"/>
      <c r="AT18" s="506"/>
      <c r="AU18" s="507"/>
      <c r="AV18" s="561" t="s">
        <v>373</v>
      </c>
      <c r="AW18" s="506"/>
      <c r="AX18" s="506"/>
      <c r="AY18" s="507"/>
      <c r="AZ18" s="505" t="s">
        <v>373</v>
      </c>
      <c r="BA18" s="506"/>
      <c r="BB18" s="506"/>
      <c r="BC18" s="507"/>
      <c r="BD18" s="505" t="s">
        <v>373</v>
      </c>
      <c r="BE18" s="506"/>
      <c r="BF18" s="506"/>
      <c r="BG18" s="507"/>
      <c r="BH18" s="547" t="s">
        <v>373</v>
      </c>
      <c r="BI18" s="506"/>
      <c r="BJ18" s="506"/>
      <c r="BK18" s="507"/>
      <c r="BL18" s="562"/>
      <c r="BM18" s="562"/>
    </row>
    <row r="19" ht="15.0" hidden="1" customHeight="1">
      <c r="A19" s="510"/>
      <c r="B19" s="511"/>
      <c r="C19" s="512"/>
      <c r="D19" s="513"/>
      <c r="E19" s="513"/>
      <c r="F19" s="513"/>
      <c r="G19" s="513"/>
      <c r="H19" s="513"/>
      <c r="I19" s="513"/>
      <c r="J19" s="513"/>
      <c r="K19" s="513"/>
      <c r="L19" s="513"/>
      <c r="M19" s="513"/>
      <c r="N19" s="514"/>
      <c r="O19" s="533"/>
      <c r="P19" s="516">
        <v>0.0</v>
      </c>
      <c r="Q19" s="498"/>
      <c r="R19" s="498"/>
      <c r="S19" s="498"/>
      <c r="T19" s="516">
        <v>0.0</v>
      </c>
      <c r="U19" s="498"/>
      <c r="V19" s="498"/>
      <c r="W19" s="498"/>
      <c r="X19" s="517">
        <v>0.0</v>
      </c>
      <c r="Y19" s="498"/>
      <c r="Z19" s="498"/>
      <c r="AA19" s="498"/>
      <c r="AB19" s="516"/>
      <c r="AC19" s="498"/>
      <c r="AD19" s="498"/>
      <c r="AE19" s="498"/>
      <c r="AF19" s="517"/>
      <c r="AG19" s="498"/>
      <c r="AH19" s="498"/>
      <c r="AI19" s="498"/>
      <c r="AJ19" s="516"/>
      <c r="AK19" s="498"/>
      <c r="AL19" s="498"/>
      <c r="AM19" s="498"/>
      <c r="AN19" s="516"/>
      <c r="AO19" s="498"/>
      <c r="AP19" s="498"/>
      <c r="AQ19" s="498"/>
      <c r="AR19" s="518"/>
      <c r="AS19" s="498"/>
      <c r="AT19" s="498"/>
      <c r="AU19" s="499"/>
      <c r="AV19" s="516">
        <v>0.0</v>
      </c>
      <c r="AW19" s="498"/>
      <c r="AX19" s="498"/>
      <c r="AY19" s="499"/>
      <c r="AZ19" s="516"/>
      <c r="BA19" s="498"/>
      <c r="BB19" s="498"/>
      <c r="BC19" s="498"/>
      <c r="BD19" s="516">
        <v>0.0</v>
      </c>
      <c r="BE19" s="498"/>
      <c r="BF19" s="498"/>
      <c r="BG19" s="498"/>
      <c r="BH19" s="517"/>
      <c r="BI19" s="498"/>
      <c r="BJ19" s="498"/>
      <c r="BK19" s="498"/>
      <c r="BL19" s="519"/>
      <c r="BM19" s="519"/>
    </row>
    <row r="20" ht="15.0" hidden="1" customHeight="1">
      <c r="A20" s="520" t="s">
        <v>374</v>
      </c>
      <c r="B20" s="521"/>
      <c r="C20" s="552" t="s">
        <v>354</v>
      </c>
      <c r="D20" s="552" t="s">
        <v>355</v>
      </c>
      <c r="E20" s="552" t="s">
        <v>356</v>
      </c>
      <c r="F20" s="552" t="s">
        <v>357</v>
      </c>
      <c r="G20" s="552" t="s">
        <v>5</v>
      </c>
      <c r="H20" s="552" t="s">
        <v>358</v>
      </c>
      <c r="I20" s="552" t="s">
        <v>359</v>
      </c>
      <c r="J20" s="552" t="s">
        <v>360</v>
      </c>
      <c r="K20" s="552" t="s">
        <v>361</v>
      </c>
      <c r="L20" s="552" t="s">
        <v>362</v>
      </c>
      <c r="M20" s="552" t="s">
        <v>363</v>
      </c>
      <c r="N20" s="552" t="s">
        <v>364</v>
      </c>
      <c r="O20" s="515"/>
      <c r="P20" s="523" t="s">
        <v>319</v>
      </c>
      <c r="Q20" s="523" t="s">
        <v>365</v>
      </c>
      <c r="R20" s="523" t="s">
        <v>366</v>
      </c>
      <c r="S20" s="523" t="s">
        <v>367</v>
      </c>
      <c r="T20" s="523" t="s">
        <v>319</v>
      </c>
      <c r="U20" s="523" t="s">
        <v>365</v>
      </c>
      <c r="V20" s="523" t="s">
        <v>366</v>
      </c>
      <c r="W20" s="523" t="s">
        <v>367</v>
      </c>
      <c r="X20" s="535" t="s">
        <v>319</v>
      </c>
      <c r="Y20" s="535" t="s">
        <v>365</v>
      </c>
      <c r="Z20" s="535" t="s">
        <v>366</v>
      </c>
      <c r="AA20" s="535" t="s">
        <v>367</v>
      </c>
      <c r="AB20" s="523" t="s">
        <v>319</v>
      </c>
      <c r="AC20" s="523" t="s">
        <v>365</v>
      </c>
      <c r="AD20" s="523" t="s">
        <v>366</v>
      </c>
      <c r="AE20" s="523" t="s">
        <v>367</v>
      </c>
      <c r="AF20" s="535" t="s">
        <v>319</v>
      </c>
      <c r="AG20" s="535" t="s">
        <v>365</v>
      </c>
      <c r="AH20" s="535" t="s">
        <v>366</v>
      </c>
      <c r="AI20" s="535" t="s">
        <v>367</v>
      </c>
      <c r="AJ20" s="523" t="s">
        <v>319</v>
      </c>
      <c r="AK20" s="523" t="s">
        <v>365</v>
      </c>
      <c r="AL20" s="523" t="s">
        <v>366</v>
      </c>
      <c r="AM20" s="523" t="s">
        <v>367</v>
      </c>
      <c r="AN20" s="523" t="s">
        <v>319</v>
      </c>
      <c r="AO20" s="523" t="s">
        <v>365</v>
      </c>
      <c r="AP20" s="523" t="s">
        <v>366</v>
      </c>
      <c r="AQ20" s="523" t="s">
        <v>367</v>
      </c>
      <c r="AR20" s="523" t="s">
        <v>319</v>
      </c>
      <c r="AS20" s="523" t="s">
        <v>365</v>
      </c>
      <c r="AT20" s="523" t="s">
        <v>366</v>
      </c>
      <c r="AU20" s="523" t="s">
        <v>367</v>
      </c>
      <c r="AV20" s="523" t="s">
        <v>319</v>
      </c>
      <c r="AW20" s="523" t="s">
        <v>365</v>
      </c>
      <c r="AX20" s="523" t="s">
        <v>366</v>
      </c>
      <c r="AY20" s="523" t="s">
        <v>367</v>
      </c>
      <c r="AZ20" s="523" t="s">
        <v>319</v>
      </c>
      <c r="BA20" s="523" t="s">
        <v>365</v>
      </c>
      <c r="BB20" s="523" t="s">
        <v>366</v>
      </c>
      <c r="BC20" s="523" t="s">
        <v>367</v>
      </c>
      <c r="BD20" s="523" t="s">
        <v>319</v>
      </c>
      <c r="BE20" s="523" t="s">
        <v>365</v>
      </c>
      <c r="BF20" s="523" t="s">
        <v>366</v>
      </c>
      <c r="BG20" s="523" t="s">
        <v>367</v>
      </c>
      <c r="BH20" s="535" t="s">
        <v>319</v>
      </c>
      <c r="BI20" s="535" t="s">
        <v>365</v>
      </c>
      <c r="BJ20" s="535" t="s">
        <v>366</v>
      </c>
      <c r="BK20" s="535" t="s">
        <v>367</v>
      </c>
      <c r="BL20" s="500"/>
      <c r="BM20" s="500"/>
    </row>
    <row r="21" ht="15.0" hidden="1" customHeight="1">
      <c r="A21" s="510" t="s">
        <v>375</v>
      </c>
      <c r="B21" s="511"/>
      <c r="C21" s="526">
        <f>RLX!B110</f>
        <v>0</v>
      </c>
      <c r="D21" s="526">
        <f>RLX!C110</f>
        <v>0</v>
      </c>
      <c r="E21" s="526">
        <f>RLX!D110</f>
        <v>0</v>
      </c>
      <c r="F21" s="526">
        <f>RLX!E110</f>
        <v>0</v>
      </c>
      <c r="G21" s="526">
        <f>RLX!F110</f>
        <v>0</v>
      </c>
      <c r="H21" s="526">
        <f>RLX!G110</f>
        <v>0</v>
      </c>
      <c r="I21" s="526">
        <f>RLX!H110</f>
        <v>0</v>
      </c>
      <c r="J21" s="526">
        <f>RLX!I110</f>
        <v>0</v>
      </c>
      <c r="K21" s="526">
        <f>RLX!J110</f>
        <v>0</v>
      </c>
      <c r="L21" s="526">
        <f>RLX!K110</f>
        <v>0</v>
      </c>
      <c r="M21" s="526">
        <f>RLX!L110</f>
        <v>0</v>
      </c>
      <c r="N21" s="526">
        <f>RLX!M110</f>
        <v>0</v>
      </c>
      <c r="O21" s="533"/>
      <c r="P21" s="527">
        <f t="shared" ref="P21:P24" si="51">SUM(C21:N21)</f>
        <v>0</v>
      </c>
      <c r="Q21" s="528">
        <f>P19/8</f>
        <v>0</v>
      </c>
      <c r="R21" s="528">
        <f>(P19/2) * (P21/P25)</f>
        <v>0</v>
      </c>
      <c r="S21" s="528">
        <f t="shared" ref="S21:S24" si="52">Q21+R21</f>
        <v>0</v>
      </c>
      <c r="T21" s="527">
        <f t="shared" ref="T21:T24" si="53">SUM(C21:N21)</f>
        <v>0</v>
      </c>
      <c r="U21" s="528">
        <f>T19/8</f>
        <v>0</v>
      </c>
      <c r="V21" s="528">
        <f>(T19/2) * (T21/T25)</f>
        <v>0</v>
      </c>
      <c r="W21" s="528">
        <f t="shared" ref="W21:W24" si="54">U21+V21</f>
        <v>0</v>
      </c>
      <c r="X21" s="529">
        <f t="shared" ref="X21:X24" si="55">SUM(C21:N21)</f>
        <v>0</v>
      </c>
      <c r="Y21" s="530">
        <f>X19/8</f>
        <v>0</v>
      </c>
      <c r="Z21" s="530">
        <f>(X19/2) * (X21/X25)</f>
        <v>0</v>
      </c>
      <c r="AA21" s="530">
        <f t="shared" ref="AA21:AA24" si="56">Y21+Z21</f>
        <v>0</v>
      </c>
      <c r="AB21" s="527">
        <f t="shared" ref="AB21:AB24" si="57">SUM(C21:N21)</f>
        <v>0</v>
      </c>
      <c r="AC21" s="528">
        <f>AB19/8</f>
        <v>0</v>
      </c>
      <c r="AD21" s="528">
        <f>(AB19/2) * (AB21/AB25)</f>
        <v>0</v>
      </c>
      <c r="AE21" s="528">
        <f t="shared" ref="AE21:AE24" si="58">AC21+AD21</f>
        <v>0</v>
      </c>
      <c r="AF21" s="529">
        <f t="shared" ref="AF21:AF24" si="59">SUM(C21:N21)</f>
        <v>0</v>
      </c>
      <c r="AG21" s="530">
        <f>AF19/8</f>
        <v>0</v>
      </c>
      <c r="AH21" s="530">
        <f>(AF19/2) * (AF21/AF25)</f>
        <v>0</v>
      </c>
      <c r="AI21" s="530">
        <f t="shared" ref="AI21:AI24" si="60">AG21+AH21</f>
        <v>0</v>
      </c>
      <c r="AJ21" s="527">
        <f t="shared" ref="AJ21:AJ24" si="61">SUM(C21:N21)</f>
        <v>0</v>
      </c>
      <c r="AK21" s="528">
        <f>AJ19/8</f>
        <v>0</v>
      </c>
      <c r="AL21" s="528">
        <f>(AJ19/2) * (AJ21/AJ25)</f>
        <v>0</v>
      </c>
      <c r="AM21" s="528">
        <f t="shared" ref="AM21:AM24" si="62">AK21+AL21</f>
        <v>0</v>
      </c>
      <c r="AN21" s="527">
        <f t="shared" ref="AN21:AN24" si="63">SUM(C21:N21)</f>
        <v>0</v>
      </c>
      <c r="AO21" s="528">
        <f>AN19/8</f>
        <v>0</v>
      </c>
      <c r="AP21" s="528">
        <f>(AN19/2) * (AN21/AN25)</f>
        <v>0</v>
      </c>
      <c r="AQ21" s="528">
        <f t="shared" ref="AQ21:AQ24" si="64">AO21+AP21</f>
        <v>0</v>
      </c>
      <c r="AR21" s="527">
        <f t="shared" ref="AR21:AR24" si="65">SUM(C21:N21)</f>
        <v>0</v>
      </c>
      <c r="AS21" s="528">
        <f>AR19/8</f>
        <v>0</v>
      </c>
      <c r="AT21" s="528">
        <f>(AR19/2) * (AR21/AR25)</f>
        <v>0</v>
      </c>
      <c r="AU21" s="528">
        <f t="shared" ref="AU21:AU24" si="66">AS21+AT21</f>
        <v>0</v>
      </c>
      <c r="AV21" s="527">
        <f t="shared" ref="AV21:AV24" si="67">SUM(C21:N21)</f>
        <v>0</v>
      </c>
      <c r="AW21" s="528">
        <f>AV19/8</f>
        <v>0</v>
      </c>
      <c r="AX21" s="528">
        <f>(AV19/2) * (AV21/AV25)</f>
        <v>0</v>
      </c>
      <c r="AY21" s="528">
        <f t="shared" ref="AY21:AY24" si="68">AW21+AX21</f>
        <v>0</v>
      </c>
      <c r="AZ21" s="527">
        <f t="shared" ref="AZ21:AZ24" si="69">SUM(C21:N21)</f>
        <v>0</v>
      </c>
      <c r="BA21" s="528">
        <f>AZ19/8</f>
        <v>0</v>
      </c>
      <c r="BB21" s="528">
        <f>(AZ19/2) * (AZ21/AZ25)</f>
        <v>0</v>
      </c>
      <c r="BC21" s="528">
        <f t="shared" ref="BC21:BC24" si="70">BA21+BB21</f>
        <v>0</v>
      </c>
      <c r="BD21" s="527">
        <f t="shared" ref="BD21:BD24" si="71">SUM(C21:N21)</f>
        <v>0</v>
      </c>
      <c r="BE21" s="528">
        <f>BD19/8</f>
        <v>0</v>
      </c>
      <c r="BF21" s="528">
        <f>(BD19/2) * (BD21/BD25)</f>
        <v>0</v>
      </c>
      <c r="BG21" s="528">
        <f t="shared" ref="BG21:BG24" si="72">BE21+BF21</f>
        <v>0</v>
      </c>
      <c r="BH21" s="529">
        <f t="shared" ref="BH21:BH24" si="73">SUM(C21:N21)</f>
        <v>0</v>
      </c>
      <c r="BI21" s="530">
        <f>BH19/8</f>
        <v>0</v>
      </c>
      <c r="BJ21" s="530">
        <f>(BH19/2) * (BH21/BH25)</f>
        <v>0</v>
      </c>
      <c r="BK21" s="530">
        <f t="shared" ref="BK21:BK24" si="74">BI21+BJ21</f>
        <v>0</v>
      </c>
      <c r="BL21" s="531"/>
      <c r="BM21" s="531"/>
    </row>
    <row r="22" ht="15.0" hidden="1" customHeight="1">
      <c r="A22" s="510" t="s">
        <v>376</v>
      </c>
      <c r="B22" s="511"/>
      <c r="C22" s="526">
        <f>GA!B110</f>
        <v>124</v>
      </c>
      <c r="D22" s="526">
        <f>GA!C110</f>
        <v>176</v>
      </c>
      <c r="E22" s="526">
        <f>GA!D110</f>
        <v>167</v>
      </c>
      <c r="F22" s="526">
        <f>GA!E110</f>
        <v>167</v>
      </c>
      <c r="G22" s="526">
        <f>GA!F110</f>
        <v>170</v>
      </c>
      <c r="H22" s="526">
        <f>GA!G110</f>
        <v>163</v>
      </c>
      <c r="I22" s="526">
        <f>GA!H110</f>
        <v>165</v>
      </c>
      <c r="J22" s="526">
        <f>GA!I110</f>
        <v>164</v>
      </c>
      <c r="K22" s="526">
        <f>GA!J110</f>
        <v>155</v>
      </c>
      <c r="L22" s="526">
        <f>GA!K110</f>
        <v>151</v>
      </c>
      <c r="M22" s="526">
        <f>GA!L110</f>
        <v>161</v>
      </c>
      <c r="N22" s="526">
        <f>GA!M110</f>
        <v>196</v>
      </c>
      <c r="O22" s="533"/>
      <c r="P22" s="527">
        <f t="shared" si="51"/>
        <v>1959</v>
      </c>
      <c r="Q22" s="528">
        <f>P19/8</f>
        <v>0</v>
      </c>
      <c r="R22" s="528">
        <f>(P19/2) * (P22/P25)</f>
        <v>0</v>
      </c>
      <c r="S22" s="528">
        <f t="shared" si="52"/>
        <v>0</v>
      </c>
      <c r="T22" s="527">
        <f t="shared" si="53"/>
        <v>1959</v>
      </c>
      <c r="U22" s="528">
        <f>T19/8</f>
        <v>0</v>
      </c>
      <c r="V22" s="528">
        <f>(T19/2) * (T22/T25)</f>
        <v>0</v>
      </c>
      <c r="W22" s="528">
        <f t="shared" si="54"/>
        <v>0</v>
      </c>
      <c r="X22" s="529">
        <f t="shared" si="55"/>
        <v>1959</v>
      </c>
      <c r="Y22" s="530">
        <f>X19/8</f>
        <v>0</v>
      </c>
      <c r="Z22" s="530">
        <f>(X19/2) * (X22/X25)</f>
        <v>0</v>
      </c>
      <c r="AA22" s="530">
        <f t="shared" si="56"/>
        <v>0</v>
      </c>
      <c r="AB22" s="527">
        <f t="shared" si="57"/>
        <v>1959</v>
      </c>
      <c r="AC22" s="528">
        <f>AB19/8</f>
        <v>0</v>
      </c>
      <c r="AD22" s="528">
        <f>(AB19/2) * (AB22/AB25)</f>
        <v>0</v>
      </c>
      <c r="AE22" s="528">
        <f t="shared" si="58"/>
        <v>0</v>
      </c>
      <c r="AF22" s="529">
        <f t="shared" si="59"/>
        <v>1959</v>
      </c>
      <c r="AG22" s="530">
        <f>AF19/8</f>
        <v>0</v>
      </c>
      <c r="AH22" s="530">
        <f>(AF19/2) * (AF22/AF25)</f>
        <v>0</v>
      </c>
      <c r="AI22" s="530">
        <f t="shared" si="60"/>
        <v>0</v>
      </c>
      <c r="AJ22" s="527">
        <f t="shared" si="61"/>
        <v>1959</v>
      </c>
      <c r="AK22" s="528">
        <f>AJ19/8</f>
        <v>0</v>
      </c>
      <c r="AL22" s="528">
        <f>(AJ19/2) * (AJ22/AJ25)</f>
        <v>0</v>
      </c>
      <c r="AM22" s="528">
        <f t="shared" si="62"/>
        <v>0</v>
      </c>
      <c r="AN22" s="527">
        <f t="shared" si="63"/>
        <v>1959</v>
      </c>
      <c r="AO22" s="528">
        <f>AN19/8</f>
        <v>0</v>
      </c>
      <c r="AP22" s="528">
        <f>(AN19/2) * (AN22/AN25)</f>
        <v>0</v>
      </c>
      <c r="AQ22" s="528">
        <f t="shared" si="64"/>
        <v>0</v>
      </c>
      <c r="AR22" s="527">
        <f t="shared" si="65"/>
        <v>1959</v>
      </c>
      <c r="AS22" s="528">
        <f>AR19/8</f>
        <v>0</v>
      </c>
      <c r="AT22" s="528">
        <f>(AR19/2) * (AR22/AR25)</f>
        <v>0</v>
      </c>
      <c r="AU22" s="528">
        <f t="shared" si="66"/>
        <v>0</v>
      </c>
      <c r="AV22" s="527">
        <f t="shared" si="67"/>
        <v>1959</v>
      </c>
      <c r="AW22" s="528">
        <f>AV19/8</f>
        <v>0</v>
      </c>
      <c r="AX22" s="528">
        <f>(AV19/2) * (AV22/AV25)</f>
        <v>0</v>
      </c>
      <c r="AY22" s="528">
        <f t="shared" si="68"/>
        <v>0</v>
      </c>
      <c r="AZ22" s="527">
        <f t="shared" si="69"/>
        <v>1959</v>
      </c>
      <c r="BA22" s="528">
        <f>AZ19/8</f>
        <v>0</v>
      </c>
      <c r="BB22" s="528">
        <f>(AZ19/2) * (AZ22/AZ25)</f>
        <v>0</v>
      </c>
      <c r="BC22" s="528">
        <f t="shared" si="70"/>
        <v>0</v>
      </c>
      <c r="BD22" s="527">
        <f t="shared" si="71"/>
        <v>1959</v>
      </c>
      <c r="BE22" s="528">
        <f>BD19/8</f>
        <v>0</v>
      </c>
      <c r="BF22" s="528">
        <f>(BD19/2) * (BD22/BD25)</f>
        <v>0</v>
      </c>
      <c r="BG22" s="528">
        <f t="shared" si="72"/>
        <v>0</v>
      </c>
      <c r="BH22" s="529">
        <f t="shared" si="73"/>
        <v>1959</v>
      </c>
      <c r="BI22" s="530">
        <f>BH19/8</f>
        <v>0</v>
      </c>
      <c r="BJ22" s="530">
        <f>(BH19/2) * (BH22/BH25)</f>
        <v>0</v>
      </c>
      <c r="BK22" s="530">
        <f t="shared" si="74"/>
        <v>0</v>
      </c>
      <c r="BL22" s="531"/>
      <c r="BM22" s="531"/>
    </row>
    <row r="23" ht="15.0" hidden="1" customHeight="1">
      <c r="A23" s="510" t="s">
        <v>377</v>
      </c>
      <c r="B23" s="511"/>
      <c r="C23" s="526">
        <f>SP!B110</f>
        <v>76</v>
      </c>
      <c r="D23" s="526">
        <f>SP!C110</f>
        <v>80</v>
      </c>
      <c r="E23" s="526">
        <f>SP!D110</f>
        <v>90</v>
      </c>
      <c r="F23" s="526">
        <f>SP!E110</f>
        <v>105</v>
      </c>
      <c r="G23" s="526">
        <f>SP!F110</f>
        <v>105</v>
      </c>
      <c r="H23" s="526">
        <f>SP!G110</f>
        <v>105</v>
      </c>
      <c r="I23" s="526">
        <f>SP!H110</f>
        <v>110</v>
      </c>
      <c r="J23" s="526">
        <f>SP!I110</f>
        <v>115</v>
      </c>
      <c r="K23" s="526">
        <f>SP!J110</f>
        <v>100</v>
      </c>
      <c r="L23" s="526">
        <f>SP!K110</f>
        <v>100</v>
      </c>
      <c r="M23" s="526">
        <f>SP!L110</f>
        <v>105</v>
      </c>
      <c r="N23" s="526">
        <f>SP!M110</f>
        <v>125</v>
      </c>
      <c r="O23" s="533"/>
      <c r="P23" s="527">
        <f t="shared" si="51"/>
        <v>1216</v>
      </c>
      <c r="Q23" s="528">
        <f>P19/8</f>
        <v>0</v>
      </c>
      <c r="R23" s="528">
        <f>(P19/2) * (P23/P25)</f>
        <v>0</v>
      </c>
      <c r="S23" s="528">
        <f t="shared" si="52"/>
        <v>0</v>
      </c>
      <c r="T23" s="527">
        <f t="shared" si="53"/>
        <v>1216</v>
      </c>
      <c r="U23" s="528">
        <f>T19/8</f>
        <v>0</v>
      </c>
      <c r="V23" s="528">
        <f>(T19/2) * (T23/T25)</f>
        <v>0</v>
      </c>
      <c r="W23" s="528">
        <f t="shared" si="54"/>
        <v>0</v>
      </c>
      <c r="X23" s="529">
        <f t="shared" si="55"/>
        <v>1216</v>
      </c>
      <c r="Y23" s="530">
        <f>X19/8</f>
        <v>0</v>
      </c>
      <c r="Z23" s="530">
        <f>(X19/2) * (X23/X25)</f>
        <v>0</v>
      </c>
      <c r="AA23" s="530">
        <f t="shared" si="56"/>
        <v>0</v>
      </c>
      <c r="AB23" s="527">
        <f t="shared" si="57"/>
        <v>1216</v>
      </c>
      <c r="AC23" s="528">
        <f>AB19/8</f>
        <v>0</v>
      </c>
      <c r="AD23" s="528">
        <f>(AB19/2) * (AB23/AB25)</f>
        <v>0</v>
      </c>
      <c r="AE23" s="528">
        <f t="shared" si="58"/>
        <v>0</v>
      </c>
      <c r="AF23" s="529">
        <f t="shared" si="59"/>
        <v>1216</v>
      </c>
      <c r="AG23" s="530">
        <f>AF19/8</f>
        <v>0</v>
      </c>
      <c r="AH23" s="530">
        <f>(AF19/2) * (AF23/AF25)</f>
        <v>0</v>
      </c>
      <c r="AI23" s="530">
        <f t="shared" si="60"/>
        <v>0</v>
      </c>
      <c r="AJ23" s="527">
        <f t="shared" si="61"/>
        <v>1216</v>
      </c>
      <c r="AK23" s="528">
        <f>AJ19/8</f>
        <v>0</v>
      </c>
      <c r="AL23" s="528">
        <f>(AJ19/2) * (AJ23/AJ25)</f>
        <v>0</v>
      </c>
      <c r="AM23" s="528">
        <f t="shared" si="62"/>
        <v>0</v>
      </c>
      <c r="AN23" s="527">
        <f t="shared" si="63"/>
        <v>1216</v>
      </c>
      <c r="AO23" s="528">
        <f>AN19/8</f>
        <v>0</v>
      </c>
      <c r="AP23" s="528">
        <f>(AN19/2) * (AN23/AN25)</f>
        <v>0</v>
      </c>
      <c r="AQ23" s="528">
        <f t="shared" si="64"/>
        <v>0</v>
      </c>
      <c r="AR23" s="527">
        <f t="shared" si="65"/>
        <v>1216</v>
      </c>
      <c r="AS23" s="528">
        <f>AR19/8</f>
        <v>0</v>
      </c>
      <c r="AT23" s="528">
        <f>(AR19/2) * (AR23/AR25)</f>
        <v>0</v>
      </c>
      <c r="AU23" s="528">
        <f t="shared" si="66"/>
        <v>0</v>
      </c>
      <c r="AV23" s="527">
        <f t="shared" si="67"/>
        <v>1216</v>
      </c>
      <c r="AW23" s="528">
        <f>AV19/8</f>
        <v>0</v>
      </c>
      <c r="AX23" s="528">
        <f>(AV19/2) * (AV23/AV25)</f>
        <v>0</v>
      </c>
      <c r="AY23" s="528">
        <f t="shared" si="68"/>
        <v>0</v>
      </c>
      <c r="AZ23" s="527">
        <f t="shared" si="69"/>
        <v>1216</v>
      </c>
      <c r="BA23" s="528">
        <f>AZ19/8</f>
        <v>0</v>
      </c>
      <c r="BB23" s="528">
        <f>(AZ19/2) * (AZ23/AZ25)</f>
        <v>0</v>
      </c>
      <c r="BC23" s="528">
        <f t="shared" si="70"/>
        <v>0</v>
      </c>
      <c r="BD23" s="527">
        <f t="shared" si="71"/>
        <v>1216</v>
      </c>
      <c r="BE23" s="528">
        <f>BD19/8</f>
        <v>0</v>
      </c>
      <c r="BF23" s="528">
        <f>(BD19/2) * (BD23/BD25)</f>
        <v>0</v>
      </c>
      <c r="BG23" s="528">
        <f t="shared" si="72"/>
        <v>0</v>
      </c>
      <c r="BH23" s="529">
        <f t="shared" si="73"/>
        <v>1216</v>
      </c>
      <c r="BI23" s="530">
        <f>BH19/8</f>
        <v>0</v>
      </c>
      <c r="BJ23" s="530">
        <f>(BH19/2) * (BH23/BH25)</f>
        <v>0</v>
      </c>
      <c r="BK23" s="530">
        <f t="shared" si="74"/>
        <v>0</v>
      </c>
      <c r="BL23" s="531"/>
      <c r="BM23" s="531"/>
    </row>
    <row r="24" ht="15.0" hidden="1" customHeight="1">
      <c r="A24" s="510" t="s">
        <v>378</v>
      </c>
      <c r="B24" s="511"/>
      <c r="C24" s="526">
        <f>WR!B110</f>
        <v>60</v>
      </c>
      <c r="D24" s="526">
        <f>WR!C110</f>
        <v>65</v>
      </c>
      <c r="E24" s="526">
        <f>WR!D110</f>
        <v>75</v>
      </c>
      <c r="F24" s="526">
        <f>WR!E110</f>
        <v>75</v>
      </c>
      <c r="G24" s="526">
        <f>WR!F110</f>
        <v>85</v>
      </c>
      <c r="H24" s="526">
        <f>WR!G110</f>
        <v>75</v>
      </c>
      <c r="I24" s="526">
        <f>WR!H110</f>
        <v>80</v>
      </c>
      <c r="J24" s="526">
        <f>WR!I110</f>
        <v>80</v>
      </c>
      <c r="K24" s="526">
        <f>WR!J110</f>
        <v>80</v>
      </c>
      <c r="L24" s="526">
        <f>WR!K110</f>
        <v>75</v>
      </c>
      <c r="M24" s="526">
        <f>WR!L110</f>
        <v>80</v>
      </c>
      <c r="N24" s="526">
        <f>WR!M110</f>
        <v>95</v>
      </c>
      <c r="O24" s="533"/>
      <c r="P24" s="527">
        <f t="shared" si="51"/>
        <v>925</v>
      </c>
      <c r="Q24" s="528">
        <f>P19/8</f>
        <v>0</v>
      </c>
      <c r="R24" s="528">
        <f>(P19/2) * (P24/P25)</f>
        <v>0</v>
      </c>
      <c r="S24" s="528">
        <f t="shared" si="52"/>
        <v>0</v>
      </c>
      <c r="T24" s="527">
        <f t="shared" si="53"/>
        <v>925</v>
      </c>
      <c r="U24" s="528">
        <f>T19/8</f>
        <v>0</v>
      </c>
      <c r="V24" s="528">
        <f>(T19/2) * (T24/T25)</f>
        <v>0</v>
      </c>
      <c r="W24" s="528">
        <f t="shared" si="54"/>
        <v>0</v>
      </c>
      <c r="X24" s="529">
        <f t="shared" si="55"/>
        <v>925</v>
      </c>
      <c r="Y24" s="530">
        <f>X19/8</f>
        <v>0</v>
      </c>
      <c r="Z24" s="530">
        <f>(X19/2) * (X24/X25)</f>
        <v>0</v>
      </c>
      <c r="AA24" s="530">
        <f t="shared" si="56"/>
        <v>0</v>
      </c>
      <c r="AB24" s="527">
        <f t="shared" si="57"/>
        <v>925</v>
      </c>
      <c r="AC24" s="528">
        <f>AB19/8</f>
        <v>0</v>
      </c>
      <c r="AD24" s="528">
        <f>(AB19/2) * (AB24/AB25)</f>
        <v>0</v>
      </c>
      <c r="AE24" s="528">
        <f t="shared" si="58"/>
        <v>0</v>
      </c>
      <c r="AF24" s="529">
        <f t="shared" si="59"/>
        <v>925</v>
      </c>
      <c r="AG24" s="530">
        <f>AF19/8</f>
        <v>0</v>
      </c>
      <c r="AH24" s="530">
        <f>(AF19/2) * (AF24/AF25)</f>
        <v>0</v>
      </c>
      <c r="AI24" s="530">
        <f t="shared" si="60"/>
        <v>0</v>
      </c>
      <c r="AJ24" s="527">
        <f t="shared" si="61"/>
        <v>925</v>
      </c>
      <c r="AK24" s="528">
        <f>AJ19/8</f>
        <v>0</v>
      </c>
      <c r="AL24" s="528">
        <f>(AJ19/2) * (AJ24/AJ25)</f>
        <v>0</v>
      </c>
      <c r="AM24" s="528">
        <f t="shared" si="62"/>
        <v>0</v>
      </c>
      <c r="AN24" s="527">
        <f t="shared" si="63"/>
        <v>925</v>
      </c>
      <c r="AO24" s="528">
        <f>AN19/8</f>
        <v>0</v>
      </c>
      <c r="AP24" s="528">
        <f>(AN19/2) * (AN24/AN25)</f>
        <v>0</v>
      </c>
      <c r="AQ24" s="528">
        <f t="shared" si="64"/>
        <v>0</v>
      </c>
      <c r="AR24" s="527">
        <f t="shared" si="65"/>
        <v>925</v>
      </c>
      <c r="AS24" s="528">
        <f>AR19/8</f>
        <v>0</v>
      </c>
      <c r="AT24" s="528">
        <f>(AR19/2) * (AR24/AR25)</f>
        <v>0</v>
      </c>
      <c r="AU24" s="528">
        <f t="shared" si="66"/>
        <v>0</v>
      </c>
      <c r="AV24" s="527">
        <f t="shared" si="67"/>
        <v>925</v>
      </c>
      <c r="AW24" s="528">
        <f>AV19/8</f>
        <v>0</v>
      </c>
      <c r="AX24" s="528">
        <f>(AV19/2) * (AV24/AV25)</f>
        <v>0</v>
      </c>
      <c r="AY24" s="528">
        <f t="shared" si="68"/>
        <v>0</v>
      </c>
      <c r="AZ24" s="527">
        <f t="shared" si="69"/>
        <v>925</v>
      </c>
      <c r="BA24" s="528">
        <f>AZ19/8</f>
        <v>0</v>
      </c>
      <c r="BB24" s="528">
        <f>(AZ19/2) * (AZ24/AZ25)</f>
        <v>0</v>
      </c>
      <c r="BC24" s="528">
        <f t="shared" si="70"/>
        <v>0</v>
      </c>
      <c r="BD24" s="527">
        <f t="shared" si="71"/>
        <v>925</v>
      </c>
      <c r="BE24" s="528">
        <f>BD19/8</f>
        <v>0</v>
      </c>
      <c r="BF24" s="528">
        <f>(BD19/2) * (BD24/BD25)</f>
        <v>0</v>
      </c>
      <c r="BG24" s="528">
        <f t="shared" si="72"/>
        <v>0</v>
      </c>
      <c r="BH24" s="529">
        <f t="shared" si="73"/>
        <v>925</v>
      </c>
      <c r="BI24" s="530">
        <f>BH19/8</f>
        <v>0</v>
      </c>
      <c r="BJ24" s="530">
        <f>(BH19/2) * (BH24/BH25)</f>
        <v>0</v>
      </c>
      <c r="BK24" s="530">
        <f t="shared" si="74"/>
        <v>0</v>
      </c>
      <c r="BL24" s="531"/>
      <c r="BM24" s="531"/>
    </row>
    <row r="25" ht="15.0" hidden="1" customHeight="1">
      <c r="A25" s="532"/>
      <c r="B25" s="521"/>
      <c r="C25" s="533"/>
      <c r="D25" s="533"/>
      <c r="E25" s="533"/>
      <c r="F25" s="533"/>
      <c r="G25" s="533"/>
      <c r="H25" s="533"/>
      <c r="I25" s="533"/>
      <c r="J25" s="533"/>
      <c r="K25" s="533"/>
      <c r="L25" s="533"/>
      <c r="M25" s="533"/>
      <c r="N25" s="533"/>
      <c r="O25" s="515"/>
      <c r="P25" s="523">
        <f t="shared" ref="P25:BK25" si="75">SUM(P21:P24)</f>
        <v>4100</v>
      </c>
      <c r="Q25" s="534">
        <f t="shared" si="75"/>
        <v>0</v>
      </c>
      <c r="R25" s="534">
        <f t="shared" si="75"/>
        <v>0</v>
      </c>
      <c r="S25" s="534">
        <f t="shared" si="75"/>
        <v>0</v>
      </c>
      <c r="T25" s="523">
        <f t="shared" si="75"/>
        <v>4100</v>
      </c>
      <c r="U25" s="534">
        <f t="shared" si="75"/>
        <v>0</v>
      </c>
      <c r="V25" s="534">
        <f t="shared" si="75"/>
        <v>0</v>
      </c>
      <c r="W25" s="534">
        <f t="shared" si="75"/>
        <v>0</v>
      </c>
      <c r="X25" s="535">
        <f t="shared" si="75"/>
        <v>4100</v>
      </c>
      <c r="Y25" s="536">
        <f t="shared" si="75"/>
        <v>0</v>
      </c>
      <c r="Z25" s="536">
        <f t="shared" si="75"/>
        <v>0</v>
      </c>
      <c r="AA25" s="536">
        <f t="shared" si="75"/>
        <v>0</v>
      </c>
      <c r="AB25" s="523">
        <f t="shared" si="75"/>
        <v>4100</v>
      </c>
      <c r="AC25" s="534">
        <f t="shared" si="75"/>
        <v>0</v>
      </c>
      <c r="AD25" s="534">
        <f t="shared" si="75"/>
        <v>0</v>
      </c>
      <c r="AE25" s="534">
        <f t="shared" si="75"/>
        <v>0</v>
      </c>
      <c r="AF25" s="535">
        <f t="shared" si="75"/>
        <v>4100</v>
      </c>
      <c r="AG25" s="536">
        <f t="shared" si="75"/>
        <v>0</v>
      </c>
      <c r="AH25" s="536">
        <f t="shared" si="75"/>
        <v>0</v>
      </c>
      <c r="AI25" s="536">
        <f t="shared" si="75"/>
        <v>0</v>
      </c>
      <c r="AJ25" s="523">
        <f t="shared" si="75"/>
        <v>4100</v>
      </c>
      <c r="AK25" s="534">
        <f t="shared" si="75"/>
        <v>0</v>
      </c>
      <c r="AL25" s="534">
        <f t="shared" si="75"/>
        <v>0</v>
      </c>
      <c r="AM25" s="534">
        <f t="shared" si="75"/>
        <v>0</v>
      </c>
      <c r="AN25" s="523">
        <f t="shared" si="75"/>
        <v>4100</v>
      </c>
      <c r="AO25" s="534">
        <f t="shared" si="75"/>
        <v>0</v>
      </c>
      <c r="AP25" s="534">
        <f t="shared" si="75"/>
        <v>0</v>
      </c>
      <c r="AQ25" s="534">
        <f t="shared" si="75"/>
        <v>0</v>
      </c>
      <c r="AR25" s="523">
        <f t="shared" si="75"/>
        <v>4100</v>
      </c>
      <c r="AS25" s="534">
        <f t="shared" si="75"/>
        <v>0</v>
      </c>
      <c r="AT25" s="534">
        <f t="shared" si="75"/>
        <v>0</v>
      </c>
      <c r="AU25" s="534">
        <f t="shared" si="75"/>
        <v>0</v>
      </c>
      <c r="AV25" s="523">
        <f t="shared" si="75"/>
        <v>4100</v>
      </c>
      <c r="AW25" s="534">
        <f t="shared" si="75"/>
        <v>0</v>
      </c>
      <c r="AX25" s="534">
        <f t="shared" si="75"/>
        <v>0</v>
      </c>
      <c r="AY25" s="534">
        <f t="shared" si="75"/>
        <v>0</v>
      </c>
      <c r="AZ25" s="523">
        <f t="shared" si="75"/>
        <v>4100</v>
      </c>
      <c r="BA25" s="534">
        <f t="shared" si="75"/>
        <v>0</v>
      </c>
      <c r="BB25" s="534">
        <f t="shared" si="75"/>
        <v>0</v>
      </c>
      <c r="BC25" s="534">
        <f t="shared" si="75"/>
        <v>0</v>
      </c>
      <c r="BD25" s="523">
        <f t="shared" si="75"/>
        <v>4100</v>
      </c>
      <c r="BE25" s="534">
        <f t="shared" si="75"/>
        <v>0</v>
      </c>
      <c r="BF25" s="534">
        <f t="shared" si="75"/>
        <v>0</v>
      </c>
      <c r="BG25" s="534">
        <f t="shared" si="75"/>
        <v>0</v>
      </c>
      <c r="BH25" s="535">
        <f t="shared" si="75"/>
        <v>4100</v>
      </c>
      <c r="BI25" s="536">
        <f t="shared" si="75"/>
        <v>0</v>
      </c>
      <c r="BJ25" s="536">
        <f t="shared" si="75"/>
        <v>0</v>
      </c>
      <c r="BK25" s="536">
        <f t="shared" si="75"/>
        <v>0</v>
      </c>
      <c r="BL25" s="537"/>
      <c r="BM25" s="537"/>
    </row>
    <row r="26" ht="15.0" hidden="1" customHeight="1">
      <c r="A26" s="532"/>
      <c r="B26" s="488"/>
      <c r="C26" s="539"/>
      <c r="D26" s="539"/>
      <c r="E26" s="539"/>
      <c r="F26" s="539"/>
      <c r="G26" s="539"/>
      <c r="H26" s="539"/>
      <c r="I26" s="533"/>
      <c r="J26" s="533"/>
      <c r="K26" s="533"/>
      <c r="L26" s="533"/>
      <c r="M26" s="533"/>
      <c r="N26" s="533"/>
      <c r="O26" s="515"/>
      <c r="P26" s="515"/>
      <c r="Q26" s="515"/>
      <c r="R26" s="515"/>
      <c r="S26" s="515"/>
      <c r="T26" s="563"/>
      <c r="U26" s="563"/>
      <c r="V26" s="563"/>
      <c r="W26" s="563"/>
      <c r="X26" s="541"/>
      <c r="AB26" s="564"/>
      <c r="AC26" s="565"/>
      <c r="AD26" s="565"/>
      <c r="AE26" s="565"/>
      <c r="AF26" s="541"/>
      <c r="AJ26" s="564"/>
      <c r="AK26" s="565"/>
      <c r="AL26" s="565"/>
      <c r="AM26" s="565"/>
      <c r="AN26" s="564"/>
      <c r="AO26" s="565"/>
      <c r="AP26" s="565"/>
      <c r="AQ26" s="565"/>
      <c r="AR26" s="565"/>
      <c r="AS26" s="565"/>
      <c r="AT26" s="565"/>
      <c r="AU26" s="565"/>
      <c r="AV26" s="565"/>
      <c r="AW26" s="565"/>
      <c r="AX26" s="565"/>
      <c r="AY26" s="565"/>
      <c r="AZ26" s="565"/>
      <c r="BA26" s="565"/>
      <c r="BB26" s="565"/>
      <c r="BC26" s="545"/>
      <c r="BD26" s="565"/>
      <c r="BE26" s="565"/>
      <c r="BF26" s="565"/>
      <c r="BG26" s="545"/>
      <c r="BH26" s="566"/>
      <c r="BI26" s="566"/>
      <c r="BJ26" s="566"/>
      <c r="BK26" s="566"/>
      <c r="BL26" s="543"/>
      <c r="BM26" s="543"/>
    </row>
    <row r="27" ht="15.0" hidden="1" customHeight="1">
      <c r="A27" s="567"/>
      <c r="B27" s="488"/>
      <c r="C27" s="489" t="s">
        <v>372</v>
      </c>
      <c r="D27" s="490"/>
      <c r="E27" s="490"/>
      <c r="F27" s="490"/>
      <c r="G27" s="490"/>
      <c r="H27" s="490"/>
      <c r="I27" s="490"/>
      <c r="J27" s="490"/>
      <c r="K27" s="490"/>
      <c r="L27" s="490"/>
      <c r="M27" s="490"/>
      <c r="N27" s="491"/>
      <c r="O27" s="515"/>
      <c r="P27" s="493" t="s">
        <v>340</v>
      </c>
      <c r="Q27" s="494"/>
      <c r="R27" s="494"/>
      <c r="S27" s="495"/>
      <c r="T27" s="493" t="s">
        <v>341</v>
      </c>
      <c r="U27" s="494"/>
      <c r="V27" s="494"/>
      <c r="W27" s="495"/>
      <c r="X27" s="493" t="s">
        <v>342</v>
      </c>
      <c r="Y27" s="494"/>
      <c r="Z27" s="494"/>
      <c r="AA27" s="495"/>
      <c r="AB27" s="493" t="s">
        <v>343</v>
      </c>
      <c r="AC27" s="494"/>
      <c r="AD27" s="494"/>
      <c r="AE27" s="495"/>
      <c r="AF27" s="546" t="s">
        <v>344</v>
      </c>
      <c r="AG27" s="494"/>
      <c r="AH27" s="494"/>
      <c r="AI27" s="495"/>
      <c r="AJ27" s="496" t="s">
        <v>345</v>
      </c>
      <c r="AK27" s="494"/>
      <c r="AL27" s="494"/>
      <c r="AM27" s="495"/>
      <c r="AN27" s="496" t="s">
        <v>346</v>
      </c>
      <c r="AO27" s="494"/>
      <c r="AP27" s="494"/>
      <c r="AQ27" s="495"/>
      <c r="AR27" s="496" t="s">
        <v>347</v>
      </c>
      <c r="AS27" s="494"/>
      <c r="AT27" s="494"/>
      <c r="AU27" s="495"/>
      <c r="AV27" s="493" t="s">
        <v>348</v>
      </c>
      <c r="AW27" s="494"/>
      <c r="AX27" s="494"/>
      <c r="AY27" s="495"/>
      <c r="AZ27" s="493" t="s">
        <v>349</v>
      </c>
      <c r="BA27" s="494"/>
      <c r="BB27" s="494"/>
      <c r="BC27" s="495"/>
      <c r="BD27" s="493" t="s">
        <v>350</v>
      </c>
      <c r="BE27" s="494"/>
      <c r="BF27" s="494"/>
      <c r="BG27" s="495"/>
      <c r="BH27" s="546" t="s">
        <v>351</v>
      </c>
      <c r="BI27" s="494"/>
      <c r="BJ27" s="494"/>
      <c r="BK27" s="495"/>
      <c r="BL27" s="533"/>
      <c r="BM27" s="533"/>
    </row>
    <row r="28" ht="15.0" hidden="1" customHeight="1">
      <c r="A28" s="567"/>
      <c r="B28" s="488"/>
      <c r="C28" s="502"/>
      <c r="N28" s="503"/>
      <c r="O28" s="515"/>
      <c r="P28" s="505" t="s">
        <v>370</v>
      </c>
      <c r="Q28" s="506"/>
      <c r="R28" s="506"/>
      <c r="S28" s="507"/>
      <c r="T28" s="505" t="s">
        <v>370</v>
      </c>
      <c r="U28" s="506"/>
      <c r="V28" s="506"/>
      <c r="W28" s="549"/>
      <c r="X28" s="505" t="s">
        <v>370</v>
      </c>
      <c r="Y28" s="506"/>
      <c r="Z28" s="506"/>
      <c r="AA28" s="507"/>
      <c r="AB28" s="505" t="s">
        <v>370</v>
      </c>
      <c r="AC28" s="506"/>
      <c r="AD28" s="506"/>
      <c r="AE28" s="507"/>
      <c r="AF28" s="508" t="s">
        <v>370</v>
      </c>
      <c r="AG28" s="506"/>
      <c r="AH28" s="506"/>
      <c r="AI28" s="507"/>
      <c r="AJ28" s="547" t="s">
        <v>370</v>
      </c>
      <c r="AK28" s="506"/>
      <c r="AL28" s="506"/>
      <c r="AM28" s="507"/>
      <c r="AN28" s="548" t="s">
        <v>370</v>
      </c>
      <c r="AO28" s="506"/>
      <c r="AP28" s="506"/>
      <c r="AQ28" s="549"/>
      <c r="AR28" s="548" t="s">
        <v>370</v>
      </c>
      <c r="AS28" s="506"/>
      <c r="AT28" s="506"/>
      <c r="AU28" s="549"/>
      <c r="AV28" s="568" t="s">
        <v>370</v>
      </c>
      <c r="AW28" s="506"/>
      <c r="AX28" s="506"/>
      <c r="AY28" s="549"/>
      <c r="AZ28" s="569" t="s">
        <v>370</v>
      </c>
      <c r="BA28" s="506"/>
      <c r="BB28" s="506"/>
      <c r="BC28" s="507"/>
      <c r="BD28" s="505" t="s">
        <v>370</v>
      </c>
      <c r="BE28" s="506"/>
      <c r="BF28" s="506"/>
      <c r="BG28" s="507"/>
      <c r="BH28" s="508" t="s">
        <v>370</v>
      </c>
      <c r="BI28" s="506"/>
      <c r="BJ28" s="506"/>
      <c r="BK28" s="549"/>
      <c r="BL28" s="509"/>
      <c r="BM28" s="509"/>
    </row>
    <row r="29" ht="15.0" hidden="1" customHeight="1">
      <c r="A29" s="567"/>
      <c r="B29" s="521"/>
      <c r="C29" s="512"/>
      <c r="D29" s="513"/>
      <c r="E29" s="513"/>
      <c r="F29" s="513"/>
      <c r="G29" s="513"/>
      <c r="H29" s="513"/>
      <c r="I29" s="513"/>
      <c r="J29" s="513"/>
      <c r="K29" s="513"/>
      <c r="L29" s="513"/>
      <c r="M29" s="513"/>
      <c r="N29" s="514"/>
      <c r="O29" s="515"/>
      <c r="P29" s="516">
        <v>0.0</v>
      </c>
      <c r="Q29" s="498"/>
      <c r="R29" s="498"/>
      <c r="S29" s="498"/>
      <c r="T29" s="516">
        <v>0.0</v>
      </c>
      <c r="U29" s="498"/>
      <c r="V29" s="498"/>
      <c r="W29" s="499"/>
      <c r="X29" s="516">
        <v>0.0</v>
      </c>
      <c r="Y29" s="498"/>
      <c r="Z29" s="498"/>
      <c r="AA29" s="499"/>
      <c r="AB29" s="516">
        <v>0.0</v>
      </c>
      <c r="AC29" s="498"/>
      <c r="AD29" s="498"/>
      <c r="AE29" s="499"/>
      <c r="AF29" s="517"/>
      <c r="AG29" s="498"/>
      <c r="AH29" s="498"/>
      <c r="AI29" s="499"/>
      <c r="AJ29" s="517"/>
      <c r="AK29" s="498"/>
      <c r="AL29" s="498"/>
      <c r="AM29" s="499"/>
      <c r="AN29" s="517"/>
      <c r="AO29" s="498"/>
      <c r="AP29" s="498"/>
      <c r="AQ29" s="498"/>
      <c r="AR29" s="517"/>
      <c r="AS29" s="498"/>
      <c r="AT29" s="498"/>
      <c r="AU29" s="499"/>
      <c r="AV29" s="516"/>
      <c r="AW29" s="498"/>
      <c r="AX29" s="498"/>
      <c r="AY29" s="499"/>
      <c r="AZ29" s="516">
        <v>0.0</v>
      </c>
      <c r="BA29" s="498"/>
      <c r="BB29" s="498"/>
      <c r="BC29" s="499"/>
      <c r="BD29" s="516">
        <v>0.0</v>
      </c>
      <c r="BE29" s="498"/>
      <c r="BF29" s="498"/>
      <c r="BG29" s="499"/>
      <c r="BH29" s="517"/>
      <c r="BI29" s="498"/>
      <c r="BJ29" s="498"/>
      <c r="BK29" s="499"/>
      <c r="BL29" s="519"/>
      <c r="BM29" s="519"/>
    </row>
    <row r="30" ht="15.0" hidden="1" customHeight="1">
      <c r="A30" s="570" t="s">
        <v>371</v>
      </c>
      <c r="B30" s="521"/>
      <c r="C30" s="552" t="s">
        <v>354</v>
      </c>
      <c r="D30" s="552" t="s">
        <v>355</v>
      </c>
      <c r="E30" s="552" t="s">
        <v>356</v>
      </c>
      <c r="F30" s="552" t="s">
        <v>357</v>
      </c>
      <c r="G30" s="552" t="s">
        <v>5</v>
      </c>
      <c r="H30" s="552" t="s">
        <v>358</v>
      </c>
      <c r="I30" s="552" t="s">
        <v>359</v>
      </c>
      <c r="J30" s="552" t="s">
        <v>360</v>
      </c>
      <c r="K30" s="552" t="s">
        <v>361</v>
      </c>
      <c r="L30" s="552" t="s">
        <v>362</v>
      </c>
      <c r="M30" s="552" t="s">
        <v>363</v>
      </c>
      <c r="N30" s="552" t="s">
        <v>364</v>
      </c>
      <c r="O30" s="515"/>
      <c r="P30" s="523" t="s">
        <v>319</v>
      </c>
      <c r="Q30" s="523" t="s">
        <v>365</v>
      </c>
      <c r="R30" s="523" t="s">
        <v>366</v>
      </c>
      <c r="S30" s="523" t="s">
        <v>367</v>
      </c>
      <c r="T30" s="523" t="s">
        <v>319</v>
      </c>
      <c r="U30" s="523" t="s">
        <v>365</v>
      </c>
      <c r="V30" s="523" t="s">
        <v>366</v>
      </c>
      <c r="W30" s="523" t="s">
        <v>367</v>
      </c>
      <c r="X30" s="523" t="s">
        <v>319</v>
      </c>
      <c r="Y30" s="523" t="s">
        <v>365</v>
      </c>
      <c r="Z30" s="523" t="s">
        <v>366</v>
      </c>
      <c r="AA30" s="523" t="s">
        <v>367</v>
      </c>
      <c r="AB30" s="523" t="s">
        <v>319</v>
      </c>
      <c r="AC30" s="523" t="s">
        <v>365</v>
      </c>
      <c r="AD30" s="523" t="s">
        <v>366</v>
      </c>
      <c r="AE30" s="523" t="s">
        <v>367</v>
      </c>
      <c r="AF30" s="552" t="s">
        <v>319</v>
      </c>
      <c r="AG30" s="552" t="s">
        <v>365</v>
      </c>
      <c r="AH30" s="552" t="s">
        <v>366</v>
      </c>
      <c r="AI30" s="552" t="s">
        <v>367</v>
      </c>
      <c r="AJ30" s="535" t="s">
        <v>319</v>
      </c>
      <c r="AK30" s="535" t="s">
        <v>365</v>
      </c>
      <c r="AL30" s="535" t="s">
        <v>366</v>
      </c>
      <c r="AM30" s="535" t="s">
        <v>367</v>
      </c>
      <c r="AN30" s="535" t="s">
        <v>319</v>
      </c>
      <c r="AO30" s="535" t="s">
        <v>365</v>
      </c>
      <c r="AP30" s="535" t="s">
        <v>366</v>
      </c>
      <c r="AQ30" s="535" t="s">
        <v>367</v>
      </c>
      <c r="AR30" s="535" t="s">
        <v>319</v>
      </c>
      <c r="AS30" s="535" t="s">
        <v>365</v>
      </c>
      <c r="AT30" s="535" t="s">
        <v>366</v>
      </c>
      <c r="AU30" s="535" t="s">
        <v>367</v>
      </c>
      <c r="AV30" s="523" t="s">
        <v>319</v>
      </c>
      <c r="AW30" s="523" t="s">
        <v>365</v>
      </c>
      <c r="AX30" s="523" t="s">
        <v>366</v>
      </c>
      <c r="AY30" s="523" t="s">
        <v>367</v>
      </c>
      <c r="AZ30" s="523" t="s">
        <v>319</v>
      </c>
      <c r="BA30" s="523" t="s">
        <v>365</v>
      </c>
      <c r="BB30" s="523" t="s">
        <v>366</v>
      </c>
      <c r="BC30" s="523" t="s">
        <v>367</v>
      </c>
      <c r="BD30" s="523" t="s">
        <v>319</v>
      </c>
      <c r="BE30" s="523" t="s">
        <v>365</v>
      </c>
      <c r="BF30" s="523" t="s">
        <v>366</v>
      </c>
      <c r="BG30" s="523" t="s">
        <v>367</v>
      </c>
      <c r="BH30" s="552" t="s">
        <v>319</v>
      </c>
      <c r="BI30" s="552" t="s">
        <v>365</v>
      </c>
      <c r="BJ30" s="552" t="s">
        <v>366</v>
      </c>
      <c r="BK30" s="552" t="s">
        <v>367</v>
      </c>
      <c r="BL30" s="533"/>
      <c r="BM30" s="533"/>
    </row>
    <row r="31" ht="15.0" hidden="1" customHeight="1">
      <c r="A31" s="510" t="s">
        <v>375</v>
      </c>
      <c r="B31" s="521"/>
      <c r="C31" s="571">
        <f>RLX!B110</f>
        <v>0</v>
      </c>
      <c r="D31" s="571">
        <f>RLX!C110</f>
        <v>0</v>
      </c>
      <c r="E31" s="571">
        <f>RLX!D110</f>
        <v>0</v>
      </c>
      <c r="F31" s="571">
        <f>RLX!E110</f>
        <v>0</v>
      </c>
      <c r="G31" s="571">
        <f>RLX!F110</f>
        <v>0</v>
      </c>
      <c r="H31" s="571">
        <f>RLX!G110</f>
        <v>0</v>
      </c>
      <c r="I31" s="571">
        <f>RLX!H110</f>
        <v>0</v>
      </c>
      <c r="J31" s="571">
        <f>RLX!I110</f>
        <v>0</v>
      </c>
      <c r="K31" s="571">
        <f>RLX!J110</f>
        <v>0</v>
      </c>
      <c r="L31" s="571">
        <f>RLX!K110</f>
        <v>0</v>
      </c>
      <c r="M31" s="571">
        <f>RLX!L110</f>
        <v>0</v>
      </c>
      <c r="N31" s="571">
        <f>RLX!M110</f>
        <v>0</v>
      </c>
      <c r="O31" s="515"/>
      <c r="P31" s="527">
        <f t="shared" ref="P31:P34" si="76">SUM(C31:N31)</f>
        <v>0</v>
      </c>
      <c r="Q31" s="528">
        <f>P29/8</f>
        <v>0</v>
      </c>
      <c r="R31" s="528">
        <f>(P29/2) * (P31/P35)</f>
        <v>0</v>
      </c>
      <c r="S31" s="528">
        <f t="shared" ref="S31:S34" si="77">Q31+R31</f>
        <v>0</v>
      </c>
      <c r="T31" s="527">
        <f t="shared" ref="T31:T34" si="78">SUM(C31:N31)</f>
        <v>0</v>
      </c>
      <c r="U31" s="528">
        <f>T29/8</f>
        <v>0</v>
      </c>
      <c r="V31" s="528">
        <f>(T29/2) * (T31/T35)</f>
        <v>0</v>
      </c>
      <c r="W31" s="528">
        <f t="shared" ref="W31:W34" si="79">U31+V31</f>
        <v>0</v>
      </c>
      <c r="X31" s="527">
        <f t="shared" ref="X31:X34" si="80">SUM(C31:N31)</f>
        <v>0</v>
      </c>
      <c r="Y31" s="528">
        <f>X29/8</f>
        <v>0</v>
      </c>
      <c r="Z31" s="528">
        <f>(X29/2) * (X31/X35)</f>
        <v>0</v>
      </c>
      <c r="AA31" s="528">
        <f t="shared" ref="AA31:AA34" si="81">Y31+Z31</f>
        <v>0</v>
      </c>
      <c r="AB31" s="527">
        <f t="shared" ref="AB31:AB34" si="82">SUM(C31:N31)</f>
        <v>0</v>
      </c>
      <c r="AC31" s="528">
        <f>AB29/8</f>
        <v>0</v>
      </c>
      <c r="AD31" s="528">
        <f>(AB29/2) * (AB31/AB35)</f>
        <v>0</v>
      </c>
      <c r="AE31" s="528">
        <f t="shared" ref="AE31:AE34" si="83">AC31+AD31</f>
        <v>0</v>
      </c>
      <c r="AF31" s="553">
        <f t="shared" ref="AF31:AF34" si="84">SUM(C31:N31)</f>
        <v>0</v>
      </c>
      <c r="AG31" s="554">
        <f>AF29/8</f>
        <v>0</v>
      </c>
      <c r="AH31" s="554">
        <f>(AF29/2) * (AF31/AF35)</f>
        <v>0</v>
      </c>
      <c r="AI31" s="554">
        <f t="shared" ref="AI31:AI34" si="85">AG31+AH31</f>
        <v>0</v>
      </c>
      <c r="AJ31" s="529">
        <f t="shared" ref="AJ31:AJ34" si="86">SUM(C31:N31)</f>
        <v>0</v>
      </c>
      <c r="AK31" s="530">
        <f>AJ29/8</f>
        <v>0</v>
      </c>
      <c r="AL31" s="530">
        <f>(AJ29/2) * (AJ31/AJ35)</f>
        <v>0</v>
      </c>
      <c r="AM31" s="530">
        <f t="shared" ref="AM31:AM34" si="87">AK31+AL31</f>
        <v>0</v>
      </c>
      <c r="AN31" s="529">
        <f t="shared" ref="AN31:AN34" si="88">SUM(C31:N31)</f>
        <v>0</v>
      </c>
      <c r="AO31" s="530">
        <f>AN29/8</f>
        <v>0</v>
      </c>
      <c r="AP31" s="530">
        <f>(AN29/2) * (AN31/AN35)</f>
        <v>0</v>
      </c>
      <c r="AQ31" s="530">
        <f t="shared" ref="AQ31:AQ34" si="89">AO31+AP31</f>
        <v>0</v>
      </c>
      <c r="AR31" s="529">
        <f t="shared" ref="AR31:AR34" si="90">SUM(C31:N31)</f>
        <v>0</v>
      </c>
      <c r="AS31" s="530">
        <f>AR29/8</f>
        <v>0</v>
      </c>
      <c r="AT31" s="530">
        <f>(AR29/2) * (AR31/AR35)</f>
        <v>0</v>
      </c>
      <c r="AU31" s="530">
        <f t="shared" ref="AU31:AU34" si="91">AS31+AT31</f>
        <v>0</v>
      </c>
      <c r="AV31" s="527">
        <f t="shared" ref="AV31:AV34" si="92">SUM(C31:N31)</f>
        <v>0</v>
      </c>
      <c r="AW31" s="528">
        <f>AV29/8</f>
        <v>0</v>
      </c>
      <c r="AX31" s="528">
        <f>(AV29/2) * (AV31/AV35)</f>
        <v>0</v>
      </c>
      <c r="AY31" s="528">
        <f t="shared" ref="AY31:AY34" si="93">AW31+AX31</f>
        <v>0</v>
      </c>
      <c r="AZ31" s="527">
        <f t="shared" ref="AZ31:AZ34" si="94">SUM(C31:N31)</f>
        <v>0</v>
      </c>
      <c r="BA31" s="528">
        <f>AZ29/8</f>
        <v>0</v>
      </c>
      <c r="BB31" s="528">
        <f>(AZ29/2) * (AZ31/AZ35)</f>
        <v>0</v>
      </c>
      <c r="BC31" s="528">
        <f t="shared" ref="BC31:BC34" si="95">BA31+BB31</f>
        <v>0</v>
      </c>
      <c r="BD31" s="527">
        <f t="shared" ref="BD31:BD34" si="96">SUM(C31:N31)</f>
        <v>0</v>
      </c>
      <c r="BE31" s="528">
        <f>BD29/8</f>
        <v>0</v>
      </c>
      <c r="BF31" s="528">
        <f>(BD29/2) * (BD31/BD35)</f>
        <v>0</v>
      </c>
      <c r="BG31" s="528">
        <f t="shared" ref="BG31:BG34" si="97">BE31+BF31</f>
        <v>0</v>
      </c>
      <c r="BH31" s="553">
        <f t="shared" ref="BH31:BH34" si="98">SUM(C31:N31)</f>
        <v>0</v>
      </c>
      <c r="BI31" s="554">
        <f>BH29/8</f>
        <v>0</v>
      </c>
      <c r="BJ31" s="554">
        <f>(BH29/2) * (BH31/BH35)</f>
        <v>0</v>
      </c>
      <c r="BK31" s="554">
        <f t="shared" ref="BK31:BK34" si="99">BI31+BJ31</f>
        <v>0</v>
      </c>
      <c r="BL31" s="555"/>
      <c r="BM31" s="555"/>
    </row>
    <row r="32" ht="15.0" hidden="1" customHeight="1">
      <c r="A32" s="510" t="s">
        <v>376</v>
      </c>
      <c r="B32" s="521"/>
      <c r="C32" s="571">
        <f>GA!B110</f>
        <v>124</v>
      </c>
      <c r="D32" s="571">
        <f>GA!C110</f>
        <v>176</v>
      </c>
      <c r="E32" s="571">
        <f>GA!D110</f>
        <v>167</v>
      </c>
      <c r="F32" s="571">
        <f>GA!E110</f>
        <v>167</v>
      </c>
      <c r="G32" s="571">
        <f>GA!F110</f>
        <v>170</v>
      </c>
      <c r="H32" s="571">
        <f>GA!G110</f>
        <v>163</v>
      </c>
      <c r="I32" s="571">
        <f>GA!H110</f>
        <v>165</v>
      </c>
      <c r="J32" s="571">
        <f>GA!I110</f>
        <v>164</v>
      </c>
      <c r="K32" s="571">
        <f>GA!J110</f>
        <v>155</v>
      </c>
      <c r="L32" s="571">
        <f>GA!K110</f>
        <v>151</v>
      </c>
      <c r="M32" s="571">
        <f>GA!L110</f>
        <v>161</v>
      </c>
      <c r="N32" s="571">
        <f>GA!M110</f>
        <v>196</v>
      </c>
      <c r="O32" s="515"/>
      <c r="P32" s="527">
        <f t="shared" si="76"/>
        <v>1959</v>
      </c>
      <c r="Q32" s="528">
        <f>P29/8</f>
        <v>0</v>
      </c>
      <c r="R32" s="528">
        <f>(P29/2) * (P32/P35)</f>
        <v>0</v>
      </c>
      <c r="S32" s="528">
        <f t="shared" si="77"/>
        <v>0</v>
      </c>
      <c r="T32" s="527">
        <f t="shared" si="78"/>
        <v>1959</v>
      </c>
      <c r="U32" s="528">
        <f>T29/8</f>
        <v>0</v>
      </c>
      <c r="V32" s="528">
        <f>(T29/2) * (T32/T35)</f>
        <v>0</v>
      </c>
      <c r="W32" s="528">
        <f t="shared" si="79"/>
        <v>0</v>
      </c>
      <c r="X32" s="527">
        <f t="shared" si="80"/>
        <v>1959</v>
      </c>
      <c r="Y32" s="528">
        <f>X29/8</f>
        <v>0</v>
      </c>
      <c r="Z32" s="528">
        <f>(X29/2) * (X32/X35)</f>
        <v>0</v>
      </c>
      <c r="AA32" s="528">
        <f t="shared" si="81"/>
        <v>0</v>
      </c>
      <c r="AB32" s="527">
        <f t="shared" si="82"/>
        <v>1959</v>
      </c>
      <c r="AC32" s="528">
        <f>AB29/8</f>
        <v>0</v>
      </c>
      <c r="AD32" s="528">
        <f>(AB29/2) * (AB32/AB35)</f>
        <v>0</v>
      </c>
      <c r="AE32" s="528">
        <f t="shared" si="83"/>
        <v>0</v>
      </c>
      <c r="AF32" s="553">
        <f t="shared" si="84"/>
        <v>1959</v>
      </c>
      <c r="AG32" s="554">
        <f>AF29/8</f>
        <v>0</v>
      </c>
      <c r="AH32" s="554">
        <f>(AF29/2) * (AF32/AF35)</f>
        <v>0</v>
      </c>
      <c r="AI32" s="554">
        <f t="shared" si="85"/>
        <v>0</v>
      </c>
      <c r="AJ32" s="529">
        <f t="shared" si="86"/>
        <v>1959</v>
      </c>
      <c r="AK32" s="530">
        <f>AJ29/8</f>
        <v>0</v>
      </c>
      <c r="AL32" s="530">
        <f>(AJ29/2) * (AJ32/AJ35)</f>
        <v>0</v>
      </c>
      <c r="AM32" s="530">
        <f t="shared" si="87"/>
        <v>0</v>
      </c>
      <c r="AN32" s="529">
        <f t="shared" si="88"/>
        <v>1959</v>
      </c>
      <c r="AO32" s="530">
        <f>AN29/8</f>
        <v>0</v>
      </c>
      <c r="AP32" s="530">
        <f>(AN29/2) * (AN32/AN35)</f>
        <v>0</v>
      </c>
      <c r="AQ32" s="530">
        <f t="shared" si="89"/>
        <v>0</v>
      </c>
      <c r="AR32" s="529">
        <f t="shared" si="90"/>
        <v>1959</v>
      </c>
      <c r="AS32" s="530">
        <f>AR29/8</f>
        <v>0</v>
      </c>
      <c r="AT32" s="530">
        <f>(AR29/2) * (AR32/AR35)</f>
        <v>0</v>
      </c>
      <c r="AU32" s="530">
        <f t="shared" si="91"/>
        <v>0</v>
      </c>
      <c r="AV32" s="527">
        <f t="shared" si="92"/>
        <v>1959</v>
      </c>
      <c r="AW32" s="528">
        <f>AV29/8</f>
        <v>0</v>
      </c>
      <c r="AX32" s="528">
        <f>(AV29/2) * (AV32/AV35)</f>
        <v>0</v>
      </c>
      <c r="AY32" s="528">
        <f t="shared" si="93"/>
        <v>0</v>
      </c>
      <c r="AZ32" s="527">
        <f t="shared" si="94"/>
        <v>1959</v>
      </c>
      <c r="BA32" s="528">
        <f>AZ29/8</f>
        <v>0</v>
      </c>
      <c r="BB32" s="528">
        <f>(AZ29/2) * (AZ32/AZ35)</f>
        <v>0</v>
      </c>
      <c r="BC32" s="528">
        <f t="shared" si="95"/>
        <v>0</v>
      </c>
      <c r="BD32" s="527">
        <f t="shared" si="96"/>
        <v>1959</v>
      </c>
      <c r="BE32" s="528">
        <f>BD29/8</f>
        <v>0</v>
      </c>
      <c r="BF32" s="528">
        <f>(BD29/2) * (BD32/BD35)</f>
        <v>0</v>
      </c>
      <c r="BG32" s="528">
        <f t="shared" si="97"/>
        <v>0</v>
      </c>
      <c r="BH32" s="553">
        <f t="shared" si="98"/>
        <v>1959</v>
      </c>
      <c r="BI32" s="554">
        <f>BH29/8</f>
        <v>0</v>
      </c>
      <c r="BJ32" s="554">
        <f>(BH29/2) * (BH32/BH35)</f>
        <v>0</v>
      </c>
      <c r="BK32" s="554">
        <f t="shared" si="99"/>
        <v>0</v>
      </c>
      <c r="BL32" s="555"/>
      <c r="BM32" s="555"/>
    </row>
    <row r="33" ht="15.0" hidden="1" customHeight="1">
      <c r="A33" s="510" t="s">
        <v>377</v>
      </c>
      <c r="B33" s="521"/>
      <c r="C33" s="572">
        <f>SP!B110</f>
        <v>76</v>
      </c>
      <c r="D33" s="572">
        <f>SP!C110</f>
        <v>80</v>
      </c>
      <c r="E33" s="572">
        <f>SP!D110</f>
        <v>90</v>
      </c>
      <c r="F33" s="572">
        <f>SP!E110</f>
        <v>105</v>
      </c>
      <c r="G33" s="572">
        <f>SP!F110</f>
        <v>105</v>
      </c>
      <c r="H33" s="572">
        <f>SP!G110</f>
        <v>105</v>
      </c>
      <c r="I33" s="572">
        <f>SP!H110</f>
        <v>110</v>
      </c>
      <c r="J33" s="572">
        <f>SP!I110</f>
        <v>115</v>
      </c>
      <c r="K33" s="572">
        <f>SP!J110</f>
        <v>100</v>
      </c>
      <c r="L33" s="572">
        <f>SP!K110</f>
        <v>100</v>
      </c>
      <c r="M33" s="572">
        <f>SP!L110</f>
        <v>105</v>
      </c>
      <c r="N33" s="572">
        <f>SP!M110</f>
        <v>125</v>
      </c>
      <c r="O33" s="515"/>
      <c r="P33" s="527">
        <f t="shared" si="76"/>
        <v>1216</v>
      </c>
      <c r="Q33" s="528">
        <f>P29/8</f>
        <v>0</v>
      </c>
      <c r="R33" s="528">
        <f>(P29/2) * (P33/P35)</f>
        <v>0</v>
      </c>
      <c r="S33" s="528">
        <f t="shared" si="77"/>
        <v>0</v>
      </c>
      <c r="T33" s="527">
        <f t="shared" si="78"/>
        <v>1216</v>
      </c>
      <c r="U33" s="528">
        <f>T29/8</f>
        <v>0</v>
      </c>
      <c r="V33" s="528">
        <f>(T29/2) * (T33/T35)</f>
        <v>0</v>
      </c>
      <c r="W33" s="528">
        <f t="shared" si="79"/>
        <v>0</v>
      </c>
      <c r="X33" s="527">
        <f t="shared" si="80"/>
        <v>1216</v>
      </c>
      <c r="Y33" s="528">
        <f>X29/8</f>
        <v>0</v>
      </c>
      <c r="Z33" s="528">
        <f>(X29/2) * (X33/X35)</f>
        <v>0</v>
      </c>
      <c r="AA33" s="528">
        <f t="shared" si="81"/>
        <v>0</v>
      </c>
      <c r="AB33" s="527">
        <f t="shared" si="82"/>
        <v>1216</v>
      </c>
      <c r="AC33" s="528">
        <f>AB29/8</f>
        <v>0</v>
      </c>
      <c r="AD33" s="528">
        <f>(AB29/2) * (AB33/AB35)</f>
        <v>0</v>
      </c>
      <c r="AE33" s="528">
        <f t="shared" si="83"/>
        <v>0</v>
      </c>
      <c r="AF33" s="553">
        <f t="shared" si="84"/>
        <v>1216</v>
      </c>
      <c r="AG33" s="554">
        <f>AF29/8</f>
        <v>0</v>
      </c>
      <c r="AH33" s="554">
        <f>(AF29/2) * (AF33/AF35)</f>
        <v>0</v>
      </c>
      <c r="AI33" s="554">
        <f t="shared" si="85"/>
        <v>0</v>
      </c>
      <c r="AJ33" s="529">
        <f t="shared" si="86"/>
        <v>1216</v>
      </c>
      <c r="AK33" s="530">
        <f>AJ29/8</f>
        <v>0</v>
      </c>
      <c r="AL33" s="530">
        <f>(AJ29/2) * (AJ33/AJ35)</f>
        <v>0</v>
      </c>
      <c r="AM33" s="530">
        <f t="shared" si="87"/>
        <v>0</v>
      </c>
      <c r="AN33" s="529">
        <f t="shared" si="88"/>
        <v>1216</v>
      </c>
      <c r="AO33" s="530">
        <f>AN29/8</f>
        <v>0</v>
      </c>
      <c r="AP33" s="530">
        <f>(AN29/2) * (AN33/AN35)</f>
        <v>0</v>
      </c>
      <c r="AQ33" s="530">
        <f t="shared" si="89"/>
        <v>0</v>
      </c>
      <c r="AR33" s="529">
        <f t="shared" si="90"/>
        <v>1216</v>
      </c>
      <c r="AS33" s="530">
        <f>AR29/8</f>
        <v>0</v>
      </c>
      <c r="AT33" s="530">
        <f>(AR29/2) * (AR33/AR35)</f>
        <v>0</v>
      </c>
      <c r="AU33" s="530">
        <f t="shared" si="91"/>
        <v>0</v>
      </c>
      <c r="AV33" s="527">
        <f t="shared" si="92"/>
        <v>1216</v>
      </c>
      <c r="AW33" s="528">
        <f>AV29/8</f>
        <v>0</v>
      </c>
      <c r="AX33" s="528">
        <f>(AV29/2) * (AV33/AV35)</f>
        <v>0</v>
      </c>
      <c r="AY33" s="528">
        <f t="shared" si="93"/>
        <v>0</v>
      </c>
      <c r="AZ33" s="527">
        <f t="shared" si="94"/>
        <v>1216</v>
      </c>
      <c r="BA33" s="528">
        <f>AZ29/8</f>
        <v>0</v>
      </c>
      <c r="BB33" s="528">
        <f>(AZ29/2) * (AZ33/AZ35)</f>
        <v>0</v>
      </c>
      <c r="BC33" s="528">
        <f t="shared" si="95"/>
        <v>0</v>
      </c>
      <c r="BD33" s="527">
        <f t="shared" si="96"/>
        <v>1216</v>
      </c>
      <c r="BE33" s="528">
        <f>BD29/8</f>
        <v>0</v>
      </c>
      <c r="BF33" s="528">
        <f>(BD29/2) * (BD33/BD35)</f>
        <v>0</v>
      </c>
      <c r="BG33" s="528">
        <f t="shared" si="97"/>
        <v>0</v>
      </c>
      <c r="BH33" s="553">
        <f t="shared" si="98"/>
        <v>1216</v>
      </c>
      <c r="BI33" s="554">
        <f>BH29/8</f>
        <v>0</v>
      </c>
      <c r="BJ33" s="554">
        <f>(BH29/2) * (BH33/BH35)</f>
        <v>0</v>
      </c>
      <c r="BK33" s="554">
        <f t="shared" si="99"/>
        <v>0</v>
      </c>
      <c r="BL33" s="555"/>
      <c r="BM33" s="555"/>
    </row>
    <row r="34" ht="15.0" hidden="1" customHeight="1">
      <c r="A34" s="510" t="s">
        <v>378</v>
      </c>
      <c r="B34" s="521"/>
      <c r="C34" s="571">
        <f>WR!B110</f>
        <v>60</v>
      </c>
      <c r="D34" s="571">
        <f>WR!C110</f>
        <v>65</v>
      </c>
      <c r="E34" s="571">
        <f>WR!D110</f>
        <v>75</v>
      </c>
      <c r="F34" s="571">
        <f>WR!E110</f>
        <v>75</v>
      </c>
      <c r="G34" s="571">
        <f>WR!F110</f>
        <v>85</v>
      </c>
      <c r="H34" s="571">
        <f>WR!G110</f>
        <v>75</v>
      </c>
      <c r="I34" s="571">
        <f>WR!H110</f>
        <v>80</v>
      </c>
      <c r="J34" s="571">
        <f>WR!I110</f>
        <v>80</v>
      </c>
      <c r="K34" s="571">
        <f>WR!J110</f>
        <v>80</v>
      </c>
      <c r="L34" s="571">
        <f>WR!K110</f>
        <v>75</v>
      </c>
      <c r="M34" s="571">
        <f>WR!L110</f>
        <v>80</v>
      </c>
      <c r="N34" s="571">
        <f>WR!M110</f>
        <v>95</v>
      </c>
      <c r="O34" s="515"/>
      <c r="P34" s="527">
        <f t="shared" si="76"/>
        <v>925</v>
      </c>
      <c r="Q34" s="528">
        <f>P29/8</f>
        <v>0</v>
      </c>
      <c r="R34" s="528">
        <f>(P29/2) * (P34/P35)</f>
        <v>0</v>
      </c>
      <c r="S34" s="528">
        <f t="shared" si="77"/>
        <v>0</v>
      </c>
      <c r="T34" s="527">
        <f t="shared" si="78"/>
        <v>925</v>
      </c>
      <c r="U34" s="528">
        <f>T29/8</f>
        <v>0</v>
      </c>
      <c r="V34" s="528">
        <f>(T29/2) * (T34/T35)</f>
        <v>0</v>
      </c>
      <c r="W34" s="528">
        <f t="shared" si="79"/>
        <v>0</v>
      </c>
      <c r="X34" s="527">
        <f t="shared" si="80"/>
        <v>925</v>
      </c>
      <c r="Y34" s="528">
        <f>X29/8</f>
        <v>0</v>
      </c>
      <c r="Z34" s="528">
        <f>(X29/2) * (X34/X35)</f>
        <v>0</v>
      </c>
      <c r="AA34" s="528">
        <f t="shared" si="81"/>
        <v>0</v>
      </c>
      <c r="AB34" s="527">
        <f t="shared" si="82"/>
        <v>925</v>
      </c>
      <c r="AC34" s="528">
        <f>AB29/8</f>
        <v>0</v>
      </c>
      <c r="AD34" s="528">
        <f>(AB29/2) * (AB34/AB35)</f>
        <v>0</v>
      </c>
      <c r="AE34" s="528">
        <f t="shared" si="83"/>
        <v>0</v>
      </c>
      <c r="AF34" s="553">
        <f t="shared" si="84"/>
        <v>925</v>
      </c>
      <c r="AG34" s="554">
        <f>AF29/8</f>
        <v>0</v>
      </c>
      <c r="AH34" s="554">
        <f>(AF29/2) * (AF34/AF35)</f>
        <v>0</v>
      </c>
      <c r="AI34" s="554">
        <f t="shared" si="85"/>
        <v>0</v>
      </c>
      <c r="AJ34" s="529">
        <f t="shared" si="86"/>
        <v>925</v>
      </c>
      <c r="AK34" s="530">
        <f>AJ29/8</f>
        <v>0</v>
      </c>
      <c r="AL34" s="530">
        <f>(AJ29/2) * (AJ34/AJ35)</f>
        <v>0</v>
      </c>
      <c r="AM34" s="530">
        <f t="shared" si="87"/>
        <v>0</v>
      </c>
      <c r="AN34" s="529">
        <f t="shared" si="88"/>
        <v>925</v>
      </c>
      <c r="AO34" s="530">
        <f>AN29/8</f>
        <v>0</v>
      </c>
      <c r="AP34" s="530">
        <f>(AN29/2) * (AN34/AN35)</f>
        <v>0</v>
      </c>
      <c r="AQ34" s="530">
        <f t="shared" si="89"/>
        <v>0</v>
      </c>
      <c r="AR34" s="529">
        <f t="shared" si="90"/>
        <v>925</v>
      </c>
      <c r="AS34" s="530">
        <f>AR29/8</f>
        <v>0</v>
      </c>
      <c r="AT34" s="530">
        <f>(AR29/2) * (AR34/AR35)</f>
        <v>0</v>
      </c>
      <c r="AU34" s="530">
        <f t="shared" si="91"/>
        <v>0</v>
      </c>
      <c r="AV34" s="527">
        <f t="shared" si="92"/>
        <v>925</v>
      </c>
      <c r="AW34" s="528">
        <f>AV29/8</f>
        <v>0</v>
      </c>
      <c r="AX34" s="528">
        <f>(AV29/2) * (AV34/AV35)</f>
        <v>0</v>
      </c>
      <c r="AY34" s="528">
        <f t="shared" si="93"/>
        <v>0</v>
      </c>
      <c r="AZ34" s="527">
        <f t="shared" si="94"/>
        <v>925</v>
      </c>
      <c r="BA34" s="528">
        <f>AZ29/8</f>
        <v>0</v>
      </c>
      <c r="BB34" s="528">
        <f>(AZ29/2) * (AZ34/AZ35)</f>
        <v>0</v>
      </c>
      <c r="BC34" s="528">
        <f t="shared" si="95"/>
        <v>0</v>
      </c>
      <c r="BD34" s="527">
        <f t="shared" si="96"/>
        <v>925</v>
      </c>
      <c r="BE34" s="528">
        <f>BD29/8</f>
        <v>0</v>
      </c>
      <c r="BF34" s="528">
        <f>(BD29/2) * (BD34/BD35)</f>
        <v>0</v>
      </c>
      <c r="BG34" s="528">
        <f t="shared" si="97"/>
        <v>0</v>
      </c>
      <c r="BH34" s="553">
        <f t="shared" si="98"/>
        <v>925</v>
      </c>
      <c r="BI34" s="554">
        <f>BH29/8</f>
        <v>0</v>
      </c>
      <c r="BJ34" s="554">
        <f>(BH29/2) * (BH34/BH35)</f>
        <v>0</v>
      </c>
      <c r="BK34" s="554">
        <f t="shared" si="99"/>
        <v>0</v>
      </c>
      <c r="BL34" s="555"/>
      <c r="BM34" s="555"/>
    </row>
    <row r="35" ht="15.0" hidden="1" customHeight="1">
      <c r="A35" s="567"/>
      <c r="B35" s="521"/>
      <c r="C35" s="533"/>
      <c r="D35" s="533"/>
      <c r="E35" s="533"/>
      <c r="F35" s="533"/>
      <c r="G35" s="533"/>
      <c r="H35" s="533"/>
      <c r="I35" s="533"/>
      <c r="J35" s="533"/>
      <c r="K35" s="533"/>
      <c r="L35" s="533"/>
      <c r="M35" s="533"/>
      <c r="N35" s="533"/>
      <c r="O35" s="515"/>
      <c r="P35" s="523">
        <f t="shared" ref="P35:BK35" si="100">SUM(P31:P34)</f>
        <v>4100</v>
      </c>
      <c r="Q35" s="534">
        <f t="shared" si="100"/>
        <v>0</v>
      </c>
      <c r="R35" s="534">
        <f t="shared" si="100"/>
        <v>0</v>
      </c>
      <c r="S35" s="534">
        <f t="shared" si="100"/>
        <v>0</v>
      </c>
      <c r="T35" s="523">
        <f t="shared" si="100"/>
        <v>4100</v>
      </c>
      <c r="U35" s="534">
        <f t="shared" si="100"/>
        <v>0</v>
      </c>
      <c r="V35" s="534">
        <f t="shared" si="100"/>
        <v>0</v>
      </c>
      <c r="W35" s="534">
        <f t="shared" si="100"/>
        <v>0</v>
      </c>
      <c r="X35" s="523">
        <f t="shared" si="100"/>
        <v>4100</v>
      </c>
      <c r="Y35" s="534">
        <f t="shared" si="100"/>
        <v>0</v>
      </c>
      <c r="Z35" s="534">
        <f t="shared" si="100"/>
        <v>0</v>
      </c>
      <c r="AA35" s="534">
        <f t="shared" si="100"/>
        <v>0</v>
      </c>
      <c r="AB35" s="523">
        <f t="shared" si="100"/>
        <v>4100</v>
      </c>
      <c r="AC35" s="534">
        <f t="shared" si="100"/>
        <v>0</v>
      </c>
      <c r="AD35" s="534">
        <f t="shared" si="100"/>
        <v>0</v>
      </c>
      <c r="AE35" s="534">
        <f t="shared" si="100"/>
        <v>0</v>
      </c>
      <c r="AF35" s="552">
        <f t="shared" si="100"/>
        <v>4100</v>
      </c>
      <c r="AG35" s="556">
        <f t="shared" si="100"/>
        <v>0</v>
      </c>
      <c r="AH35" s="556">
        <f t="shared" si="100"/>
        <v>0</v>
      </c>
      <c r="AI35" s="556">
        <f t="shared" si="100"/>
        <v>0</v>
      </c>
      <c r="AJ35" s="535">
        <f t="shared" si="100"/>
        <v>4100</v>
      </c>
      <c r="AK35" s="536">
        <f t="shared" si="100"/>
        <v>0</v>
      </c>
      <c r="AL35" s="536">
        <f t="shared" si="100"/>
        <v>0</v>
      </c>
      <c r="AM35" s="536">
        <f t="shared" si="100"/>
        <v>0</v>
      </c>
      <c r="AN35" s="535">
        <f t="shared" si="100"/>
        <v>4100</v>
      </c>
      <c r="AO35" s="536">
        <f t="shared" si="100"/>
        <v>0</v>
      </c>
      <c r="AP35" s="536">
        <f t="shared" si="100"/>
        <v>0</v>
      </c>
      <c r="AQ35" s="536">
        <f t="shared" si="100"/>
        <v>0</v>
      </c>
      <c r="AR35" s="535">
        <f t="shared" si="100"/>
        <v>4100</v>
      </c>
      <c r="AS35" s="536">
        <f t="shared" si="100"/>
        <v>0</v>
      </c>
      <c r="AT35" s="536">
        <f t="shared" si="100"/>
        <v>0</v>
      </c>
      <c r="AU35" s="536">
        <f t="shared" si="100"/>
        <v>0</v>
      </c>
      <c r="AV35" s="523">
        <f t="shared" si="100"/>
        <v>4100</v>
      </c>
      <c r="AW35" s="534">
        <f t="shared" si="100"/>
        <v>0</v>
      </c>
      <c r="AX35" s="534">
        <f t="shared" si="100"/>
        <v>0</v>
      </c>
      <c r="AY35" s="534">
        <f t="shared" si="100"/>
        <v>0</v>
      </c>
      <c r="AZ35" s="523">
        <f t="shared" si="100"/>
        <v>4100</v>
      </c>
      <c r="BA35" s="534">
        <f t="shared" si="100"/>
        <v>0</v>
      </c>
      <c r="BB35" s="534">
        <f t="shared" si="100"/>
        <v>0</v>
      </c>
      <c r="BC35" s="534">
        <f t="shared" si="100"/>
        <v>0</v>
      </c>
      <c r="BD35" s="523">
        <f t="shared" si="100"/>
        <v>4100</v>
      </c>
      <c r="BE35" s="534">
        <f t="shared" si="100"/>
        <v>0</v>
      </c>
      <c r="BF35" s="534">
        <f t="shared" si="100"/>
        <v>0</v>
      </c>
      <c r="BG35" s="534">
        <f t="shared" si="100"/>
        <v>0</v>
      </c>
      <c r="BH35" s="552">
        <f t="shared" si="100"/>
        <v>4100</v>
      </c>
      <c r="BI35" s="556">
        <f t="shared" si="100"/>
        <v>0</v>
      </c>
      <c r="BJ35" s="556">
        <f t="shared" si="100"/>
        <v>0</v>
      </c>
      <c r="BK35" s="556">
        <f t="shared" si="100"/>
        <v>0</v>
      </c>
      <c r="BL35" s="557"/>
      <c r="BM35" s="557"/>
    </row>
    <row r="36">
      <c r="A36" s="567"/>
      <c r="B36" s="521"/>
      <c r="C36" s="533"/>
      <c r="D36" s="533"/>
      <c r="E36" s="533"/>
      <c r="F36" s="533"/>
      <c r="G36" s="533"/>
      <c r="H36" s="533"/>
      <c r="I36" s="533"/>
      <c r="J36" s="533"/>
      <c r="K36" s="533"/>
      <c r="L36" s="533"/>
      <c r="M36" s="533"/>
      <c r="N36" s="533"/>
      <c r="O36" s="515"/>
      <c r="P36" s="515"/>
      <c r="Q36" s="515"/>
      <c r="R36" s="515"/>
      <c r="S36" s="515"/>
      <c r="T36" s="540"/>
      <c r="U36" s="540"/>
      <c r="V36" s="540"/>
      <c r="W36" s="540"/>
      <c r="X36" s="540"/>
      <c r="Y36" s="558"/>
      <c r="Z36" s="558"/>
      <c r="AA36" s="558"/>
      <c r="AB36" s="542"/>
      <c r="AC36" s="543"/>
      <c r="AD36" s="543"/>
      <c r="AE36" s="543"/>
      <c r="AF36" s="542"/>
      <c r="AG36" s="543"/>
      <c r="AH36" s="543"/>
      <c r="AI36" s="543"/>
      <c r="AJ36" s="541"/>
      <c r="AN36" s="541"/>
      <c r="AR36" s="541"/>
      <c r="AV36" s="543"/>
      <c r="AW36" s="543"/>
      <c r="AX36" s="543"/>
      <c r="AY36" s="545"/>
      <c r="AZ36" s="543"/>
      <c r="BA36" s="543"/>
      <c r="BB36" s="543"/>
      <c r="BC36" s="543"/>
      <c r="BD36" s="543"/>
      <c r="BE36" s="543"/>
      <c r="BF36" s="543"/>
      <c r="BG36" s="543"/>
      <c r="BH36" s="543"/>
      <c r="BI36" s="543"/>
      <c r="BJ36" s="543"/>
      <c r="BK36" s="543"/>
      <c r="BL36" s="543"/>
      <c r="BM36" s="543"/>
    </row>
    <row r="37">
      <c r="A37" s="573" t="s">
        <v>379</v>
      </c>
      <c r="B37" s="488"/>
      <c r="C37" s="574" t="s">
        <v>380</v>
      </c>
      <c r="D37" s="490"/>
      <c r="E37" s="490"/>
      <c r="F37" s="490"/>
      <c r="G37" s="490"/>
      <c r="H37" s="490"/>
      <c r="I37" s="490"/>
      <c r="J37" s="490"/>
      <c r="K37" s="490"/>
      <c r="L37" s="490"/>
      <c r="M37" s="490"/>
      <c r="N37" s="491"/>
      <c r="O37" s="575"/>
      <c r="P37" s="576" t="s">
        <v>340</v>
      </c>
      <c r="Q37" s="494"/>
      <c r="R37" s="494"/>
      <c r="S37" s="495"/>
      <c r="T37" s="576" t="s">
        <v>341</v>
      </c>
      <c r="U37" s="494"/>
      <c r="V37" s="494"/>
      <c r="W37" s="495"/>
      <c r="X37" s="576" t="s">
        <v>342</v>
      </c>
      <c r="Y37" s="494"/>
      <c r="Z37" s="494"/>
      <c r="AA37" s="495"/>
      <c r="AB37" s="576" t="s">
        <v>343</v>
      </c>
      <c r="AC37" s="494"/>
      <c r="AD37" s="494"/>
      <c r="AE37" s="495"/>
      <c r="AF37" s="576" t="s">
        <v>344</v>
      </c>
      <c r="AG37" s="494"/>
      <c r="AH37" s="494"/>
      <c r="AI37" s="495"/>
      <c r="AJ37" s="576" t="s">
        <v>345</v>
      </c>
      <c r="AK37" s="494"/>
      <c r="AL37" s="494"/>
      <c r="AM37" s="495"/>
      <c r="AN37" s="576" t="s">
        <v>346</v>
      </c>
      <c r="AO37" s="494"/>
      <c r="AP37" s="494"/>
      <c r="AQ37" s="495"/>
      <c r="AR37" s="576" t="s">
        <v>347</v>
      </c>
      <c r="AS37" s="494"/>
      <c r="AT37" s="494"/>
      <c r="AU37" s="495"/>
      <c r="AV37" s="576" t="s">
        <v>348</v>
      </c>
      <c r="AW37" s="494"/>
      <c r="AX37" s="494"/>
      <c r="AY37" s="495"/>
      <c r="AZ37" s="576" t="s">
        <v>349</v>
      </c>
      <c r="BA37" s="494"/>
      <c r="BB37" s="494"/>
      <c r="BC37" s="495"/>
      <c r="BD37" s="576" t="s">
        <v>350</v>
      </c>
      <c r="BE37" s="494"/>
      <c r="BF37" s="494"/>
      <c r="BG37" s="495"/>
      <c r="BH37" s="576" t="s">
        <v>351</v>
      </c>
      <c r="BI37" s="494"/>
      <c r="BJ37" s="494"/>
      <c r="BK37" s="495"/>
      <c r="BL37" s="500"/>
      <c r="BM37" s="500"/>
    </row>
    <row r="38">
      <c r="A38" s="577"/>
      <c r="B38" s="488"/>
      <c r="C38" s="502"/>
      <c r="N38" s="503"/>
      <c r="O38" s="559"/>
      <c r="P38" s="547" t="s">
        <v>381</v>
      </c>
      <c r="Q38" s="506"/>
      <c r="R38" s="506"/>
      <c r="S38" s="507"/>
      <c r="T38" s="547" t="s">
        <v>381</v>
      </c>
      <c r="U38" s="506"/>
      <c r="V38" s="506"/>
      <c r="W38" s="507"/>
      <c r="X38" s="547" t="s">
        <v>381</v>
      </c>
      <c r="Y38" s="506"/>
      <c r="Z38" s="506"/>
      <c r="AA38" s="507"/>
      <c r="AB38" s="547" t="s">
        <v>381</v>
      </c>
      <c r="AC38" s="506"/>
      <c r="AD38" s="506"/>
      <c r="AE38" s="507"/>
      <c r="AF38" s="547" t="s">
        <v>381</v>
      </c>
      <c r="AG38" s="506"/>
      <c r="AH38" s="506"/>
      <c r="AI38" s="507"/>
      <c r="AJ38" s="547" t="s">
        <v>381</v>
      </c>
      <c r="AK38" s="506"/>
      <c r="AL38" s="506"/>
      <c r="AM38" s="507"/>
      <c r="AN38" s="547" t="s">
        <v>381</v>
      </c>
      <c r="AO38" s="506"/>
      <c r="AP38" s="506"/>
      <c r="AQ38" s="507"/>
      <c r="AR38" s="547" t="s">
        <v>373</v>
      </c>
      <c r="AS38" s="506"/>
      <c r="AT38" s="506"/>
      <c r="AU38" s="507"/>
      <c r="AV38" s="547" t="s">
        <v>373</v>
      </c>
      <c r="AW38" s="506"/>
      <c r="AX38" s="506"/>
      <c r="AY38" s="507"/>
      <c r="AZ38" s="547" t="s">
        <v>373</v>
      </c>
      <c r="BA38" s="506"/>
      <c r="BB38" s="506"/>
      <c r="BC38" s="507"/>
      <c r="BD38" s="547" t="s">
        <v>373</v>
      </c>
      <c r="BE38" s="506"/>
      <c r="BF38" s="506"/>
      <c r="BG38" s="507"/>
      <c r="BH38" s="547" t="s">
        <v>373</v>
      </c>
      <c r="BI38" s="506"/>
      <c r="BJ38" s="506"/>
      <c r="BK38" s="549"/>
      <c r="BL38" s="562"/>
      <c r="BM38" s="562" t="s">
        <v>382</v>
      </c>
    </row>
    <row r="39">
      <c r="A39" s="578"/>
      <c r="B39" s="511"/>
      <c r="C39" s="512"/>
      <c r="D39" s="513"/>
      <c r="E39" s="513"/>
      <c r="F39" s="513"/>
      <c r="G39" s="513"/>
      <c r="H39" s="513"/>
      <c r="I39" s="513"/>
      <c r="J39" s="513"/>
      <c r="K39" s="513"/>
      <c r="L39" s="513"/>
      <c r="M39" s="513"/>
      <c r="N39" s="514"/>
      <c r="O39" s="515"/>
      <c r="P39" s="579">
        <v>84000.0</v>
      </c>
      <c r="Q39" s="498"/>
      <c r="R39" s="498"/>
      <c r="S39" s="498"/>
      <c r="T39" s="579">
        <v>84000.0</v>
      </c>
      <c r="U39" s="498"/>
      <c r="V39" s="498"/>
      <c r="W39" s="498"/>
      <c r="X39" s="579">
        <v>84000.0</v>
      </c>
      <c r="Y39" s="498"/>
      <c r="Z39" s="498"/>
      <c r="AA39" s="498"/>
      <c r="AB39" s="579">
        <v>112853.0</v>
      </c>
      <c r="AC39" s="498"/>
      <c r="AD39" s="498"/>
      <c r="AE39" s="498"/>
      <c r="AF39" s="579">
        <v>140000.0</v>
      </c>
      <c r="AG39" s="498"/>
      <c r="AH39" s="498"/>
      <c r="AI39" s="498"/>
      <c r="AJ39" s="579">
        <v>140000.0</v>
      </c>
      <c r="AK39" s="498"/>
      <c r="AL39" s="498"/>
      <c r="AM39" s="498"/>
      <c r="AN39" s="579">
        <v>95000.0</v>
      </c>
      <c r="AO39" s="498"/>
      <c r="AP39" s="498"/>
      <c r="AQ39" s="498"/>
      <c r="AR39" s="579">
        <v>95000.0</v>
      </c>
      <c r="AS39" s="498"/>
      <c r="AT39" s="498"/>
      <c r="AU39" s="498"/>
      <c r="AV39" s="579">
        <v>120000.0</v>
      </c>
      <c r="AW39" s="498"/>
      <c r="AX39" s="498"/>
      <c r="AY39" s="498"/>
      <c r="AZ39" s="579">
        <v>120000.0</v>
      </c>
      <c r="BA39" s="498"/>
      <c r="BB39" s="498"/>
      <c r="BC39" s="498"/>
      <c r="BD39" s="579">
        <v>140000.0</v>
      </c>
      <c r="BE39" s="498"/>
      <c r="BF39" s="498"/>
      <c r="BG39" s="498"/>
      <c r="BH39" s="579">
        <v>140000.0</v>
      </c>
      <c r="BI39" s="498"/>
      <c r="BJ39" s="498"/>
      <c r="BK39" s="498"/>
      <c r="BL39" s="509"/>
      <c r="BM39" s="519">
        <f>SUM(P39:BH39)</f>
        <v>1354853</v>
      </c>
    </row>
    <row r="40">
      <c r="A40" s="580" t="s">
        <v>383</v>
      </c>
      <c r="B40" s="521"/>
      <c r="C40" s="552" t="s">
        <v>354</v>
      </c>
      <c r="D40" s="552" t="s">
        <v>355</v>
      </c>
      <c r="E40" s="552" t="s">
        <v>356</v>
      </c>
      <c r="F40" s="552" t="s">
        <v>357</v>
      </c>
      <c r="G40" s="552" t="s">
        <v>5</v>
      </c>
      <c r="H40" s="552" t="s">
        <v>358</v>
      </c>
      <c r="I40" s="552" t="s">
        <v>359</v>
      </c>
      <c r="J40" s="552" t="s">
        <v>360</v>
      </c>
      <c r="K40" s="552" t="s">
        <v>361</v>
      </c>
      <c r="L40" s="552" t="s">
        <v>362</v>
      </c>
      <c r="M40" s="552" t="s">
        <v>363</v>
      </c>
      <c r="N40" s="552" t="s">
        <v>364</v>
      </c>
      <c r="O40" s="515"/>
      <c r="P40" s="552" t="s">
        <v>319</v>
      </c>
      <c r="Q40" s="552" t="s">
        <v>365</v>
      </c>
      <c r="R40" s="552" t="s">
        <v>366</v>
      </c>
      <c r="S40" s="552" t="s">
        <v>367</v>
      </c>
      <c r="T40" s="552" t="s">
        <v>319</v>
      </c>
      <c r="U40" s="552" t="s">
        <v>365</v>
      </c>
      <c r="V40" s="552" t="s">
        <v>366</v>
      </c>
      <c r="W40" s="552" t="s">
        <v>367</v>
      </c>
      <c r="X40" s="552" t="s">
        <v>319</v>
      </c>
      <c r="Y40" s="552" t="s">
        <v>365</v>
      </c>
      <c r="Z40" s="552" t="s">
        <v>366</v>
      </c>
      <c r="AA40" s="552" t="s">
        <v>367</v>
      </c>
      <c r="AB40" s="552" t="s">
        <v>319</v>
      </c>
      <c r="AC40" s="552" t="s">
        <v>365</v>
      </c>
      <c r="AD40" s="552" t="s">
        <v>366</v>
      </c>
      <c r="AE40" s="552" t="s">
        <v>367</v>
      </c>
      <c r="AF40" s="581" t="s">
        <v>319</v>
      </c>
      <c r="AG40" s="581" t="s">
        <v>365</v>
      </c>
      <c r="AH40" s="581" t="s">
        <v>366</v>
      </c>
      <c r="AI40" s="581" t="s">
        <v>367</v>
      </c>
      <c r="AJ40" s="581" t="s">
        <v>319</v>
      </c>
      <c r="AK40" s="581" t="s">
        <v>365</v>
      </c>
      <c r="AL40" s="581" t="s">
        <v>366</v>
      </c>
      <c r="AM40" s="581" t="s">
        <v>367</v>
      </c>
      <c r="AN40" s="581" t="s">
        <v>319</v>
      </c>
      <c r="AO40" s="581" t="s">
        <v>365</v>
      </c>
      <c r="AP40" s="581" t="s">
        <v>366</v>
      </c>
      <c r="AQ40" s="581" t="s">
        <v>367</v>
      </c>
      <c r="AR40" s="552" t="s">
        <v>319</v>
      </c>
      <c r="AS40" s="552" t="s">
        <v>365</v>
      </c>
      <c r="AT40" s="552" t="s">
        <v>366</v>
      </c>
      <c r="AU40" s="552" t="s">
        <v>367</v>
      </c>
      <c r="AV40" s="552" t="s">
        <v>319</v>
      </c>
      <c r="AW40" s="552" t="s">
        <v>365</v>
      </c>
      <c r="AX40" s="552" t="s">
        <v>366</v>
      </c>
      <c r="AY40" s="552" t="s">
        <v>367</v>
      </c>
      <c r="AZ40" s="552" t="s">
        <v>319</v>
      </c>
      <c r="BA40" s="552" t="s">
        <v>365</v>
      </c>
      <c r="BB40" s="552" t="s">
        <v>366</v>
      </c>
      <c r="BC40" s="552" t="s">
        <v>367</v>
      </c>
      <c r="BD40" s="552" t="s">
        <v>319</v>
      </c>
      <c r="BE40" s="552" t="s">
        <v>365</v>
      </c>
      <c r="BF40" s="552" t="s">
        <v>366</v>
      </c>
      <c r="BG40" s="552" t="s">
        <v>367</v>
      </c>
      <c r="BH40" s="552" t="s">
        <v>319</v>
      </c>
      <c r="BI40" s="552" t="s">
        <v>365</v>
      </c>
      <c r="BJ40" s="552" t="s">
        <v>366</v>
      </c>
      <c r="BK40" s="552" t="s">
        <v>367</v>
      </c>
      <c r="BL40" s="533"/>
      <c r="BM40" s="533"/>
    </row>
    <row r="41" ht="12.75" customHeight="1">
      <c r="A41" s="582" t="s">
        <v>384</v>
      </c>
      <c r="B41" s="511"/>
      <c r="C41" s="572">
        <f>LT!B110</f>
        <v>230</v>
      </c>
      <c r="D41" s="572">
        <f>LT!C110</f>
        <v>240</v>
      </c>
      <c r="E41" s="572">
        <f>LT!D110</f>
        <v>300</v>
      </c>
      <c r="F41" s="583">
        <f>LT!E110</f>
        <v>330</v>
      </c>
      <c r="G41" s="572">
        <f>LT!F110</f>
        <v>330</v>
      </c>
      <c r="H41" s="572">
        <f>LT!G110</f>
        <v>350</v>
      </c>
      <c r="I41" s="572">
        <f>LT!H110</f>
        <v>375</v>
      </c>
      <c r="J41" s="572">
        <f>LT!I110</f>
        <v>375</v>
      </c>
      <c r="K41" s="572">
        <f>LT!J110</f>
        <v>350</v>
      </c>
      <c r="L41" s="572">
        <f>LT!K110</f>
        <v>350</v>
      </c>
      <c r="M41" s="572">
        <f>LT!L110</f>
        <v>350</v>
      </c>
      <c r="N41" s="572">
        <f>LT!M110</f>
        <v>400</v>
      </c>
      <c r="O41" s="515"/>
      <c r="P41" s="553">
        <f t="shared" ref="P41:P56" si="101">SUM(C41:N41)</f>
        <v>3980</v>
      </c>
      <c r="Q41" s="584">
        <f t="shared" ref="Q41:Q52" si="102">P$39*0.4/14</f>
        <v>2400</v>
      </c>
      <c r="R41" s="554">
        <f>(P39*0.6)*(P41/P57)</f>
        <v>10107.93651</v>
      </c>
      <c r="S41" s="554">
        <f t="shared" ref="S41:S56" si="103">Q41+R41</f>
        <v>12507.93651</v>
      </c>
      <c r="T41" s="585">
        <f t="shared" ref="T41:T56" si="104">SUM(C41:N41)</f>
        <v>3980</v>
      </c>
      <c r="U41" s="584">
        <f t="shared" ref="U41:U52" si="105">T$39*0.4/14</f>
        <v>2400</v>
      </c>
      <c r="V41" s="554">
        <f>(T39*0.6)*(T41/T57)</f>
        <v>10107.93651</v>
      </c>
      <c r="W41" s="554">
        <f t="shared" ref="W41:W56" si="106">U41+V41</f>
        <v>12507.93651</v>
      </c>
      <c r="X41" s="585">
        <f t="shared" ref="X41:X56" si="107">SUM(C41:N41)</f>
        <v>3980</v>
      </c>
      <c r="Y41" s="584">
        <f t="shared" ref="Y41:Y52" si="108">X$39*0.4/14</f>
        <v>2400</v>
      </c>
      <c r="Z41" s="554">
        <f>(X39*0.6)*(X41/X57)</f>
        <v>10107.93651</v>
      </c>
      <c r="AA41" s="554">
        <f t="shared" ref="AA41:AA56" si="109">Y41+Z41</f>
        <v>12507.93651</v>
      </c>
      <c r="AB41" s="586">
        <f t="shared" ref="AB41:AB56" si="110">SUM(C41:N41)</f>
        <v>3980</v>
      </c>
      <c r="AC41" s="584">
        <f t="shared" ref="AC41:AC52" si="111">AB$39*0.4/14</f>
        <v>3224.371429</v>
      </c>
      <c r="AD41" s="554">
        <f>(AB39*0.6)*(AB41/AB57)</f>
        <v>13579.89237</v>
      </c>
      <c r="AE41" s="554">
        <f t="shared" ref="AE41:AE56" si="112">AC41+AD41</f>
        <v>16804.26379</v>
      </c>
      <c r="AF41" s="586">
        <f>SUM(F41:G41)</f>
        <v>660</v>
      </c>
      <c r="AG41" s="587">
        <v>0.0</v>
      </c>
      <c r="AH41" s="554">
        <f>(AF39*0.6)*(AF41/AF57)</f>
        <v>3354.916793</v>
      </c>
      <c r="AI41" s="554">
        <f t="shared" ref="AI41:AI56" si="113">AG41+AH41</f>
        <v>3354.916793</v>
      </c>
      <c r="AJ41" s="586">
        <f>SUM(H41:N41)</f>
        <v>2550</v>
      </c>
      <c r="AK41" s="584">
        <f t="shared" ref="AK41:AK52" si="114">AJ$39*0.4/14</f>
        <v>4000</v>
      </c>
      <c r="AL41" s="554">
        <f>(AJ39*0.6)*(AJ41/AJ57)</f>
        <v>11631.82188</v>
      </c>
      <c r="AM41" s="554">
        <f t="shared" ref="AM41:AM56" si="115">AK41+AL41</f>
        <v>15631.82188</v>
      </c>
      <c r="AN41" s="586">
        <f>SUM(H41:N41)</f>
        <v>2550</v>
      </c>
      <c r="AO41" s="584">
        <f t="shared" ref="AO41:AO52" si="116">AN$39*0.4/14</f>
        <v>2714.285714</v>
      </c>
      <c r="AP41" s="554">
        <f>(AN39*0.6)*(AN41/AN57)</f>
        <v>7893.021993</v>
      </c>
      <c r="AQ41" s="554">
        <f t="shared" ref="AQ41:AQ56" si="117">AO41+AP41</f>
        <v>10607.30771</v>
      </c>
      <c r="AR41" s="586">
        <f>SUM(H41:N41)</f>
        <v>2550</v>
      </c>
      <c r="AS41" s="584">
        <f t="shared" ref="AS41:AS52" si="118">AR$39*0.4/14</f>
        <v>2714.285714</v>
      </c>
      <c r="AT41" s="554">
        <f>(AR39*0.6)*(AR41/AR57)</f>
        <v>7893.021993</v>
      </c>
      <c r="AU41" s="554">
        <f t="shared" ref="AU41:AU56" si="119">AS41+AT41</f>
        <v>10607.30771</v>
      </c>
      <c r="AV41" s="586">
        <f>SUM(H41:N41)</f>
        <v>2550</v>
      </c>
      <c r="AW41" s="584">
        <f t="shared" ref="AW41:AW52" si="120">AV$39*0.4/14</f>
        <v>3428.571429</v>
      </c>
      <c r="AX41" s="554">
        <f>(AV39*0.6)*(AV41/AV57)</f>
        <v>9970.133044</v>
      </c>
      <c r="AY41" s="554">
        <f t="shared" ref="AY41:AY56" si="121">AW41+AX41</f>
        <v>13398.70447</v>
      </c>
      <c r="AZ41" s="586">
        <f>SUM(H41:N41)</f>
        <v>2550</v>
      </c>
      <c r="BA41" s="584">
        <f t="shared" ref="BA41:BA52" si="122">AZ$39*0.4/14</f>
        <v>3428.571429</v>
      </c>
      <c r="BB41" s="554">
        <f>(AZ39*0.6)*(AZ41/AZ57)</f>
        <v>9970.133044</v>
      </c>
      <c r="BC41" s="554">
        <f t="shared" ref="BC41:BC56" si="123">BA41+BB41</f>
        <v>13398.70447</v>
      </c>
      <c r="BD41" s="586">
        <f>SUM(H41:N41)</f>
        <v>2550</v>
      </c>
      <c r="BE41" s="584">
        <f t="shared" ref="BE41:BE52" si="124">BD$39*0.4/14</f>
        <v>4000</v>
      </c>
      <c r="BF41" s="554">
        <f>(BD39*0.6)*(BD41/BD57)</f>
        <v>11631.82188</v>
      </c>
      <c r="BG41" s="554">
        <f t="shared" ref="BG41:BG56" si="125">BE41+BF41</f>
        <v>15631.82188</v>
      </c>
      <c r="BH41" s="586">
        <f>SUM(H41:N41)</f>
        <v>2550</v>
      </c>
      <c r="BI41" s="584">
        <f t="shared" ref="BI41:BI52" si="126">BH$39*0.4/14</f>
        <v>4000</v>
      </c>
      <c r="BJ41" s="554">
        <f>(BH39*0.6)*(BH41/BH57)</f>
        <v>11631.82188</v>
      </c>
      <c r="BK41" s="554">
        <f t="shared" ref="BK41:BK56" si="127">BI41+BJ41</f>
        <v>15631.82188</v>
      </c>
      <c r="BL41" s="555"/>
      <c r="BM41" s="555"/>
    </row>
    <row r="42" ht="12.75" customHeight="1">
      <c r="A42" s="588" t="s">
        <v>377</v>
      </c>
      <c r="B42" s="511"/>
      <c r="C42" s="572">
        <f>SP!B110</f>
        <v>76</v>
      </c>
      <c r="D42" s="572">
        <f>SP!C110</f>
        <v>80</v>
      </c>
      <c r="E42" s="572">
        <f>SP!D110</f>
        <v>90</v>
      </c>
      <c r="F42" s="572">
        <f>SP!E110</f>
        <v>105</v>
      </c>
      <c r="G42" s="572">
        <f>SP!F110</f>
        <v>105</v>
      </c>
      <c r="H42" s="572">
        <f>SP!G110</f>
        <v>105</v>
      </c>
      <c r="I42" s="572">
        <f>SP!H110</f>
        <v>110</v>
      </c>
      <c r="J42" s="572">
        <f>SP!I110</f>
        <v>115</v>
      </c>
      <c r="K42" s="572">
        <f>SP!J110</f>
        <v>100</v>
      </c>
      <c r="L42" s="572">
        <f>SP!K110</f>
        <v>100</v>
      </c>
      <c r="M42" s="572">
        <f>SP!L110</f>
        <v>105</v>
      </c>
      <c r="N42" s="572">
        <f>SP!M110</f>
        <v>125</v>
      </c>
      <c r="O42" s="515"/>
      <c r="P42" s="553">
        <f t="shared" si="101"/>
        <v>1216</v>
      </c>
      <c r="Q42" s="584">
        <f t="shared" si="102"/>
        <v>2400</v>
      </c>
      <c r="R42" s="589">
        <f>(P39*0.6)*(P42/P57)</f>
        <v>3088.253968</v>
      </c>
      <c r="S42" s="554">
        <f t="shared" si="103"/>
        <v>5488.253968</v>
      </c>
      <c r="T42" s="585">
        <f t="shared" si="104"/>
        <v>1216</v>
      </c>
      <c r="U42" s="584">
        <f t="shared" si="105"/>
        <v>2400</v>
      </c>
      <c r="V42" s="589">
        <f>(T39*0.6)*(T42/T57)</f>
        <v>3088.253968</v>
      </c>
      <c r="W42" s="554">
        <f t="shared" si="106"/>
        <v>5488.253968</v>
      </c>
      <c r="X42" s="590">
        <f t="shared" si="107"/>
        <v>1216</v>
      </c>
      <c r="Y42" s="584">
        <f t="shared" si="108"/>
        <v>2400</v>
      </c>
      <c r="Z42" s="589">
        <f>(X39*0.6)*(X42/X57)</f>
        <v>3088.253968</v>
      </c>
      <c r="AA42" s="554">
        <f t="shared" si="109"/>
        <v>5488.253968</v>
      </c>
      <c r="AB42" s="586">
        <f t="shared" si="110"/>
        <v>1216</v>
      </c>
      <c r="AC42" s="584">
        <f t="shared" si="111"/>
        <v>3224.371429</v>
      </c>
      <c r="AD42" s="589">
        <f>(AB39*0.6)*(AB42/AB57)</f>
        <v>4149.032441</v>
      </c>
      <c r="AE42" s="554">
        <f t="shared" si="112"/>
        <v>7373.40387</v>
      </c>
      <c r="AF42" s="586">
        <f t="shared" ref="AF42:AF56" si="128">SUM(C42:N42)</f>
        <v>1216</v>
      </c>
      <c r="AG42" s="584">
        <f t="shared" ref="AG42:AG52" si="129">AF$39*0.4/13</f>
        <v>4307.692308</v>
      </c>
      <c r="AH42" s="589">
        <f>(AF39*0.6)*(AF42/AF57)</f>
        <v>6181.18003</v>
      </c>
      <c r="AI42" s="554">
        <f t="shared" si="113"/>
        <v>10488.87234</v>
      </c>
      <c r="AJ42" s="586">
        <f t="shared" ref="AJ42:AJ56" si="130">SUM(C42:N42)</f>
        <v>1216</v>
      </c>
      <c r="AK42" s="584">
        <f t="shared" si="114"/>
        <v>4000</v>
      </c>
      <c r="AL42" s="589">
        <f>(AJ39*0.6)*(AJ42/AJ57)</f>
        <v>5546.782514</v>
      </c>
      <c r="AM42" s="554">
        <f t="shared" si="115"/>
        <v>9546.782514</v>
      </c>
      <c r="AN42" s="586">
        <f t="shared" ref="AN42:AN56" si="131">SUM(C42:N42)</f>
        <v>1216</v>
      </c>
      <c r="AO42" s="584">
        <f t="shared" si="116"/>
        <v>2714.285714</v>
      </c>
      <c r="AP42" s="589">
        <f>(AN39*0.6)*(AN42/AN57)</f>
        <v>3763.888135</v>
      </c>
      <c r="AQ42" s="554">
        <f t="shared" si="117"/>
        <v>6478.173849</v>
      </c>
      <c r="AR42" s="586">
        <f t="shared" ref="AR42:AR56" si="132">SUM(C42:N42)</f>
        <v>1216</v>
      </c>
      <c r="AS42" s="584">
        <f t="shared" si="118"/>
        <v>2714.285714</v>
      </c>
      <c r="AT42" s="589">
        <f>(AR39*0.6)*(AR42/AR57)</f>
        <v>3763.888135</v>
      </c>
      <c r="AU42" s="554">
        <f t="shared" si="119"/>
        <v>6478.173849</v>
      </c>
      <c r="AV42" s="586">
        <f t="shared" ref="AV42:AV56" si="133">SUM(C42:N42)</f>
        <v>1216</v>
      </c>
      <c r="AW42" s="584">
        <f t="shared" si="120"/>
        <v>3428.571429</v>
      </c>
      <c r="AX42" s="589">
        <f>(AV39*0.6)*(AV42/AV57)</f>
        <v>4754.385012</v>
      </c>
      <c r="AY42" s="554">
        <f t="shared" si="121"/>
        <v>8182.956441</v>
      </c>
      <c r="AZ42" s="586">
        <f t="shared" ref="AZ42:AZ56" si="134">SUM(C42:N42)</f>
        <v>1216</v>
      </c>
      <c r="BA42" s="584">
        <f t="shared" si="122"/>
        <v>3428.571429</v>
      </c>
      <c r="BB42" s="589">
        <f>(AZ39*0.6)*(AZ42/AZ57)</f>
        <v>4754.385012</v>
      </c>
      <c r="BC42" s="554">
        <f t="shared" si="123"/>
        <v>8182.956441</v>
      </c>
      <c r="BD42" s="586">
        <f t="shared" ref="BD42:BD56" si="135">SUM(C42:N42)</f>
        <v>1216</v>
      </c>
      <c r="BE42" s="584">
        <f t="shared" si="124"/>
        <v>4000</v>
      </c>
      <c r="BF42" s="589">
        <f>(BD39*0.6)*(BD42/BD57)</f>
        <v>5546.782514</v>
      </c>
      <c r="BG42" s="554">
        <f t="shared" si="125"/>
        <v>9546.782514</v>
      </c>
      <c r="BH42" s="586">
        <f t="shared" ref="BH42:BH56" si="136">SUM(C42:N42)</f>
        <v>1216</v>
      </c>
      <c r="BI42" s="584">
        <f t="shared" si="126"/>
        <v>4000</v>
      </c>
      <c r="BJ42" s="589">
        <f>(BH39*0.6)*(BH42/BH57)</f>
        <v>5546.782514</v>
      </c>
      <c r="BK42" s="554">
        <f t="shared" si="127"/>
        <v>9546.782514</v>
      </c>
      <c r="BL42" s="555"/>
      <c r="BM42" s="555"/>
    </row>
    <row r="43" ht="12.75" customHeight="1">
      <c r="A43" s="588" t="s">
        <v>376</v>
      </c>
      <c r="B43" s="511"/>
      <c r="C43" s="572">
        <f>GA!B110</f>
        <v>124</v>
      </c>
      <c r="D43" s="572">
        <f>GA!C110</f>
        <v>176</v>
      </c>
      <c r="E43" s="572">
        <f>GA!D110</f>
        <v>167</v>
      </c>
      <c r="F43" s="572">
        <f>GA!E110</f>
        <v>167</v>
      </c>
      <c r="G43" s="572">
        <f>GA!F110</f>
        <v>170</v>
      </c>
      <c r="H43" s="572">
        <f>GA!G110</f>
        <v>163</v>
      </c>
      <c r="I43" s="572">
        <f>GA!H110</f>
        <v>165</v>
      </c>
      <c r="J43" s="572">
        <f>GA!I110</f>
        <v>164</v>
      </c>
      <c r="K43" s="572">
        <f>GA!J110</f>
        <v>155</v>
      </c>
      <c r="L43" s="572">
        <f>GA!K110</f>
        <v>151</v>
      </c>
      <c r="M43" s="572">
        <f>GA!L110</f>
        <v>161</v>
      </c>
      <c r="N43" s="572">
        <f>GA!M110</f>
        <v>196</v>
      </c>
      <c r="O43" s="515"/>
      <c r="P43" s="553">
        <f t="shared" si="101"/>
        <v>1959</v>
      </c>
      <c r="Q43" s="584">
        <f t="shared" si="102"/>
        <v>2400</v>
      </c>
      <c r="R43" s="589">
        <f>(P39*0.6)*(P43/P57)</f>
        <v>4975.238095</v>
      </c>
      <c r="S43" s="554">
        <f t="shared" si="103"/>
        <v>7375.238095</v>
      </c>
      <c r="T43" s="585">
        <f t="shared" si="104"/>
        <v>1959</v>
      </c>
      <c r="U43" s="584">
        <f t="shared" si="105"/>
        <v>2400</v>
      </c>
      <c r="V43" s="589">
        <f>(T39*0.6)*(T43/T57)</f>
        <v>4975.238095</v>
      </c>
      <c r="W43" s="554">
        <f t="shared" si="106"/>
        <v>7375.238095</v>
      </c>
      <c r="X43" s="590">
        <f t="shared" si="107"/>
        <v>1959</v>
      </c>
      <c r="Y43" s="584">
        <f t="shared" si="108"/>
        <v>2400</v>
      </c>
      <c r="Z43" s="589">
        <f>(X39*0.6)*(X43/X57)</f>
        <v>4975.238095</v>
      </c>
      <c r="AA43" s="554">
        <f t="shared" si="109"/>
        <v>7375.238095</v>
      </c>
      <c r="AB43" s="586">
        <f t="shared" si="110"/>
        <v>1959</v>
      </c>
      <c r="AC43" s="584">
        <f t="shared" si="111"/>
        <v>3224.371429</v>
      </c>
      <c r="AD43" s="589">
        <f>(AB39*0.6)*(AB43/AB57)</f>
        <v>6684.173152</v>
      </c>
      <c r="AE43" s="554">
        <f t="shared" si="112"/>
        <v>9908.54458</v>
      </c>
      <c r="AF43" s="586">
        <f t="shared" si="128"/>
        <v>1959</v>
      </c>
      <c r="AG43" s="584">
        <f t="shared" si="129"/>
        <v>4307.692308</v>
      </c>
      <c r="AH43" s="589">
        <f>(AF39*0.6)*(AF43/AF57)</f>
        <v>9958.003026</v>
      </c>
      <c r="AI43" s="554">
        <f t="shared" si="113"/>
        <v>14265.69533</v>
      </c>
      <c r="AJ43" s="586">
        <f t="shared" si="130"/>
        <v>1959</v>
      </c>
      <c r="AK43" s="584">
        <f t="shared" si="114"/>
        <v>4000</v>
      </c>
      <c r="AL43" s="589">
        <f>(AJ39*0.6)*(AJ43/AJ57)</f>
        <v>8935.976106</v>
      </c>
      <c r="AM43" s="554">
        <f t="shared" si="115"/>
        <v>12935.97611</v>
      </c>
      <c r="AN43" s="586">
        <f t="shared" si="131"/>
        <v>1959</v>
      </c>
      <c r="AO43" s="584">
        <f t="shared" si="116"/>
        <v>2714.285714</v>
      </c>
      <c r="AP43" s="589">
        <f>(AN39*0.6)*(AN43/AN57)</f>
        <v>6063.698072</v>
      </c>
      <c r="AQ43" s="554">
        <f t="shared" si="117"/>
        <v>8777.983787</v>
      </c>
      <c r="AR43" s="586">
        <f t="shared" si="132"/>
        <v>1959</v>
      </c>
      <c r="AS43" s="584">
        <f t="shared" si="118"/>
        <v>2714.285714</v>
      </c>
      <c r="AT43" s="589">
        <f>(AR39*0.6)*(AR43/AR57)</f>
        <v>6063.698072</v>
      </c>
      <c r="AU43" s="554">
        <f t="shared" si="119"/>
        <v>8777.983787</v>
      </c>
      <c r="AV43" s="586">
        <f t="shared" si="133"/>
        <v>1959</v>
      </c>
      <c r="AW43" s="584">
        <f t="shared" si="120"/>
        <v>3428.571429</v>
      </c>
      <c r="AX43" s="589">
        <f>(AV39*0.6)*(AV43/AV57)</f>
        <v>7659.408091</v>
      </c>
      <c r="AY43" s="554">
        <f t="shared" si="121"/>
        <v>11087.97952</v>
      </c>
      <c r="AZ43" s="586">
        <f t="shared" si="134"/>
        <v>1959</v>
      </c>
      <c r="BA43" s="584">
        <f t="shared" si="122"/>
        <v>3428.571429</v>
      </c>
      <c r="BB43" s="589">
        <f>(AZ39*0.6)*(AZ43/AZ57)</f>
        <v>7659.408091</v>
      </c>
      <c r="BC43" s="554">
        <f t="shared" si="123"/>
        <v>11087.97952</v>
      </c>
      <c r="BD43" s="586">
        <f t="shared" si="135"/>
        <v>1959</v>
      </c>
      <c r="BE43" s="584">
        <f t="shared" si="124"/>
        <v>4000</v>
      </c>
      <c r="BF43" s="589">
        <f>(BD39*0.6)*(BD43/BD57)</f>
        <v>8935.976106</v>
      </c>
      <c r="BG43" s="554">
        <f t="shared" si="125"/>
        <v>12935.97611</v>
      </c>
      <c r="BH43" s="586">
        <f t="shared" si="136"/>
        <v>1959</v>
      </c>
      <c r="BI43" s="584">
        <f t="shared" si="126"/>
        <v>4000</v>
      </c>
      <c r="BJ43" s="589">
        <f>(BH39*0.6)*(BH43/BH57)</f>
        <v>8935.976106</v>
      </c>
      <c r="BK43" s="554">
        <f t="shared" si="127"/>
        <v>12935.97611</v>
      </c>
      <c r="BL43" s="555"/>
      <c r="BM43" s="555"/>
    </row>
    <row r="44" ht="12.75" customHeight="1">
      <c r="A44" s="588" t="s">
        <v>378</v>
      </c>
      <c r="B44" s="511"/>
      <c r="C44" s="572">
        <f>WR!B110</f>
        <v>60</v>
      </c>
      <c r="D44" s="572">
        <f>WR!C110</f>
        <v>65</v>
      </c>
      <c r="E44" s="572">
        <f>WR!D110</f>
        <v>75</v>
      </c>
      <c r="F44" s="572">
        <f>WR!E110</f>
        <v>75</v>
      </c>
      <c r="G44" s="572">
        <f>WR!F110</f>
        <v>85</v>
      </c>
      <c r="H44" s="572">
        <f>WR!G110</f>
        <v>75</v>
      </c>
      <c r="I44" s="572">
        <f>WR!H110</f>
        <v>80</v>
      </c>
      <c r="J44" s="572">
        <f>WR!I110</f>
        <v>80</v>
      </c>
      <c r="K44" s="572">
        <f>WR!J110</f>
        <v>80</v>
      </c>
      <c r="L44" s="572">
        <f>WR!K110</f>
        <v>75</v>
      </c>
      <c r="M44" s="572">
        <f>WR!L110</f>
        <v>80</v>
      </c>
      <c r="N44" s="572">
        <f>WR!M110</f>
        <v>95</v>
      </c>
      <c r="O44" s="515"/>
      <c r="P44" s="553">
        <f t="shared" si="101"/>
        <v>925</v>
      </c>
      <c r="Q44" s="584">
        <f t="shared" si="102"/>
        <v>2400</v>
      </c>
      <c r="R44" s="589">
        <f>(P39*0.6)*(P44/P57)</f>
        <v>2349.206349</v>
      </c>
      <c r="S44" s="554">
        <f t="shared" si="103"/>
        <v>4749.206349</v>
      </c>
      <c r="T44" s="585">
        <f t="shared" si="104"/>
        <v>925</v>
      </c>
      <c r="U44" s="584">
        <f t="shared" si="105"/>
        <v>2400</v>
      </c>
      <c r="V44" s="589">
        <f>(T39*0.6)*(T44/T57)</f>
        <v>2349.206349</v>
      </c>
      <c r="W44" s="554">
        <f t="shared" si="106"/>
        <v>4749.206349</v>
      </c>
      <c r="X44" s="590">
        <f t="shared" si="107"/>
        <v>925</v>
      </c>
      <c r="Y44" s="584">
        <f t="shared" si="108"/>
        <v>2400</v>
      </c>
      <c r="Z44" s="589">
        <f>(X39*0.6)*(X44/X57)</f>
        <v>2349.206349</v>
      </c>
      <c r="AA44" s="554">
        <f t="shared" si="109"/>
        <v>4749.206349</v>
      </c>
      <c r="AB44" s="586">
        <f t="shared" si="110"/>
        <v>925</v>
      </c>
      <c r="AC44" s="584">
        <f t="shared" si="111"/>
        <v>3224.371429</v>
      </c>
      <c r="AD44" s="589">
        <f>(AB39*0.6)*(AB44/AB57)</f>
        <v>3156.130763</v>
      </c>
      <c r="AE44" s="554">
        <f t="shared" si="112"/>
        <v>6380.502192</v>
      </c>
      <c r="AF44" s="586">
        <f t="shared" si="128"/>
        <v>925</v>
      </c>
      <c r="AG44" s="584">
        <f t="shared" si="129"/>
        <v>4307.692308</v>
      </c>
      <c r="AH44" s="589">
        <f>(AF39*0.6)*(AF44/AF57)</f>
        <v>4701.966717</v>
      </c>
      <c r="AI44" s="554">
        <f t="shared" si="113"/>
        <v>9009.659025</v>
      </c>
      <c r="AJ44" s="586">
        <f t="shared" si="130"/>
        <v>925</v>
      </c>
      <c r="AK44" s="584">
        <f t="shared" si="114"/>
        <v>4000</v>
      </c>
      <c r="AL44" s="589">
        <f>(AJ39*0.6)*(AJ44/AJ57)</f>
        <v>4219.38637</v>
      </c>
      <c r="AM44" s="554">
        <f t="shared" si="115"/>
        <v>8219.38637</v>
      </c>
      <c r="AN44" s="586">
        <f t="shared" si="131"/>
        <v>925</v>
      </c>
      <c r="AO44" s="584">
        <f t="shared" si="116"/>
        <v>2714.285714</v>
      </c>
      <c r="AP44" s="589">
        <f>(AN39*0.6)*(AN44/AN57)</f>
        <v>2863.155037</v>
      </c>
      <c r="AQ44" s="554">
        <f t="shared" si="117"/>
        <v>5577.440751</v>
      </c>
      <c r="AR44" s="586">
        <f t="shared" si="132"/>
        <v>925</v>
      </c>
      <c r="AS44" s="584">
        <f t="shared" si="118"/>
        <v>2714.285714</v>
      </c>
      <c r="AT44" s="589">
        <f>(AR39*0.6)*(AR44/AR57)</f>
        <v>2863.155037</v>
      </c>
      <c r="AU44" s="554">
        <f t="shared" si="119"/>
        <v>5577.440751</v>
      </c>
      <c r="AV44" s="586">
        <f t="shared" si="133"/>
        <v>925</v>
      </c>
      <c r="AW44" s="584">
        <f t="shared" si="120"/>
        <v>3428.571429</v>
      </c>
      <c r="AX44" s="589">
        <f>(AV39*0.6)*(AV44/AV57)</f>
        <v>3616.616888</v>
      </c>
      <c r="AY44" s="554">
        <f t="shared" si="121"/>
        <v>7045.188317</v>
      </c>
      <c r="AZ44" s="586">
        <f t="shared" si="134"/>
        <v>925</v>
      </c>
      <c r="BA44" s="584">
        <f t="shared" si="122"/>
        <v>3428.571429</v>
      </c>
      <c r="BB44" s="589">
        <f>(AZ39*0.6)*(AZ44/AZ57)</f>
        <v>3616.616888</v>
      </c>
      <c r="BC44" s="554">
        <f t="shared" si="123"/>
        <v>7045.188317</v>
      </c>
      <c r="BD44" s="586">
        <f t="shared" si="135"/>
        <v>925</v>
      </c>
      <c r="BE44" s="584">
        <f t="shared" si="124"/>
        <v>4000</v>
      </c>
      <c r="BF44" s="589">
        <f>(BD39*0.6)*(BD44/BD57)</f>
        <v>4219.38637</v>
      </c>
      <c r="BG44" s="554">
        <f t="shared" si="125"/>
        <v>8219.38637</v>
      </c>
      <c r="BH44" s="586">
        <f t="shared" si="136"/>
        <v>925</v>
      </c>
      <c r="BI44" s="584">
        <f t="shared" si="126"/>
        <v>4000</v>
      </c>
      <c r="BJ44" s="589">
        <f>(BH39*0.6)*(BH44/BH57)</f>
        <v>4219.38637</v>
      </c>
      <c r="BK44" s="554">
        <f t="shared" si="127"/>
        <v>8219.38637</v>
      </c>
      <c r="BL44" s="555"/>
      <c r="BM44" s="555"/>
    </row>
    <row r="45" ht="12.75" customHeight="1">
      <c r="A45" s="588" t="s">
        <v>368</v>
      </c>
      <c r="B45" s="511"/>
      <c r="C45" s="572">
        <f>MA!B111</f>
        <v>55</v>
      </c>
      <c r="D45" s="572">
        <f>MA!C111</f>
        <v>70</v>
      </c>
      <c r="E45" s="572">
        <f>MA!D111</f>
        <v>85</v>
      </c>
      <c r="F45" s="572">
        <f>MA!E111</f>
        <v>90</v>
      </c>
      <c r="G45" s="572">
        <f>MA!F111</f>
        <v>100</v>
      </c>
      <c r="H45" s="572">
        <f>MA!G111</f>
        <v>105</v>
      </c>
      <c r="I45" s="572">
        <f>MA!H111</f>
        <v>110</v>
      </c>
      <c r="J45" s="572">
        <f>MA!I111</f>
        <v>110</v>
      </c>
      <c r="K45" s="572">
        <f>MA!J111</f>
        <v>85</v>
      </c>
      <c r="L45" s="572">
        <f>MA!K111</f>
        <v>82</v>
      </c>
      <c r="M45" s="572">
        <f>MA!L111</f>
        <v>80</v>
      </c>
      <c r="N45" s="572">
        <f>MA!M111</f>
        <v>100</v>
      </c>
      <c r="O45" s="515"/>
      <c r="P45" s="553">
        <f t="shared" si="101"/>
        <v>1072</v>
      </c>
      <c r="Q45" s="584">
        <f t="shared" si="102"/>
        <v>2400</v>
      </c>
      <c r="R45" s="589">
        <f>(P39*0.6)*(P45/P57)</f>
        <v>2722.539683</v>
      </c>
      <c r="S45" s="554">
        <f t="shared" si="103"/>
        <v>5122.539683</v>
      </c>
      <c r="T45" s="585">
        <f t="shared" si="104"/>
        <v>1072</v>
      </c>
      <c r="U45" s="584">
        <f t="shared" si="105"/>
        <v>2400</v>
      </c>
      <c r="V45" s="589">
        <f>(T39*0.6)*(T45/T57)</f>
        <v>2722.539683</v>
      </c>
      <c r="W45" s="554">
        <f t="shared" si="106"/>
        <v>5122.539683</v>
      </c>
      <c r="X45" s="590">
        <f t="shared" si="107"/>
        <v>1072</v>
      </c>
      <c r="Y45" s="584">
        <f t="shared" si="108"/>
        <v>2400</v>
      </c>
      <c r="Z45" s="589">
        <f>(X39*0.6)*(X45/X57)</f>
        <v>2722.539683</v>
      </c>
      <c r="AA45" s="554">
        <f t="shared" si="109"/>
        <v>5122.539683</v>
      </c>
      <c r="AB45" s="586">
        <f t="shared" si="110"/>
        <v>1072</v>
      </c>
      <c r="AC45" s="584">
        <f t="shared" si="111"/>
        <v>3224.371429</v>
      </c>
      <c r="AD45" s="589">
        <f>(AB39*0.6)*(AB45/AB57)</f>
        <v>3657.699652</v>
      </c>
      <c r="AE45" s="554">
        <f t="shared" si="112"/>
        <v>6882.071081</v>
      </c>
      <c r="AF45" s="586">
        <f t="shared" si="128"/>
        <v>1072</v>
      </c>
      <c r="AG45" s="584">
        <f t="shared" si="129"/>
        <v>4307.692308</v>
      </c>
      <c r="AH45" s="589">
        <f>(AF39*0.6)*(AF45/AF57)</f>
        <v>5449.198185</v>
      </c>
      <c r="AI45" s="554">
        <f t="shared" si="113"/>
        <v>9756.890492</v>
      </c>
      <c r="AJ45" s="586">
        <f t="shared" si="130"/>
        <v>1072</v>
      </c>
      <c r="AK45" s="584">
        <f t="shared" si="114"/>
        <v>4000</v>
      </c>
      <c r="AL45" s="589">
        <f>(AJ39*0.6)*(AJ45/AJ57)</f>
        <v>4889.92669</v>
      </c>
      <c r="AM45" s="554">
        <f t="shared" si="115"/>
        <v>8889.92669</v>
      </c>
      <c r="AN45" s="586">
        <f t="shared" si="131"/>
        <v>1072</v>
      </c>
      <c r="AO45" s="584">
        <f t="shared" si="116"/>
        <v>2714.285714</v>
      </c>
      <c r="AP45" s="589">
        <f>(AN39*0.6)*(AN45/AN57)</f>
        <v>3318.16454</v>
      </c>
      <c r="AQ45" s="554">
        <f t="shared" si="117"/>
        <v>6032.450254</v>
      </c>
      <c r="AR45" s="586">
        <f t="shared" si="132"/>
        <v>1072</v>
      </c>
      <c r="AS45" s="584">
        <f t="shared" si="118"/>
        <v>2714.285714</v>
      </c>
      <c r="AT45" s="589">
        <f>(AR39*0.6)*(AR45/AR57)</f>
        <v>3318.16454</v>
      </c>
      <c r="AU45" s="554">
        <f t="shared" si="119"/>
        <v>6032.450254</v>
      </c>
      <c r="AV45" s="586">
        <f t="shared" si="133"/>
        <v>1072</v>
      </c>
      <c r="AW45" s="584">
        <f t="shared" si="120"/>
        <v>3428.571429</v>
      </c>
      <c r="AX45" s="589">
        <f>(AV39*0.6)*(AV45/AV57)</f>
        <v>4191.365734</v>
      </c>
      <c r="AY45" s="554">
        <f t="shared" si="121"/>
        <v>7619.937163</v>
      </c>
      <c r="AZ45" s="586">
        <f t="shared" si="134"/>
        <v>1072</v>
      </c>
      <c r="BA45" s="584">
        <f t="shared" si="122"/>
        <v>3428.571429</v>
      </c>
      <c r="BB45" s="589">
        <f>(AZ39*0.6)*(AZ45/AZ57)</f>
        <v>4191.365734</v>
      </c>
      <c r="BC45" s="554">
        <f t="shared" si="123"/>
        <v>7619.937163</v>
      </c>
      <c r="BD45" s="586">
        <f t="shared" si="135"/>
        <v>1072</v>
      </c>
      <c r="BE45" s="584">
        <f t="shared" si="124"/>
        <v>4000</v>
      </c>
      <c r="BF45" s="589">
        <f>(BD39*0.6)*(BD45/BD57)</f>
        <v>4889.92669</v>
      </c>
      <c r="BG45" s="554">
        <f t="shared" si="125"/>
        <v>8889.92669</v>
      </c>
      <c r="BH45" s="586">
        <f t="shared" si="136"/>
        <v>1072</v>
      </c>
      <c r="BI45" s="584">
        <f t="shared" si="126"/>
        <v>4000</v>
      </c>
      <c r="BJ45" s="589">
        <f>(BH39*0.6)*(BH45/BH57)</f>
        <v>4889.92669</v>
      </c>
      <c r="BK45" s="554">
        <f t="shared" si="127"/>
        <v>8889.92669</v>
      </c>
      <c r="BL45" s="555"/>
      <c r="BM45" s="555"/>
    </row>
    <row r="46" ht="12.75" customHeight="1">
      <c r="A46" s="588" t="s">
        <v>369</v>
      </c>
      <c r="B46" s="511"/>
      <c r="C46" s="572">
        <f>WA!B110</f>
        <v>45</v>
      </c>
      <c r="D46" s="572">
        <f>WA!C110</f>
        <v>45</v>
      </c>
      <c r="E46" s="572">
        <f>WA!D110</f>
        <v>50</v>
      </c>
      <c r="F46" s="572">
        <f>WA!E110</f>
        <v>55</v>
      </c>
      <c r="G46" s="572">
        <f>WA!F110</f>
        <v>60</v>
      </c>
      <c r="H46" s="572">
        <f>WA!G110</f>
        <v>55</v>
      </c>
      <c r="I46" s="572">
        <f>WA!H110</f>
        <v>60</v>
      </c>
      <c r="J46" s="572">
        <f>WA!I110</f>
        <v>60</v>
      </c>
      <c r="K46" s="572">
        <f>WA!J110</f>
        <v>55</v>
      </c>
      <c r="L46" s="572">
        <f>WA!K110</f>
        <v>60</v>
      </c>
      <c r="M46" s="572">
        <f>WA!L110</f>
        <v>55</v>
      </c>
      <c r="N46" s="572">
        <f>WA!M110</f>
        <v>60</v>
      </c>
      <c r="O46" s="515"/>
      <c r="P46" s="553">
        <f t="shared" si="101"/>
        <v>660</v>
      </c>
      <c r="Q46" s="584">
        <f t="shared" si="102"/>
        <v>2400</v>
      </c>
      <c r="R46" s="589">
        <f>(P39*0.6)*(P46/P57)</f>
        <v>1676.190476</v>
      </c>
      <c r="S46" s="554">
        <f t="shared" si="103"/>
        <v>4076.190476</v>
      </c>
      <c r="T46" s="585">
        <f t="shared" si="104"/>
        <v>660</v>
      </c>
      <c r="U46" s="584">
        <f t="shared" si="105"/>
        <v>2400</v>
      </c>
      <c r="V46" s="589">
        <f>(T39*0.6)*(T46/T57)</f>
        <v>1676.190476</v>
      </c>
      <c r="W46" s="554">
        <f t="shared" si="106"/>
        <v>4076.190476</v>
      </c>
      <c r="X46" s="590">
        <f t="shared" si="107"/>
        <v>660</v>
      </c>
      <c r="Y46" s="584">
        <f t="shared" si="108"/>
        <v>2400</v>
      </c>
      <c r="Z46" s="589">
        <f>(X39*0.6)*(X46/X57)</f>
        <v>1676.190476</v>
      </c>
      <c r="AA46" s="554">
        <f t="shared" si="109"/>
        <v>4076.190476</v>
      </c>
      <c r="AB46" s="586">
        <f t="shared" si="110"/>
        <v>660</v>
      </c>
      <c r="AC46" s="584">
        <f t="shared" si="111"/>
        <v>3224.371429</v>
      </c>
      <c r="AD46" s="589">
        <f>(AB39*0.6)*(AB46/AB57)</f>
        <v>2251.94195</v>
      </c>
      <c r="AE46" s="554">
        <f t="shared" si="112"/>
        <v>5476.313379</v>
      </c>
      <c r="AF46" s="586">
        <f t="shared" si="128"/>
        <v>660</v>
      </c>
      <c r="AG46" s="584">
        <f t="shared" si="129"/>
        <v>4307.692308</v>
      </c>
      <c r="AH46" s="589">
        <f>(AF39*0.6)*(AF46/AF57)</f>
        <v>3354.916793</v>
      </c>
      <c r="AI46" s="554">
        <f t="shared" si="113"/>
        <v>7662.6091</v>
      </c>
      <c r="AJ46" s="586">
        <f t="shared" si="130"/>
        <v>660</v>
      </c>
      <c r="AK46" s="584">
        <f t="shared" si="114"/>
        <v>4000</v>
      </c>
      <c r="AL46" s="589">
        <f>(AJ39*0.6)*(AJ46/AJ57)</f>
        <v>3010.589194</v>
      </c>
      <c r="AM46" s="554">
        <f t="shared" si="115"/>
        <v>7010.589194</v>
      </c>
      <c r="AN46" s="586">
        <f t="shared" si="131"/>
        <v>660</v>
      </c>
      <c r="AO46" s="584">
        <f t="shared" si="116"/>
        <v>2714.285714</v>
      </c>
      <c r="AP46" s="589">
        <f>(AN39*0.6)*(AN46/AN57)</f>
        <v>2042.89981</v>
      </c>
      <c r="AQ46" s="554">
        <f t="shared" si="117"/>
        <v>4757.185524</v>
      </c>
      <c r="AR46" s="586">
        <f t="shared" si="132"/>
        <v>660</v>
      </c>
      <c r="AS46" s="584">
        <f t="shared" si="118"/>
        <v>2714.285714</v>
      </c>
      <c r="AT46" s="589">
        <f>(AR39*0.6)*(AR46/AR57)</f>
        <v>2042.89981</v>
      </c>
      <c r="AU46" s="554">
        <f t="shared" si="119"/>
        <v>4757.185524</v>
      </c>
      <c r="AV46" s="586">
        <f t="shared" si="133"/>
        <v>660</v>
      </c>
      <c r="AW46" s="584">
        <f t="shared" si="120"/>
        <v>3428.571429</v>
      </c>
      <c r="AX46" s="589">
        <f>(AV39*0.6)*(AV46/AV57)</f>
        <v>2580.505023</v>
      </c>
      <c r="AY46" s="554">
        <f t="shared" si="121"/>
        <v>6009.076452</v>
      </c>
      <c r="AZ46" s="586">
        <f t="shared" si="134"/>
        <v>660</v>
      </c>
      <c r="BA46" s="584">
        <f t="shared" si="122"/>
        <v>3428.571429</v>
      </c>
      <c r="BB46" s="589">
        <f>(AZ39*0.6)*(AZ46/AZ57)</f>
        <v>2580.505023</v>
      </c>
      <c r="BC46" s="554">
        <f t="shared" si="123"/>
        <v>6009.076452</v>
      </c>
      <c r="BD46" s="586">
        <f t="shared" si="135"/>
        <v>660</v>
      </c>
      <c r="BE46" s="584">
        <f t="shared" si="124"/>
        <v>4000</v>
      </c>
      <c r="BF46" s="589">
        <f>(BD39*0.6)*(BD46/BD57)</f>
        <v>3010.589194</v>
      </c>
      <c r="BG46" s="554">
        <f t="shared" si="125"/>
        <v>7010.589194</v>
      </c>
      <c r="BH46" s="586">
        <f t="shared" si="136"/>
        <v>660</v>
      </c>
      <c r="BI46" s="584">
        <f t="shared" si="126"/>
        <v>4000</v>
      </c>
      <c r="BJ46" s="589">
        <f>(BH39*0.6)*(BH46/BH57)</f>
        <v>3010.589194</v>
      </c>
      <c r="BK46" s="554">
        <f t="shared" si="127"/>
        <v>7010.589194</v>
      </c>
      <c r="BL46" s="555"/>
      <c r="BM46" s="555"/>
    </row>
    <row r="47" ht="12.75" customHeight="1">
      <c r="A47" s="588" t="s">
        <v>385</v>
      </c>
      <c r="B47" s="511"/>
      <c r="C47" s="572">
        <f>AX!B110</f>
        <v>70</v>
      </c>
      <c r="D47" s="572">
        <f>AX!C110</f>
        <v>76</v>
      </c>
      <c r="E47" s="572">
        <f>AX!D110</f>
        <v>85</v>
      </c>
      <c r="F47" s="572">
        <f>AX!E110</f>
        <v>95</v>
      </c>
      <c r="G47" s="572">
        <f>AX!F110</f>
        <v>110</v>
      </c>
      <c r="H47" s="572">
        <f>AX!G110</f>
        <v>110</v>
      </c>
      <c r="I47" s="572">
        <f>AX!H110</f>
        <v>115</v>
      </c>
      <c r="J47" s="572">
        <f>AX!I110</f>
        <v>120</v>
      </c>
      <c r="K47" s="572">
        <f>AX!J110</f>
        <v>110</v>
      </c>
      <c r="L47" s="572">
        <f>AX!K110</f>
        <v>105</v>
      </c>
      <c r="M47" s="572">
        <f>AX!L110</f>
        <v>105</v>
      </c>
      <c r="N47" s="572">
        <f>AX!M110</f>
        <v>130</v>
      </c>
      <c r="O47" s="515"/>
      <c r="P47" s="553">
        <f t="shared" si="101"/>
        <v>1231</v>
      </c>
      <c r="Q47" s="584">
        <f t="shared" si="102"/>
        <v>2400</v>
      </c>
      <c r="R47" s="589">
        <f>(P39*0.6)*(P47/P57)</f>
        <v>3126.349206</v>
      </c>
      <c r="S47" s="554">
        <f t="shared" si="103"/>
        <v>5526.349206</v>
      </c>
      <c r="T47" s="585">
        <f t="shared" si="104"/>
        <v>1231</v>
      </c>
      <c r="U47" s="584">
        <f t="shared" si="105"/>
        <v>2400</v>
      </c>
      <c r="V47" s="589">
        <f>(T39*0.6)*(T47/T57)</f>
        <v>3126.349206</v>
      </c>
      <c r="W47" s="554">
        <f t="shared" si="106"/>
        <v>5526.349206</v>
      </c>
      <c r="X47" s="590">
        <f t="shared" si="107"/>
        <v>1231</v>
      </c>
      <c r="Y47" s="584">
        <f t="shared" si="108"/>
        <v>2400</v>
      </c>
      <c r="Z47" s="589">
        <f>(X39*0.6)*(X47/X57)</f>
        <v>3126.349206</v>
      </c>
      <c r="AA47" s="554">
        <f t="shared" si="109"/>
        <v>5526.349206</v>
      </c>
      <c r="AB47" s="586">
        <f t="shared" si="110"/>
        <v>1231</v>
      </c>
      <c r="AC47" s="584">
        <f t="shared" si="111"/>
        <v>3224.371429</v>
      </c>
      <c r="AD47" s="589">
        <f>(AB39*0.6)*(AB47/AB57)</f>
        <v>4200.21294</v>
      </c>
      <c r="AE47" s="554">
        <f t="shared" si="112"/>
        <v>7424.584369</v>
      </c>
      <c r="AF47" s="586">
        <f t="shared" si="128"/>
        <v>1231</v>
      </c>
      <c r="AG47" s="584">
        <f t="shared" si="129"/>
        <v>4307.692308</v>
      </c>
      <c r="AH47" s="589">
        <f>(AF39*0.6)*(AF47/AF57)</f>
        <v>6257.428139</v>
      </c>
      <c r="AI47" s="554">
        <f t="shared" si="113"/>
        <v>10565.12045</v>
      </c>
      <c r="AJ47" s="586">
        <f t="shared" si="130"/>
        <v>1231</v>
      </c>
      <c r="AK47" s="584">
        <f t="shared" si="114"/>
        <v>4000</v>
      </c>
      <c r="AL47" s="589">
        <f>(AJ39*0.6)*(AJ47/AJ57)</f>
        <v>5615.204996</v>
      </c>
      <c r="AM47" s="554">
        <f t="shared" si="115"/>
        <v>9615.204996</v>
      </c>
      <c r="AN47" s="586">
        <f t="shared" si="131"/>
        <v>1231</v>
      </c>
      <c r="AO47" s="584">
        <f t="shared" si="116"/>
        <v>2714.285714</v>
      </c>
      <c r="AP47" s="589">
        <f>(AN39*0.6)*(AN47/AN57)</f>
        <v>3810.317676</v>
      </c>
      <c r="AQ47" s="554">
        <f t="shared" si="117"/>
        <v>6524.60339</v>
      </c>
      <c r="AR47" s="586">
        <f t="shared" si="132"/>
        <v>1231</v>
      </c>
      <c r="AS47" s="584">
        <f t="shared" si="118"/>
        <v>2714.285714</v>
      </c>
      <c r="AT47" s="589">
        <f>(AR39*0.6)*(AR47/AR57)</f>
        <v>3810.317676</v>
      </c>
      <c r="AU47" s="554">
        <f t="shared" si="119"/>
        <v>6524.60339</v>
      </c>
      <c r="AV47" s="586">
        <f t="shared" si="133"/>
        <v>1231</v>
      </c>
      <c r="AW47" s="584">
        <f t="shared" si="120"/>
        <v>3428.571429</v>
      </c>
      <c r="AX47" s="589">
        <f>(AV39*0.6)*(AV47/AV57)</f>
        <v>4813.032854</v>
      </c>
      <c r="AY47" s="554">
        <f t="shared" si="121"/>
        <v>8241.604282</v>
      </c>
      <c r="AZ47" s="586">
        <f t="shared" si="134"/>
        <v>1231</v>
      </c>
      <c r="BA47" s="584">
        <f t="shared" si="122"/>
        <v>3428.571429</v>
      </c>
      <c r="BB47" s="589">
        <f>(AZ39*0.6)*(AZ47/AZ57)</f>
        <v>4813.032854</v>
      </c>
      <c r="BC47" s="554">
        <f t="shared" si="123"/>
        <v>8241.604282</v>
      </c>
      <c r="BD47" s="586">
        <f t="shared" si="135"/>
        <v>1231</v>
      </c>
      <c r="BE47" s="584">
        <f t="shared" si="124"/>
        <v>4000</v>
      </c>
      <c r="BF47" s="589">
        <f>(BD39*0.6)*(BD47/BD57)</f>
        <v>5615.204996</v>
      </c>
      <c r="BG47" s="554">
        <f t="shared" si="125"/>
        <v>9615.204996</v>
      </c>
      <c r="BH47" s="586">
        <f t="shared" si="136"/>
        <v>1231</v>
      </c>
      <c r="BI47" s="584">
        <f t="shared" si="126"/>
        <v>4000</v>
      </c>
      <c r="BJ47" s="589">
        <f>(BH39*0.6)*(BH47/BH57)</f>
        <v>5615.204996</v>
      </c>
      <c r="BK47" s="554">
        <f t="shared" si="127"/>
        <v>9615.204996</v>
      </c>
      <c r="BL47" s="555"/>
      <c r="BM47" s="555"/>
    </row>
    <row r="48" ht="12.75" customHeight="1">
      <c r="A48" s="588" t="s">
        <v>386</v>
      </c>
      <c r="B48" s="511"/>
      <c r="C48" s="572">
        <f>HY!B110</f>
        <v>50</v>
      </c>
      <c r="D48" s="572">
        <f>HY!C110</f>
        <v>55</v>
      </c>
      <c r="E48" s="572">
        <f>HY!D110</f>
        <v>60</v>
      </c>
      <c r="F48" s="572">
        <f>HY!E110</f>
        <v>70</v>
      </c>
      <c r="G48" s="572">
        <f>HY!F110</f>
        <v>80</v>
      </c>
      <c r="H48" s="572">
        <f>HY!G110</f>
        <v>85</v>
      </c>
      <c r="I48" s="572">
        <f>HY!H110</f>
        <v>90</v>
      </c>
      <c r="J48" s="572">
        <f>HY!I110</f>
        <v>90</v>
      </c>
      <c r="K48" s="572">
        <f>HY!J110</f>
        <v>80</v>
      </c>
      <c r="L48" s="572">
        <f>HY!K110</f>
        <v>85</v>
      </c>
      <c r="M48" s="572">
        <f>HY!L110</f>
        <v>90</v>
      </c>
      <c r="N48" s="572">
        <f>HY!M110</f>
        <v>95</v>
      </c>
      <c r="O48" s="515"/>
      <c r="P48" s="553">
        <f t="shared" si="101"/>
        <v>930</v>
      </c>
      <c r="Q48" s="584">
        <f t="shared" si="102"/>
        <v>2400</v>
      </c>
      <c r="R48" s="589">
        <f>(P39*0.6)*(P48/P57)</f>
        <v>2361.904762</v>
      </c>
      <c r="S48" s="554">
        <f t="shared" si="103"/>
        <v>4761.904762</v>
      </c>
      <c r="T48" s="585">
        <f t="shared" si="104"/>
        <v>930</v>
      </c>
      <c r="U48" s="584">
        <f t="shared" si="105"/>
        <v>2400</v>
      </c>
      <c r="V48" s="589">
        <f>(T39*0.6)*(T48/T57)</f>
        <v>2361.904762</v>
      </c>
      <c r="W48" s="554">
        <f t="shared" si="106"/>
        <v>4761.904762</v>
      </c>
      <c r="X48" s="590">
        <f t="shared" si="107"/>
        <v>930</v>
      </c>
      <c r="Y48" s="584">
        <f t="shared" si="108"/>
        <v>2400</v>
      </c>
      <c r="Z48" s="589">
        <f>(X39*0.6)*(X48/X57)</f>
        <v>2361.904762</v>
      </c>
      <c r="AA48" s="554">
        <f t="shared" si="109"/>
        <v>4761.904762</v>
      </c>
      <c r="AB48" s="586">
        <f t="shared" si="110"/>
        <v>930</v>
      </c>
      <c r="AC48" s="584">
        <f t="shared" si="111"/>
        <v>3224.371429</v>
      </c>
      <c r="AD48" s="589">
        <f>(AB39*0.6)*(AB48/AB57)</f>
        <v>3173.19093</v>
      </c>
      <c r="AE48" s="554">
        <f t="shared" si="112"/>
        <v>6397.562358</v>
      </c>
      <c r="AF48" s="586">
        <f t="shared" si="128"/>
        <v>930</v>
      </c>
      <c r="AG48" s="584">
        <f t="shared" si="129"/>
        <v>4307.692308</v>
      </c>
      <c r="AH48" s="589">
        <f>(AF39*0.6)*(AF48/AF57)</f>
        <v>4727.382753</v>
      </c>
      <c r="AI48" s="554">
        <f t="shared" si="113"/>
        <v>9035.075061</v>
      </c>
      <c r="AJ48" s="586">
        <f t="shared" si="130"/>
        <v>930</v>
      </c>
      <c r="AK48" s="584">
        <f t="shared" si="114"/>
        <v>4000</v>
      </c>
      <c r="AL48" s="589">
        <f>(AJ39*0.6)*(AJ48/AJ57)</f>
        <v>4242.193864</v>
      </c>
      <c r="AM48" s="554">
        <f t="shared" si="115"/>
        <v>8242.193864</v>
      </c>
      <c r="AN48" s="586">
        <f t="shared" si="131"/>
        <v>930</v>
      </c>
      <c r="AO48" s="584">
        <f t="shared" si="116"/>
        <v>2714.285714</v>
      </c>
      <c r="AP48" s="589">
        <f>(AN39*0.6)*(AN48/AN57)</f>
        <v>2878.63155</v>
      </c>
      <c r="AQ48" s="554">
        <f t="shared" si="117"/>
        <v>5592.917265</v>
      </c>
      <c r="AR48" s="586">
        <f t="shared" si="132"/>
        <v>930</v>
      </c>
      <c r="AS48" s="584">
        <f t="shared" si="118"/>
        <v>2714.285714</v>
      </c>
      <c r="AT48" s="589">
        <f>(AR39*0.6)*(AR48/AR57)</f>
        <v>2878.63155</v>
      </c>
      <c r="AU48" s="554">
        <f t="shared" si="119"/>
        <v>5592.917265</v>
      </c>
      <c r="AV48" s="586">
        <f t="shared" si="133"/>
        <v>930</v>
      </c>
      <c r="AW48" s="584">
        <f t="shared" si="120"/>
        <v>3428.571429</v>
      </c>
      <c r="AX48" s="589">
        <f>(AV39*0.6)*(AV48/AV57)</f>
        <v>3636.166169</v>
      </c>
      <c r="AY48" s="554">
        <f t="shared" si="121"/>
        <v>7064.737597</v>
      </c>
      <c r="AZ48" s="586">
        <f t="shared" si="134"/>
        <v>930</v>
      </c>
      <c r="BA48" s="584">
        <f t="shared" si="122"/>
        <v>3428.571429</v>
      </c>
      <c r="BB48" s="589">
        <f>(AZ39*0.6)*(AZ48/AZ57)</f>
        <v>3636.166169</v>
      </c>
      <c r="BC48" s="554">
        <f t="shared" si="123"/>
        <v>7064.737597</v>
      </c>
      <c r="BD48" s="586">
        <f t="shared" si="135"/>
        <v>930</v>
      </c>
      <c r="BE48" s="584">
        <f t="shared" si="124"/>
        <v>4000</v>
      </c>
      <c r="BF48" s="589">
        <f>(BD39*0.6)*(BD48/BD57)</f>
        <v>4242.193864</v>
      </c>
      <c r="BG48" s="554">
        <f t="shared" si="125"/>
        <v>8242.193864</v>
      </c>
      <c r="BH48" s="586">
        <f t="shared" si="136"/>
        <v>930</v>
      </c>
      <c r="BI48" s="584">
        <f t="shared" si="126"/>
        <v>4000</v>
      </c>
      <c r="BJ48" s="589">
        <f>(BH39*0.6)*(BH48/BH57)</f>
        <v>4242.193864</v>
      </c>
      <c r="BK48" s="554">
        <f t="shared" si="127"/>
        <v>8242.193864</v>
      </c>
      <c r="BL48" s="555"/>
      <c r="BM48" s="555"/>
    </row>
    <row r="49" ht="12.75" customHeight="1">
      <c r="A49" s="588" t="s">
        <v>387</v>
      </c>
      <c r="B49" s="511"/>
      <c r="C49" s="572">
        <f>VW!B110</f>
        <v>70</v>
      </c>
      <c r="D49" s="572">
        <f>VW!C110</f>
        <v>75</v>
      </c>
      <c r="E49" s="572">
        <f>VW!D110</f>
        <v>80</v>
      </c>
      <c r="F49" s="572">
        <f>VW!E110</f>
        <v>80</v>
      </c>
      <c r="G49" s="572">
        <f>VW!F110</f>
        <v>90</v>
      </c>
      <c r="H49" s="572">
        <f>VW!G110</f>
        <v>90</v>
      </c>
      <c r="I49" s="572">
        <f>VW!H110</f>
        <v>95</v>
      </c>
      <c r="J49" s="572">
        <f>VW!I110</f>
        <v>95</v>
      </c>
      <c r="K49" s="572">
        <f>VW!J110</f>
        <v>85</v>
      </c>
      <c r="L49" s="572">
        <f>VW!K110</f>
        <v>85</v>
      </c>
      <c r="M49" s="572">
        <f>VW!L110</f>
        <v>85</v>
      </c>
      <c r="N49" s="572">
        <f>VW!M110</f>
        <v>95</v>
      </c>
      <c r="O49" s="515"/>
      <c r="P49" s="553">
        <f t="shared" si="101"/>
        <v>1025</v>
      </c>
      <c r="Q49" s="584">
        <f t="shared" si="102"/>
        <v>2400</v>
      </c>
      <c r="R49" s="589">
        <f>(P39*0.6)*(P49/P57)</f>
        <v>2603.174603</v>
      </c>
      <c r="S49" s="554">
        <f t="shared" si="103"/>
        <v>5003.174603</v>
      </c>
      <c r="T49" s="585">
        <f t="shared" si="104"/>
        <v>1025</v>
      </c>
      <c r="U49" s="584">
        <f t="shared" si="105"/>
        <v>2400</v>
      </c>
      <c r="V49" s="589">
        <f>(T39*0.6)*(T49/T57)</f>
        <v>2603.174603</v>
      </c>
      <c r="W49" s="554">
        <f t="shared" si="106"/>
        <v>5003.174603</v>
      </c>
      <c r="X49" s="590">
        <f t="shared" si="107"/>
        <v>1025</v>
      </c>
      <c r="Y49" s="584">
        <f t="shared" si="108"/>
        <v>2400</v>
      </c>
      <c r="Z49" s="589">
        <f>(X39*0.6)*(X49/X57)</f>
        <v>2603.174603</v>
      </c>
      <c r="AA49" s="554">
        <f t="shared" si="109"/>
        <v>5003.174603</v>
      </c>
      <c r="AB49" s="586">
        <f t="shared" si="110"/>
        <v>1025</v>
      </c>
      <c r="AC49" s="584">
        <f t="shared" si="111"/>
        <v>3224.371429</v>
      </c>
      <c r="AD49" s="589">
        <f>(AB39*0.6)*(AB49/AB57)</f>
        <v>3497.334089</v>
      </c>
      <c r="AE49" s="554">
        <f t="shared" si="112"/>
        <v>6721.705518</v>
      </c>
      <c r="AF49" s="586">
        <f t="shared" si="128"/>
        <v>1025</v>
      </c>
      <c r="AG49" s="584">
        <f t="shared" si="129"/>
        <v>4307.692308</v>
      </c>
      <c r="AH49" s="589">
        <f>(AF39*0.6)*(AF49/AF57)</f>
        <v>5210.287443</v>
      </c>
      <c r="AI49" s="554">
        <f t="shared" si="113"/>
        <v>9517.979751</v>
      </c>
      <c r="AJ49" s="586">
        <f t="shared" si="130"/>
        <v>1025</v>
      </c>
      <c r="AK49" s="584">
        <f t="shared" si="114"/>
        <v>4000</v>
      </c>
      <c r="AL49" s="589">
        <f>(AJ39*0.6)*(AJ49/AJ57)</f>
        <v>4675.536248</v>
      </c>
      <c r="AM49" s="554">
        <f t="shared" si="115"/>
        <v>8675.536248</v>
      </c>
      <c r="AN49" s="586">
        <f t="shared" si="131"/>
        <v>1025</v>
      </c>
      <c r="AO49" s="584">
        <f t="shared" si="116"/>
        <v>2714.285714</v>
      </c>
      <c r="AP49" s="589">
        <f>(AN39*0.6)*(AN49/AN57)</f>
        <v>3172.685311</v>
      </c>
      <c r="AQ49" s="554">
        <f t="shared" si="117"/>
        <v>5886.971025</v>
      </c>
      <c r="AR49" s="586">
        <f t="shared" si="132"/>
        <v>1025</v>
      </c>
      <c r="AS49" s="584">
        <f t="shared" si="118"/>
        <v>2714.285714</v>
      </c>
      <c r="AT49" s="589">
        <f>(AR39*0.6)*(AR49/AR57)</f>
        <v>3172.685311</v>
      </c>
      <c r="AU49" s="554">
        <f t="shared" si="119"/>
        <v>5886.971025</v>
      </c>
      <c r="AV49" s="586">
        <f t="shared" si="133"/>
        <v>1025</v>
      </c>
      <c r="AW49" s="584">
        <f t="shared" si="120"/>
        <v>3428.571429</v>
      </c>
      <c r="AX49" s="589">
        <f>(AV39*0.6)*(AV49/AV57)</f>
        <v>4007.602498</v>
      </c>
      <c r="AY49" s="554">
        <f t="shared" si="121"/>
        <v>7436.173927</v>
      </c>
      <c r="AZ49" s="586">
        <f t="shared" si="134"/>
        <v>1025</v>
      </c>
      <c r="BA49" s="584">
        <f t="shared" si="122"/>
        <v>3428.571429</v>
      </c>
      <c r="BB49" s="589">
        <f>(AZ39*0.6)*(AZ49/AZ57)</f>
        <v>4007.602498</v>
      </c>
      <c r="BC49" s="554">
        <f t="shared" si="123"/>
        <v>7436.173927</v>
      </c>
      <c r="BD49" s="586">
        <f t="shared" si="135"/>
        <v>1025</v>
      </c>
      <c r="BE49" s="584">
        <f t="shared" si="124"/>
        <v>4000</v>
      </c>
      <c r="BF49" s="589">
        <f>(BD39*0.6)*(BD49/BD57)</f>
        <v>4675.536248</v>
      </c>
      <c r="BG49" s="554">
        <f t="shared" si="125"/>
        <v>8675.536248</v>
      </c>
      <c r="BH49" s="586">
        <f t="shared" si="136"/>
        <v>1025</v>
      </c>
      <c r="BI49" s="584">
        <f t="shared" si="126"/>
        <v>4000</v>
      </c>
      <c r="BJ49" s="589">
        <f>(BH39*0.6)*(BH49/BH57)</f>
        <v>4675.536248</v>
      </c>
      <c r="BK49" s="554">
        <f t="shared" si="127"/>
        <v>8675.536248</v>
      </c>
      <c r="BL49" s="555"/>
      <c r="BM49" s="555"/>
    </row>
    <row r="50" ht="12.75" customHeight="1">
      <c r="A50" s="588" t="s">
        <v>388</v>
      </c>
      <c r="B50" s="511"/>
      <c r="C50" s="591">
        <f>SU!B110</f>
        <v>80</v>
      </c>
      <c r="D50" s="591">
        <f>SU!C110</f>
        <v>80</v>
      </c>
      <c r="E50" s="591">
        <f>SU!D110</f>
        <v>90</v>
      </c>
      <c r="F50" s="591">
        <f>SU!E110</f>
        <v>100</v>
      </c>
      <c r="G50" s="591">
        <f>SU!F110</f>
        <v>100</v>
      </c>
      <c r="H50" s="591">
        <f>SU!G110</f>
        <v>110</v>
      </c>
      <c r="I50" s="591">
        <f>SU!H110</f>
        <v>100</v>
      </c>
      <c r="J50" s="591">
        <f>SU!I110</f>
        <v>100</v>
      </c>
      <c r="K50" s="591">
        <f>SU!J110</f>
        <v>110</v>
      </c>
      <c r="L50" s="591">
        <f>SU!K110</f>
        <v>100</v>
      </c>
      <c r="M50" s="591">
        <f>SU!L110</f>
        <v>110</v>
      </c>
      <c r="N50" s="591">
        <f>SU!M110</f>
        <v>120</v>
      </c>
      <c r="O50" s="515"/>
      <c r="P50" s="553">
        <f t="shared" si="101"/>
        <v>1200</v>
      </c>
      <c r="Q50" s="584">
        <f t="shared" si="102"/>
        <v>2400</v>
      </c>
      <c r="R50" s="589">
        <f>(P39*0.6)*(P50/P57)</f>
        <v>3047.619048</v>
      </c>
      <c r="S50" s="554">
        <f t="shared" si="103"/>
        <v>5447.619048</v>
      </c>
      <c r="T50" s="585">
        <f t="shared" si="104"/>
        <v>1200</v>
      </c>
      <c r="U50" s="584">
        <f t="shared" si="105"/>
        <v>2400</v>
      </c>
      <c r="V50" s="589">
        <f>(T39*0.6)*(T50/T57)</f>
        <v>3047.619048</v>
      </c>
      <c r="W50" s="554">
        <f t="shared" si="106"/>
        <v>5447.619048</v>
      </c>
      <c r="X50" s="590">
        <f t="shared" si="107"/>
        <v>1200</v>
      </c>
      <c r="Y50" s="584">
        <f t="shared" si="108"/>
        <v>2400</v>
      </c>
      <c r="Z50" s="589">
        <f>(X39*0.6)*(X50/X57)</f>
        <v>3047.619048</v>
      </c>
      <c r="AA50" s="554">
        <f t="shared" si="109"/>
        <v>5447.619048</v>
      </c>
      <c r="AB50" s="586">
        <f t="shared" si="110"/>
        <v>1200</v>
      </c>
      <c r="AC50" s="584">
        <f t="shared" si="111"/>
        <v>3224.371429</v>
      </c>
      <c r="AD50" s="589">
        <f>(AB39*0.6)*(AB50/AB57)</f>
        <v>4094.439909</v>
      </c>
      <c r="AE50" s="554">
        <f t="shared" si="112"/>
        <v>7318.811338</v>
      </c>
      <c r="AF50" s="586">
        <f t="shared" si="128"/>
        <v>1200</v>
      </c>
      <c r="AG50" s="584">
        <f t="shared" si="129"/>
        <v>4307.692308</v>
      </c>
      <c r="AH50" s="589">
        <f>(AF39*0.6)*(AF50/AF57)</f>
        <v>6099.848714</v>
      </c>
      <c r="AI50" s="554">
        <f t="shared" si="113"/>
        <v>10407.54102</v>
      </c>
      <c r="AJ50" s="586">
        <f t="shared" si="130"/>
        <v>1200</v>
      </c>
      <c r="AK50" s="584">
        <f t="shared" si="114"/>
        <v>4000</v>
      </c>
      <c r="AL50" s="589">
        <f>(AJ39*0.6)*(AJ50/AJ57)</f>
        <v>5473.798534</v>
      </c>
      <c r="AM50" s="554">
        <f t="shared" si="115"/>
        <v>9473.798534</v>
      </c>
      <c r="AN50" s="586">
        <f t="shared" si="131"/>
        <v>1200</v>
      </c>
      <c r="AO50" s="584">
        <f t="shared" si="116"/>
        <v>2714.285714</v>
      </c>
      <c r="AP50" s="589">
        <f>(AN39*0.6)*(AN50/AN57)</f>
        <v>3714.363291</v>
      </c>
      <c r="AQ50" s="554">
        <f t="shared" si="117"/>
        <v>6428.649005</v>
      </c>
      <c r="AR50" s="586">
        <f t="shared" si="132"/>
        <v>1200</v>
      </c>
      <c r="AS50" s="584">
        <f t="shared" si="118"/>
        <v>2714.285714</v>
      </c>
      <c r="AT50" s="589">
        <f>(AR39*0.6)*(AR50/AR57)</f>
        <v>3714.363291</v>
      </c>
      <c r="AU50" s="554">
        <f t="shared" si="119"/>
        <v>6428.649005</v>
      </c>
      <c r="AV50" s="586">
        <f t="shared" si="133"/>
        <v>1200</v>
      </c>
      <c r="AW50" s="584">
        <f t="shared" si="120"/>
        <v>3428.571429</v>
      </c>
      <c r="AX50" s="589">
        <f>(AV39*0.6)*(AV50/AV57)</f>
        <v>4691.827315</v>
      </c>
      <c r="AY50" s="554">
        <f t="shared" si="121"/>
        <v>8120.398743</v>
      </c>
      <c r="AZ50" s="586">
        <f t="shared" si="134"/>
        <v>1200</v>
      </c>
      <c r="BA50" s="584">
        <f t="shared" si="122"/>
        <v>3428.571429</v>
      </c>
      <c r="BB50" s="589">
        <f>(AZ39*0.6)*(AZ50/AZ57)</f>
        <v>4691.827315</v>
      </c>
      <c r="BC50" s="554">
        <f t="shared" si="123"/>
        <v>8120.398743</v>
      </c>
      <c r="BD50" s="586">
        <f t="shared" si="135"/>
        <v>1200</v>
      </c>
      <c r="BE50" s="584">
        <f t="shared" si="124"/>
        <v>4000</v>
      </c>
      <c r="BF50" s="589">
        <f>(BD39*0.6)*(BD50/BD57)</f>
        <v>5473.798534</v>
      </c>
      <c r="BG50" s="554">
        <f t="shared" si="125"/>
        <v>9473.798534</v>
      </c>
      <c r="BH50" s="586">
        <f t="shared" si="136"/>
        <v>1200</v>
      </c>
      <c r="BI50" s="584">
        <f t="shared" si="126"/>
        <v>4000</v>
      </c>
      <c r="BJ50" s="589">
        <f>(BH39*0.6)*(BH50/BH57)</f>
        <v>5473.798534</v>
      </c>
      <c r="BK50" s="554">
        <f t="shared" si="127"/>
        <v>9473.798534</v>
      </c>
      <c r="BL50" s="555"/>
      <c r="BM50" s="555"/>
    </row>
    <row r="51" ht="12.75" customHeight="1">
      <c r="A51" s="592" t="s">
        <v>389</v>
      </c>
      <c r="B51" s="521"/>
      <c r="C51" s="553">
        <f>FR!B110</f>
        <v>140</v>
      </c>
      <c r="D51" s="553">
        <f>FR!C110</f>
        <v>140</v>
      </c>
      <c r="E51" s="553">
        <f>FR!D110</f>
        <v>150</v>
      </c>
      <c r="F51" s="553">
        <f>FR!E110</f>
        <v>145</v>
      </c>
      <c r="G51" s="553">
        <f>FR!F110</f>
        <v>160</v>
      </c>
      <c r="H51" s="553">
        <f>FR!G110</f>
        <v>140</v>
      </c>
      <c r="I51" s="553">
        <f>FR!H110</f>
        <v>175</v>
      </c>
      <c r="J51" s="553">
        <f>FR!I110</f>
        <v>175</v>
      </c>
      <c r="K51" s="553">
        <f>FR!J110</f>
        <v>160</v>
      </c>
      <c r="L51" s="553">
        <f>FR!K110</f>
        <v>170</v>
      </c>
      <c r="M51" s="553">
        <f>FR!L110</f>
        <v>160</v>
      </c>
      <c r="N51" s="553">
        <f>FR!M110</f>
        <v>180</v>
      </c>
      <c r="O51" s="533"/>
      <c r="P51" s="593">
        <f t="shared" si="101"/>
        <v>1895</v>
      </c>
      <c r="Q51" s="584">
        <f t="shared" si="102"/>
        <v>2400</v>
      </c>
      <c r="R51" s="589">
        <f>(P39*0.6)*(P51/P57)</f>
        <v>4812.698413</v>
      </c>
      <c r="S51" s="554">
        <f t="shared" si="103"/>
        <v>7212.698413</v>
      </c>
      <c r="T51" s="594">
        <f t="shared" si="104"/>
        <v>1895</v>
      </c>
      <c r="U51" s="584">
        <f t="shared" si="105"/>
        <v>2400</v>
      </c>
      <c r="V51" s="589">
        <f>(T39*0.6)*(T51/T57)</f>
        <v>4812.698413</v>
      </c>
      <c r="W51" s="554">
        <f t="shared" si="106"/>
        <v>7212.698413</v>
      </c>
      <c r="X51" s="590">
        <f t="shared" si="107"/>
        <v>1895</v>
      </c>
      <c r="Y51" s="584">
        <f t="shared" si="108"/>
        <v>2400</v>
      </c>
      <c r="Z51" s="589">
        <f>(X39*0.6)*(X51/X57)</f>
        <v>4812.698413</v>
      </c>
      <c r="AA51" s="554">
        <f t="shared" si="109"/>
        <v>7212.698413</v>
      </c>
      <c r="AB51" s="586">
        <f t="shared" si="110"/>
        <v>1895</v>
      </c>
      <c r="AC51" s="584">
        <f t="shared" si="111"/>
        <v>3224.371429</v>
      </c>
      <c r="AD51" s="589">
        <f>(AB39*0.6)*(AB51/AB57)</f>
        <v>6465.803023</v>
      </c>
      <c r="AE51" s="554">
        <f t="shared" si="112"/>
        <v>9690.174452</v>
      </c>
      <c r="AF51" s="586">
        <f t="shared" si="128"/>
        <v>1895</v>
      </c>
      <c r="AG51" s="584">
        <f t="shared" si="129"/>
        <v>4307.692308</v>
      </c>
      <c r="AH51" s="589">
        <f>(AF39*0.6)*(AF51/AF57)</f>
        <v>9632.677761</v>
      </c>
      <c r="AI51" s="554">
        <f t="shared" si="113"/>
        <v>13940.37007</v>
      </c>
      <c r="AJ51" s="586">
        <f t="shared" si="130"/>
        <v>1895</v>
      </c>
      <c r="AK51" s="584">
        <f t="shared" si="114"/>
        <v>4000</v>
      </c>
      <c r="AL51" s="589">
        <f>(AJ39*0.6)*(AJ51/AJ57)</f>
        <v>8644.040185</v>
      </c>
      <c r="AM51" s="554">
        <f t="shared" si="115"/>
        <v>12644.04018</v>
      </c>
      <c r="AN51" s="586">
        <f t="shared" si="131"/>
        <v>1895</v>
      </c>
      <c r="AO51" s="584">
        <f t="shared" si="116"/>
        <v>2714.285714</v>
      </c>
      <c r="AP51" s="589">
        <f>(AN39*0.6)*(AN51/AN57)</f>
        <v>5865.598697</v>
      </c>
      <c r="AQ51" s="554">
        <f t="shared" si="117"/>
        <v>8579.884411</v>
      </c>
      <c r="AR51" s="586">
        <f t="shared" si="132"/>
        <v>1895</v>
      </c>
      <c r="AS51" s="584">
        <f t="shared" si="118"/>
        <v>2714.285714</v>
      </c>
      <c r="AT51" s="589">
        <f>(AR39*0.6)*(AR51/AR57)</f>
        <v>5865.598697</v>
      </c>
      <c r="AU51" s="554">
        <f t="shared" si="119"/>
        <v>8579.884411</v>
      </c>
      <c r="AV51" s="586">
        <f t="shared" si="133"/>
        <v>1895</v>
      </c>
      <c r="AW51" s="584">
        <f t="shared" si="120"/>
        <v>3428.571429</v>
      </c>
      <c r="AX51" s="589">
        <f>(AV39*0.6)*(AV51/AV57)</f>
        <v>7409.177301</v>
      </c>
      <c r="AY51" s="554">
        <f t="shared" si="121"/>
        <v>10837.74873</v>
      </c>
      <c r="AZ51" s="586">
        <f t="shared" si="134"/>
        <v>1895</v>
      </c>
      <c r="BA51" s="584">
        <f t="shared" si="122"/>
        <v>3428.571429</v>
      </c>
      <c r="BB51" s="589">
        <f>(AZ39*0.6)*(AZ51/AZ57)</f>
        <v>7409.177301</v>
      </c>
      <c r="BC51" s="554">
        <f t="shared" si="123"/>
        <v>10837.74873</v>
      </c>
      <c r="BD51" s="586">
        <f t="shared" si="135"/>
        <v>1895</v>
      </c>
      <c r="BE51" s="584">
        <f t="shared" si="124"/>
        <v>4000</v>
      </c>
      <c r="BF51" s="589">
        <f>(BD39*0.6)*(BD51/BD57)</f>
        <v>8644.040185</v>
      </c>
      <c r="BG51" s="554">
        <f t="shared" si="125"/>
        <v>12644.04018</v>
      </c>
      <c r="BH51" s="586">
        <f t="shared" si="136"/>
        <v>1895</v>
      </c>
      <c r="BI51" s="584">
        <f t="shared" si="126"/>
        <v>4000</v>
      </c>
      <c r="BJ51" s="589">
        <f>(BH39*0.6)*(BH51/BH57)</f>
        <v>8644.040185</v>
      </c>
      <c r="BK51" s="554">
        <f t="shared" si="127"/>
        <v>12644.04018</v>
      </c>
      <c r="BL51" s="555"/>
      <c r="BM51" s="555"/>
    </row>
    <row r="52" ht="12.75" customHeight="1">
      <c r="A52" s="592" t="s">
        <v>390</v>
      </c>
      <c r="B52" s="521"/>
      <c r="C52" s="553">
        <f>ST!B110</f>
        <v>75</v>
      </c>
      <c r="D52" s="553">
        <f>ST!C110</f>
        <v>75</v>
      </c>
      <c r="E52" s="553">
        <f>ST!D110</f>
        <v>80</v>
      </c>
      <c r="F52" s="553">
        <f>ST!E110</f>
        <v>80</v>
      </c>
      <c r="G52" s="553">
        <f>ST!F110</f>
        <v>85</v>
      </c>
      <c r="H52" s="553">
        <f>ST!G110</f>
        <v>90</v>
      </c>
      <c r="I52" s="553">
        <f>ST!H110</f>
        <v>120</v>
      </c>
      <c r="J52" s="553">
        <f>ST!I110</f>
        <v>135</v>
      </c>
      <c r="K52" s="553">
        <f>ST!J110</f>
        <v>130</v>
      </c>
      <c r="L52" s="553">
        <f>ST!K110</f>
        <v>130</v>
      </c>
      <c r="M52" s="553">
        <f>ST!L110</f>
        <v>115</v>
      </c>
      <c r="N52" s="553">
        <f>ST!M110</f>
        <v>130</v>
      </c>
      <c r="O52" s="533"/>
      <c r="P52" s="593">
        <f t="shared" si="101"/>
        <v>1245</v>
      </c>
      <c r="Q52" s="584">
        <f t="shared" si="102"/>
        <v>2400</v>
      </c>
      <c r="R52" s="589">
        <f>(P39*0.6)*(P52/P57)</f>
        <v>3161.904762</v>
      </c>
      <c r="S52" s="554">
        <f t="shared" si="103"/>
        <v>5561.904762</v>
      </c>
      <c r="T52" s="594">
        <f t="shared" si="104"/>
        <v>1245</v>
      </c>
      <c r="U52" s="584">
        <f t="shared" si="105"/>
        <v>2400</v>
      </c>
      <c r="V52" s="589">
        <f>(T39*0.6)*(T52/T57)</f>
        <v>3161.904762</v>
      </c>
      <c r="W52" s="554">
        <f t="shared" si="106"/>
        <v>5561.904762</v>
      </c>
      <c r="X52" s="590">
        <f t="shared" si="107"/>
        <v>1245</v>
      </c>
      <c r="Y52" s="584">
        <f t="shared" si="108"/>
        <v>2400</v>
      </c>
      <c r="Z52" s="589">
        <f>(X39*0.6)*(X52/X57)</f>
        <v>3161.904762</v>
      </c>
      <c r="AA52" s="554">
        <f t="shared" si="109"/>
        <v>5561.904762</v>
      </c>
      <c r="AB52" s="586">
        <f t="shared" si="110"/>
        <v>1245</v>
      </c>
      <c r="AC52" s="584">
        <f t="shared" si="111"/>
        <v>3224.371429</v>
      </c>
      <c r="AD52" s="589">
        <f>(AB39*0.6)*(AB52/AB57)</f>
        <v>4247.981406</v>
      </c>
      <c r="AE52" s="554">
        <f t="shared" si="112"/>
        <v>7472.352834</v>
      </c>
      <c r="AF52" s="586">
        <f t="shared" si="128"/>
        <v>1245</v>
      </c>
      <c r="AG52" s="584">
        <f t="shared" si="129"/>
        <v>4307.692308</v>
      </c>
      <c r="AH52" s="589">
        <f>(AF39*0.6)*(AF52/AF57)</f>
        <v>6328.593041</v>
      </c>
      <c r="AI52" s="554">
        <f t="shared" si="113"/>
        <v>10636.28535</v>
      </c>
      <c r="AJ52" s="586">
        <f t="shared" si="130"/>
        <v>1245</v>
      </c>
      <c r="AK52" s="584">
        <f t="shared" si="114"/>
        <v>4000</v>
      </c>
      <c r="AL52" s="589">
        <f>(AJ39*0.6)*(AJ52/AJ57)</f>
        <v>5679.065979</v>
      </c>
      <c r="AM52" s="554">
        <f t="shared" si="115"/>
        <v>9679.065979</v>
      </c>
      <c r="AN52" s="586">
        <f t="shared" si="131"/>
        <v>1245</v>
      </c>
      <c r="AO52" s="584">
        <f t="shared" si="116"/>
        <v>2714.285714</v>
      </c>
      <c r="AP52" s="589">
        <f>(AN39*0.6)*(AN52/AN57)</f>
        <v>3853.651914</v>
      </c>
      <c r="AQ52" s="554">
        <f t="shared" si="117"/>
        <v>6567.937628</v>
      </c>
      <c r="AR52" s="586">
        <f t="shared" si="132"/>
        <v>1245</v>
      </c>
      <c r="AS52" s="584">
        <f t="shared" si="118"/>
        <v>2714.285714</v>
      </c>
      <c r="AT52" s="589">
        <f>(AR39*0.6)*(AR52/AR57)</f>
        <v>3853.651914</v>
      </c>
      <c r="AU52" s="554">
        <f t="shared" si="119"/>
        <v>6567.937628</v>
      </c>
      <c r="AV52" s="586">
        <f t="shared" si="133"/>
        <v>1245</v>
      </c>
      <c r="AW52" s="584">
        <f t="shared" si="120"/>
        <v>3428.571429</v>
      </c>
      <c r="AX52" s="589">
        <f>(AV39*0.6)*(AV52/AV57)</f>
        <v>4867.770839</v>
      </c>
      <c r="AY52" s="554">
        <f t="shared" si="121"/>
        <v>8296.342268</v>
      </c>
      <c r="AZ52" s="586">
        <f t="shared" si="134"/>
        <v>1245</v>
      </c>
      <c r="BA52" s="584">
        <f t="shared" si="122"/>
        <v>3428.571429</v>
      </c>
      <c r="BB52" s="589">
        <f>(AZ39*0.6)*(AZ52/AZ57)</f>
        <v>4867.770839</v>
      </c>
      <c r="BC52" s="554">
        <f t="shared" si="123"/>
        <v>8296.342268</v>
      </c>
      <c r="BD52" s="586">
        <f t="shared" si="135"/>
        <v>1245</v>
      </c>
      <c r="BE52" s="584">
        <f t="shared" si="124"/>
        <v>4000</v>
      </c>
      <c r="BF52" s="589">
        <f>(BD39*0.6)*(BD52/BD57)</f>
        <v>5679.065979</v>
      </c>
      <c r="BG52" s="554">
        <f t="shared" si="125"/>
        <v>9679.065979</v>
      </c>
      <c r="BH52" s="586">
        <f t="shared" si="136"/>
        <v>1245</v>
      </c>
      <c r="BI52" s="584">
        <f t="shared" si="126"/>
        <v>4000</v>
      </c>
      <c r="BJ52" s="589">
        <f>(BH39*0.6)*(BH52/BH57)</f>
        <v>5679.065979</v>
      </c>
      <c r="BK52" s="554">
        <f t="shared" si="127"/>
        <v>9679.065979</v>
      </c>
      <c r="BL52" s="555"/>
      <c r="BM52" s="555"/>
    </row>
    <row r="53" ht="12.75" customHeight="1">
      <c r="A53" s="592" t="s">
        <v>391</v>
      </c>
      <c r="B53" s="521"/>
      <c r="C53" s="595">
        <f>HSU!B110</f>
        <v>60</v>
      </c>
      <c r="D53" s="595">
        <f>HSU!C110</f>
        <v>60</v>
      </c>
      <c r="E53" s="595">
        <f>HSU!D110</f>
        <v>65</v>
      </c>
      <c r="F53" s="595">
        <f>HSU!E110</f>
        <v>75</v>
      </c>
      <c r="G53" s="595">
        <f>HSU!F110</f>
        <v>85</v>
      </c>
      <c r="H53" s="595">
        <f>HSU!G110</f>
        <v>90</v>
      </c>
      <c r="I53" s="595">
        <f>HSU!H110</f>
        <v>100</v>
      </c>
      <c r="J53" s="595">
        <f>HSU!I110</f>
        <v>90</v>
      </c>
      <c r="K53" s="595">
        <f>HSU!J110</f>
        <v>105</v>
      </c>
      <c r="L53" s="595">
        <f>HSU!K110</f>
        <v>95</v>
      </c>
      <c r="M53" s="595">
        <f>HSU!L110</f>
        <v>95</v>
      </c>
      <c r="N53" s="595">
        <f>HSU!M110</f>
        <v>105</v>
      </c>
      <c r="O53" s="533"/>
      <c r="P53" s="552">
        <f t="shared" si="101"/>
        <v>1025</v>
      </c>
      <c r="Q53" s="584">
        <f t="shared" ref="Q53:Q56" si="137">(P$39*0.4/14)/2</f>
        <v>1200</v>
      </c>
      <c r="R53" s="589">
        <f>(P39*0.6)*(P53/P57)</f>
        <v>2603.174603</v>
      </c>
      <c r="S53" s="554">
        <f t="shared" si="103"/>
        <v>3803.174603</v>
      </c>
      <c r="T53" s="585">
        <f t="shared" si="104"/>
        <v>1025</v>
      </c>
      <c r="U53" s="584">
        <f t="shared" ref="U53:U54" si="138">(P$39*0.4/14)/2</f>
        <v>1200</v>
      </c>
      <c r="V53" s="589">
        <f>(T39*0.6)*(T53/T57)</f>
        <v>2603.174603</v>
      </c>
      <c r="W53" s="554">
        <f t="shared" si="106"/>
        <v>3803.174603</v>
      </c>
      <c r="X53" s="590">
        <f t="shared" si="107"/>
        <v>1025</v>
      </c>
      <c r="Y53" s="584">
        <f t="shared" ref="Y53:Y56" si="139">(X$39*0.4/14)/2</f>
        <v>1200</v>
      </c>
      <c r="Z53" s="589">
        <f>(X39*0.6)*(X53/X57)</f>
        <v>2603.174603</v>
      </c>
      <c r="AA53" s="554">
        <f t="shared" si="109"/>
        <v>3803.174603</v>
      </c>
      <c r="AB53" s="586">
        <f t="shared" si="110"/>
        <v>1025</v>
      </c>
      <c r="AC53" s="584">
        <f t="shared" ref="AC53:AC56" si="140">(AB$39*0.4/14)/2</f>
        <v>1612.185714</v>
      </c>
      <c r="AD53" s="589">
        <f>(AB39*0.6)*(AB53/AB57)</f>
        <v>3497.334089</v>
      </c>
      <c r="AE53" s="554">
        <f t="shared" si="112"/>
        <v>5109.519803</v>
      </c>
      <c r="AF53" s="586">
        <f t="shared" si="128"/>
        <v>1025</v>
      </c>
      <c r="AG53" s="584">
        <f t="shared" ref="AG53:AG56" si="141">(AF$39*0.4/13)/2</f>
        <v>2153.846154</v>
      </c>
      <c r="AH53" s="589">
        <f>(AF39*0.6)*(AF53/AF57)</f>
        <v>5210.287443</v>
      </c>
      <c r="AI53" s="554">
        <f t="shared" si="113"/>
        <v>7364.133597</v>
      </c>
      <c r="AJ53" s="586">
        <f t="shared" si="130"/>
        <v>1025</v>
      </c>
      <c r="AK53" s="584">
        <f t="shared" ref="AK53:AK56" si="142">(AJ$39*0.4/14)/2</f>
        <v>2000</v>
      </c>
      <c r="AL53" s="589">
        <f>(AJ39*0.6)*(AJ53/AJ57)</f>
        <v>4675.536248</v>
      </c>
      <c r="AM53" s="554">
        <f t="shared" si="115"/>
        <v>6675.536248</v>
      </c>
      <c r="AN53" s="586">
        <f t="shared" si="131"/>
        <v>1025</v>
      </c>
      <c r="AO53" s="584">
        <f t="shared" ref="AO53:AO56" si="143">(AN$39*0.4/14)/2</f>
        <v>1357.142857</v>
      </c>
      <c r="AP53" s="589">
        <f>(AN39*0.6)*(AN53/AN57)</f>
        <v>3172.685311</v>
      </c>
      <c r="AQ53" s="554">
        <f t="shared" si="117"/>
        <v>4529.828168</v>
      </c>
      <c r="AR53" s="586">
        <f t="shared" si="132"/>
        <v>1025</v>
      </c>
      <c r="AS53" s="584">
        <f t="shared" ref="AS53:AS56" si="144">(AR$39*0.4/14)/2</f>
        <v>1357.142857</v>
      </c>
      <c r="AT53" s="589">
        <f>(AR39*0.6)*(AR53/AR57)</f>
        <v>3172.685311</v>
      </c>
      <c r="AU53" s="554">
        <f t="shared" si="119"/>
        <v>4529.828168</v>
      </c>
      <c r="AV53" s="586">
        <f t="shared" si="133"/>
        <v>1025</v>
      </c>
      <c r="AW53" s="584">
        <f t="shared" ref="AW53:AW56" si="145">(AV$39*0.4/14)/2</f>
        <v>1714.285714</v>
      </c>
      <c r="AX53" s="589">
        <f>(AV39*0.6)*(AV53/AV57)</f>
        <v>4007.602498</v>
      </c>
      <c r="AY53" s="554">
        <f t="shared" si="121"/>
        <v>5721.888212</v>
      </c>
      <c r="AZ53" s="586">
        <f t="shared" si="134"/>
        <v>1025</v>
      </c>
      <c r="BA53" s="584">
        <f t="shared" ref="BA53:BA56" si="146">(AZ$39*0.4/14)/2</f>
        <v>1714.285714</v>
      </c>
      <c r="BB53" s="589">
        <f>(AZ39*0.6)*(AZ53/AZ57)</f>
        <v>4007.602498</v>
      </c>
      <c r="BC53" s="554">
        <f t="shared" si="123"/>
        <v>5721.888212</v>
      </c>
      <c r="BD53" s="586">
        <f t="shared" si="135"/>
        <v>1025</v>
      </c>
      <c r="BE53" s="584">
        <f t="shared" ref="BE53:BE56" si="147">(BD$39*0.4/14)/2</f>
        <v>2000</v>
      </c>
      <c r="BF53" s="589">
        <f>(BD39*0.6)*(BD53/BD57)</f>
        <v>4675.536248</v>
      </c>
      <c r="BG53" s="554">
        <f t="shared" si="125"/>
        <v>6675.536248</v>
      </c>
      <c r="BH53" s="586">
        <f t="shared" si="136"/>
        <v>1025</v>
      </c>
      <c r="BI53" s="584">
        <f t="shared" ref="BI53:BI56" si="148">(BH$39*0.4/14)/2</f>
        <v>2000</v>
      </c>
      <c r="BJ53" s="589">
        <f>(BH39*0.6)*(BH53/BH57)</f>
        <v>4675.536248</v>
      </c>
      <c r="BK53" s="554">
        <f t="shared" si="127"/>
        <v>6675.536248</v>
      </c>
      <c r="BL53" s="557"/>
      <c r="BM53" s="557"/>
    </row>
    <row r="54" ht="12.75" customHeight="1">
      <c r="A54" s="592" t="s">
        <v>392</v>
      </c>
      <c r="B54" s="521"/>
      <c r="C54" s="596">
        <f>HVW!B110</f>
        <v>40</v>
      </c>
      <c r="D54" s="596">
        <f>HVW!C110</f>
        <v>40</v>
      </c>
      <c r="E54" s="596">
        <f>HVW!D110</f>
        <v>45</v>
      </c>
      <c r="F54" s="596">
        <f>HVW!E110</f>
        <v>50</v>
      </c>
      <c r="G54" s="596">
        <f>HVW!F110</f>
        <v>50</v>
      </c>
      <c r="H54" s="596">
        <f>HVW!G110</f>
        <v>50</v>
      </c>
      <c r="I54" s="596">
        <f>HVW!H110</f>
        <v>50</v>
      </c>
      <c r="J54" s="596">
        <f>HVW!I110</f>
        <v>50</v>
      </c>
      <c r="K54" s="596">
        <f>HVW!J110</f>
        <v>55</v>
      </c>
      <c r="L54" s="596">
        <f>HVW!K110</f>
        <v>60</v>
      </c>
      <c r="M54" s="596">
        <f>HVW!L110</f>
        <v>55</v>
      </c>
      <c r="N54" s="596">
        <f>HVW!M110</f>
        <v>60</v>
      </c>
      <c r="O54" s="533"/>
      <c r="P54" s="552">
        <f t="shared" si="101"/>
        <v>605</v>
      </c>
      <c r="Q54" s="584">
        <f t="shared" si="137"/>
        <v>1200</v>
      </c>
      <c r="R54" s="589">
        <f>(P39*0.6)*(P54/P57)</f>
        <v>1536.507937</v>
      </c>
      <c r="S54" s="554">
        <f t="shared" si="103"/>
        <v>2736.507937</v>
      </c>
      <c r="T54" s="585">
        <f t="shared" si="104"/>
        <v>605</v>
      </c>
      <c r="U54" s="584">
        <f t="shared" si="138"/>
        <v>1200</v>
      </c>
      <c r="V54" s="589">
        <f>(T39*0.6)*(T54/T57)</f>
        <v>1536.507937</v>
      </c>
      <c r="W54" s="554">
        <f t="shared" si="106"/>
        <v>2736.507937</v>
      </c>
      <c r="X54" s="590">
        <f t="shared" si="107"/>
        <v>605</v>
      </c>
      <c r="Y54" s="584">
        <f t="shared" si="139"/>
        <v>1200</v>
      </c>
      <c r="Z54" s="589">
        <f>(X39*0.6)*(X54/X57)</f>
        <v>1536.507937</v>
      </c>
      <c r="AA54" s="554">
        <f t="shared" si="109"/>
        <v>2736.507937</v>
      </c>
      <c r="AB54" s="586">
        <f t="shared" si="110"/>
        <v>605</v>
      </c>
      <c r="AC54" s="584">
        <f t="shared" si="140"/>
        <v>1612.185714</v>
      </c>
      <c r="AD54" s="589">
        <f>(AB39*0.6)*(AB54/AB57)</f>
        <v>2064.280121</v>
      </c>
      <c r="AE54" s="554">
        <f t="shared" si="112"/>
        <v>3676.465835</v>
      </c>
      <c r="AF54" s="586">
        <f t="shared" si="128"/>
        <v>605</v>
      </c>
      <c r="AG54" s="584">
        <f t="shared" si="141"/>
        <v>2153.846154</v>
      </c>
      <c r="AH54" s="589">
        <f>(AF39*0.6)*(AF54/AF57)</f>
        <v>3075.340393</v>
      </c>
      <c r="AI54" s="554">
        <f t="shared" si="113"/>
        <v>5229.186547</v>
      </c>
      <c r="AJ54" s="586">
        <f t="shared" si="130"/>
        <v>605</v>
      </c>
      <c r="AK54" s="584">
        <f t="shared" si="142"/>
        <v>2000</v>
      </c>
      <c r="AL54" s="589">
        <f>(AJ39*0.6)*(AJ54/AJ57)</f>
        <v>2759.706761</v>
      </c>
      <c r="AM54" s="554">
        <f t="shared" si="115"/>
        <v>4759.706761</v>
      </c>
      <c r="AN54" s="586">
        <f t="shared" si="131"/>
        <v>605</v>
      </c>
      <c r="AO54" s="584">
        <f t="shared" si="143"/>
        <v>1357.142857</v>
      </c>
      <c r="AP54" s="589">
        <f>(AN39*0.6)*(AN54/AN57)</f>
        <v>1872.658159</v>
      </c>
      <c r="AQ54" s="554">
        <f t="shared" si="117"/>
        <v>3229.801016</v>
      </c>
      <c r="AR54" s="586">
        <f t="shared" si="132"/>
        <v>605</v>
      </c>
      <c r="AS54" s="584">
        <f t="shared" si="144"/>
        <v>1357.142857</v>
      </c>
      <c r="AT54" s="589">
        <f>(AR39*0.6)*(AR54/AR57)</f>
        <v>1872.658159</v>
      </c>
      <c r="AU54" s="554">
        <f t="shared" si="119"/>
        <v>3229.801016</v>
      </c>
      <c r="AV54" s="586">
        <f t="shared" si="133"/>
        <v>605</v>
      </c>
      <c r="AW54" s="584">
        <f t="shared" si="145"/>
        <v>1714.285714</v>
      </c>
      <c r="AX54" s="589">
        <f>(AV39*0.6)*(AV54/AV57)</f>
        <v>2365.462938</v>
      </c>
      <c r="AY54" s="554">
        <f t="shared" si="121"/>
        <v>4079.748652</v>
      </c>
      <c r="AZ54" s="586">
        <f t="shared" si="134"/>
        <v>605</v>
      </c>
      <c r="BA54" s="584">
        <f t="shared" si="146"/>
        <v>1714.285714</v>
      </c>
      <c r="BB54" s="589">
        <f>(AZ39*0.6)*(AZ54/AZ57)</f>
        <v>2365.462938</v>
      </c>
      <c r="BC54" s="554">
        <f t="shared" si="123"/>
        <v>4079.748652</v>
      </c>
      <c r="BD54" s="586">
        <f t="shared" si="135"/>
        <v>605</v>
      </c>
      <c r="BE54" s="584">
        <f t="shared" si="147"/>
        <v>2000</v>
      </c>
      <c r="BF54" s="589">
        <f>(BD39*0.6)*(BD54/BD57)</f>
        <v>2759.706761</v>
      </c>
      <c r="BG54" s="554">
        <f t="shared" si="125"/>
        <v>4759.706761</v>
      </c>
      <c r="BH54" s="586">
        <f t="shared" si="136"/>
        <v>605</v>
      </c>
      <c r="BI54" s="584">
        <f t="shared" si="148"/>
        <v>2000</v>
      </c>
      <c r="BJ54" s="589">
        <f>(BH39*0.6)*(BH54/BH57)</f>
        <v>2759.706761</v>
      </c>
      <c r="BK54" s="554">
        <f t="shared" si="127"/>
        <v>4759.706761</v>
      </c>
      <c r="BL54" s="557"/>
      <c r="BM54" s="557"/>
    </row>
    <row r="55" ht="12.75" customHeight="1">
      <c r="A55" s="592" t="s">
        <v>393</v>
      </c>
      <c r="B55" s="521"/>
      <c r="C55" s="596">
        <f>MZ!B110</f>
        <v>35</v>
      </c>
      <c r="D55" s="596">
        <f>MZ!C110</f>
        <v>45</v>
      </c>
      <c r="E55" s="596">
        <f>MZ!D110</f>
        <v>40</v>
      </c>
      <c r="F55" s="596">
        <f>MZ!E110</f>
        <v>30</v>
      </c>
      <c r="G55" s="596">
        <f>MZ!F110</f>
        <v>30</v>
      </c>
      <c r="H55" s="596">
        <f>MZ!G110</f>
        <v>35</v>
      </c>
      <c r="I55" s="596">
        <f>MZ!H110</f>
        <v>40</v>
      </c>
      <c r="J55" s="596">
        <f>MZ!I110</f>
        <v>35</v>
      </c>
      <c r="K55" s="596">
        <f>MZ!J110</f>
        <v>40</v>
      </c>
      <c r="L55" s="596">
        <f>MZ!K110</f>
        <v>40</v>
      </c>
      <c r="M55" s="596">
        <f>MZ!L110</f>
        <v>40</v>
      </c>
      <c r="N55" s="596">
        <f>MZ!M110</f>
        <v>40</v>
      </c>
      <c r="O55" s="533"/>
      <c r="P55" s="552">
        <f t="shared" si="101"/>
        <v>450</v>
      </c>
      <c r="Q55" s="584">
        <f t="shared" si="137"/>
        <v>1200</v>
      </c>
      <c r="R55" s="589">
        <f>(P39*0.6)*(P55/P57)</f>
        <v>1142.857143</v>
      </c>
      <c r="S55" s="554">
        <f t="shared" si="103"/>
        <v>2342.857143</v>
      </c>
      <c r="T55" s="585">
        <f t="shared" si="104"/>
        <v>450</v>
      </c>
      <c r="U55" s="584">
        <f t="shared" ref="U55:U56" si="149">(T$39*0.4/14)/2</f>
        <v>1200</v>
      </c>
      <c r="V55" s="589">
        <f>(T39*0.6)*(T55/T57)</f>
        <v>1142.857143</v>
      </c>
      <c r="W55" s="554">
        <f t="shared" si="106"/>
        <v>2342.857143</v>
      </c>
      <c r="X55" s="590">
        <f t="shared" si="107"/>
        <v>450</v>
      </c>
      <c r="Y55" s="584">
        <f t="shared" si="139"/>
        <v>1200</v>
      </c>
      <c r="Z55" s="589">
        <f>(X39*0.6)*(X55/X57)</f>
        <v>1142.857143</v>
      </c>
      <c r="AA55" s="554">
        <f t="shared" si="109"/>
        <v>2342.857143</v>
      </c>
      <c r="AB55" s="586">
        <f t="shared" si="110"/>
        <v>450</v>
      </c>
      <c r="AC55" s="584">
        <f t="shared" si="140"/>
        <v>1612.185714</v>
      </c>
      <c r="AD55" s="589">
        <f>(AB39*0.6)*(AB55/AB57)</f>
        <v>1535.414966</v>
      </c>
      <c r="AE55" s="554">
        <f t="shared" si="112"/>
        <v>3147.60068</v>
      </c>
      <c r="AF55" s="586">
        <f t="shared" si="128"/>
        <v>450</v>
      </c>
      <c r="AG55" s="584">
        <f t="shared" si="141"/>
        <v>2153.846154</v>
      </c>
      <c r="AH55" s="589">
        <f>(AF39*0.6)*(AF55/AF57)</f>
        <v>2287.443268</v>
      </c>
      <c r="AI55" s="554">
        <f t="shared" si="113"/>
        <v>4441.289422</v>
      </c>
      <c r="AJ55" s="586">
        <f t="shared" si="130"/>
        <v>450</v>
      </c>
      <c r="AK55" s="584">
        <f t="shared" si="142"/>
        <v>2000</v>
      </c>
      <c r="AL55" s="589">
        <f>(AJ39*0.6)*(AJ55/AJ57)</f>
        <v>2052.67445</v>
      </c>
      <c r="AM55" s="554">
        <f t="shared" si="115"/>
        <v>4052.67445</v>
      </c>
      <c r="AN55" s="586">
        <f t="shared" si="131"/>
        <v>450</v>
      </c>
      <c r="AO55" s="584">
        <f t="shared" si="143"/>
        <v>1357.142857</v>
      </c>
      <c r="AP55" s="589">
        <f>(AN39*0.6)*(AN55/AN57)</f>
        <v>1392.886234</v>
      </c>
      <c r="AQ55" s="554">
        <f t="shared" si="117"/>
        <v>2750.029091</v>
      </c>
      <c r="AR55" s="586">
        <f t="shared" si="132"/>
        <v>450</v>
      </c>
      <c r="AS55" s="584">
        <f t="shared" si="144"/>
        <v>1357.142857</v>
      </c>
      <c r="AT55" s="589">
        <f>(AR39*0.6)*(AR55/AR57)</f>
        <v>1392.886234</v>
      </c>
      <c r="AU55" s="554">
        <f t="shared" si="119"/>
        <v>2750.029091</v>
      </c>
      <c r="AV55" s="586">
        <f t="shared" si="133"/>
        <v>450</v>
      </c>
      <c r="AW55" s="584">
        <f t="shared" si="145"/>
        <v>1714.285714</v>
      </c>
      <c r="AX55" s="589">
        <f>(AV39*0.6)*(AV55/AV57)</f>
        <v>1759.435243</v>
      </c>
      <c r="AY55" s="554">
        <f t="shared" si="121"/>
        <v>3473.720957</v>
      </c>
      <c r="AZ55" s="586">
        <f t="shared" si="134"/>
        <v>450</v>
      </c>
      <c r="BA55" s="584">
        <f t="shared" si="146"/>
        <v>1714.285714</v>
      </c>
      <c r="BB55" s="589">
        <f>(AZ39*0.6)*(AZ55/AZ57)</f>
        <v>1759.435243</v>
      </c>
      <c r="BC55" s="554">
        <f t="shared" si="123"/>
        <v>3473.720957</v>
      </c>
      <c r="BD55" s="586">
        <f t="shared" si="135"/>
        <v>450</v>
      </c>
      <c r="BE55" s="584">
        <f t="shared" si="147"/>
        <v>2000</v>
      </c>
      <c r="BF55" s="589">
        <f>(BD39*0.6)*(BD55/BD57)</f>
        <v>2052.67445</v>
      </c>
      <c r="BG55" s="554">
        <f t="shared" si="125"/>
        <v>4052.67445</v>
      </c>
      <c r="BH55" s="586">
        <f t="shared" si="136"/>
        <v>450</v>
      </c>
      <c r="BI55" s="584">
        <f t="shared" si="148"/>
        <v>2000</v>
      </c>
      <c r="BJ55" s="589">
        <f>(BH39*0.6)*(BH55/BH57)</f>
        <v>2052.67445</v>
      </c>
      <c r="BK55" s="554">
        <f t="shared" si="127"/>
        <v>4052.67445</v>
      </c>
      <c r="BL55" s="557"/>
      <c r="BM55" s="557"/>
    </row>
    <row r="56" ht="12.75" customHeight="1">
      <c r="A56" s="592" t="s">
        <v>394</v>
      </c>
      <c r="B56" s="521"/>
      <c r="C56" s="596">
        <f>BUGMC!B110</f>
        <v>30</v>
      </c>
      <c r="D56" s="596">
        <f>BUGMC!C110</f>
        <v>32</v>
      </c>
      <c r="E56" s="596">
        <f>BUGMC!D110</f>
        <v>38</v>
      </c>
      <c r="F56" s="596">
        <f>BUGMC!E110</f>
        <v>38</v>
      </c>
      <c r="G56" s="596">
        <f>BUGMC!F110</f>
        <v>43</v>
      </c>
      <c r="H56" s="596">
        <f>BUGMC!G110</f>
        <v>38</v>
      </c>
      <c r="I56" s="596">
        <f>BUGMC!H110</f>
        <v>38</v>
      </c>
      <c r="J56" s="596">
        <f>BUGMC!I110</f>
        <v>37</v>
      </c>
      <c r="K56" s="596">
        <f>BUGMC!J110</f>
        <v>30</v>
      </c>
      <c r="L56" s="596">
        <f>BUGMC!K110</f>
        <v>30</v>
      </c>
      <c r="M56" s="596">
        <f>BUGMC!L110</f>
        <v>35</v>
      </c>
      <c r="N56" s="596">
        <f>BUGMC!M110</f>
        <v>38</v>
      </c>
      <c r="O56" s="533"/>
      <c r="P56" s="552">
        <f t="shared" si="101"/>
        <v>427</v>
      </c>
      <c r="Q56" s="584">
        <f t="shared" si="137"/>
        <v>1200</v>
      </c>
      <c r="R56" s="589">
        <f>(P39*0.6)*(P56/P57)</f>
        <v>1084.444444</v>
      </c>
      <c r="S56" s="554">
        <f t="shared" si="103"/>
        <v>2284.444444</v>
      </c>
      <c r="T56" s="585">
        <f t="shared" si="104"/>
        <v>427</v>
      </c>
      <c r="U56" s="584">
        <f t="shared" si="149"/>
        <v>1200</v>
      </c>
      <c r="V56" s="589">
        <f>(T39*0.6)*(T56/T57)</f>
        <v>1084.444444</v>
      </c>
      <c r="W56" s="554">
        <f t="shared" si="106"/>
        <v>2284.444444</v>
      </c>
      <c r="X56" s="590">
        <f t="shared" si="107"/>
        <v>427</v>
      </c>
      <c r="Y56" s="584">
        <f t="shared" si="139"/>
        <v>1200</v>
      </c>
      <c r="Z56" s="589">
        <f>(X39*0.6)*(X56/X57)</f>
        <v>1084.444444</v>
      </c>
      <c r="AA56" s="554">
        <f t="shared" si="109"/>
        <v>2284.444444</v>
      </c>
      <c r="AB56" s="586">
        <f t="shared" si="110"/>
        <v>427</v>
      </c>
      <c r="AC56" s="584">
        <f t="shared" si="140"/>
        <v>1612.185714</v>
      </c>
      <c r="AD56" s="589">
        <f>(AB39*0.6)*(AB56/AB57)</f>
        <v>1456.938201</v>
      </c>
      <c r="AE56" s="554">
        <f t="shared" si="112"/>
        <v>3069.123915</v>
      </c>
      <c r="AF56" s="586">
        <f t="shared" si="128"/>
        <v>427</v>
      </c>
      <c r="AG56" s="584">
        <f t="shared" si="141"/>
        <v>2153.846154</v>
      </c>
      <c r="AH56" s="589">
        <f>(AF39*0.6)*(AF56/AF57)</f>
        <v>2170.529501</v>
      </c>
      <c r="AI56" s="554">
        <f t="shared" si="113"/>
        <v>4324.375655</v>
      </c>
      <c r="AJ56" s="586">
        <f t="shared" si="130"/>
        <v>427</v>
      </c>
      <c r="AK56" s="584">
        <f t="shared" si="142"/>
        <v>2000</v>
      </c>
      <c r="AL56" s="589">
        <f>(AJ39*0.6)*(AJ56/AJ57)</f>
        <v>1947.759978</v>
      </c>
      <c r="AM56" s="554">
        <f t="shared" si="115"/>
        <v>3947.759978</v>
      </c>
      <c r="AN56" s="586">
        <f t="shared" si="131"/>
        <v>427</v>
      </c>
      <c r="AO56" s="584">
        <f t="shared" si="143"/>
        <v>1357.142857</v>
      </c>
      <c r="AP56" s="589">
        <f>(AN39*0.6)*(AN56/AN57)</f>
        <v>1321.694271</v>
      </c>
      <c r="AQ56" s="554">
        <f t="shared" si="117"/>
        <v>2678.837128</v>
      </c>
      <c r="AR56" s="586">
        <f t="shared" si="132"/>
        <v>427</v>
      </c>
      <c r="AS56" s="584">
        <f t="shared" si="144"/>
        <v>1357.142857</v>
      </c>
      <c r="AT56" s="589">
        <f>(AR39*0.6)*(AR56/AR57)</f>
        <v>1321.694271</v>
      </c>
      <c r="AU56" s="554">
        <f t="shared" si="119"/>
        <v>2678.837128</v>
      </c>
      <c r="AV56" s="586">
        <f t="shared" si="133"/>
        <v>427</v>
      </c>
      <c r="AW56" s="584">
        <f t="shared" si="145"/>
        <v>1714.285714</v>
      </c>
      <c r="AX56" s="589">
        <f>(AV39*0.6)*(AV56/AV57)</f>
        <v>1669.508553</v>
      </c>
      <c r="AY56" s="554">
        <f t="shared" si="121"/>
        <v>3383.794267</v>
      </c>
      <c r="AZ56" s="586">
        <f t="shared" si="134"/>
        <v>427</v>
      </c>
      <c r="BA56" s="584">
        <f t="shared" si="146"/>
        <v>1714.285714</v>
      </c>
      <c r="BB56" s="589">
        <f>(AZ39*0.6)*(AZ56/AZ57)</f>
        <v>1669.508553</v>
      </c>
      <c r="BC56" s="554">
        <f t="shared" si="123"/>
        <v>3383.794267</v>
      </c>
      <c r="BD56" s="586">
        <f t="shared" si="135"/>
        <v>427</v>
      </c>
      <c r="BE56" s="584">
        <f t="shared" si="147"/>
        <v>2000</v>
      </c>
      <c r="BF56" s="589">
        <f>(BD39*0.6)*(BD56/BD57)</f>
        <v>1947.759978</v>
      </c>
      <c r="BG56" s="554">
        <f t="shared" si="125"/>
        <v>3947.759978</v>
      </c>
      <c r="BH56" s="586">
        <f t="shared" si="136"/>
        <v>427</v>
      </c>
      <c r="BI56" s="584">
        <f t="shared" si="148"/>
        <v>2000</v>
      </c>
      <c r="BJ56" s="589">
        <f>(BH39*0.6)*(BH56/BH57)</f>
        <v>1947.759978</v>
      </c>
      <c r="BK56" s="554">
        <f t="shared" si="127"/>
        <v>3947.759978</v>
      </c>
      <c r="BL56" s="557"/>
      <c r="BM56" s="557"/>
    </row>
    <row r="57" ht="12.75" customHeight="1">
      <c r="A57" s="592"/>
      <c r="B57" s="521"/>
      <c r="C57" s="597"/>
      <c r="D57" s="597"/>
      <c r="E57" s="597"/>
      <c r="F57" s="597"/>
      <c r="G57" s="597"/>
      <c r="H57" s="597"/>
      <c r="I57" s="597"/>
      <c r="J57" s="597"/>
      <c r="K57" s="597"/>
      <c r="L57" s="597"/>
      <c r="M57" s="597"/>
      <c r="N57" s="597"/>
      <c r="O57" s="533"/>
      <c r="P57" s="598">
        <f t="shared" ref="P57:BB57" si="150">SUM(P41:P56)</f>
        <v>19845</v>
      </c>
      <c r="Q57" s="599">
        <f t="shared" si="150"/>
        <v>33600</v>
      </c>
      <c r="R57" s="600">
        <f t="shared" si="150"/>
        <v>50400</v>
      </c>
      <c r="S57" s="600">
        <f t="shared" si="150"/>
        <v>84000</v>
      </c>
      <c r="T57" s="598">
        <f t="shared" si="150"/>
        <v>19845</v>
      </c>
      <c r="U57" s="600">
        <f t="shared" si="150"/>
        <v>33600</v>
      </c>
      <c r="V57" s="600">
        <f t="shared" si="150"/>
        <v>50400</v>
      </c>
      <c r="W57" s="600">
        <f t="shared" si="150"/>
        <v>84000</v>
      </c>
      <c r="X57" s="598">
        <f t="shared" si="150"/>
        <v>19845</v>
      </c>
      <c r="Y57" s="599">
        <f t="shared" si="150"/>
        <v>33600</v>
      </c>
      <c r="Z57" s="600">
        <f t="shared" si="150"/>
        <v>50400</v>
      </c>
      <c r="AA57" s="601">
        <f t="shared" si="150"/>
        <v>84000</v>
      </c>
      <c r="AB57" s="598">
        <f t="shared" si="150"/>
        <v>19845</v>
      </c>
      <c r="AC57" s="599">
        <f t="shared" si="150"/>
        <v>45141.2</v>
      </c>
      <c r="AD57" s="600">
        <f t="shared" si="150"/>
        <v>67711.8</v>
      </c>
      <c r="AE57" s="600">
        <f t="shared" si="150"/>
        <v>112853</v>
      </c>
      <c r="AF57" s="602">
        <f t="shared" si="150"/>
        <v>16525</v>
      </c>
      <c r="AG57" s="603">
        <f t="shared" si="150"/>
        <v>56000</v>
      </c>
      <c r="AH57" s="396">
        <f t="shared" si="150"/>
        <v>84000</v>
      </c>
      <c r="AI57" s="604">
        <f t="shared" si="150"/>
        <v>140000</v>
      </c>
      <c r="AJ57" s="602">
        <f t="shared" si="150"/>
        <v>18415</v>
      </c>
      <c r="AK57" s="603">
        <f t="shared" si="150"/>
        <v>56000</v>
      </c>
      <c r="AL57" s="604">
        <f t="shared" si="150"/>
        <v>84000</v>
      </c>
      <c r="AM57" s="604">
        <f t="shared" si="150"/>
        <v>140000</v>
      </c>
      <c r="AN57" s="602">
        <f t="shared" si="150"/>
        <v>18415</v>
      </c>
      <c r="AO57" s="603">
        <f t="shared" si="150"/>
        <v>38000</v>
      </c>
      <c r="AP57" s="604">
        <f t="shared" si="150"/>
        <v>57000</v>
      </c>
      <c r="AQ57" s="604">
        <f t="shared" si="150"/>
        <v>95000</v>
      </c>
      <c r="AR57" s="598">
        <f t="shared" si="150"/>
        <v>18415</v>
      </c>
      <c r="AS57" s="599">
        <f t="shared" si="150"/>
        <v>38000</v>
      </c>
      <c r="AT57" s="600">
        <f t="shared" si="150"/>
        <v>57000</v>
      </c>
      <c r="AU57" s="600">
        <f t="shared" si="150"/>
        <v>95000</v>
      </c>
      <c r="AV57" s="598">
        <f t="shared" si="150"/>
        <v>18415</v>
      </c>
      <c r="AW57" s="599">
        <f t="shared" si="150"/>
        <v>48000</v>
      </c>
      <c r="AX57" s="600">
        <f t="shared" si="150"/>
        <v>72000</v>
      </c>
      <c r="AY57" s="600">
        <f t="shared" si="150"/>
        <v>120000</v>
      </c>
      <c r="AZ57" s="598">
        <f t="shared" si="150"/>
        <v>18415</v>
      </c>
      <c r="BA57" s="599">
        <f t="shared" si="150"/>
        <v>48000</v>
      </c>
      <c r="BB57" s="600">
        <f t="shared" si="150"/>
        <v>72000</v>
      </c>
      <c r="BC57" s="599">
        <f>SUM(BA57:BB57)</f>
        <v>120000</v>
      </c>
      <c r="BD57" s="598">
        <f t="shared" ref="BD57:BK57" si="151">SUM(BD41:BD56)</f>
        <v>18415</v>
      </c>
      <c r="BE57" s="599">
        <f t="shared" si="151"/>
        <v>56000</v>
      </c>
      <c r="BF57" s="600">
        <f t="shared" si="151"/>
        <v>84000</v>
      </c>
      <c r="BG57" s="600">
        <f t="shared" si="151"/>
        <v>140000</v>
      </c>
      <c r="BH57" s="598">
        <f t="shared" si="151"/>
        <v>18415</v>
      </c>
      <c r="BI57" s="599">
        <f t="shared" si="151"/>
        <v>56000</v>
      </c>
      <c r="BJ57" s="600">
        <f t="shared" si="151"/>
        <v>84000</v>
      </c>
      <c r="BK57" s="600">
        <f t="shared" si="151"/>
        <v>140000</v>
      </c>
      <c r="BL57" s="557"/>
      <c r="BM57" s="557"/>
    </row>
    <row r="58" ht="12.75" customHeight="1">
      <c r="A58" s="592"/>
      <c r="B58" s="521"/>
      <c r="C58" s="533"/>
      <c r="D58" s="533"/>
      <c r="E58" s="533"/>
      <c r="F58" s="533"/>
      <c r="G58" s="533"/>
      <c r="H58" s="533"/>
      <c r="I58" s="533"/>
      <c r="J58" s="533"/>
      <c r="K58" s="533"/>
      <c r="L58" s="533"/>
      <c r="M58" s="533"/>
      <c r="N58" s="533"/>
      <c r="O58" s="515"/>
      <c r="P58" s="541"/>
      <c r="Q58" s="541"/>
      <c r="R58" s="541"/>
      <c r="S58" s="541"/>
      <c r="T58" s="541"/>
      <c r="U58" s="541"/>
      <c r="V58" s="541"/>
      <c r="W58" s="541"/>
      <c r="X58" s="541"/>
      <c r="Y58" s="541"/>
      <c r="Z58" s="541"/>
      <c r="AA58" s="541"/>
      <c r="AB58" s="541"/>
      <c r="AC58" s="541"/>
      <c r="AD58" s="541"/>
      <c r="AE58" s="541"/>
      <c r="AF58" s="541"/>
      <c r="AG58" s="541"/>
      <c r="AH58" s="541"/>
      <c r="AI58" s="541"/>
      <c r="AJ58" s="541"/>
      <c r="AK58" s="541"/>
      <c r="AL58" s="541"/>
      <c r="AM58" s="541"/>
      <c r="AN58" s="541"/>
      <c r="AO58" s="541"/>
      <c r="AP58" s="541"/>
      <c r="AQ58" s="541"/>
      <c r="AR58" s="541"/>
      <c r="AS58" s="541"/>
      <c r="AT58" s="541"/>
      <c r="AU58" s="541"/>
      <c r="AV58" s="544"/>
      <c r="AW58" s="544"/>
      <c r="AX58" s="544"/>
      <c r="AY58" s="545"/>
      <c r="AZ58" s="544"/>
      <c r="BA58" s="544"/>
      <c r="BB58" s="544"/>
      <c r="BC58" s="545"/>
      <c r="BD58" s="541"/>
      <c r="BE58" s="541"/>
      <c r="BF58" s="541"/>
      <c r="BG58" s="541"/>
      <c r="BH58" s="544"/>
      <c r="BI58" s="544"/>
      <c r="BJ58" s="544"/>
      <c r="BK58" s="545"/>
      <c r="BL58" s="545"/>
      <c r="BM58" s="545"/>
    </row>
    <row r="59" ht="12.75" customHeight="1">
      <c r="A59" s="592"/>
      <c r="B59" s="521"/>
      <c r="C59" s="533"/>
      <c r="D59" s="533"/>
      <c r="E59" s="533"/>
      <c r="F59" s="533"/>
      <c r="G59" s="533"/>
      <c r="H59" s="533"/>
      <c r="I59" s="533"/>
      <c r="J59" s="533"/>
      <c r="K59" s="533"/>
      <c r="L59" s="533"/>
      <c r="M59" s="533"/>
      <c r="N59" s="533"/>
      <c r="O59" s="515"/>
      <c r="P59" s="541"/>
      <c r="Q59" s="541"/>
      <c r="R59" s="541"/>
      <c r="S59" s="541"/>
      <c r="T59" s="541"/>
      <c r="U59" s="541"/>
      <c r="V59" s="541"/>
      <c r="W59" s="541"/>
      <c r="X59" s="541"/>
      <c r="Y59" s="541"/>
      <c r="Z59" s="541"/>
      <c r="AA59" s="541"/>
      <c r="AB59" s="541"/>
      <c r="AC59" s="541"/>
      <c r="AD59" s="541"/>
      <c r="AE59" s="541"/>
      <c r="AF59" s="541"/>
      <c r="AG59" s="541"/>
      <c r="AH59" s="541"/>
      <c r="AI59" s="541"/>
      <c r="AJ59" s="541"/>
      <c r="AK59" s="541"/>
      <c r="AL59" s="541"/>
      <c r="AM59" s="541"/>
      <c r="AN59" s="541"/>
      <c r="AO59" s="541"/>
      <c r="AP59" s="541"/>
      <c r="AQ59" s="541"/>
      <c r="AR59" s="541"/>
      <c r="AS59" s="541"/>
      <c r="AT59" s="541"/>
      <c r="AU59" s="541"/>
      <c r="AV59" s="544"/>
      <c r="AW59" s="544"/>
      <c r="AX59" s="544"/>
      <c r="AY59" s="545"/>
      <c r="AZ59" s="544"/>
      <c r="BA59" s="544"/>
      <c r="BB59" s="544"/>
      <c r="BC59" s="545"/>
      <c r="BD59" s="541"/>
      <c r="BE59" s="541"/>
      <c r="BF59" s="541"/>
      <c r="BG59" s="541"/>
      <c r="BH59" s="544"/>
      <c r="BI59" s="544"/>
      <c r="BJ59" s="544"/>
      <c r="BK59" s="545"/>
      <c r="BL59" s="545"/>
      <c r="BM59" s="545"/>
    </row>
    <row r="60" ht="12.75" customHeight="1">
      <c r="A60" s="605"/>
      <c r="B60" s="521"/>
      <c r="C60" s="533"/>
      <c r="D60" s="533"/>
      <c r="E60" s="533"/>
      <c r="F60" s="533"/>
      <c r="G60" s="533"/>
      <c r="H60" s="533"/>
      <c r="I60" s="533"/>
      <c r="J60" s="533"/>
      <c r="K60" s="533"/>
      <c r="L60" s="533"/>
      <c r="M60" s="533"/>
      <c r="N60" s="533"/>
      <c r="O60" s="515"/>
      <c r="P60" s="541"/>
      <c r="Q60" s="541"/>
      <c r="R60" s="541"/>
      <c r="S60" s="541"/>
      <c r="T60" s="541"/>
      <c r="U60" s="541"/>
      <c r="V60" s="541"/>
      <c r="W60" s="541"/>
      <c r="X60" s="541"/>
      <c r="Y60" s="541"/>
      <c r="Z60" s="541"/>
      <c r="AA60" s="541"/>
      <c r="AB60" s="541"/>
      <c r="AC60" s="541"/>
      <c r="AD60" s="541"/>
      <c r="AE60" s="541"/>
      <c r="AF60" s="541"/>
      <c r="AG60" s="541"/>
      <c r="AH60" s="541"/>
      <c r="AI60" s="541"/>
      <c r="AJ60" s="541"/>
      <c r="AK60" s="541"/>
      <c r="AL60" s="541"/>
      <c r="AM60" s="541"/>
      <c r="AN60" s="541"/>
      <c r="AO60" s="541"/>
      <c r="AP60" s="541"/>
      <c r="AQ60" s="541"/>
      <c r="AR60" s="541"/>
      <c r="AS60" s="541"/>
      <c r="AT60" s="541"/>
      <c r="AU60" s="541"/>
      <c r="AV60" s="544"/>
      <c r="AW60" s="544"/>
      <c r="AX60" s="544"/>
      <c r="AY60" s="545"/>
      <c r="AZ60" s="544"/>
      <c r="BA60" s="544"/>
      <c r="BB60" s="544"/>
      <c r="BC60" s="545"/>
      <c r="BD60" s="541"/>
      <c r="BE60" s="541"/>
      <c r="BF60" s="541"/>
      <c r="BG60" s="541"/>
      <c r="BH60" s="544"/>
      <c r="BI60" s="544"/>
      <c r="BJ60" s="544"/>
      <c r="BK60" s="545"/>
      <c r="BL60" s="545"/>
      <c r="BM60" s="545"/>
    </row>
    <row r="61" ht="12.75" customHeight="1">
      <c r="A61" s="573" t="s">
        <v>379</v>
      </c>
      <c r="B61" s="488"/>
      <c r="C61" s="574" t="s">
        <v>380</v>
      </c>
      <c r="D61" s="490"/>
      <c r="E61" s="490"/>
      <c r="F61" s="490"/>
      <c r="G61" s="490"/>
      <c r="H61" s="490"/>
      <c r="I61" s="490"/>
      <c r="J61" s="490"/>
      <c r="K61" s="490"/>
      <c r="L61" s="490"/>
      <c r="M61" s="490"/>
      <c r="N61" s="491"/>
      <c r="O61" s="575"/>
      <c r="P61" s="576" t="s">
        <v>340</v>
      </c>
      <c r="Q61" s="494"/>
      <c r="R61" s="494"/>
      <c r="S61" s="495"/>
      <c r="T61" s="576" t="s">
        <v>341</v>
      </c>
      <c r="U61" s="494"/>
      <c r="V61" s="494"/>
      <c r="W61" s="495"/>
      <c r="X61" s="576" t="s">
        <v>342</v>
      </c>
      <c r="Y61" s="494"/>
      <c r="Z61" s="494"/>
      <c r="AA61" s="495"/>
      <c r="AB61" s="576" t="s">
        <v>343</v>
      </c>
      <c r="AC61" s="494"/>
      <c r="AD61" s="494"/>
      <c r="AE61" s="495"/>
      <c r="AF61" s="576" t="s">
        <v>344</v>
      </c>
      <c r="AG61" s="494"/>
      <c r="AH61" s="494"/>
      <c r="AI61" s="495"/>
      <c r="AJ61" s="576" t="s">
        <v>345</v>
      </c>
      <c r="AK61" s="494"/>
      <c r="AL61" s="494"/>
      <c r="AM61" s="495"/>
      <c r="AN61" s="576" t="s">
        <v>346</v>
      </c>
      <c r="AO61" s="494"/>
      <c r="AP61" s="494"/>
      <c r="AQ61" s="495"/>
      <c r="AR61" s="576" t="s">
        <v>347</v>
      </c>
      <c r="AS61" s="494"/>
      <c r="AT61" s="494"/>
      <c r="AU61" s="495"/>
      <c r="AV61" s="576" t="s">
        <v>348</v>
      </c>
      <c r="AW61" s="494"/>
      <c r="AX61" s="494"/>
      <c r="AY61" s="495"/>
      <c r="AZ61" s="576" t="s">
        <v>349</v>
      </c>
      <c r="BA61" s="494"/>
      <c r="BB61" s="494"/>
      <c r="BC61" s="495"/>
      <c r="BD61" s="576" t="s">
        <v>350</v>
      </c>
      <c r="BE61" s="494"/>
      <c r="BF61" s="494"/>
      <c r="BG61" s="495"/>
      <c r="BH61" s="576" t="s">
        <v>351</v>
      </c>
      <c r="BI61" s="494"/>
      <c r="BJ61" s="494"/>
      <c r="BK61" s="495"/>
      <c r="BL61" s="500"/>
      <c r="BM61" s="500"/>
    </row>
    <row r="62" ht="12.75" customHeight="1">
      <c r="A62" s="577"/>
      <c r="B62" s="488"/>
      <c r="C62" s="502"/>
      <c r="N62" s="503"/>
      <c r="O62" s="559"/>
      <c r="P62" s="547" t="s">
        <v>395</v>
      </c>
      <c r="Q62" s="506"/>
      <c r="R62" s="506"/>
      <c r="S62" s="507"/>
      <c r="T62" s="547" t="s">
        <v>395</v>
      </c>
      <c r="U62" s="506"/>
      <c r="V62" s="506"/>
      <c r="W62" s="507"/>
      <c r="X62" s="547" t="s">
        <v>395</v>
      </c>
      <c r="Y62" s="506"/>
      <c r="Z62" s="506"/>
      <c r="AA62" s="507"/>
      <c r="AB62" s="547" t="s">
        <v>395</v>
      </c>
      <c r="AC62" s="506"/>
      <c r="AD62" s="506"/>
      <c r="AE62" s="507"/>
      <c r="AF62" s="547" t="s">
        <v>395</v>
      </c>
      <c r="AG62" s="506"/>
      <c r="AH62" s="506"/>
      <c r="AI62" s="507"/>
      <c r="AJ62" s="547" t="s">
        <v>395</v>
      </c>
      <c r="AK62" s="506"/>
      <c r="AL62" s="506"/>
      <c r="AM62" s="507"/>
      <c r="AN62" s="547" t="s">
        <v>395</v>
      </c>
      <c r="AO62" s="506"/>
      <c r="AP62" s="506"/>
      <c r="AQ62" s="507"/>
      <c r="AR62" s="547" t="s">
        <v>395</v>
      </c>
      <c r="AS62" s="506"/>
      <c r="AT62" s="506"/>
      <c r="AU62" s="507"/>
      <c r="AV62" s="547" t="s">
        <v>395</v>
      </c>
      <c r="AW62" s="506"/>
      <c r="AX62" s="506"/>
      <c r="AY62" s="507"/>
      <c r="AZ62" s="547" t="s">
        <v>395</v>
      </c>
      <c r="BA62" s="506"/>
      <c r="BB62" s="506"/>
      <c r="BC62" s="507"/>
      <c r="BD62" s="547" t="s">
        <v>395</v>
      </c>
      <c r="BE62" s="506"/>
      <c r="BF62" s="506"/>
      <c r="BG62" s="507"/>
      <c r="BH62" s="547" t="s">
        <v>395</v>
      </c>
      <c r="BI62" s="506"/>
      <c r="BJ62" s="506"/>
      <c r="BK62" s="507"/>
      <c r="BL62" s="562"/>
      <c r="BM62" s="562" t="s">
        <v>396</v>
      </c>
    </row>
    <row r="63" ht="12.75" customHeight="1">
      <c r="A63" s="578"/>
      <c r="B63" s="511"/>
      <c r="C63" s="512"/>
      <c r="D63" s="513"/>
      <c r="E63" s="513"/>
      <c r="F63" s="513"/>
      <c r="G63" s="513"/>
      <c r="H63" s="513"/>
      <c r="I63" s="513"/>
      <c r="J63" s="513"/>
      <c r="K63" s="513"/>
      <c r="L63" s="513"/>
      <c r="M63" s="513"/>
      <c r="N63" s="514"/>
      <c r="O63" s="515"/>
      <c r="P63" s="579">
        <v>32225.0</v>
      </c>
      <c r="Q63" s="498"/>
      <c r="R63" s="498"/>
      <c r="S63" s="498"/>
      <c r="T63" s="579">
        <v>23613.0</v>
      </c>
      <c r="U63" s="498"/>
      <c r="V63" s="498"/>
      <c r="W63" s="498"/>
      <c r="X63" s="579">
        <v>34176.0</v>
      </c>
      <c r="Y63" s="498"/>
      <c r="Z63" s="498"/>
      <c r="AA63" s="498"/>
      <c r="AB63" s="579">
        <v>30750.0</v>
      </c>
      <c r="AC63" s="498"/>
      <c r="AD63" s="498"/>
      <c r="AE63" s="498"/>
      <c r="AF63" s="579">
        <v>0.0</v>
      </c>
      <c r="AG63" s="498"/>
      <c r="AH63" s="498"/>
      <c r="AI63" s="498"/>
      <c r="AJ63" s="579">
        <v>0.0</v>
      </c>
      <c r="AK63" s="498"/>
      <c r="AL63" s="498"/>
      <c r="AM63" s="498"/>
      <c r="AN63" s="579">
        <v>0.0</v>
      </c>
      <c r="AO63" s="498"/>
      <c r="AP63" s="498"/>
      <c r="AQ63" s="498"/>
      <c r="AR63" s="579">
        <v>0.0</v>
      </c>
      <c r="AS63" s="498"/>
      <c r="AT63" s="498"/>
      <c r="AU63" s="498"/>
      <c r="AV63" s="579">
        <v>0.0</v>
      </c>
      <c r="AW63" s="498"/>
      <c r="AX63" s="498"/>
      <c r="AY63" s="498"/>
      <c r="AZ63" s="579">
        <v>28000.0</v>
      </c>
      <c r="BA63" s="498"/>
      <c r="BB63" s="498"/>
      <c r="BC63" s="498"/>
      <c r="BD63" s="579">
        <v>28000.0</v>
      </c>
      <c r="BE63" s="498"/>
      <c r="BF63" s="498"/>
      <c r="BG63" s="498"/>
      <c r="BH63" s="579">
        <v>28000.0</v>
      </c>
      <c r="BI63" s="498"/>
      <c r="BJ63" s="498"/>
      <c r="BK63" s="498"/>
      <c r="BL63" s="509"/>
      <c r="BM63" s="519">
        <f>SUM(P63:BH63)</f>
        <v>204764</v>
      </c>
    </row>
    <row r="64" ht="12.75" customHeight="1">
      <c r="A64" s="580" t="s">
        <v>397</v>
      </c>
      <c r="B64" s="521"/>
      <c r="C64" s="552" t="s">
        <v>354</v>
      </c>
      <c r="D64" s="552" t="s">
        <v>355</v>
      </c>
      <c r="E64" s="552" t="s">
        <v>356</v>
      </c>
      <c r="F64" s="552" t="s">
        <v>357</v>
      </c>
      <c r="G64" s="552" t="s">
        <v>5</v>
      </c>
      <c r="H64" s="552" t="s">
        <v>358</v>
      </c>
      <c r="I64" s="552" t="s">
        <v>359</v>
      </c>
      <c r="J64" s="552" t="s">
        <v>360</v>
      </c>
      <c r="K64" s="552" t="s">
        <v>361</v>
      </c>
      <c r="L64" s="552" t="s">
        <v>362</v>
      </c>
      <c r="M64" s="552" t="s">
        <v>363</v>
      </c>
      <c r="N64" s="552" t="s">
        <v>364</v>
      </c>
      <c r="O64" s="515"/>
      <c r="P64" s="606" t="s">
        <v>319</v>
      </c>
      <c r="Q64" s="607" t="s">
        <v>365</v>
      </c>
      <c r="R64" s="607" t="s">
        <v>366</v>
      </c>
      <c r="S64" s="607" t="s">
        <v>367</v>
      </c>
      <c r="T64" s="608" t="s">
        <v>319</v>
      </c>
      <c r="U64" s="607" t="s">
        <v>365</v>
      </c>
      <c r="V64" s="607" t="s">
        <v>366</v>
      </c>
      <c r="W64" s="607" t="s">
        <v>367</v>
      </c>
      <c r="X64" s="608" t="s">
        <v>319</v>
      </c>
      <c r="Y64" s="607" t="s">
        <v>365</v>
      </c>
      <c r="Z64" s="607" t="s">
        <v>366</v>
      </c>
      <c r="AA64" s="607" t="s">
        <v>367</v>
      </c>
      <c r="AB64" s="608" t="s">
        <v>319</v>
      </c>
      <c r="AC64" s="607" t="s">
        <v>365</v>
      </c>
      <c r="AD64" s="607" t="s">
        <v>366</v>
      </c>
      <c r="AE64" s="607" t="s">
        <v>367</v>
      </c>
      <c r="AF64" s="607" t="s">
        <v>319</v>
      </c>
      <c r="AG64" s="607" t="s">
        <v>365</v>
      </c>
      <c r="AH64" s="607" t="s">
        <v>366</v>
      </c>
      <c r="AI64" s="607" t="s">
        <v>367</v>
      </c>
      <c r="AJ64" s="607" t="s">
        <v>319</v>
      </c>
      <c r="AK64" s="607" t="s">
        <v>365</v>
      </c>
      <c r="AL64" s="607" t="s">
        <v>366</v>
      </c>
      <c r="AM64" s="607" t="s">
        <v>367</v>
      </c>
      <c r="AN64" s="607" t="s">
        <v>319</v>
      </c>
      <c r="AO64" s="607" t="s">
        <v>365</v>
      </c>
      <c r="AP64" s="607" t="s">
        <v>366</v>
      </c>
      <c r="AQ64" s="607" t="s">
        <v>367</v>
      </c>
      <c r="AR64" s="607" t="s">
        <v>319</v>
      </c>
      <c r="AS64" s="607" t="s">
        <v>365</v>
      </c>
      <c r="AT64" s="607" t="s">
        <v>366</v>
      </c>
      <c r="AU64" s="607" t="s">
        <v>367</v>
      </c>
      <c r="AV64" s="609" t="s">
        <v>319</v>
      </c>
      <c r="AW64" s="609" t="s">
        <v>365</v>
      </c>
      <c r="AX64" s="609" t="s">
        <v>366</v>
      </c>
      <c r="AY64" s="609" t="s">
        <v>367</v>
      </c>
      <c r="AZ64" s="609" t="s">
        <v>319</v>
      </c>
      <c r="BA64" s="609" t="s">
        <v>365</v>
      </c>
      <c r="BB64" s="609" t="s">
        <v>366</v>
      </c>
      <c r="BC64" s="609" t="s">
        <v>367</v>
      </c>
      <c r="BD64" s="609" t="s">
        <v>319</v>
      </c>
      <c r="BE64" s="609" t="s">
        <v>365</v>
      </c>
      <c r="BF64" s="609" t="s">
        <v>366</v>
      </c>
      <c r="BG64" s="609" t="s">
        <v>367</v>
      </c>
      <c r="BH64" s="609" t="s">
        <v>319</v>
      </c>
      <c r="BI64" s="609" t="s">
        <v>365</v>
      </c>
      <c r="BJ64" s="609" t="s">
        <v>366</v>
      </c>
      <c r="BK64" s="609" t="s">
        <v>367</v>
      </c>
      <c r="BL64" s="533"/>
      <c r="BM64" s="533"/>
    </row>
    <row r="65" ht="12.75" customHeight="1">
      <c r="A65" s="582" t="s">
        <v>384</v>
      </c>
      <c r="B65" s="511"/>
      <c r="C65" s="572">
        <f>LT!B110</f>
        <v>230</v>
      </c>
      <c r="D65" s="610">
        <f>LT!C110</f>
        <v>240</v>
      </c>
      <c r="E65" s="572">
        <f>LT!D110</f>
        <v>300</v>
      </c>
      <c r="F65" s="572">
        <f>LT!E110</f>
        <v>330</v>
      </c>
      <c r="G65" s="572">
        <f>LT!F110</f>
        <v>330</v>
      </c>
      <c r="H65" s="572">
        <f>LT!G110</f>
        <v>350</v>
      </c>
      <c r="I65" s="583">
        <f>LT!H110</f>
        <v>375</v>
      </c>
      <c r="J65" s="572">
        <f>LT!I110</f>
        <v>375</v>
      </c>
      <c r="K65" s="572">
        <f>LT!J110</f>
        <v>350</v>
      </c>
      <c r="L65" s="572">
        <f>LT!K110</f>
        <v>350</v>
      </c>
      <c r="M65" s="572">
        <f>LT!L110</f>
        <v>350</v>
      </c>
      <c r="N65" s="572">
        <f>LT!M110</f>
        <v>400</v>
      </c>
      <c r="O65" s="515"/>
      <c r="P65" s="611">
        <f t="shared" ref="P65:P80" si="152">SUM(C65:N65)</f>
        <v>3980</v>
      </c>
      <c r="Q65" s="612">
        <f t="shared" ref="Q65:Q76" si="153">P$63*0.4/14</f>
        <v>920.7142857</v>
      </c>
      <c r="R65" s="613">
        <f>(P63*0.6)*(P65/P81)</f>
        <v>3877.717309</v>
      </c>
      <c r="S65" s="584">
        <f t="shared" ref="S65:S80" si="154">Q65+R65</f>
        <v>4798.431595</v>
      </c>
      <c r="T65" s="614">
        <f t="shared" ref="T65:T80" si="155">SUM(C65:N65)</f>
        <v>3980</v>
      </c>
      <c r="U65" s="612">
        <f t="shared" ref="U65:U76" si="156">T$63*0.4/14</f>
        <v>674.6571429</v>
      </c>
      <c r="V65" s="613">
        <f>(T63*0.6)*(T65/T81)</f>
        <v>2841.413152</v>
      </c>
      <c r="W65" s="584">
        <f t="shared" ref="W65:W80" si="157">U65+V65</f>
        <v>3516.070295</v>
      </c>
      <c r="X65" s="614">
        <f t="shared" ref="X65:X80" si="158">SUM(C65:N65)</f>
        <v>3980</v>
      </c>
      <c r="Y65" s="612">
        <f t="shared" ref="Y65:Y76" si="159">X$63*0.4/14</f>
        <v>976.4571429</v>
      </c>
      <c r="Z65" s="615">
        <f>(X63*0.6)*(X65/X81)</f>
        <v>4112.486168</v>
      </c>
      <c r="AA65" s="584">
        <f t="shared" ref="AA65:AA80" si="160">Y65+Z65</f>
        <v>5088.943311</v>
      </c>
      <c r="AB65" s="614">
        <f t="shared" ref="AB65:AB80" si="161">SUM(C65:N65)</f>
        <v>3980</v>
      </c>
      <c r="AC65" s="612">
        <f t="shared" ref="AC65:AC76" si="162">AB$63*0.4/14</f>
        <v>878.5714286</v>
      </c>
      <c r="AD65" s="615">
        <f>(AB63*0.6)*(AB65/AB81)</f>
        <v>3700.226757</v>
      </c>
      <c r="AE65" s="584">
        <f t="shared" ref="AE65:AE80" si="163">AC65+AD65</f>
        <v>4578.798186</v>
      </c>
      <c r="AF65" s="614">
        <f>SUM(F65:G65)</f>
        <v>660</v>
      </c>
      <c r="AG65" s="616">
        <f t="shared" ref="AG65:AG76" si="164">AF$63*0.4/14</f>
        <v>0</v>
      </c>
      <c r="AH65" s="615">
        <f>(AF63*0.6)*(AF65/AF81)</f>
        <v>0</v>
      </c>
      <c r="AI65" s="584">
        <f t="shared" ref="AI65:AI80" si="165">AG65+AH65</f>
        <v>0</v>
      </c>
      <c r="AJ65" s="614">
        <f>SUM(H65:N65)</f>
        <v>2550</v>
      </c>
      <c r="AK65" s="612">
        <f t="shared" ref="AK65:AK76" si="166">AJ$63*0.4/14</f>
        <v>0</v>
      </c>
      <c r="AL65" s="615">
        <f>(AJ63*0.6)*(AJ65/AJ81)</f>
        <v>0</v>
      </c>
      <c r="AM65" s="584">
        <f t="shared" ref="AM65:AM80" si="167">AK65+AL65</f>
        <v>0</v>
      </c>
      <c r="AN65" s="614">
        <f>SUM(H65:N65)</f>
        <v>2550</v>
      </c>
      <c r="AO65" s="612">
        <f t="shared" ref="AO65:AO76" si="168">AN$63*0.4/14</f>
        <v>0</v>
      </c>
      <c r="AP65" s="615">
        <f>(AN63*0.6)*(AN65/AN81)</f>
        <v>0</v>
      </c>
      <c r="AQ65" s="584">
        <f t="shared" ref="AQ65:AQ80" si="169">AO65+AP65</f>
        <v>0</v>
      </c>
      <c r="AR65" s="614">
        <f>SUM(H65:N65)</f>
        <v>2550</v>
      </c>
      <c r="AS65" s="612">
        <f t="shared" ref="AS65:AS76" si="170">AR$63*0.4/14</f>
        <v>0</v>
      </c>
      <c r="AT65" s="615">
        <f>(AR63*0.6)*(AR65/AR81)</f>
        <v>0</v>
      </c>
      <c r="AU65" s="584">
        <f t="shared" ref="AU65:AU80" si="171">AS65+AT65</f>
        <v>0</v>
      </c>
      <c r="AV65" s="586">
        <f>SUM(H65:N65)</f>
        <v>2550</v>
      </c>
      <c r="AW65" s="612">
        <f t="shared" ref="AW65:AW76" si="172">AV$63*0.4/14</f>
        <v>0</v>
      </c>
      <c r="AX65" s="615">
        <f>(AV63*0.6)*(AV65/AV81)</f>
        <v>0</v>
      </c>
      <c r="AY65" s="584">
        <f t="shared" ref="AY65:AY80" si="173">AW65+AX65</f>
        <v>0</v>
      </c>
      <c r="AZ65" s="586">
        <f>SUM(H65:N65)</f>
        <v>2550</v>
      </c>
      <c r="BA65" s="612">
        <f t="shared" ref="BA65:BA76" si="174">AZ$63*0.4/14</f>
        <v>800</v>
      </c>
      <c r="BB65" s="615">
        <f>(AZ63*0.6)*(AZ65/AZ81)</f>
        <v>2326.364377</v>
      </c>
      <c r="BC65" s="584">
        <f t="shared" ref="BC65:BC80" si="175">BA65+BB65</f>
        <v>3126.364377</v>
      </c>
      <c r="BD65" s="586">
        <f>SUM(H65:N65)</f>
        <v>2550</v>
      </c>
      <c r="BE65" s="612">
        <f t="shared" ref="BE65:BE76" si="176">BD$63*0.4/14</f>
        <v>800</v>
      </c>
      <c r="BF65" s="615">
        <f>(BD63*0.6)*(BD65/BD81)</f>
        <v>2326.364377</v>
      </c>
      <c r="BG65" s="584">
        <f t="shared" ref="BG65:BG80" si="177">BE65+BF65</f>
        <v>3126.364377</v>
      </c>
      <c r="BH65" s="586">
        <f>SUM(H65:N65)</f>
        <v>2550</v>
      </c>
      <c r="BI65" s="612">
        <f t="shared" ref="BI65:BI76" si="178">BH$63*0.4/14</f>
        <v>800</v>
      </c>
      <c r="BJ65" s="615">
        <f>(BH63*0.6)*(BH65/BH81)</f>
        <v>2326.364377</v>
      </c>
      <c r="BK65" s="584">
        <f t="shared" ref="BK65:BK80" si="179">BI65+BJ65</f>
        <v>3126.364377</v>
      </c>
      <c r="BL65" s="555"/>
      <c r="BM65" s="555"/>
    </row>
    <row r="66" ht="12.75" customHeight="1">
      <c r="A66" s="588" t="s">
        <v>377</v>
      </c>
      <c r="B66" s="511"/>
      <c r="C66" s="572">
        <f>SP!B110</f>
        <v>76</v>
      </c>
      <c r="D66" s="572">
        <f>SP!C110</f>
        <v>80</v>
      </c>
      <c r="E66" s="572">
        <f>SP!D110</f>
        <v>90</v>
      </c>
      <c r="F66" s="572">
        <f>SP!E110</f>
        <v>105</v>
      </c>
      <c r="G66" s="572">
        <f>SP!F110</f>
        <v>105</v>
      </c>
      <c r="H66" s="572">
        <f>SP!G110</f>
        <v>105</v>
      </c>
      <c r="I66" s="572">
        <f>SP!H110</f>
        <v>110</v>
      </c>
      <c r="J66" s="572">
        <f>SP!I110</f>
        <v>115</v>
      </c>
      <c r="K66" s="572">
        <f>SP!J110</f>
        <v>100</v>
      </c>
      <c r="L66" s="572">
        <f>SP!K110</f>
        <v>100</v>
      </c>
      <c r="M66" s="572">
        <f>SP!L110</f>
        <v>105</v>
      </c>
      <c r="N66" s="572">
        <f>SP!M110</f>
        <v>125</v>
      </c>
      <c r="O66" s="515"/>
      <c r="P66" s="611">
        <f t="shared" si="152"/>
        <v>1216</v>
      </c>
      <c r="Q66" s="612">
        <f t="shared" si="153"/>
        <v>920.7142857</v>
      </c>
      <c r="R66" s="617">
        <f>(P63*0.6)*(P66/P81)</f>
        <v>1184.749811</v>
      </c>
      <c r="S66" s="584">
        <f t="shared" si="154"/>
        <v>2105.464097</v>
      </c>
      <c r="T66" s="614">
        <f t="shared" si="155"/>
        <v>1216</v>
      </c>
      <c r="U66" s="612">
        <f t="shared" si="156"/>
        <v>674.6571429</v>
      </c>
      <c r="V66" s="617">
        <f>(T63*0.6)*(T66/T81)</f>
        <v>868.1302494</v>
      </c>
      <c r="W66" s="584">
        <f t="shared" si="157"/>
        <v>1542.787392</v>
      </c>
      <c r="X66" s="614">
        <f t="shared" si="158"/>
        <v>1216</v>
      </c>
      <c r="Y66" s="612">
        <f t="shared" si="159"/>
        <v>976.4571429</v>
      </c>
      <c r="Z66" s="618">
        <f>(X63*0.6)*(X66/X81)</f>
        <v>1256.478186</v>
      </c>
      <c r="AA66" s="584">
        <f t="shared" si="160"/>
        <v>2232.935329</v>
      </c>
      <c r="AB66" s="614">
        <f t="shared" si="161"/>
        <v>1216</v>
      </c>
      <c r="AC66" s="612">
        <f t="shared" si="162"/>
        <v>878.5714286</v>
      </c>
      <c r="AD66" s="618">
        <f>(AB63*0.6)*(AB66/AB81)</f>
        <v>1130.521542</v>
      </c>
      <c r="AE66" s="584">
        <f t="shared" si="163"/>
        <v>2009.092971</v>
      </c>
      <c r="AF66" s="614">
        <f t="shared" ref="AF66:AF80" si="180">SUM(C66:N66)</f>
        <v>1216</v>
      </c>
      <c r="AG66" s="612">
        <f t="shared" si="164"/>
        <v>0</v>
      </c>
      <c r="AH66" s="618">
        <f>(AF63*0.6)*(AF66/AF81)</f>
        <v>0</v>
      </c>
      <c r="AI66" s="584">
        <f t="shared" si="165"/>
        <v>0</v>
      </c>
      <c r="AJ66" s="614">
        <f t="shared" ref="AJ66:AJ80" si="181">SUM(C66:N66)</f>
        <v>1216</v>
      </c>
      <c r="AK66" s="612">
        <f t="shared" si="166"/>
        <v>0</v>
      </c>
      <c r="AL66" s="618">
        <f>(AJ63*0.6)*(AJ66/AJ81)</f>
        <v>0</v>
      </c>
      <c r="AM66" s="584">
        <f t="shared" si="167"/>
        <v>0</v>
      </c>
      <c r="AN66" s="614">
        <f t="shared" ref="AN66:AN80" si="182">SUM(C66:N66)</f>
        <v>1216</v>
      </c>
      <c r="AO66" s="612">
        <f t="shared" si="168"/>
        <v>0</v>
      </c>
      <c r="AP66" s="618">
        <f>(AN63*0.6)*(AN66/AN81)</f>
        <v>0</v>
      </c>
      <c r="AQ66" s="584">
        <f t="shared" si="169"/>
        <v>0</v>
      </c>
      <c r="AR66" s="614">
        <f t="shared" ref="AR66:AR80" si="183">SUM(C66:N66)</f>
        <v>1216</v>
      </c>
      <c r="AS66" s="612">
        <f t="shared" si="170"/>
        <v>0</v>
      </c>
      <c r="AT66" s="618">
        <f>(AR63*0.6)*(AR66/AR81)</f>
        <v>0</v>
      </c>
      <c r="AU66" s="584">
        <f t="shared" si="171"/>
        <v>0</v>
      </c>
      <c r="AV66" s="586">
        <f t="shared" ref="AV66:AV80" si="184">SUM(C66:N66)</f>
        <v>1216</v>
      </c>
      <c r="AW66" s="612">
        <f t="shared" si="172"/>
        <v>0</v>
      </c>
      <c r="AX66" s="618">
        <f>(AV63*0.6)*(AV66/AV81)</f>
        <v>0</v>
      </c>
      <c r="AY66" s="584">
        <f t="shared" si="173"/>
        <v>0</v>
      </c>
      <c r="AZ66" s="586">
        <f t="shared" ref="AZ66:AZ80" si="185">SUM(C66:N66)</f>
        <v>1216</v>
      </c>
      <c r="BA66" s="612">
        <f t="shared" si="174"/>
        <v>800</v>
      </c>
      <c r="BB66" s="618">
        <f>(AZ63*0.6)*(AZ66/AZ81)</f>
        <v>1109.356503</v>
      </c>
      <c r="BC66" s="584">
        <f t="shared" si="175"/>
        <v>1909.356503</v>
      </c>
      <c r="BD66" s="586">
        <f t="shared" ref="BD66:BD80" si="186">SUM(C66:N66)</f>
        <v>1216</v>
      </c>
      <c r="BE66" s="612">
        <f t="shared" si="176"/>
        <v>800</v>
      </c>
      <c r="BF66" s="618">
        <f>(BD63*0.6)*(BD66/BD81)</f>
        <v>1109.356503</v>
      </c>
      <c r="BG66" s="584">
        <f t="shared" si="177"/>
        <v>1909.356503</v>
      </c>
      <c r="BH66" s="586">
        <f t="shared" ref="BH66:BH80" si="187">SUM(C66:N66)</f>
        <v>1216</v>
      </c>
      <c r="BI66" s="612">
        <f t="shared" si="178"/>
        <v>800</v>
      </c>
      <c r="BJ66" s="618">
        <f>(BH63*0.6)*(BH66/BH81)</f>
        <v>1109.356503</v>
      </c>
      <c r="BK66" s="584">
        <f t="shared" si="179"/>
        <v>1909.356503</v>
      </c>
      <c r="BL66" s="555"/>
      <c r="BM66" s="555"/>
    </row>
    <row r="67" ht="12.75" customHeight="1">
      <c r="A67" s="588" t="s">
        <v>376</v>
      </c>
      <c r="B67" s="511"/>
      <c r="C67" s="572">
        <f>GA!B110</f>
        <v>124</v>
      </c>
      <c r="D67" s="572">
        <f>GA!C110</f>
        <v>176</v>
      </c>
      <c r="E67" s="572">
        <f>GA!D110</f>
        <v>167</v>
      </c>
      <c r="F67" s="572">
        <f>GA!E110</f>
        <v>167</v>
      </c>
      <c r="G67" s="572">
        <f>GA!F110</f>
        <v>170</v>
      </c>
      <c r="H67" s="572">
        <f>GA!G110</f>
        <v>163</v>
      </c>
      <c r="I67" s="572">
        <f>GA!H110</f>
        <v>165</v>
      </c>
      <c r="J67" s="572">
        <f>GA!I110</f>
        <v>164</v>
      </c>
      <c r="K67" s="572">
        <f>GA!J110</f>
        <v>155</v>
      </c>
      <c r="L67" s="572">
        <f>GA!K110</f>
        <v>151</v>
      </c>
      <c r="M67" s="572">
        <f>GA!L110</f>
        <v>161</v>
      </c>
      <c r="N67" s="572">
        <f>GA!M110</f>
        <v>196</v>
      </c>
      <c r="O67" s="515"/>
      <c r="P67" s="611">
        <f t="shared" si="152"/>
        <v>1959</v>
      </c>
      <c r="Q67" s="612">
        <f t="shared" si="153"/>
        <v>920.7142857</v>
      </c>
      <c r="R67" s="617">
        <f>(P63*0.6)*(P67/P81)</f>
        <v>1908.655329</v>
      </c>
      <c r="S67" s="584">
        <f t="shared" si="154"/>
        <v>2829.369615</v>
      </c>
      <c r="T67" s="614">
        <f t="shared" si="155"/>
        <v>1959</v>
      </c>
      <c r="U67" s="612">
        <f t="shared" si="156"/>
        <v>674.6571429</v>
      </c>
      <c r="V67" s="617">
        <f>(T63*0.6)*(T67/T81)</f>
        <v>1398.574966</v>
      </c>
      <c r="W67" s="584">
        <f t="shared" si="157"/>
        <v>2073.232109</v>
      </c>
      <c r="X67" s="614">
        <f t="shared" si="158"/>
        <v>1959</v>
      </c>
      <c r="Y67" s="612">
        <f t="shared" si="159"/>
        <v>976.4571429</v>
      </c>
      <c r="Z67" s="618">
        <f>(X63*0.6)*(X67/X81)</f>
        <v>2024.211156</v>
      </c>
      <c r="AA67" s="584">
        <f t="shared" si="160"/>
        <v>3000.668299</v>
      </c>
      <c r="AB67" s="614">
        <f t="shared" si="161"/>
        <v>1959</v>
      </c>
      <c r="AC67" s="612">
        <f t="shared" si="162"/>
        <v>878.5714286</v>
      </c>
      <c r="AD67" s="618">
        <f>(AB63*0.6)*(AB67/AB81)</f>
        <v>1821.292517</v>
      </c>
      <c r="AE67" s="584">
        <f t="shared" si="163"/>
        <v>2699.863946</v>
      </c>
      <c r="AF67" s="614">
        <f t="shared" si="180"/>
        <v>1959</v>
      </c>
      <c r="AG67" s="612">
        <f t="shared" si="164"/>
        <v>0</v>
      </c>
      <c r="AH67" s="618">
        <f>(AF63*0.6)*(AF67/AF81)</f>
        <v>0</v>
      </c>
      <c r="AI67" s="584">
        <f t="shared" si="165"/>
        <v>0</v>
      </c>
      <c r="AJ67" s="614">
        <f t="shared" si="181"/>
        <v>1959</v>
      </c>
      <c r="AK67" s="612">
        <f t="shared" si="166"/>
        <v>0</v>
      </c>
      <c r="AL67" s="618">
        <f>(AJ63*0.6)*(AJ67/AJ81)</f>
        <v>0</v>
      </c>
      <c r="AM67" s="584">
        <f t="shared" si="167"/>
        <v>0</v>
      </c>
      <c r="AN67" s="614">
        <f t="shared" si="182"/>
        <v>1959</v>
      </c>
      <c r="AO67" s="612">
        <f t="shared" si="168"/>
        <v>0</v>
      </c>
      <c r="AP67" s="618">
        <f>(AN63*0.6)*(AN67/AN81)</f>
        <v>0</v>
      </c>
      <c r="AQ67" s="584">
        <f t="shared" si="169"/>
        <v>0</v>
      </c>
      <c r="AR67" s="614">
        <f t="shared" si="183"/>
        <v>1959</v>
      </c>
      <c r="AS67" s="612">
        <f t="shared" si="170"/>
        <v>0</v>
      </c>
      <c r="AT67" s="618">
        <f>(AR63*0.6)*(AR67/AR81)</f>
        <v>0</v>
      </c>
      <c r="AU67" s="584">
        <f t="shared" si="171"/>
        <v>0</v>
      </c>
      <c r="AV67" s="586">
        <f t="shared" si="184"/>
        <v>1959</v>
      </c>
      <c r="AW67" s="612">
        <f t="shared" si="172"/>
        <v>0</v>
      </c>
      <c r="AX67" s="618">
        <f>(AV63*0.6)*(AV67/AV81)</f>
        <v>0</v>
      </c>
      <c r="AY67" s="584">
        <f t="shared" si="173"/>
        <v>0</v>
      </c>
      <c r="AZ67" s="586">
        <f t="shared" si="185"/>
        <v>1959</v>
      </c>
      <c r="BA67" s="612">
        <f t="shared" si="174"/>
        <v>800</v>
      </c>
      <c r="BB67" s="618">
        <f>(AZ63*0.6)*(AZ67/AZ81)</f>
        <v>1787.195221</v>
      </c>
      <c r="BC67" s="584">
        <f t="shared" si="175"/>
        <v>2587.195221</v>
      </c>
      <c r="BD67" s="586">
        <f t="shared" si="186"/>
        <v>1959</v>
      </c>
      <c r="BE67" s="612">
        <f t="shared" si="176"/>
        <v>800</v>
      </c>
      <c r="BF67" s="618">
        <f>(BD63*0.6)*(BD67/BD81)</f>
        <v>1787.195221</v>
      </c>
      <c r="BG67" s="584">
        <f t="shared" si="177"/>
        <v>2587.195221</v>
      </c>
      <c r="BH67" s="586">
        <f t="shared" si="187"/>
        <v>1959</v>
      </c>
      <c r="BI67" s="612">
        <f t="shared" si="178"/>
        <v>800</v>
      </c>
      <c r="BJ67" s="618">
        <f>(BH63*0.6)*(BH67/BH81)</f>
        <v>1787.195221</v>
      </c>
      <c r="BK67" s="584">
        <f t="shared" si="179"/>
        <v>2587.195221</v>
      </c>
      <c r="BL67" s="555"/>
      <c r="BM67" s="555"/>
    </row>
    <row r="68" ht="12.75" customHeight="1">
      <c r="A68" s="588" t="s">
        <v>378</v>
      </c>
      <c r="B68" s="511"/>
      <c r="C68" s="572">
        <f>WR!B110</f>
        <v>60</v>
      </c>
      <c r="D68" s="572">
        <f>WR!C110</f>
        <v>65</v>
      </c>
      <c r="E68" s="572">
        <f>WR!D110</f>
        <v>75</v>
      </c>
      <c r="F68" s="572">
        <f>WR!E110</f>
        <v>75</v>
      </c>
      <c r="G68" s="572">
        <f>WR!F110</f>
        <v>85</v>
      </c>
      <c r="H68" s="572">
        <f>WR!G110</f>
        <v>75</v>
      </c>
      <c r="I68" s="572">
        <f>WR!H110</f>
        <v>80</v>
      </c>
      <c r="J68" s="572">
        <f>WR!I110</f>
        <v>80</v>
      </c>
      <c r="K68" s="572">
        <f>WR!J110</f>
        <v>80</v>
      </c>
      <c r="L68" s="572">
        <f>WR!K110</f>
        <v>75</v>
      </c>
      <c r="M68" s="572">
        <f>WR!L110</f>
        <v>80</v>
      </c>
      <c r="N68" s="572">
        <f>WR!M110</f>
        <v>95</v>
      </c>
      <c r="O68" s="515"/>
      <c r="P68" s="611">
        <f t="shared" si="152"/>
        <v>925</v>
      </c>
      <c r="Q68" s="612">
        <f t="shared" si="153"/>
        <v>920.7142857</v>
      </c>
      <c r="R68" s="617">
        <f>(P63*0.6)*(P68/P81)</f>
        <v>901.2282691</v>
      </c>
      <c r="S68" s="584">
        <f t="shared" si="154"/>
        <v>1821.942555</v>
      </c>
      <c r="T68" s="614">
        <f t="shared" si="155"/>
        <v>925</v>
      </c>
      <c r="U68" s="612">
        <f t="shared" si="156"/>
        <v>674.6571429</v>
      </c>
      <c r="V68" s="617">
        <f>(T63*0.6)*(T68/T81)</f>
        <v>660.3786848</v>
      </c>
      <c r="W68" s="584">
        <f t="shared" si="157"/>
        <v>1335.035828</v>
      </c>
      <c r="X68" s="614">
        <f t="shared" si="158"/>
        <v>925</v>
      </c>
      <c r="Y68" s="612">
        <f t="shared" si="159"/>
        <v>976.4571429</v>
      </c>
      <c r="Z68" s="618">
        <f>(X63*0.6)*(X68/X81)</f>
        <v>955.7913832</v>
      </c>
      <c r="AA68" s="584">
        <f t="shared" si="160"/>
        <v>1932.248526</v>
      </c>
      <c r="AB68" s="614">
        <f t="shared" si="161"/>
        <v>925</v>
      </c>
      <c r="AC68" s="612">
        <f t="shared" si="162"/>
        <v>878.5714286</v>
      </c>
      <c r="AD68" s="618">
        <f>(AB63*0.6)*(AB68/AB81)</f>
        <v>859.9773243</v>
      </c>
      <c r="AE68" s="584">
        <f t="shared" si="163"/>
        <v>1738.548753</v>
      </c>
      <c r="AF68" s="614">
        <f t="shared" si="180"/>
        <v>925</v>
      </c>
      <c r="AG68" s="612">
        <f t="shared" si="164"/>
        <v>0</v>
      </c>
      <c r="AH68" s="618">
        <f>(AF63*0.6)*(AF68/AF81)</f>
        <v>0</v>
      </c>
      <c r="AI68" s="584">
        <f t="shared" si="165"/>
        <v>0</v>
      </c>
      <c r="AJ68" s="614">
        <f t="shared" si="181"/>
        <v>925</v>
      </c>
      <c r="AK68" s="612">
        <f t="shared" si="166"/>
        <v>0</v>
      </c>
      <c r="AL68" s="618">
        <f>(AJ63*0.6)*(AJ68/AJ81)</f>
        <v>0</v>
      </c>
      <c r="AM68" s="584">
        <f t="shared" si="167"/>
        <v>0</v>
      </c>
      <c r="AN68" s="614">
        <f t="shared" si="182"/>
        <v>925</v>
      </c>
      <c r="AO68" s="612">
        <f t="shared" si="168"/>
        <v>0</v>
      </c>
      <c r="AP68" s="618">
        <f>(AN63*0.6)*(AN68/AN81)</f>
        <v>0</v>
      </c>
      <c r="AQ68" s="584">
        <f t="shared" si="169"/>
        <v>0</v>
      </c>
      <c r="AR68" s="614">
        <f t="shared" si="183"/>
        <v>925</v>
      </c>
      <c r="AS68" s="612">
        <f t="shared" si="170"/>
        <v>0</v>
      </c>
      <c r="AT68" s="618">
        <f>(AR63*0.6)*(AR68/AR81)</f>
        <v>0</v>
      </c>
      <c r="AU68" s="584">
        <f t="shared" si="171"/>
        <v>0</v>
      </c>
      <c r="AV68" s="586">
        <f t="shared" si="184"/>
        <v>925</v>
      </c>
      <c r="AW68" s="612">
        <f t="shared" si="172"/>
        <v>0</v>
      </c>
      <c r="AX68" s="618">
        <f>(AV63*0.6)*(AV68/AV81)</f>
        <v>0</v>
      </c>
      <c r="AY68" s="584">
        <f t="shared" si="173"/>
        <v>0</v>
      </c>
      <c r="AZ68" s="586">
        <f t="shared" si="185"/>
        <v>925</v>
      </c>
      <c r="BA68" s="612">
        <f t="shared" si="174"/>
        <v>800</v>
      </c>
      <c r="BB68" s="618">
        <f>(AZ63*0.6)*(AZ68/AZ81)</f>
        <v>843.877274</v>
      </c>
      <c r="BC68" s="584">
        <f t="shared" si="175"/>
        <v>1643.877274</v>
      </c>
      <c r="BD68" s="586">
        <f t="shared" si="186"/>
        <v>925</v>
      </c>
      <c r="BE68" s="612">
        <f t="shared" si="176"/>
        <v>800</v>
      </c>
      <c r="BF68" s="618">
        <f>(BD63*0.6)*(BD68/BD81)</f>
        <v>843.877274</v>
      </c>
      <c r="BG68" s="584">
        <f t="shared" si="177"/>
        <v>1643.877274</v>
      </c>
      <c r="BH68" s="586">
        <f t="shared" si="187"/>
        <v>925</v>
      </c>
      <c r="BI68" s="612">
        <f t="shared" si="178"/>
        <v>800</v>
      </c>
      <c r="BJ68" s="618">
        <f>(BH63*0.6)*(BH68/BH81)</f>
        <v>843.877274</v>
      </c>
      <c r="BK68" s="584">
        <f t="shared" si="179"/>
        <v>1643.877274</v>
      </c>
      <c r="BL68" s="555"/>
      <c r="BM68" s="555"/>
    </row>
    <row r="69" ht="12.75" customHeight="1">
      <c r="A69" s="588" t="s">
        <v>368</v>
      </c>
      <c r="B69" s="511"/>
      <c r="C69" s="572">
        <f>MA!B111</f>
        <v>55</v>
      </c>
      <c r="D69" s="572">
        <f>MA!C111</f>
        <v>70</v>
      </c>
      <c r="E69" s="572">
        <f>MA!D111</f>
        <v>85</v>
      </c>
      <c r="F69" s="572">
        <f>MA!E111</f>
        <v>90</v>
      </c>
      <c r="G69" s="572">
        <f>MA!F111</f>
        <v>100</v>
      </c>
      <c r="H69" s="572">
        <f>MA!G111</f>
        <v>105</v>
      </c>
      <c r="I69" s="572">
        <f>MA!H111</f>
        <v>110</v>
      </c>
      <c r="J69" s="572">
        <f>MA!I111</f>
        <v>110</v>
      </c>
      <c r="K69" s="572">
        <f>MA!J111</f>
        <v>85</v>
      </c>
      <c r="L69" s="572">
        <f>MA!K111</f>
        <v>82</v>
      </c>
      <c r="M69" s="572">
        <f>MA!L111</f>
        <v>80</v>
      </c>
      <c r="N69" s="572">
        <f>MA!M111</f>
        <v>100</v>
      </c>
      <c r="O69" s="515"/>
      <c r="P69" s="611">
        <f t="shared" si="152"/>
        <v>1072</v>
      </c>
      <c r="Q69" s="612">
        <f t="shared" si="153"/>
        <v>920.7142857</v>
      </c>
      <c r="R69" s="617">
        <f>(P63*0.6)*(P69/P81)</f>
        <v>1044.450491</v>
      </c>
      <c r="S69" s="584">
        <f t="shared" si="154"/>
        <v>1965.164777</v>
      </c>
      <c r="T69" s="614">
        <f t="shared" si="155"/>
        <v>1072</v>
      </c>
      <c r="U69" s="612">
        <f t="shared" si="156"/>
        <v>674.6571429</v>
      </c>
      <c r="V69" s="617">
        <f>(T63*0.6)*(T69/T81)</f>
        <v>765.3253515</v>
      </c>
      <c r="W69" s="584">
        <f t="shared" si="157"/>
        <v>1439.982494</v>
      </c>
      <c r="X69" s="614">
        <f t="shared" si="158"/>
        <v>1072</v>
      </c>
      <c r="Y69" s="612">
        <f t="shared" si="159"/>
        <v>976.4571429</v>
      </c>
      <c r="Z69" s="618">
        <f>(X63*0.6)*(X69/X81)</f>
        <v>1107.684717</v>
      </c>
      <c r="AA69" s="584">
        <f t="shared" si="160"/>
        <v>2084.141859</v>
      </c>
      <c r="AB69" s="614">
        <f t="shared" si="161"/>
        <v>1072</v>
      </c>
      <c r="AC69" s="612">
        <f t="shared" si="162"/>
        <v>878.5714286</v>
      </c>
      <c r="AD69" s="618">
        <f>(AB63*0.6)*(AB69/AB81)</f>
        <v>996.6439909</v>
      </c>
      <c r="AE69" s="584">
        <f t="shared" si="163"/>
        <v>1875.21542</v>
      </c>
      <c r="AF69" s="614">
        <f t="shared" si="180"/>
        <v>1072</v>
      </c>
      <c r="AG69" s="612">
        <f t="shared" si="164"/>
        <v>0</v>
      </c>
      <c r="AH69" s="618">
        <f>(AF63*0.6)*(AF69/AF81)</f>
        <v>0</v>
      </c>
      <c r="AI69" s="584">
        <f t="shared" si="165"/>
        <v>0</v>
      </c>
      <c r="AJ69" s="614">
        <f t="shared" si="181"/>
        <v>1072</v>
      </c>
      <c r="AK69" s="612">
        <f t="shared" si="166"/>
        <v>0</v>
      </c>
      <c r="AL69" s="618">
        <f>(AJ63*0.6)*(AJ69/AJ81)</f>
        <v>0</v>
      </c>
      <c r="AM69" s="584">
        <f t="shared" si="167"/>
        <v>0</v>
      </c>
      <c r="AN69" s="614">
        <f t="shared" si="182"/>
        <v>1072</v>
      </c>
      <c r="AO69" s="612">
        <f t="shared" si="168"/>
        <v>0</v>
      </c>
      <c r="AP69" s="618">
        <f>(AN63*0.6)*(AN69/AN81)</f>
        <v>0</v>
      </c>
      <c r="AQ69" s="584">
        <f t="shared" si="169"/>
        <v>0</v>
      </c>
      <c r="AR69" s="614">
        <f t="shared" si="183"/>
        <v>1072</v>
      </c>
      <c r="AS69" s="612">
        <f t="shared" si="170"/>
        <v>0</v>
      </c>
      <c r="AT69" s="618">
        <f>(AR63*0.6)*(AR69/AR81)</f>
        <v>0</v>
      </c>
      <c r="AU69" s="584">
        <f t="shared" si="171"/>
        <v>0</v>
      </c>
      <c r="AV69" s="586">
        <f t="shared" si="184"/>
        <v>1072</v>
      </c>
      <c r="AW69" s="612">
        <f t="shared" si="172"/>
        <v>0</v>
      </c>
      <c r="AX69" s="618">
        <f>(AV63*0.6)*(AV69/AV81)</f>
        <v>0</v>
      </c>
      <c r="AY69" s="584">
        <f t="shared" si="173"/>
        <v>0</v>
      </c>
      <c r="AZ69" s="586">
        <f t="shared" si="185"/>
        <v>1072</v>
      </c>
      <c r="BA69" s="612">
        <f t="shared" si="174"/>
        <v>800</v>
      </c>
      <c r="BB69" s="618">
        <f>(AZ63*0.6)*(AZ69/AZ81)</f>
        <v>977.985338</v>
      </c>
      <c r="BC69" s="584">
        <f t="shared" si="175"/>
        <v>1777.985338</v>
      </c>
      <c r="BD69" s="586">
        <f t="shared" si="186"/>
        <v>1072</v>
      </c>
      <c r="BE69" s="612">
        <f t="shared" si="176"/>
        <v>800</v>
      </c>
      <c r="BF69" s="618">
        <f>(BD63*0.6)*(BD69/BD81)</f>
        <v>977.985338</v>
      </c>
      <c r="BG69" s="584">
        <f t="shared" si="177"/>
        <v>1777.985338</v>
      </c>
      <c r="BH69" s="586">
        <f t="shared" si="187"/>
        <v>1072</v>
      </c>
      <c r="BI69" s="612">
        <f t="shared" si="178"/>
        <v>800</v>
      </c>
      <c r="BJ69" s="618">
        <f>(BH63*0.6)*(BH69/BH81)</f>
        <v>977.985338</v>
      </c>
      <c r="BK69" s="584">
        <f t="shared" si="179"/>
        <v>1777.985338</v>
      </c>
      <c r="BL69" s="555"/>
      <c r="BM69" s="555"/>
    </row>
    <row r="70" ht="12.75" customHeight="1">
      <c r="A70" s="588" t="s">
        <v>369</v>
      </c>
      <c r="B70" s="511"/>
      <c r="C70" s="572">
        <f>WA!B110</f>
        <v>45</v>
      </c>
      <c r="D70" s="572">
        <f>WA!C110</f>
        <v>45</v>
      </c>
      <c r="E70" s="572">
        <f>WA!D110</f>
        <v>50</v>
      </c>
      <c r="F70" s="572">
        <f>WA!E110</f>
        <v>55</v>
      </c>
      <c r="G70" s="572">
        <f>WA!F110</f>
        <v>60</v>
      </c>
      <c r="H70" s="572">
        <f>WA!G110</f>
        <v>55</v>
      </c>
      <c r="I70" s="572">
        <f>WA!H110</f>
        <v>60</v>
      </c>
      <c r="J70" s="572">
        <f>WA!I110</f>
        <v>60</v>
      </c>
      <c r="K70" s="572">
        <f>WA!J110</f>
        <v>55</v>
      </c>
      <c r="L70" s="572">
        <f>WA!K110</f>
        <v>60</v>
      </c>
      <c r="M70" s="572">
        <f>WA!L110</f>
        <v>55</v>
      </c>
      <c r="N70" s="572">
        <f>WA!M110</f>
        <v>60</v>
      </c>
      <c r="O70" s="515"/>
      <c r="P70" s="611">
        <f t="shared" si="152"/>
        <v>660</v>
      </c>
      <c r="Q70" s="612">
        <f t="shared" si="153"/>
        <v>920.7142857</v>
      </c>
      <c r="R70" s="617">
        <f>(P63*0.6)*(P70/P81)</f>
        <v>643.0385488</v>
      </c>
      <c r="S70" s="584">
        <f t="shared" si="154"/>
        <v>1563.752834</v>
      </c>
      <c r="T70" s="614">
        <f t="shared" si="155"/>
        <v>660</v>
      </c>
      <c r="U70" s="612">
        <f t="shared" si="156"/>
        <v>674.6571429</v>
      </c>
      <c r="V70" s="617">
        <f>(T63*0.6)*(T70/T81)</f>
        <v>471.1891156</v>
      </c>
      <c r="W70" s="584">
        <f t="shared" si="157"/>
        <v>1145.846259</v>
      </c>
      <c r="X70" s="614">
        <f t="shared" si="158"/>
        <v>660</v>
      </c>
      <c r="Y70" s="612">
        <f t="shared" si="159"/>
        <v>976.4571429</v>
      </c>
      <c r="Z70" s="618">
        <f>(X63*0.6)*(X70/X81)</f>
        <v>681.970068</v>
      </c>
      <c r="AA70" s="584">
        <f t="shared" si="160"/>
        <v>1658.427211</v>
      </c>
      <c r="AB70" s="614">
        <f t="shared" si="161"/>
        <v>660</v>
      </c>
      <c r="AC70" s="612">
        <f t="shared" si="162"/>
        <v>878.5714286</v>
      </c>
      <c r="AD70" s="618">
        <f>(AB63*0.6)*(AB70/AB81)</f>
        <v>613.6054422</v>
      </c>
      <c r="AE70" s="584">
        <f t="shared" si="163"/>
        <v>1492.176871</v>
      </c>
      <c r="AF70" s="614">
        <f t="shared" si="180"/>
        <v>660</v>
      </c>
      <c r="AG70" s="612">
        <f t="shared" si="164"/>
        <v>0</v>
      </c>
      <c r="AH70" s="618">
        <f>(AF63*0.6)*(AF70/AF81)</f>
        <v>0</v>
      </c>
      <c r="AI70" s="584">
        <f t="shared" si="165"/>
        <v>0</v>
      </c>
      <c r="AJ70" s="614">
        <f t="shared" si="181"/>
        <v>660</v>
      </c>
      <c r="AK70" s="612">
        <f t="shared" si="166"/>
        <v>0</v>
      </c>
      <c r="AL70" s="618">
        <f>(AJ63*0.6)*(AJ70/AJ81)</f>
        <v>0</v>
      </c>
      <c r="AM70" s="584">
        <f t="shared" si="167"/>
        <v>0</v>
      </c>
      <c r="AN70" s="614">
        <f t="shared" si="182"/>
        <v>660</v>
      </c>
      <c r="AO70" s="612">
        <f t="shared" si="168"/>
        <v>0</v>
      </c>
      <c r="AP70" s="618">
        <f>(AN63*0.6)*(AN70/AN81)</f>
        <v>0</v>
      </c>
      <c r="AQ70" s="584">
        <f t="shared" si="169"/>
        <v>0</v>
      </c>
      <c r="AR70" s="614">
        <f t="shared" si="183"/>
        <v>660</v>
      </c>
      <c r="AS70" s="612">
        <f t="shared" si="170"/>
        <v>0</v>
      </c>
      <c r="AT70" s="618">
        <f>(AR63*0.6)*(AR70/AR81)</f>
        <v>0</v>
      </c>
      <c r="AU70" s="584">
        <f t="shared" si="171"/>
        <v>0</v>
      </c>
      <c r="AV70" s="586">
        <f t="shared" si="184"/>
        <v>660</v>
      </c>
      <c r="AW70" s="612">
        <f t="shared" si="172"/>
        <v>0</v>
      </c>
      <c r="AX70" s="618">
        <f>(AV63*0.6)*(AV70/AV81)</f>
        <v>0</v>
      </c>
      <c r="AY70" s="584">
        <f t="shared" si="173"/>
        <v>0</v>
      </c>
      <c r="AZ70" s="586">
        <f t="shared" si="185"/>
        <v>660</v>
      </c>
      <c r="BA70" s="612">
        <f t="shared" si="174"/>
        <v>800</v>
      </c>
      <c r="BB70" s="618">
        <f>(AZ63*0.6)*(AZ70/AZ81)</f>
        <v>602.1178387</v>
      </c>
      <c r="BC70" s="584">
        <f t="shared" si="175"/>
        <v>1402.117839</v>
      </c>
      <c r="BD70" s="586">
        <f t="shared" si="186"/>
        <v>660</v>
      </c>
      <c r="BE70" s="612">
        <f t="shared" si="176"/>
        <v>800</v>
      </c>
      <c r="BF70" s="618">
        <f>(BD63*0.6)*(BD70/BD81)</f>
        <v>602.1178387</v>
      </c>
      <c r="BG70" s="584">
        <f t="shared" si="177"/>
        <v>1402.117839</v>
      </c>
      <c r="BH70" s="586">
        <f t="shared" si="187"/>
        <v>660</v>
      </c>
      <c r="BI70" s="612">
        <f t="shared" si="178"/>
        <v>800</v>
      </c>
      <c r="BJ70" s="618">
        <f>(BH63*0.6)*(BH70/BH81)</f>
        <v>602.1178387</v>
      </c>
      <c r="BK70" s="584">
        <f t="shared" si="179"/>
        <v>1402.117839</v>
      </c>
      <c r="BL70" s="555"/>
      <c r="BM70" s="555"/>
    </row>
    <row r="71" ht="12.75" customHeight="1">
      <c r="A71" s="588" t="s">
        <v>385</v>
      </c>
      <c r="B71" s="511"/>
      <c r="C71" s="572">
        <f>AX!B110</f>
        <v>70</v>
      </c>
      <c r="D71" s="572">
        <f>AX!C110</f>
        <v>76</v>
      </c>
      <c r="E71" s="572">
        <f>AX!D110</f>
        <v>85</v>
      </c>
      <c r="F71" s="572">
        <f>AX!E110</f>
        <v>95</v>
      </c>
      <c r="G71" s="572">
        <f>AX!F110</f>
        <v>110</v>
      </c>
      <c r="H71" s="572">
        <f>AX!G110</f>
        <v>110</v>
      </c>
      <c r="I71" s="572">
        <f>AX!H110</f>
        <v>115</v>
      </c>
      <c r="J71" s="572">
        <f>AX!I110</f>
        <v>120</v>
      </c>
      <c r="K71" s="572">
        <f>AX!J110</f>
        <v>110</v>
      </c>
      <c r="L71" s="572">
        <f>AX!K110</f>
        <v>105</v>
      </c>
      <c r="M71" s="572">
        <f>AX!L110</f>
        <v>105</v>
      </c>
      <c r="N71" s="572">
        <f>AX!M110</f>
        <v>130</v>
      </c>
      <c r="O71" s="515"/>
      <c r="P71" s="611">
        <f t="shared" si="152"/>
        <v>1231</v>
      </c>
      <c r="Q71" s="612">
        <f t="shared" si="153"/>
        <v>920.7142857</v>
      </c>
      <c r="R71" s="617">
        <f>(P63*0.6)*(P71/P81)</f>
        <v>1199.364324</v>
      </c>
      <c r="S71" s="584">
        <f t="shared" si="154"/>
        <v>2120.078609</v>
      </c>
      <c r="T71" s="614">
        <f t="shared" si="155"/>
        <v>1231</v>
      </c>
      <c r="U71" s="612">
        <f t="shared" si="156"/>
        <v>674.6571429</v>
      </c>
      <c r="V71" s="617">
        <f>(T63*0.6)*(T71/T81)</f>
        <v>878.839093</v>
      </c>
      <c r="W71" s="584">
        <f t="shared" si="157"/>
        <v>1553.496236</v>
      </c>
      <c r="X71" s="614">
        <f t="shared" si="158"/>
        <v>1231</v>
      </c>
      <c r="Y71" s="612">
        <f t="shared" si="159"/>
        <v>976.4571429</v>
      </c>
      <c r="Z71" s="618">
        <f>(X63*0.6)*(X71/X81)</f>
        <v>1271.977506</v>
      </c>
      <c r="AA71" s="584">
        <f t="shared" si="160"/>
        <v>2248.434649</v>
      </c>
      <c r="AB71" s="614">
        <f t="shared" si="161"/>
        <v>1231</v>
      </c>
      <c r="AC71" s="612">
        <f t="shared" si="162"/>
        <v>878.5714286</v>
      </c>
      <c r="AD71" s="618">
        <f>(AB63*0.6)*(AB71/AB81)</f>
        <v>1144.46712</v>
      </c>
      <c r="AE71" s="584">
        <f t="shared" si="163"/>
        <v>2023.038549</v>
      </c>
      <c r="AF71" s="614">
        <f t="shared" si="180"/>
        <v>1231</v>
      </c>
      <c r="AG71" s="612">
        <f t="shared" si="164"/>
        <v>0</v>
      </c>
      <c r="AH71" s="618">
        <f>(AF63*0.6)*(AF71/AF81)</f>
        <v>0</v>
      </c>
      <c r="AI71" s="584">
        <f t="shared" si="165"/>
        <v>0</v>
      </c>
      <c r="AJ71" s="614">
        <f t="shared" si="181"/>
        <v>1231</v>
      </c>
      <c r="AK71" s="612">
        <f t="shared" si="166"/>
        <v>0</v>
      </c>
      <c r="AL71" s="618">
        <f>(AJ63*0.6)*(AJ71/AJ81)</f>
        <v>0</v>
      </c>
      <c r="AM71" s="584">
        <f t="shared" si="167"/>
        <v>0</v>
      </c>
      <c r="AN71" s="614">
        <f t="shared" si="182"/>
        <v>1231</v>
      </c>
      <c r="AO71" s="612">
        <f t="shared" si="168"/>
        <v>0</v>
      </c>
      <c r="AP71" s="618">
        <f>(AN63*0.6)*(AN71/AN81)</f>
        <v>0</v>
      </c>
      <c r="AQ71" s="584">
        <f t="shared" si="169"/>
        <v>0</v>
      </c>
      <c r="AR71" s="614">
        <f t="shared" si="183"/>
        <v>1231</v>
      </c>
      <c r="AS71" s="612">
        <f t="shared" si="170"/>
        <v>0</v>
      </c>
      <c r="AT71" s="618">
        <f>(AR63*0.6)*(AR71/AR81)</f>
        <v>0</v>
      </c>
      <c r="AU71" s="584">
        <f t="shared" si="171"/>
        <v>0</v>
      </c>
      <c r="AV71" s="586">
        <f t="shared" si="184"/>
        <v>1231</v>
      </c>
      <c r="AW71" s="612">
        <f t="shared" si="172"/>
        <v>0</v>
      </c>
      <c r="AX71" s="618">
        <f>(AV63*0.6)*(AV71/AV81)</f>
        <v>0</v>
      </c>
      <c r="AY71" s="584">
        <f t="shared" si="173"/>
        <v>0</v>
      </c>
      <c r="AZ71" s="586">
        <f t="shared" si="185"/>
        <v>1231</v>
      </c>
      <c r="BA71" s="612">
        <f t="shared" si="174"/>
        <v>800</v>
      </c>
      <c r="BB71" s="618">
        <f>(AZ63*0.6)*(AZ71/AZ81)</f>
        <v>1123.040999</v>
      </c>
      <c r="BC71" s="584">
        <f t="shared" si="175"/>
        <v>1923.040999</v>
      </c>
      <c r="BD71" s="586">
        <f t="shared" si="186"/>
        <v>1231</v>
      </c>
      <c r="BE71" s="612">
        <f t="shared" si="176"/>
        <v>800</v>
      </c>
      <c r="BF71" s="618">
        <f>(BD63*0.6)*(BD71/BD81)</f>
        <v>1123.040999</v>
      </c>
      <c r="BG71" s="584">
        <f t="shared" si="177"/>
        <v>1923.040999</v>
      </c>
      <c r="BH71" s="586">
        <f t="shared" si="187"/>
        <v>1231</v>
      </c>
      <c r="BI71" s="612">
        <f t="shared" si="178"/>
        <v>800</v>
      </c>
      <c r="BJ71" s="618">
        <f>(BH63*0.6)*(BH71/BH81)</f>
        <v>1123.040999</v>
      </c>
      <c r="BK71" s="584">
        <f t="shared" si="179"/>
        <v>1923.040999</v>
      </c>
      <c r="BL71" s="555"/>
      <c r="BM71" s="555"/>
    </row>
    <row r="72" ht="12.75" customHeight="1">
      <c r="A72" s="588" t="s">
        <v>386</v>
      </c>
      <c r="B72" s="511"/>
      <c r="C72" s="572">
        <f>HY!B110</f>
        <v>50</v>
      </c>
      <c r="D72" s="572">
        <f>HY!C110</f>
        <v>55</v>
      </c>
      <c r="E72" s="572">
        <f>HY!D110</f>
        <v>60</v>
      </c>
      <c r="F72" s="572">
        <f>HY!E110</f>
        <v>70</v>
      </c>
      <c r="G72" s="572">
        <f>HY!F110</f>
        <v>80</v>
      </c>
      <c r="H72" s="572">
        <f>HY!G110</f>
        <v>85</v>
      </c>
      <c r="I72" s="572">
        <f>HY!H110</f>
        <v>90</v>
      </c>
      <c r="J72" s="572">
        <f>HY!I110</f>
        <v>90</v>
      </c>
      <c r="K72" s="572">
        <f>HY!J110</f>
        <v>80</v>
      </c>
      <c r="L72" s="572">
        <f>HY!K110</f>
        <v>85</v>
      </c>
      <c r="M72" s="572">
        <f>HY!L110</f>
        <v>90</v>
      </c>
      <c r="N72" s="572">
        <f>HY!M110</f>
        <v>95</v>
      </c>
      <c r="O72" s="515"/>
      <c r="P72" s="611">
        <f t="shared" si="152"/>
        <v>930</v>
      </c>
      <c r="Q72" s="612">
        <f t="shared" si="153"/>
        <v>920.7142857</v>
      </c>
      <c r="R72" s="617">
        <f>(P63*0.6)*(P72/P81)</f>
        <v>906.0997732</v>
      </c>
      <c r="S72" s="584">
        <f t="shared" si="154"/>
        <v>1826.814059</v>
      </c>
      <c r="T72" s="614">
        <f t="shared" si="155"/>
        <v>930</v>
      </c>
      <c r="U72" s="612">
        <f t="shared" si="156"/>
        <v>674.6571429</v>
      </c>
      <c r="V72" s="617">
        <f>(T63*0.6)*(T72/T81)</f>
        <v>663.9482993</v>
      </c>
      <c r="W72" s="584">
        <f t="shared" si="157"/>
        <v>1338.605442</v>
      </c>
      <c r="X72" s="614">
        <f t="shared" si="158"/>
        <v>930</v>
      </c>
      <c r="Y72" s="612">
        <f t="shared" si="159"/>
        <v>976.4571429</v>
      </c>
      <c r="Z72" s="618">
        <f>(X63*0.6)*(X72/X81)</f>
        <v>960.9578231</v>
      </c>
      <c r="AA72" s="584">
        <f t="shared" si="160"/>
        <v>1937.414966</v>
      </c>
      <c r="AB72" s="614">
        <f t="shared" si="161"/>
        <v>930</v>
      </c>
      <c r="AC72" s="612">
        <f t="shared" si="162"/>
        <v>878.5714286</v>
      </c>
      <c r="AD72" s="618">
        <f>(AB63*0.6)*(AB72/AB81)</f>
        <v>864.6258503</v>
      </c>
      <c r="AE72" s="584">
        <f t="shared" si="163"/>
        <v>1743.197279</v>
      </c>
      <c r="AF72" s="614">
        <f t="shared" si="180"/>
        <v>930</v>
      </c>
      <c r="AG72" s="612">
        <f t="shared" si="164"/>
        <v>0</v>
      </c>
      <c r="AH72" s="618">
        <f>(AF63*0.6)*(AF72/AF81)</f>
        <v>0</v>
      </c>
      <c r="AI72" s="584">
        <f t="shared" si="165"/>
        <v>0</v>
      </c>
      <c r="AJ72" s="614">
        <f t="shared" si="181"/>
        <v>930</v>
      </c>
      <c r="AK72" s="612">
        <f t="shared" si="166"/>
        <v>0</v>
      </c>
      <c r="AL72" s="618">
        <f>(AJ63*0.6)*(AJ72/AJ81)</f>
        <v>0</v>
      </c>
      <c r="AM72" s="584">
        <f t="shared" si="167"/>
        <v>0</v>
      </c>
      <c r="AN72" s="614">
        <f t="shared" si="182"/>
        <v>930</v>
      </c>
      <c r="AO72" s="612">
        <f t="shared" si="168"/>
        <v>0</v>
      </c>
      <c r="AP72" s="618">
        <f>(AN63*0.6)*(AN72/AN81)</f>
        <v>0</v>
      </c>
      <c r="AQ72" s="584">
        <f t="shared" si="169"/>
        <v>0</v>
      </c>
      <c r="AR72" s="614">
        <f t="shared" si="183"/>
        <v>930</v>
      </c>
      <c r="AS72" s="612">
        <f t="shared" si="170"/>
        <v>0</v>
      </c>
      <c r="AT72" s="618">
        <f>(AR63*0.6)*(AR72/AR81)</f>
        <v>0</v>
      </c>
      <c r="AU72" s="584">
        <f t="shared" si="171"/>
        <v>0</v>
      </c>
      <c r="AV72" s="586">
        <f t="shared" si="184"/>
        <v>930</v>
      </c>
      <c r="AW72" s="612">
        <f t="shared" si="172"/>
        <v>0</v>
      </c>
      <c r="AX72" s="618">
        <f>(AV63*0.6)*(AV72/AV81)</f>
        <v>0</v>
      </c>
      <c r="AY72" s="584">
        <f t="shared" si="173"/>
        <v>0</v>
      </c>
      <c r="AZ72" s="586">
        <f t="shared" si="185"/>
        <v>930</v>
      </c>
      <c r="BA72" s="612">
        <f t="shared" si="174"/>
        <v>800</v>
      </c>
      <c r="BB72" s="618">
        <f>(AZ63*0.6)*(AZ72/AZ81)</f>
        <v>848.4387727</v>
      </c>
      <c r="BC72" s="584">
        <f t="shared" si="175"/>
        <v>1648.438773</v>
      </c>
      <c r="BD72" s="586">
        <f t="shared" si="186"/>
        <v>930</v>
      </c>
      <c r="BE72" s="612">
        <f t="shared" si="176"/>
        <v>800</v>
      </c>
      <c r="BF72" s="618">
        <f>(BD63*0.6)*(BD72/BD81)</f>
        <v>848.4387727</v>
      </c>
      <c r="BG72" s="584">
        <f t="shared" si="177"/>
        <v>1648.438773</v>
      </c>
      <c r="BH72" s="586">
        <f t="shared" si="187"/>
        <v>930</v>
      </c>
      <c r="BI72" s="612">
        <f t="shared" si="178"/>
        <v>800</v>
      </c>
      <c r="BJ72" s="618">
        <f>(BH63*0.6)*(BH72/BH81)</f>
        <v>848.4387727</v>
      </c>
      <c r="BK72" s="584">
        <f t="shared" si="179"/>
        <v>1648.438773</v>
      </c>
      <c r="BL72" s="555"/>
      <c r="BM72" s="555"/>
    </row>
    <row r="73" ht="12.75" customHeight="1">
      <c r="A73" s="588" t="s">
        <v>387</v>
      </c>
      <c r="B73" s="511"/>
      <c r="C73" s="572">
        <f>VW!B110</f>
        <v>70</v>
      </c>
      <c r="D73" s="572">
        <f>VW!C110</f>
        <v>75</v>
      </c>
      <c r="E73" s="572">
        <f>VW!D110</f>
        <v>80</v>
      </c>
      <c r="F73" s="572">
        <f>VW!E110</f>
        <v>80</v>
      </c>
      <c r="G73" s="572">
        <f>VW!F110</f>
        <v>90</v>
      </c>
      <c r="H73" s="572">
        <f>VW!G110</f>
        <v>90</v>
      </c>
      <c r="I73" s="572">
        <f>VW!H110</f>
        <v>95</v>
      </c>
      <c r="J73" s="572">
        <f>VW!I110</f>
        <v>95</v>
      </c>
      <c r="K73" s="572">
        <f>VW!J110</f>
        <v>85</v>
      </c>
      <c r="L73" s="572">
        <f>VW!K110</f>
        <v>85</v>
      </c>
      <c r="M73" s="572">
        <f>VW!L110</f>
        <v>85</v>
      </c>
      <c r="N73" s="572">
        <f>VW!M110</f>
        <v>95</v>
      </c>
      <c r="O73" s="515"/>
      <c r="P73" s="611">
        <f t="shared" si="152"/>
        <v>1025</v>
      </c>
      <c r="Q73" s="612">
        <f t="shared" si="153"/>
        <v>920.7142857</v>
      </c>
      <c r="R73" s="617">
        <f>(P63*0.6)*(P73/P81)</f>
        <v>998.6583522</v>
      </c>
      <c r="S73" s="584">
        <f t="shared" si="154"/>
        <v>1919.372638</v>
      </c>
      <c r="T73" s="614">
        <f t="shared" si="155"/>
        <v>1025</v>
      </c>
      <c r="U73" s="612">
        <f t="shared" si="156"/>
        <v>674.6571429</v>
      </c>
      <c r="V73" s="617">
        <f>(T63*0.6)*(T73/T81)</f>
        <v>731.7709751</v>
      </c>
      <c r="W73" s="584">
        <f t="shared" si="157"/>
        <v>1406.428118</v>
      </c>
      <c r="X73" s="614">
        <f t="shared" si="158"/>
        <v>1025</v>
      </c>
      <c r="Y73" s="612">
        <f t="shared" si="159"/>
        <v>976.4571429</v>
      </c>
      <c r="Z73" s="618">
        <f>(X63*0.6)*(X73/X81)</f>
        <v>1059.120181</v>
      </c>
      <c r="AA73" s="584">
        <f t="shared" si="160"/>
        <v>2035.577324</v>
      </c>
      <c r="AB73" s="614">
        <f t="shared" si="161"/>
        <v>1025</v>
      </c>
      <c r="AC73" s="612">
        <f t="shared" si="162"/>
        <v>878.5714286</v>
      </c>
      <c r="AD73" s="618">
        <f>(AB63*0.6)*(AB73/AB81)</f>
        <v>952.9478458</v>
      </c>
      <c r="AE73" s="584">
        <f t="shared" si="163"/>
        <v>1831.519274</v>
      </c>
      <c r="AF73" s="614">
        <f t="shared" si="180"/>
        <v>1025</v>
      </c>
      <c r="AG73" s="612">
        <f t="shared" si="164"/>
        <v>0</v>
      </c>
      <c r="AH73" s="618">
        <f>(AF63*0.6)*(AF73/AF81)</f>
        <v>0</v>
      </c>
      <c r="AI73" s="584">
        <f t="shared" si="165"/>
        <v>0</v>
      </c>
      <c r="AJ73" s="614">
        <f t="shared" si="181"/>
        <v>1025</v>
      </c>
      <c r="AK73" s="612">
        <f t="shared" si="166"/>
        <v>0</v>
      </c>
      <c r="AL73" s="618">
        <f>(AJ63*0.6)*(AJ73/AJ81)</f>
        <v>0</v>
      </c>
      <c r="AM73" s="584">
        <f t="shared" si="167"/>
        <v>0</v>
      </c>
      <c r="AN73" s="614">
        <f t="shared" si="182"/>
        <v>1025</v>
      </c>
      <c r="AO73" s="612">
        <f t="shared" si="168"/>
        <v>0</v>
      </c>
      <c r="AP73" s="618">
        <f>(AN63*0.6)*(AN73/AN81)</f>
        <v>0</v>
      </c>
      <c r="AQ73" s="584">
        <f t="shared" si="169"/>
        <v>0</v>
      </c>
      <c r="AR73" s="614">
        <f t="shared" si="183"/>
        <v>1025</v>
      </c>
      <c r="AS73" s="612">
        <f t="shared" si="170"/>
        <v>0</v>
      </c>
      <c r="AT73" s="618">
        <f>(AR63*0.6)*(AR73/AR81)</f>
        <v>0</v>
      </c>
      <c r="AU73" s="584">
        <f t="shared" si="171"/>
        <v>0</v>
      </c>
      <c r="AV73" s="586">
        <f t="shared" si="184"/>
        <v>1025</v>
      </c>
      <c r="AW73" s="612">
        <f t="shared" si="172"/>
        <v>0</v>
      </c>
      <c r="AX73" s="618">
        <f>(AV63*0.6)*(AV73/AV81)</f>
        <v>0</v>
      </c>
      <c r="AY73" s="584">
        <f t="shared" si="173"/>
        <v>0</v>
      </c>
      <c r="AZ73" s="586">
        <f t="shared" si="185"/>
        <v>1025</v>
      </c>
      <c r="BA73" s="612">
        <f t="shared" si="174"/>
        <v>800</v>
      </c>
      <c r="BB73" s="618">
        <f>(AZ63*0.6)*(AZ73/AZ81)</f>
        <v>935.1072495</v>
      </c>
      <c r="BC73" s="584">
        <f t="shared" si="175"/>
        <v>1735.10725</v>
      </c>
      <c r="BD73" s="586">
        <f t="shared" si="186"/>
        <v>1025</v>
      </c>
      <c r="BE73" s="612">
        <f t="shared" si="176"/>
        <v>800</v>
      </c>
      <c r="BF73" s="618">
        <f>(BD63*0.6)*(BD73/BD81)</f>
        <v>935.1072495</v>
      </c>
      <c r="BG73" s="584">
        <f t="shared" si="177"/>
        <v>1735.10725</v>
      </c>
      <c r="BH73" s="586">
        <f t="shared" si="187"/>
        <v>1025</v>
      </c>
      <c r="BI73" s="612">
        <f t="shared" si="178"/>
        <v>800</v>
      </c>
      <c r="BJ73" s="618">
        <f>(BH63*0.6)*(BH73/BH81)</f>
        <v>935.1072495</v>
      </c>
      <c r="BK73" s="584">
        <f t="shared" si="179"/>
        <v>1735.10725</v>
      </c>
      <c r="BL73" s="555"/>
      <c r="BM73" s="555"/>
    </row>
    <row r="74" ht="12.75" customHeight="1">
      <c r="A74" s="588" t="s">
        <v>388</v>
      </c>
      <c r="B74" s="511"/>
      <c r="C74" s="591">
        <f>SU!B110</f>
        <v>80</v>
      </c>
      <c r="D74" s="591">
        <f>SU!C110</f>
        <v>80</v>
      </c>
      <c r="E74" s="591">
        <f>SU!D110</f>
        <v>90</v>
      </c>
      <c r="F74" s="591">
        <f>SU!E110</f>
        <v>100</v>
      </c>
      <c r="G74" s="591">
        <f>SU!F110</f>
        <v>100</v>
      </c>
      <c r="H74" s="591">
        <f>SU!G110</f>
        <v>110</v>
      </c>
      <c r="I74" s="591">
        <f>SU!H110</f>
        <v>100</v>
      </c>
      <c r="J74" s="591">
        <f>SU!I110</f>
        <v>100</v>
      </c>
      <c r="K74" s="591">
        <f>SU!J110</f>
        <v>110</v>
      </c>
      <c r="L74" s="591">
        <f>SU!K110</f>
        <v>100</v>
      </c>
      <c r="M74" s="591">
        <f>SU!L110</f>
        <v>110</v>
      </c>
      <c r="N74" s="591">
        <f>SU!M110</f>
        <v>120</v>
      </c>
      <c r="O74" s="515"/>
      <c r="P74" s="611">
        <f t="shared" si="152"/>
        <v>1200</v>
      </c>
      <c r="Q74" s="612">
        <f t="shared" si="153"/>
        <v>920.7142857</v>
      </c>
      <c r="R74" s="617">
        <f>(P63*0.6)*(P74/P81)</f>
        <v>1169.160998</v>
      </c>
      <c r="S74" s="584">
        <f t="shared" si="154"/>
        <v>2089.875283</v>
      </c>
      <c r="T74" s="614">
        <f t="shared" si="155"/>
        <v>1200</v>
      </c>
      <c r="U74" s="612">
        <f t="shared" si="156"/>
        <v>674.6571429</v>
      </c>
      <c r="V74" s="617">
        <f>(T63*0.6)*(T74/T81)</f>
        <v>856.707483</v>
      </c>
      <c r="W74" s="584">
        <f t="shared" si="157"/>
        <v>1531.364626</v>
      </c>
      <c r="X74" s="614">
        <f t="shared" si="158"/>
        <v>1200</v>
      </c>
      <c r="Y74" s="612">
        <f t="shared" si="159"/>
        <v>976.4571429</v>
      </c>
      <c r="Z74" s="618">
        <f>(X63*0.6)*(X74/X81)</f>
        <v>1239.945578</v>
      </c>
      <c r="AA74" s="584">
        <f t="shared" si="160"/>
        <v>2216.402721</v>
      </c>
      <c r="AB74" s="614">
        <f t="shared" si="161"/>
        <v>1200</v>
      </c>
      <c r="AC74" s="612">
        <f t="shared" si="162"/>
        <v>878.5714286</v>
      </c>
      <c r="AD74" s="618">
        <f>(AB63*0.6)*(AB74/AB81)</f>
        <v>1115.646259</v>
      </c>
      <c r="AE74" s="584">
        <f t="shared" si="163"/>
        <v>1994.217687</v>
      </c>
      <c r="AF74" s="614">
        <f t="shared" si="180"/>
        <v>1200</v>
      </c>
      <c r="AG74" s="612">
        <f t="shared" si="164"/>
        <v>0</v>
      </c>
      <c r="AH74" s="618">
        <f>(AF63*0.6)*(AF74/AF81)</f>
        <v>0</v>
      </c>
      <c r="AI74" s="584">
        <f t="shared" si="165"/>
        <v>0</v>
      </c>
      <c r="AJ74" s="614">
        <f t="shared" si="181"/>
        <v>1200</v>
      </c>
      <c r="AK74" s="612">
        <f t="shared" si="166"/>
        <v>0</v>
      </c>
      <c r="AL74" s="618">
        <f>(AJ63*0.6)*(AJ74/AJ81)</f>
        <v>0</v>
      </c>
      <c r="AM74" s="584">
        <f t="shared" si="167"/>
        <v>0</v>
      </c>
      <c r="AN74" s="614">
        <f t="shared" si="182"/>
        <v>1200</v>
      </c>
      <c r="AO74" s="612">
        <f t="shared" si="168"/>
        <v>0</v>
      </c>
      <c r="AP74" s="618">
        <f>(AN63*0.6)*(AN74/AN81)</f>
        <v>0</v>
      </c>
      <c r="AQ74" s="584">
        <f t="shared" si="169"/>
        <v>0</v>
      </c>
      <c r="AR74" s="614">
        <f t="shared" si="183"/>
        <v>1200</v>
      </c>
      <c r="AS74" s="612">
        <f t="shared" si="170"/>
        <v>0</v>
      </c>
      <c r="AT74" s="618">
        <f>(AR63*0.6)*(AR74/AR81)</f>
        <v>0</v>
      </c>
      <c r="AU74" s="584">
        <f t="shared" si="171"/>
        <v>0</v>
      </c>
      <c r="AV74" s="586">
        <f t="shared" si="184"/>
        <v>1200</v>
      </c>
      <c r="AW74" s="612">
        <f t="shared" si="172"/>
        <v>0</v>
      </c>
      <c r="AX74" s="618">
        <f>(AV63*0.6)*(AV74/AV81)</f>
        <v>0</v>
      </c>
      <c r="AY74" s="584">
        <f t="shared" si="173"/>
        <v>0</v>
      </c>
      <c r="AZ74" s="586">
        <f t="shared" si="185"/>
        <v>1200</v>
      </c>
      <c r="BA74" s="612">
        <f t="shared" si="174"/>
        <v>800</v>
      </c>
      <c r="BB74" s="618">
        <f>(AZ63*0.6)*(AZ74/AZ81)</f>
        <v>1094.759707</v>
      </c>
      <c r="BC74" s="584">
        <f t="shared" si="175"/>
        <v>1894.759707</v>
      </c>
      <c r="BD74" s="586">
        <f t="shared" si="186"/>
        <v>1200</v>
      </c>
      <c r="BE74" s="612">
        <f t="shared" si="176"/>
        <v>800</v>
      </c>
      <c r="BF74" s="618">
        <f>(BD63*0.6)*(BD74/BD81)</f>
        <v>1094.759707</v>
      </c>
      <c r="BG74" s="584">
        <f t="shared" si="177"/>
        <v>1894.759707</v>
      </c>
      <c r="BH74" s="586">
        <f t="shared" si="187"/>
        <v>1200</v>
      </c>
      <c r="BI74" s="612">
        <f t="shared" si="178"/>
        <v>800</v>
      </c>
      <c r="BJ74" s="618">
        <f>(BH63*0.6)*(BH74/BH81)</f>
        <v>1094.759707</v>
      </c>
      <c r="BK74" s="584">
        <f t="shared" si="179"/>
        <v>1894.759707</v>
      </c>
      <c r="BL74" s="555"/>
      <c r="BM74" s="555"/>
    </row>
    <row r="75" ht="12.75" customHeight="1">
      <c r="A75" s="592" t="s">
        <v>389</v>
      </c>
      <c r="B75" s="521"/>
      <c r="C75" s="526">
        <f>FR!B110</f>
        <v>140</v>
      </c>
      <c r="D75" s="553">
        <f>FR!C110</f>
        <v>140</v>
      </c>
      <c r="E75" s="553">
        <f>FR!D110</f>
        <v>150</v>
      </c>
      <c r="F75" s="553">
        <f>FR!E110</f>
        <v>145</v>
      </c>
      <c r="G75" s="553">
        <f>FR!F110</f>
        <v>160</v>
      </c>
      <c r="H75" s="553">
        <f>FR!G110</f>
        <v>140</v>
      </c>
      <c r="I75" s="553">
        <f>FR!H110</f>
        <v>175</v>
      </c>
      <c r="J75" s="553">
        <f>FR!I110</f>
        <v>175</v>
      </c>
      <c r="K75" s="553">
        <f>FR!J110</f>
        <v>160</v>
      </c>
      <c r="L75" s="553">
        <f>FR!K110</f>
        <v>170</v>
      </c>
      <c r="M75" s="553">
        <f>FR!L110</f>
        <v>160</v>
      </c>
      <c r="N75" s="553">
        <f>FR!M110</f>
        <v>180</v>
      </c>
      <c r="O75" s="533"/>
      <c r="P75" s="619">
        <f t="shared" si="152"/>
        <v>1895</v>
      </c>
      <c r="Q75" s="612">
        <f t="shared" si="153"/>
        <v>920.7142857</v>
      </c>
      <c r="R75" s="617">
        <f>(P63*0.6)*(P75/P81)</f>
        <v>1846.300076</v>
      </c>
      <c r="S75" s="584">
        <f t="shared" si="154"/>
        <v>2767.014361</v>
      </c>
      <c r="T75" s="614">
        <f t="shared" si="155"/>
        <v>1895</v>
      </c>
      <c r="U75" s="612">
        <f t="shared" si="156"/>
        <v>674.6571429</v>
      </c>
      <c r="V75" s="617">
        <f>(T63*0.6)*(T75/T81)</f>
        <v>1352.8839</v>
      </c>
      <c r="W75" s="584">
        <f t="shared" si="157"/>
        <v>2027.541043</v>
      </c>
      <c r="X75" s="614">
        <f t="shared" si="158"/>
        <v>1895</v>
      </c>
      <c r="Y75" s="612">
        <f t="shared" si="159"/>
        <v>976.4571429</v>
      </c>
      <c r="Z75" s="618">
        <f>(X63*0.6)*(X75/X81)</f>
        <v>1958.080726</v>
      </c>
      <c r="AA75" s="584">
        <f t="shared" si="160"/>
        <v>2934.537868</v>
      </c>
      <c r="AB75" s="614">
        <f t="shared" si="161"/>
        <v>1895</v>
      </c>
      <c r="AC75" s="612">
        <f t="shared" si="162"/>
        <v>878.5714286</v>
      </c>
      <c r="AD75" s="618">
        <f>(AB63*0.6)*(AB75/AB81)</f>
        <v>1761.791383</v>
      </c>
      <c r="AE75" s="584">
        <f t="shared" si="163"/>
        <v>2640.362812</v>
      </c>
      <c r="AF75" s="614">
        <f t="shared" si="180"/>
        <v>1895</v>
      </c>
      <c r="AG75" s="612">
        <f t="shared" si="164"/>
        <v>0</v>
      </c>
      <c r="AH75" s="618">
        <f>(AF63*0.6)*(AF75/AF81)</f>
        <v>0</v>
      </c>
      <c r="AI75" s="584">
        <f t="shared" si="165"/>
        <v>0</v>
      </c>
      <c r="AJ75" s="614">
        <f t="shared" si="181"/>
        <v>1895</v>
      </c>
      <c r="AK75" s="612">
        <f t="shared" si="166"/>
        <v>0</v>
      </c>
      <c r="AL75" s="618">
        <f>(AJ63*0.6)*(AJ75/AJ81)</f>
        <v>0</v>
      </c>
      <c r="AM75" s="584">
        <f t="shared" si="167"/>
        <v>0</v>
      </c>
      <c r="AN75" s="614">
        <f t="shared" si="182"/>
        <v>1895</v>
      </c>
      <c r="AO75" s="612">
        <f t="shared" si="168"/>
        <v>0</v>
      </c>
      <c r="AP75" s="618">
        <f>(AN63*0.6)*(AN75/AN81)</f>
        <v>0</v>
      </c>
      <c r="AQ75" s="584">
        <f t="shared" si="169"/>
        <v>0</v>
      </c>
      <c r="AR75" s="614">
        <f t="shared" si="183"/>
        <v>1895</v>
      </c>
      <c r="AS75" s="612">
        <f t="shared" si="170"/>
        <v>0</v>
      </c>
      <c r="AT75" s="618">
        <f>(AR63*0.6)*(AR75/AR81)</f>
        <v>0</v>
      </c>
      <c r="AU75" s="584">
        <f t="shared" si="171"/>
        <v>0</v>
      </c>
      <c r="AV75" s="586">
        <f t="shared" si="184"/>
        <v>1895</v>
      </c>
      <c r="AW75" s="612">
        <f t="shared" si="172"/>
        <v>0</v>
      </c>
      <c r="AX75" s="618">
        <f>(AV63*0.6)*(AV75/AV81)</f>
        <v>0</v>
      </c>
      <c r="AY75" s="584">
        <f t="shared" si="173"/>
        <v>0</v>
      </c>
      <c r="AZ75" s="586">
        <f t="shared" si="185"/>
        <v>1895</v>
      </c>
      <c r="BA75" s="612">
        <f t="shared" si="174"/>
        <v>800</v>
      </c>
      <c r="BB75" s="618">
        <f>(AZ63*0.6)*(AZ75/AZ81)</f>
        <v>1728.808037</v>
      </c>
      <c r="BC75" s="584">
        <f t="shared" si="175"/>
        <v>2528.808037</v>
      </c>
      <c r="BD75" s="586">
        <f t="shared" si="186"/>
        <v>1895</v>
      </c>
      <c r="BE75" s="612">
        <f t="shared" si="176"/>
        <v>800</v>
      </c>
      <c r="BF75" s="618">
        <f>(BD63*0.6)*(BD75/BD81)</f>
        <v>1728.808037</v>
      </c>
      <c r="BG75" s="584">
        <f t="shared" si="177"/>
        <v>2528.808037</v>
      </c>
      <c r="BH75" s="586">
        <f t="shared" si="187"/>
        <v>1895</v>
      </c>
      <c r="BI75" s="612">
        <f t="shared" si="178"/>
        <v>800</v>
      </c>
      <c r="BJ75" s="618">
        <f>(BH63*0.6)*(BH75/BH81)</f>
        <v>1728.808037</v>
      </c>
      <c r="BK75" s="584">
        <f t="shared" si="179"/>
        <v>2528.808037</v>
      </c>
      <c r="BL75" s="555"/>
      <c r="BM75" s="555"/>
    </row>
    <row r="76" ht="12.75" customHeight="1">
      <c r="A76" s="592" t="s">
        <v>390</v>
      </c>
      <c r="B76" s="521"/>
      <c r="C76" s="526">
        <f>ST!B110</f>
        <v>75</v>
      </c>
      <c r="D76" s="553">
        <f>ST!C110</f>
        <v>75</v>
      </c>
      <c r="E76" s="553">
        <f>ST!D110</f>
        <v>80</v>
      </c>
      <c r="F76" s="553">
        <f>ST!E110</f>
        <v>80</v>
      </c>
      <c r="G76" s="553">
        <f>ST!F110</f>
        <v>85</v>
      </c>
      <c r="H76" s="553">
        <f>ST!G110</f>
        <v>90</v>
      </c>
      <c r="I76" s="553">
        <f>ST!H110</f>
        <v>120</v>
      </c>
      <c r="J76" s="553">
        <f>ST!I110</f>
        <v>135</v>
      </c>
      <c r="K76" s="553">
        <f>ST!J110</f>
        <v>130</v>
      </c>
      <c r="L76" s="553">
        <f>ST!K110</f>
        <v>130</v>
      </c>
      <c r="M76" s="553">
        <f>ST!L110</f>
        <v>115</v>
      </c>
      <c r="N76" s="553">
        <f>ST!M110</f>
        <v>130</v>
      </c>
      <c r="O76" s="533"/>
      <c r="P76" s="619">
        <f t="shared" si="152"/>
        <v>1245</v>
      </c>
      <c r="Q76" s="612">
        <f t="shared" si="153"/>
        <v>920.7142857</v>
      </c>
      <c r="R76" s="617">
        <f>(P63*0.6)*(P76/P81)</f>
        <v>1213.004535</v>
      </c>
      <c r="S76" s="584">
        <f t="shared" si="154"/>
        <v>2133.718821</v>
      </c>
      <c r="T76" s="614">
        <f t="shared" si="155"/>
        <v>1245</v>
      </c>
      <c r="U76" s="612">
        <f t="shared" si="156"/>
        <v>674.6571429</v>
      </c>
      <c r="V76" s="617">
        <f>(T63*0.6)*(T76/T81)</f>
        <v>888.8340136</v>
      </c>
      <c r="W76" s="584">
        <f t="shared" si="157"/>
        <v>1563.491156</v>
      </c>
      <c r="X76" s="614">
        <f t="shared" si="158"/>
        <v>1245</v>
      </c>
      <c r="Y76" s="612">
        <f t="shared" si="159"/>
        <v>976.4571429</v>
      </c>
      <c r="Z76" s="618">
        <f>(X63*0.6)*(X76/X81)</f>
        <v>1286.443537</v>
      </c>
      <c r="AA76" s="584">
        <f t="shared" si="160"/>
        <v>2262.90068</v>
      </c>
      <c r="AB76" s="614">
        <f t="shared" si="161"/>
        <v>1245</v>
      </c>
      <c r="AC76" s="612">
        <f t="shared" si="162"/>
        <v>878.5714286</v>
      </c>
      <c r="AD76" s="618">
        <f>(AB63*0.6)*(AB76/AB81)</f>
        <v>1157.482993</v>
      </c>
      <c r="AE76" s="584">
        <f t="shared" si="163"/>
        <v>2036.054422</v>
      </c>
      <c r="AF76" s="614">
        <f t="shared" si="180"/>
        <v>1245</v>
      </c>
      <c r="AG76" s="612">
        <f t="shared" si="164"/>
        <v>0</v>
      </c>
      <c r="AH76" s="618">
        <f>(AF63*0.6)*(AF76/AF81)</f>
        <v>0</v>
      </c>
      <c r="AI76" s="584">
        <f t="shared" si="165"/>
        <v>0</v>
      </c>
      <c r="AJ76" s="614">
        <f t="shared" si="181"/>
        <v>1245</v>
      </c>
      <c r="AK76" s="612">
        <f t="shared" si="166"/>
        <v>0</v>
      </c>
      <c r="AL76" s="618">
        <f>(AJ63*0.6)*(AJ76/AJ81)</f>
        <v>0</v>
      </c>
      <c r="AM76" s="584">
        <f t="shared" si="167"/>
        <v>0</v>
      </c>
      <c r="AN76" s="614">
        <f t="shared" si="182"/>
        <v>1245</v>
      </c>
      <c r="AO76" s="612">
        <f t="shared" si="168"/>
        <v>0</v>
      </c>
      <c r="AP76" s="618">
        <f>(AN63*0.6)*(AN76/AN81)</f>
        <v>0</v>
      </c>
      <c r="AQ76" s="584">
        <f t="shared" si="169"/>
        <v>0</v>
      </c>
      <c r="AR76" s="614">
        <f t="shared" si="183"/>
        <v>1245</v>
      </c>
      <c r="AS76" s="612">
        <f t="shared" si="170"/>
        <v>0</v>
      </c>
      <c r="AT76" s="618">
        <f>(AR63*0.6)*(AR76/AR81)</f>
        <v>0</v>
      </c>
      <c r="AU76" s="584">
        <f t="shared" si="171"/>
        <v>0</v>
      </c>
      <c r="AV76" s="586">
        <f t="shared" si="184"/>
        <v>1245</v>
      </c>
      <c r="AW76" s="612">
        <f t="shared" si="172"/>
        <v>0</v>
      </c>
      <c r="AX76" s="618">
        <f>(AV63*0.6)*(AV76/AV81)</f>
        <v>0</v>
      </c>
      <c r="AY76" s="584">
        <f t="shared" si="173"/>
        <v>0</v>
      </c>
      <c r="AZ76" s="586">
        <f t="shared" si="185"/>
        <v>1245</v>
      </c>
      <c r="BA76" s="612">
        <f t="shared" si="174"/>
        <v>800</v>
      </c>
      <c r="BB76" s="618">
        <f>(AZ63*0.6)*(AZ76/AZ81)</f>
        <v>1135.813196</v>
      </c>
      <c r="BC76" s="584">
        <f t="shared" si="175"/>
        <v>1935.813196</v>
      </c>
      <c r="BD76" s="586">
        <f t="shared" si="186"/>
        <v>1245</v>
      </c>
      <c r="BE76" s="612">
        <f t="shared" si="176"/>
        <v>800</v>
      </c>
      <c r="BF76" s="618">
        <f>(BD63*0.6)*(BD76/BD81)</f>
        <v>1135.813196</v>
      </c>
      <c r="BG76" s="584">
        <f t="shared" si="177"/>
        <v>1935.813196</v>
      </c>
      <c r="BH76" s="586">
        <f t="shared" si="187"/>
        <v>1245</v>
      </c>
      <c r="BI76" s="612">
        <f t="shared" si="178"/>
        <v>800</v>
      </c>
      <c r="BJ76" s="618">
        <f>(BH63*0.6)*(BH76/BH81)</f>
        <v>1135.813196</v>
      </c>
      <c r="BK76" s="584">
        <f t="shared" si="179"/>
        <v>1935.813196</v>
      </c>
      <c r="BL76" s="555"/>
      <c r="BM76" s="555"/>
    </row>
    <row r="77" ht="12.75" customHeight="1">
      <c r="A77" s="592" t="s">
        <v>391</v>
      </c>
      <c r="B77" s="521"/>
      <c r="C77" s="553">
        <f>HSU!B110</f>
        <v>60</v>
      </c>
      <c r="D77" s="553">
        <f>HSU!C110</f>
        <v>60</v>
      </c>
      <c r="E77" s="553">
        <f>HSU!D110</f>
        <v>65</v>
      </c>
      <c r="F77" s="553">
        <f>HSU!E110</f>
        <v>75</v>
      </c>
      <c r="G77" s="553">
        <f>HSU!F110</f>
        <v>85</v>
      </c>
      <c r="H77" s="553">
        <f>HSU!G110</f>
        <v>90</v>
      </c>
      <c r="I77" s="553">
        <f>HSU!H110</f>
        <v>100</v>
      </c>
      <c r="J77" s="553">
        <f>HSU!I110</f>
        <v>90</v>
      </c>
      <c r="K77" s="553">
        <f>HSU!J110</f>
        <v>105</v>
      </c>
      <c r="L77" s="553">
        <f>HSU!K110</f>
        <v>95</v>
      </c>
      <c r="M77" s="553">
        <f>HSU!L110</f>
        <v>95</v>
      </c>
      <c r="N77" s="553">
        <f>HSU!M110</f>
        <v>105</v>
      </c>
      <c r="O77" s="533"/>
      <c r="P77" s="619">
        <f t="shared" si="152"/>
        <v>1025</v>
      </c>
      <c r="Q77" s="612">
        <f t="shared" ref="Q77:Q80" si="188">(P$63*0.4/14)/2</f>
        <v>460.3571429</v>
      </c>
      <c r="R77" s="617">
        <f>(P63*0.6)*(P77/P81)</f>
        <v>998.6583522</v>
      </c>
      <c r="S77" s="584">
        <f t="shared" si="154"/>
        <v>1459.015495</v>
      </c>
      <c r="T77" s="614">
        <f t="shared" si="155"/>
        <v>1025</v>
      </c>
      <c r="U77" s="612">
        <f t="shared" ref="U77:U80" si="189">(T$63*0.4/14)/2</f>
        <v>337.3285714</v>
      </c>
      <c r="V77" s="617">
        <f>(T63*0.6)*(T77/T81)</f>
        <v>731.7709751</v>
      </c>
      <c r="W77" s="584">
        <f t="shared" si="157"/>
        <v>1069.099546</v>
      </c>
      <c r="X77" s="614">
        <f t="shared" si="158"/>
        <v>1025</v>
      </c>
      <c r="Y77" s="612">
        <f t="shared" ref="Y77:Y80" si="190">(X$63*0.4/14)/2</f>
        <v>488.2285714</v>
      </c>
      <c r="Z77" s="618">
        <f>(X63*0.6)*(X77/X81)</f>
        <v>1059.120181</v>
      </c>
      <c r="AA77" s="584">
        <f t="shared" si="160"/>
        <v>1547.348753</v>
      </c>
      <c r="AB77" s="614">
        <f t="shared" si="161"/>
        <v>1025</v>
      </c>
      <c r="AC77" s="612">
        <f t="shared" ref="AC77:AC80" si="191">(AB$63*0.4/14)/2</f>
        <v>439.2857143</v>
      </c>
      <c r="AD77" s="618">
        <f>(AB63*0.6)*(AB77/AB81)</f>
        <v>952.9478458</v>
      </c>
      <c r="AE77" s="584">
        <f t="shared" si="163"/>
        <v>1392.23356</v>
      </c>
      <c r="AF77" s="614">
        <f t="shared" si="180"/>
        <v>1025</v>
      </c>
      <c r="AG77" s="612">
        <f t="shared" ref="AG77:AG80" si="192">(AF$63*0.4/14)/2</f>
        <v>0</v>
      </c>
      <c r="AH77" s="618">
        <f>(AF63*0.6)*(AF77/AF81)</f>
        <v>0</v>
      </c>
      <c r="AI77" s="584">
        <f t="shared" si="165"/>
        <v>0</v>
      </c>
      <c r="AJ77" s="614">
        <f t="shared" si="181"/>
        <v>1025</v>
      </c>
      <c r="AK77" s="612">
        <f t="shared" ref="AK77:AK80" si="193">(AJ$63*0.4/14)/2</f>
        <v>0</v>
      </c>
      <c r="AL77" s="618">
        <f>(AJ63*0.6)*(AJ77/AJ81)</f>
        <v>0</v>
      </c>
      <c r="AM77" s="584">
        <f t="shared" si="167"/>
        <v>0</v>
      </c>
      <c r="AN77" s="614">
        <f t="shared" si="182"/>
        <v>1025</v>
      </c>
      <c r="AO77" s="612">
        <f t="shared" ref="AO77:AO80" si="194">(AN$63*0.4/14)/2</f>
        <v>0</v>
      </c>
      <c r="AP77" s="618">
        <f>(AN63*0.6)*(AN77/AN81)</f>
        <v>0</v>
      </c>
      <c r="AQ77" s="584">
        <f t="shared" si="169"/>
        <v>0</v>
      </c>
      <c r="AR77" s="614">
        <f t="shared" si="183"/>
        <v>1025</v>
      </c>
      <c r="AS77" s="612">
        <f t="shared" ref="AS77:AS80" si="195">(AR$63*0.4/14)/2</f>
        <v>0</v>
      </c>
      <c r="AT77" s="618">
        <f>(AR63*0.6)*(AR77/AR81)</f>
        <v>0</v>
      </c>
      <c r="AU77" s="584">
        <f t="shared" si="171"/>
        <v>0</v>
      </c>
      <c r="AV77" s="586">
        <f t="shared" si="184"/>
        <v>1025</v>
      </c>
      <c r="AW77" s="612">
        <f t="shared" ref="AW77:AW80" si="196">(AV$63*0.4/14)/2</f>
        <v>0</v>
      </c>
      <c r="AX77" s="618">
        <f>(AV63*0.6)*(AV77/AV81)</f>
        <v>0</v>
      </c>
      <c r="AY77" s="584">
        <f t="shared" si="173"/>
        <v>0</v>
      </c>
      <c r="AZ77" s="586">
        <f t="shared" si="185"/>
        <v>1025</v>
      </c>
      <c r="BA77" s="612">
        <f t="shared" ref="BA77:BA80" si="197">(AZ$63*0.4/14)/2</f>
        <v>400</v>
      </c>
      <c r="BB77" s="618">
        <f>(AZ63*0.6)*(AZ77/AZ81)</f>
        <v>935.1072495</v>
      </c>
      <c r="BC77" s="584">
        <f t="shared" si="175"/>
        <v>1335.10725</v>
      </c>
      <c r="BD77" s="586">
        <f t="shared" si="186"/>
        <v>1025</v>
      </c>
      <c r="BE77" s="612">
        <f t="shared" ref="BE77:BE80" si="198">(BD$63*0.4/14)/2</f>
        <v>400</v>
      </c>
      <c r="BF77" s="618">
        <f>(BD63*0.6)*(BD77/BD81)</f>
        <v>935.1072495</v>
      </c>
      <c r="BG77" s="584">
        <f t="shared" si="177"/>
        <v>1335.10725</v>
      </c>
      <c r="BH77" s="586">
        <f t="shared" si="187"/>
        <v>1025</v>
      </c>
      <c r="BI77" s="612">
        <f t="shared" ref="BI77:BI80" si="199">(BH$63*0.4/14)/2</f>
        <v>400</v>
      </c>
      <c r="BJ77" s="618">
        <f>(BH63*0.6)*(BH77/BH81)</f>
        <v>935.1072495</v>
      </c>
      <c r="BK77" s="584">
        <f t="shared" si="179"/>
        <v>1335.10725</v>
      </c>
      <c r="BL77" s="557"/>
      <c r="BM77" s="557"/>
    </row>
    <row r="78" ht="12.75" customHeight="1">
      <c r="A78" s="592" t="s">
        <v>392</v>
      </c>
      <c r="B78" s="521"/>
      <c r="C78" s="552">
        <f>HVW!B110</f>
        <v>40</v>
      </c>
      <c r="D78" s="552">
        <f>HVW!C110</f>
        <v>40</v>
      </c>
      <c r="E78" s="552">
        <f>HVW!D110</f>
        <v>45</v>
      </c>
      <c r="F78" s="552">
        <f>HVW!E110</f>
        <v>50</v>
      </c>
      <c r="G78" s="552">
        <f>HVW!F110</f>
        <v>50</v>
      </c>
      <c r="H78" s="552">
        <f>HVW!G110</f>
        <v>50</v>
      </c>
      <c r="I78" s="552">
        <f>HVW!H110</f>
        <v>50</v>
      </c>
      <c r="J78" s="552">
        <f>HVW!I110</f>
        <v>50</v>
      </c>
      <c r="K78" s="552">
        <f>HVW!J110</f>
        <v>55</v>
      </c>
      <c r="L78" s="552">
        <f>HVW!K110</f>
        <v>60</v>
      </c>
      <c r="M78" s="552">
        <f>HVW!L110</f>
        <v>55</v>
      </c>
      <c r="N78" s="552">
        <f>HVW!M110</f>
        <v>60</v>
      </c>
      <c r="O78" s="533"/>
      <c r="P78" s="619">
        <f t="shared" si="152"/>
        <v>605</v>
      </c>
      <c r="Q78" s="612">
        <f t="shared" si="188"/>
        <v>460.3571429</v>
      </c>
      <c r="R78" s="617">
        <f>(P63*0.6)*(P78/P81)</f>
        <v>589.452003</v>
      </c>
      <c r="S78" s="584">
        <f t="shared" si="154"/>
        <v>1049.809146</v>
      </c>
      <c r="T78" s="614">
        <f t="shared" si="155"/>
        <v>605</v>
      </c>
      <c r="U78" s="612">
        <f t="shared" si="189"/>
        <v>337.3285714</v>
      </c>
      <c r="V78" s="617">
        <f>(T63*0.6)*(T78/T81)</f>
        <v>431.923356</v>
      </c>
      <c r="W78" s="584">
        <f t="shared" si="157"/>
        <v>769.2519274</v>
      </c>
      <c r="X78" s="614">
        <f t="shared" si="158"/>
        <v>605</v>
      </c>
      <c r="Y78" s="612">
        <f t="shared" si="190"/>
        <v>488.2285714</v>
      </c>
      <c r="Z78" s="618">
        <f>(X63*0.6)*(X78/X81)</f>
        <v>625.139229</v>
      </c>
      <c r="AA78" s="584">
        <f t="shared" si="160"/>
        <v>1113.3678</v>
      </c>
      <c r="AB78" s="614">
        <f t="shared" si="161"/>
        <v>605</v>
      </c>
      <c r="AC78" s="612">
        <f t="shared" si="191"/>
        <v>439.2857143</v>
      </c>
      <c r="AD78" s="618">
        <f>(AB63*0.6)*(AB78/AB81)</f>
        <v>562.4716553</v>
      </c>
      <c r="AE78" s="584">
        <f t="shared" si="163"/>
        <v>1001.75737</v>
      </c>
      <c r="AF78" s="614">
        <f t="shared" si="180"/>
        <v>605</v>
      </c>
      <c r="AG78" s="612">
        <f t="shared" si="192"/>
        <v>0</v>
      </c>
      <c r="AH78" s="618">
        <f>(AF63*0.6)*(AF78/AF81)</f>
        <v>0</v>
      </c>
      <c r="AI78" s="584">
        <f t="shared" si="165"/>
        <v>0</v>
      </c>
      <c r="AJ78" s="614">
        <f t="shared" si="181"/>
        <v>605</v>
      </c>
      <c r="AK78" s="612">
        <f t="shared" si="193"/>
        <v>0</v>
      </c>
      <c r="AL78" s="618">
        <f>(AJ63*0.6)*(AJ78/AJ81)</f>
        <v>0</v>
      </c>
      <c r="AM78" s="584">
        <f t="shared" si="167"/>
        <v>0</v>
      </c>
      <c r="AN78" s="614">
        <f t="shared" si="182"/>
        <v>605</v>
      </c>
      <c r="AO78" s="612">
        <f t="shared" si="194"/>
        <v>0</v>
      </c>
      <c r="AP78" s="618">
        <f>(AN63*0.6)*(AN78/AN81)</f>
        <v>0</v>
      </c>
      <c r="AQ78" s="584">
        <f t="shared" si="169"/>
        <v>0</v>
      </c>
      <c r="AR78" s="614">
        <f t="shared" si="183"/>
        <v>605</v>
      </c>
      <c r="AS78" s="612">
        <f t="shared" si="195"/>
        <v>0</v>
      </c>
      <c r="AT78" s="618">
        <f>(AR63*0.6)*(AR78/AR81)</f>
        <v>0</v>
      </c>
      <c r="AU78" s="584">
        <f t="shared" si="171"/>
        <v>0</v>
      </c>
      <c r="AV78" s="586">
        <f t="shared" si="184"/>
        <v>605</v>
      </c>
      <c r="AW78" s="612">
        <f t="shared" si="196"/>
        <v>0</v>
      </c>
      <c r="AX78" s="618">
        <f>(AV63*0.6)*(AV78/AV81)</f>
        <v>0</v>
      </c>
      <c r="AY78" s="584">
        <f t="shared" si="173"/>
        <v>0</v>
      </c>
      <c r="AZ78" s="586">
        <f t="shared" si="185"/>
        <v>605</v>
      </c>
      <c r="BA78" s="612">
        <f t="shared" si="197"/>
        <v>400</v>
      </c>
      <c r="BB78" s="618">
        <f>(AZ63*0.6)*(AZ78/AZ81)</f>
        <v>551.9413522</v>
      </c>
      <c r="BC78" s="584">
        <f t="shared" si="175"/>
        <v>951.9413522</v>
      </c>
      <c r="BD78" s="586">
        <f t="shared" si="186"/>
        <v>605</v>
      </c>
      <c r="BE78" s="612">
        <f t="shared" si="198"/>
        <v>400</v>
      </c>
      <c r="BF78" s="618">
        <f>(BD63*0.6)*(BD78/BD81)</f>
        <v>551.9413522</v>
      </c>
      <c r="BG78" s="584">
        <f t="shared" si="177"/>
        <v>951.9413522</v>
      </c>
      <c r="BH78" s="586">
        <f t="shared" si="187"/>
        <v>605</v>
      </c>
      <c r="BI78" s="612">
        <f t="shared" si="199"/>
        <v>400</v>
      </c>
      <c r="BJ78" s="618">
        <f>(BH63*0.6)*(BH78/BH81)</f>
        <v>551.9413522</v>
      </c>
      <c r="BK78" s="584">
        <f t="shared" si="179"/>
        <v>951.9413522</v>
      </c>
      <c r="BL78" s="557"/>
      <c r="BM78" s="557"/>
    </row>
    <row r="79" ht="12.75" customHeight="1">
      <c r="A79" s="592" t="s">
        <v>393</v>
      </c>
      <c r="B79" s="521"/>
      <c r="C79" s="552">
        <f>MZ!B110</f>
        <v>35</v>
      </c>
      <c r="D79" s="552">
        <f>MZ!C110</f>
        <v>45</v>
      </c>
      <c r="E79" s="552">
        <f>MZ!D110</f>
        <v>40</v>
      </c>
      <c r="F79" s="552">
        <f>MZ!E110</f>
        <v>30</v>
      </c>
      <c r="G79" s="552">
        <f>MZ!F110</f>
        <v>30</v>
      </c>
      <c r="H79" s="552">
        <f>MZ!G110</f>
        <v>35</v>
      </c>
      <c r="I79" s="552">
        <f>MZ!H110</f>
        <v>40</v>
      </c>
      <c r="J79" s="552">
        <f>MZ!I110</f>
        <v>35</v>
      </c>
      <c r="K79" s="552">
        <f>MZ!J110</f>
        <v>40</v>
      </c>
      <c r="L79" s="552">
        <f>MZ!K110</f>
        <v>40</v>
      </c>
      <c r="M79" s="552">
        <f>MZ!L110</f>
        <v>40</v>
      </c>
      <c r="N79" s="552">
        <f>MZ!M110</f>
        <v>40</v>
      </c>
      <c r="O79" s="533"/>
      <c r="P79" s="619">
        <f t="shared" si="152"/>
        <v>450</v>
      </c>
      <c r="Q79" s="612">
        <f t="shared" si="188"/>
        <v>460.3571429</v>
      </c>
      <c r="R79" s="617">
        <f>(P63*0.6)*(P79/P81)</f>
        <v>438.4353741</v>
      </c>
      <c r="S79" s="584">
        <f t="shared" si="154"/>
        <v>898.792517</v>
      </c>
      <c r="T79" s="614">
        <f t="shared" si="155"/>
        <v>450</v>
      </c>
      <c r="U79" s="612">
        <f t="shared" si="189"/>
        <v>337.3285714</v>
      </c>
      <c r="V79" s="617">
        <f>(T63*0.6)*(T79/T81)</f>
        <v>321.2653061</v>
      </c>
      <c r="W79" s="584">
        <f t="shared" si="157"/>
        <v>658.5938776</v>
      </c>
      <c r="X79" s="614">
        <f t="shared" si="158"/>
        <v>450</v>
      </c>
      <c r="Y79" s="612">
        <f t="shared" si="190"/>
        <v>488.2285714</v>
      </c>
      <c r="Z79" s="618">
        <f>(X63*0.6)*(X79/X81)</f>
        <v>464.9795918</v>
      </c>
      <c r="AA79" s="584">
        <f t="shared" si="160"/>
        <v>953.2081633</v>
      </c>
      <c r="AB79" s="614">
        <f t="shared" si="161"/>
        <v>450</v>
      </c>
      <c r="AC79" s="612">
        <f t="shared" si="191"/>
        <v>439.2857143</v>
      </c>
      <c r="AD79" s="618">
        <f>(AB63*0.6)*(AB79/AB81)</f>
        <v>418.3673469</v>
      </c>
      <c r="AE79" s="584">
        <f t="shared" si="163"/>
        <v>857.6530612</v>
      </c>
      <c r="AF79" s="614">
        <f t="shared" si="180"/>
        <v>450</v>
      </c>
      <c r="AG79" s="612">
        <f t="shared" si="192"/>
        <v>0</v>
      </c>
      <c r="AH79" s="618">
        <f>(AF63*0.6)*(AF79/AF81)</f>
        <v>0</v>
      </c>
      <c r="AI79" s="584">
        <f t="shared" si="165"/>
        <v>0</v>
      </c>
      <c r="AJ79" s="614">
        <f t="shared" si="181"/>
        <v>450</v>
      </c>
      <c r="AK79" s="612">
        <f t="shared" si="193"/>
        <v>0</v>
      </c>
      <c r="AL79" s="618">
        <f>(AJ63*0.6)*(AJ79/AJ81)</f>
        <v>0</v>
      </c>
      <c r="AM79" s="584">
        <f t="shared" si="167"/>
        <v>0</v>
      </c>
      <c r="AN79" s="614">
        <f t="shared" si="182"/>
        <v>450</v>
      </c>
      <c r="AO79" s="612">
        <f t="shared" si="194"/>
        <v>0</v>
      </c>
      <c r="AP79" s="618">
        <f>(AN63*0.6)*(AN79/AN81)</f>
        <v>0</v>
      </c>
      <c r="AQ79" s="584">
        <f t="shared" si="169"/>
        <v>0</v>
      </c>
      <c r="AR79" s="614">
        <f t="shared" si="183"/>
        <v>450</v>
      </c>
      <c r="AS79" s="612">
        <f t="shared" si="195"/>
        <v>0</v>
      </c>
      <c r="AT79" s="618">
        <f>(AR63*0.6)*(AR79/AR81)</f>
        <v>0</v>
      </c>
      <c r="AU79" s="584">
        <f t="shared" si="171"/>
        <v>0</v>
      </c>
      <c r="AV79" s="586">
        <f t="shared" si="184"/>
        <v>450</v>
      </c>
      <c r="AW79" s="612">
        <f t="shared" si="196"/>
        <v>0</v>
      </c>
      <c r="AX79" s="618">
        <f>(AV63*0.6)*(AV79/AV81)</f>
        <v>0</v>
      </c>
      <c r="AY79" s="584">
        <f t="shared" si="173"/>
        <v>0</v>
      </c>
      <c r="AZ79" s="586">
        <f t="shared" si="185"/>
        <v>450</v>
      </c>
      <c r="BA79" s="612">
        <f t="shared" si="197"/>
        <v>400</v>
      </c>
      <c r="BB79" s="618">
        <f>(AZ63*0.6)*(AZ79/AZ81)</f>
        <v>410.53489</v>
      </c>
      <c r="BC79" s="584">
        <f t="shared" si="175"/>
        <v>810.53489</v>
      </c>
      <c r="BD79" s="586">
        <f t="shared" si="186"/>
        <v>450</v>
      </c>
      <c r="BE79" s="612">
        <f t="shared" si="198"/>
        <v>400</v>
      </c>
      <c r="BF79" s="618">
        <f>(BD63*0.6)*(BD79/BD81)</f>
        <v>410.53489</v>
      </c>
      <c r="BG79" s="584">
        <f t="shared" si="177"/>
        <v>810.53489</v>
      </c>
      <c r="BH79" s="586">
        <f t="shared" si="187"/>
        <v>450</v>
      </c>
      <c r="BI79" s="612">
        <f t="shared" si="199"/>
        <v>400</v>
      </c>
      <c r="BJ79" s="618">
        <f>(BH63*0.6)*(BH79/BH81)</f>
        <v>410.53489</v>
      </c>
      <c r="BK79" s="584">
        <f t="shared" si="179"/>
        <v>810.53489</v>
      </c>
      <c r="BL79" s="557"/>
      <c r="BM79" s="557"/>
    </row>
    <row r="80" ht="12.75" customHeight="1">
      <c r="A80" s="592" t="s">
        <v>394</v>
      </c>
      <c r="B80" s="521"/>
      <c r="C80" s="552">
        <f>BUGMC!B110</f>
        <v>30</v>
      </c>
      <c r="D80" s="552">
        <f>BUGMC!C110</f>
        <v>32</v>
      </c>
      <c r="E80" s="552">
        <f>BUGMC!D110</f>
        <v>38</v>
      </c>
      <c r="F80" s="552">
        <f>BUGMC!E110</f>
        <v>38</v>
      </c>
      <c r="G80" s="552">
        <f>BUGMC!F110</f>
        <v>43</v>
      </c>
      <c r="H80" s="552">
        <f>BUGMC!G110</f>
        <v>38</v>
      </c>
      <c r="I80" s="552">
        <f>BUGMC!H110</f>
        <v>38</v>
      </c>
      <c r="J80" s="552">
        <f>BUGMC!I110</f>
        <v>37</v>
      </c>
      <c r="K80" s="552">
        <f>BUGMC!J110</f>
        <v>30</v>
      </c>
      <c r="L80" s="552">
        <f>BUGMC!K110</f>
        <v>30</v>
      </c>
      <c r="M80" s="552">
        <f>BUGMC!L110</f>
        <v>35</v>
      </c>
      <c r="N80" s="552">
        <f>BUGMC!M110</f>
        <v>38</v>
      </c>
      <c r="O80" s="533"/>
      <c r="P80" s="619">
        <f t="shared" si="152"/>
        <v>427</v>
      </c>
      <c r="Q80" s="612">
        <f t="shared" si="188"/>
        <v>460.3571429</v>
      </c>
      <c r="R80" s="617">
        <f>(P63*0.6)*(P80/P81)</f>
        <v>416.026455</v>
      </c>
      <c r="S80" s="584">
        <f t="shared" si="154"/>
        <v>876.3835979</v>
      </c>
      <c r="T80" s="614">
        <f t="shared" si="155"/>
        <v>427</v>
      </c>
      <c r="U80" s="612">
        <f t="shared" si="189"/>
        <v>337.3285714</v>
      </c>
      <c r="V80" s="617">
        <f>(T63*0.6)*(T80/T81)</f>
        <v>304.8450794</v>
      </c>
      <c r="W80" s="584">
        <f t="shared" si="157"/>
        <v>642.1736508</v>
      </c>
      <c r="X80" s="614">
        <f t="shared" si="158"/>
        <v>427</v>
      </c>
      <c r="Y80" s="612">
        <f t="shared" si="190"/>
        <v>488.2285714</v>
      </c>
      <c r="Z80" s="618">
        <f>(X63*0.6)*(X80/X81)</f>
        <v>441.2139683</v>
      </c>
      <c r="AA80" s="584">
        <f t="shared" si="160"/>
        <v>929.4425397</v>
      </c>
      <c r="AB80" s="614">
        <f t="shared" si="161"/>
        <v>427</v>
      </c>
      <c r="AC80" s="612">
        <f t="shared" si="191"/>
        <v>439.2857143</v>
      </c>
      <c r="AD80" s="618">
        <f>(AB63*0.6)*(AB80/AB81)</f>
        <v>396.984127</v>
      </c>
      <c r="AE80" s="584">
        <f t="shared" si="163"/>
        <v>836.2698413</v>
      </c>
      <c r="AF80" s="614">
        <f t="shared" si="180"/>
        <v>427</v>
      </c>
      <c r="AG80" s="612">
        <f t="shared" si="192"/>
        <v>0</v>
      </c>
      <c r="AH80" s="618">
        <f>(AF63*0.6)*(AF80/AF81)</f>
        <v>0</v>
      </c>
      <c r="AI80" s="584">
        <f t="shared" si="165"/>
        <v>0</v>
      </c>
      <c r="AJ80" s="614">
        <f t="shared" si="181"/>
        <v>427</v>
      </c>
      <c r="AK80" s="612">
        <f t="shared" si="193"/>
        <v>0</v>
      </c>
      <c r="AL80" s="618">
        <f>(AJ63*0.6)*(AJ80/AJ81)</f>
        <v>0</v>
      </c>
      <c r="AM80" s="584">
        <f t="shared" si="167"/>
        <v>0</v>
      </c>
      <c r="AN80" s="614">
        <f t="shared" si="182"/>
        <v>427</v>
      </c>
      <c r="AO80" s="612">
        <f t="shared" si="194"/>
        <v>0</v>
      </c>
      <c r="AP80" s="618">
        <f>(AN63*0.6)*(AN80/AN81)</f>
        <v>0</v>
      </c>
      <c r="AQ80" s="584">
        <f t="shared" si="169"/>
        <v>0</v>
      </c>
      <c r="AR80" s="614">
        <f t="shared" si="183"/>
        <v>427</v>
      </c>
      <c r="AS80" s="612">
        <f t="shared" si="195"/>
        <v>0</v>
      </c>
      <c r="AT80" s="618">
        <f>(AR63*0.6)*(AR80/AR81)</f>
        <v>0</v>
      </c>
      <c r="AU80" s="584">
        <f t="shared" si="171"/>
        <v>0</v>
      </c>
      <c r="AV80" s="586">
        <f t="shared" si="184"/>
        <v>427</v>
      </c>
      <c r="AW80" s="612">
        <f t="shared" si="196"/>
        <v>0</v>
      </c>
      <c r="AX80" s="618">
        <f>(AV63*0.6)*(AV80/AV81)</f>
        <v>0</v>
      </c>
      <c r="AY80" s="584">
        <f t="shared" si="173"/>
        <v>0</v>
      </c>
      <c r="AZ80" s="586">
        <f t="shared" si="185"/>
        <v>427</v>
      </c>
      <c r="BA80" s="612">
        <f t="shared" si="197"/>
        <v>400</v>
      </c>
      <c r="BB80" s="618">
        <f>(AZ63*0.6)*(AZ80/AZ81)</f>
        <v>389.5519957</v>
      </c>
      <c r="BC80" s="584">
        <f t="shared" si="175"/>
        <v>789.5519957</v>
      </c>
      <c r="BD80" s="586">
        <f t="shared" si="186"/>
        <v>427</v>
      </c>
      <c r="BE80" s="612">
        <f t="shared" si="198"/>
        <v>400</v>
      </c>
      <c r="BF80" s="618">
        <f>(BD63*0.6)*(BD80/BD81)</f>
        <v>389.5519957</v>
      </c>
      <c r="BG80" s="584">
        <f t="shared" si="177"/>
        <v>789.5519957</v>
      </c>
      <c r="BH80" s="586">
        <f t="shared" si="187"/>
        <v>427</v>
      </c>
      <c r="BI80" s="612">
        <f t="shared" si="199"/>
        <v>400</v>
      </c>
      <c r="BJ80" s="618">
        <f>(BH63*0.6)*(BH80/BH81)</f>
        <v>389.5519957</v>
      </c>
      <c r="BK80" s="584">
        <f t="shared" si="179"/>
        <v>789.5519957</v>
      </c>
      <c r="BL80" s="557"/>
      <c r="BM80" s="557"/>
    </row>
    <row r="81" ht="12.75" customHeight="1">
      <c r="A81" s="605"/>
      <c r="B81" s="521"/>
      <c r="C81" s="533"/>
      <c r="D81" s="533"/>
      <c r="E81" s="533"/>
      <c r="F81" s="533"/>
      <c r="G81" s="533"/>
      <c r="H81" s="533"/>
      <c r="I81" s="533"/>
      <c r="J81" s="533"/>
      <c r="K81" s="533"/>
      <c r="L81" s="533"/>
      <c r="M81" s="533"/>
      <c r="N81" s="533"/>
      <c r="O81" s="533"/>
      <c r="P81" s="620">
        <f t="shared" ref="P81:BK81" si="200">SUM(P65:P80)</f>
        <v>19845</v>
      </c>
      <c r="Q81" s="603">
        <f t="shared" si="200"/>
        <v>12890</v>
      </c>
      <c r="R81" s="603">
        <f t="shared" si="200"/>
        <v>19335</v>
      </c>
      <c r="S81" s="603">
        <f t="shared" si="200"/>
        <v>32225</v>
      </c>
      <c r="T81" s="620">
        <f t="shared" si="200"/>
        <v>19845</v>
      </c>
      <c r="U81" s="603">
        <f t="shared" si="200"/>
        <v>9445.2</v>
      </c>
      <c r="V81" s="603">
        <f t="shared" si="200"/>
        <v>14167.8</v>
      </c>
      <c r="W81" s="603">
        <f t="shared" si="200"/>
        <v>23613</v>
      </c>
      <c r="X81" s="620">
        <f t="shared" si="200"/>
        <v>19845</v>
      </c>
      <c r="Y81" s="603">
        <f t="shared" si="200"/>
        <v>13670.4</v>
      </c>
      <c r="Z81" s="603">
        <f t="shared" si="200"/>
        <v>20505.6</v>
      </c>
      <c r="AA81" s="603">
        <f t="shared" si="200"/>
        <v>34176</v>
      </c>
      <c r="AB81" s="620">
        <f t="shared" si="200"/>
        <v>19845</v>
      </c>
      <c r="AC81" s="603">
        <f t="shared" si="200"/>
        <v>12300</v>
      </c>
      <c r="AD81" s="603">
        <f t="shared" si="200"/>
        <v>18450</v>
      </c>
      <c r="AE81" s="603">
        <f t="shared" si="200"/>
        <v>30750</v>
      </c>
      <c r="AF81" s="620">
        <f t="shared" si="200"/>
        <v>16525</v>
      </c>
      <c r="AG81" s="603">
        <f t="shared" si="200"/>
        <v>0</v>
      </c>
      <c r="AH81" s="603">
        <f t="shared" si="200"/>
        <v>0</v>
      </c>
      <c r="AI81" s="603">
        <f t="shared" si="200"/>
        <v>0</v>
      </c>
      <c r="AJ81" s="620">
        <f t="shared" si="200"/>
        <v>18415</v>
      </c>
      <c r="AK81" s="603">
        <f t="shared" si="200"/>
        <v>0</v>
      </c>
      <c r="AL81" s="603">
        <f t="shared" si="200"/>
        <v>0</v>
      </c>
      <c r="AM81" s="603">
        <f t="shared" si="200"/>
        <v>0</v>
      </c>
      <c r="AN81" s="620">
        <f t="shared" si="200"/>
        <v>18415</v>
      </c>
      <c r="AO81" s="603">
        <f t="shared" si="200"/>
        <v>0</v>
      </c>
      <c r="AP81" s="603">
        <f t="shared" si="200"/>
        <v>0</v>
      </c>
      <c r="AQ81" s="603">
        <f t="shared" si="200"/>
        <v>0</v>
      </c>
      <c r="AR81" s="620">
        <f t="shared" si="200"/>
        <v>18415</v>
      </c>
      <c r="AS81" s="603">
        <f t="shared" si="200"/>
        <v>0</v>
      </c>
      <c r="AT81" s="603">
        <f t="shared" si="200"/>
        <v>0</v>
      </c>
      <c r="AU81" s="603">
        <f t="shared" si="200"/>
        <v>0</v>
      </c>
      <c r="AV81" s="598">
        <f t="shared" si="200"/>
        <v>18415</v>
      </c>
      <c r="AW81" s="599">
        <f t="shared" si="200"/>
        <v>0</v>
      </c>
      <c r="AX81" s="599">
        <f t="shared" si="200"/>
        <v>0</v>
      </c>
      <c r="AY81" s="599">
        <f t="shared" si="200"/>
        <v>0</v>
      </c>
      <c r="AZ81" s="598">
        <f t="shared" si="200"/>
        <v>18415</v>
      </c>
      <c r="BA81" s="599">
        <f t="shared" si="200"/>
        <v>11200</v>
      </c>
      <c r="BB81" s="599">
        <f t="shared" si="200"/>
        <v>16800</v>
      </c>
      <c r="BC81" s="599">
        <f t="shared" si="200"/>
        <v>28000</v>
      </c>
      <c r="BD81" s="598">
        <f t="shared" si="200"/>
        <v>18415</v>
      </c>
      <c r="BE81" s="599">
        <f t="shared" si="200"/>
        <v>11200</v>
      </c>
      <c r="BF81" s="599">
        <f t="shared" si="200"/>
        <v>16800</v>
      </c>
      <c r="BG81" s="599">
        <f t="shared" si="200"/>
        <v>28000</v>
      </c>
      <c r="BH81" s="598">
        <f t="shared" si="200"/>
        <v>18415</v>
      </c>
      <c r="BI81" s="599">
        <f t="shared" si="200"/>
        <v>11200</v>
      </c>
      <c r="BJ81" s="599">
        <f t="shared" si="200"/>
        <v>16800</v>
      </c>
      <c r="BK81" s="599">
        <f t="shared" si="200"/>
        <v>28000</v>
      </c>
      <c r="BL81" s="557"/>
      <c r="BM81" s="557"/>
    </row>
    <row r="82" ht="12.75" customHeight="1">
      <c r="A82" s="605"/>
      <c r="B82" s="521"/>
      <c r="C82" s="533"/>
      <c r="D82" s="533"/>
      <c r="E82" s="533"/>
      <c r="F82" s="533"/>
      <c r="G82" s="533"/>
      <c r="H82" s="533"/>
      <c r="I82" s="533"/>
      <c r="J82" s="533"/>
      <c r="K82" s="533"/>
      <c r="L82" s="533"/>
      <c r="M82" s="533"/>
      <c r="N82" s="533"/>
      <c r="O82" s="515"/>
      <c r="P82" s="541"/>
      <c r="Q82" s="541"/>
      <c r="R82" s="541"/>
      <c r="S82" s="541"/>
      <c r="T82" s="541"/>
      <c r="U82" s="541"/>
      <c r="V82" s="541"/>
      <c r="W82" s="541"/>
      <c r="X82" s="541"/>
      <c r="Y82" s="541"/>
      <c r="Z82" s="541"/>
      <c r="AA82" s="541"/>
      <c r="AB82" s="541"/>
      <c r="AC82" s="541"/>
      <c r="AD82" s="541"/>
      <c r="AE82" s="541"/>
      <c r="AF82" s="541"/>
      <c r="AG82" s="541"/>
      <c r="AH82" s="541"/>
      <c r="AI82" s="541"/>
      <c r="AJ82" s="541"/>
      <c r="AK82" s="541"/>
      <c r="AL82" s="541"/>
      <c r="AM82" s="541"/>
      <c r="AN82" s="541"/>
      <c r="AO82" s="541"/>
      <c r="AP82" s="541"/>
      <c r="AQ82" s="541"/>
      <c r="AR82" s="541"/>
      <c r="AS82" s="541"/>
      <c r="AT82" s="541"/>
      <c r="AU82" s="541"/>
      <c r="AV82" s="544"/>
      <c r="AW82" s="544"/>
      <c r="AX82" s="544"/>
      <c r="AY82" s="545"/>
      <c r="AZ82" s="544"/>
      <c r="BA82" s="544"/>
      <c r="BB82" s="544"/>
      <c r="BC82" s="545"/>
      <c r="BD82" s="541"/>
      <c r="BE82" s="541"/>
      <c r="BF82" s="541"/>
      <c r="BG82" s="541"/>
      <c r="BH82" s="544"/>
      <c r="BI82" s="544"/>
      <c r="BJ82" s="544"/>
      <c r="BK82" s="545"/>
      <c r="BL82" s="545"/>
      <c r="BM82" s="545"/>
    </row>
    <row r="83" ht="12.75" customHeight="1">
      <c r="A83" s="605"/>
      <c r="B83" s="521"/>
      <c r="C83" s="533"/>
      <c r="D83" s="533"/>
      <c r="E83" s="533"/>
      <c r="F83" s="533"/>
      <c r="G83" s="533"/>
      <c r="H83" s="533"/>
      <c r="I83" s="533"/>
      <c r="J83" s="533"/>
      <c r="K83" s="533"/>
      <c r="L83" s="533"/>
      <c r="M83" s="533"/>
      <c r="N83" s="533"/>
      <c r="O83" s="515"/>
      <c r="P83" s="541"/>
      <c r="Q83" s="541"/>
      <c r="R83" s="541"/>
      <c r="S83" s="541"/>
      <c r="T83" s="541"/>
      <c r="U83" s="541"/>
      <c r="V83" s="541"/>
      <c r="W83" s="541"/>
      <c r="X83" s="541"/>
      <c r="Y83" s="541"/>
      <c r="Z83" s="541"/>
      <c r="AA83" s="541"/>
      <c r="AB83" s="541"/>
      <c r="AC83" s="541"/>
      <c r="AD83" s="541"/>
      <c r="AE83" s="541"/>
      <c r="AF83" s="541"/>
      <c r="AG83" s="541"/>
      <c r="AH83" s="541"/>
      <c r="AI83" s="541"/>
      <c r="AJ83" s="541"/>
      <c r="AK83" s="541"/>
      <c r="AL83" s="541"/>
      <c r="AM83" s="541"/>
      <c r="AN83" s="541"/>
      <c r="AO83" s="541"/>
      <c r="AP83" s="541"/>
      <c r="AQ83" s="541"/>
      <c r="AR83" s="541"/>
      <c r="AS83" s="541"/>
      <c r="AT83" s="541"/>
      <c r="AU83" s="541"/>
      <c r="AV83" s="544"/>
      <c r="AW83" s="544"/>
      <c r="AX83" s="544"/>
      <c r="AY83" s="545"/>
      <c r="AZ83" s="544"/>
      <c r="BA83" s="544"/>
      <c r="BB83" s="544"/>
      <c r="BC83" s="545"/>
      <c r="BD83" s="541"/>
      <c r="BE83" s="541"/>
      <c r="BF83" s="541"/>
      <c r="BG83" s="541"/>
      <c r="BH83" s="544"/>
      <c r="BI83" s="544"/>
      <c r="BJ83" s="544"/>
      <c r="BK83" s="545"/>
      <c r="BL83" s="545"/>
      <c r="BM83" s="545"/>
    </row>
    <row r="84" ht="12.75" customHeight="1">
      <c r="A84" s="605"/>
      <c r="B84" s="521"/>
      <c r="C84" s="533"/>
      <c r="D84" s="533"/>
      <c r="E84" s="533"/>
      <c r="F84" s="533"/>
      <c r="G84" s="533"/>
      <c r="H84" s="533"/>
      <c r="I84" s="533"/>
      <c r="J84" s="533"/>
      <c r="K84" s="533"/>
      <c r="L84" s="533"/>
      <c r="M84" s="533"/>
      <c r="N84" s="533"/>
      <c r="O84" s="515"/>
      <c r="P84" s="541"/>
      <c r="Q84" s="541"/>
      <c r="R84" s="541"/>
      <c r="S84" s="541"/>
      <c r="T84" s="541"/>
      <c r="U84" s="541"/>
      <c r="V84" s="541"/>
      <c r="W84" s="541"/>
      <c r="X84" s="541"/>
      <c r="Y84" s="541"/>
      <c r="Z84" s="541"/>
      <c r="AA84" s="541"/>
      <c r="AB84" s="541"/>
      <c r="AC84" s="541"/>
      <c r="AD84" s="541"/>
      <c r="AE84" s="541"/>
      <c r="AF84" s="541"/>
      <c r="AG84" s="541"/>
      <c r="AH84" s="541"/>
      <c r="AI84" s="541"/>
      <c r="AJ84" s="541"/>
      <c r="AK84" s="541"/>
      <c r="AL84" s="541"/>
      <c r="AM84" s="541"/>
      <c r="AN84" s="541"/>
      <c r="AO84" s="541"/>
      <c r="AP84" s="541"/>
      <c r="AQ84" s="541"/>
      <c r="AR84" s="541"/>
      <c r="AS84" s="541"/>
      <c r="AT84" s="541"/>
      <c r="AU84" s="541"/>
      <c r="AV84" s="544"/>
      <c r="AW84" s="544"/>
      <c r="AX84" s="544"/>
      <c r="AY84" s="545"/>
      <c r="AZ84" s="544"/>
      <c r="BA84" s="544"/>
      <c r="BB84" s="544"/>
      <c r="BC84" s="545"/>
      <c r="BD84" s="541"/>
      <c r="BE84" s="541"/>
      <c r="BF84" s="541"/>
      <c r="BG84" s="541"/>
      <c r="BH84" s="544"/>
      <c r="BI84" s="544"/>
      <c r="BJ84" s="544"/>
      <c r="BK84" s="545"/>
      <c r="BL84" s="545"/>
      <c r="BM84" s="545"/>
    </row>
    <row r="85" ht="12.75" customHeight="1">
      <c r="A85" s="605"/>
      <c r="B85" s="521"/>
      <c r="C85" s="574" t="s">
        <v>380</v>
      </c>
      <c r="D85" s="490"/>
      <c r="E85" s="490"/>
      <c r="F85" s="490"/>
      <c r="G85" s="490"/>
      <c r="H85" s="490"/>
      <c r="I85" s="490"/>
      <c r="J85" s="490"/>
      <c r="K85" s="490"/>
      <c r="L85" s="490"/>
      <c r="M85" s="490"/>
      <c r="N85" s="491"/>
      <c r="O85" s="515"/>
      <c r="P85" s="621" t="s">
        <v>340</v>
      </c>
      <c r="Q85" s="490"/>
      <c r="R85" s="490"/>
      <c r="S85" s="491"/>
      <c r="T85" s="622" t="s">
        <v>341</v>
      </c>
      <c r="U85" s="494"/>
      <c r="V85" s="494"/>
      <c r="W85" s="495"/>
      <c r="X85" s="622" t="s">
        <v>342</v>
      </c>
      <c r="Y85" s="494"/>
      <c r="Z85" s="494"/>
      <c r="AA85" s="495"/>
      <c r="AB85" s="622" t="s">
        <v>343</v>
      </c>
      <c r="AC85" s="494"/>
      <c r="AD85" s="494"/>
      <c r="AE85" s="495"/>
      <c r="AF85" s="623" t="s">
        <v>344</v>
      </c>
      <c r="AG85" s="494"/>
      <c r="AH85" s="494"/>
      <c r="AI85" s="495"/>
      <c r="AJ85" s="623" t="s">
        <v>345</v>
      </c>
      <c r="AK85" s="494"/>
      <c r="AL85" s="494"/>
      <c r="AM85" s="495"/>
      <c r="AN85" s="623" t="s">
        <v>346</v>
      </c>
      <c r="AO85" s="494"/>
      <c r="AP85" s="494"/>
      <c r="AQ85" s="495"/>
      <c r="AR85" s="623" t="s">
        <v>347</v>
      </c>
      <c r="AS85" s="494"/>
      <c r="AT85" s="494"/>
      <c r="AU85" s="495"/>
      <c r="AV85" s="624" t="s">
        <v>348</v>
      </c>
      <c r="AW85" s="490"/>
      <c r="AX85" s="490"/>
      <c r="AY85" s="491"/>
      <c r="AZ85" s="624" t="s">
        <v>349</v>
      </c>
      <c r="BA85" s="490"/>
      <c r="BB85" s="490"/>
      <c r="BC85" s="491"/>
      <c r="BD85" s="624" t="s">
        <v>350</v>
      </c>
      <c r="BE85" s="490"/>
      <c r="BF85" s="490"/>
      <c r="BG85" s="491"/>
      <c r="BH85" s="624" t="s">
        <v>351</v>
      </c>
      <c r="BI85" s="490"/>
      <c r="BJ85" s="490"/>
      <c r="BK85" s="491"/>
      <c r="BL85" s="625"/>
      <c r="BM85" s="625"/>
    </row>
    <row r="86" ht="12.75" customHeight="1">
      <c r="A86" s="605"/>
      <c r="B86" s="521"/>
      <c r="C86" s="502"/>
      <c r="N86" s="503"/>
      <c r="O86" s="515"/>
      <c r="P86" s="626" t="s">
        <v>398</v>
      </c>
      <c r="Q86" s="627"/>
      <c r="R86" s="627"/>
      <c r="S86" s="628"/>
      <c r="T86" s="626" t="s">
        <v>398</v>
      </c>
      <c r="U86" s="627"/>
      <c r="V86" s="627"/>
      <c r="W86" s="628"/>
      <c r="X86" s="626" t="s">
        <v>398</v>
      </c>
      <c r="Y86" s="627"/>
      <c r="Z86" s="627"/>
      <c r="AA86" s="628"/>
      <c r="AB86" s="626" t="s">
        <v>398</v>
      </c>
      <c r="AC86" s="627"/>
      <c r="AD86" s="627"/>
      <c r="AE86" s="628"/>
      <c r="AF86" s="629" t="s">
        <v>398</v>
      </c>
      <c r="AI86" s="630"/>
      <c r="AJ86" s="629" t="s">
        <v>398</v>
      </c>
      <c r="AM86" s="630"/>
      <c r="AN86" s="626" t="s">
        <v>398</v>
      </c>
      <c r="AO86" s="627"/>
      <c r="AP86" s="627"/>
      <c r="AQ86" s="628"/>
      <c r="AR86" s="626" t="s">
        <v>398</v>
      </c>
      <c r="AS86" s="627"/>
      <c r="AT86" s="627"/>
      <c r="AU86" s="628"/>
      <c r="AV86" s="629" t="s">
        <v>398</v>
      </c>
      <c r="AY86" s="630"/>
      <c r="AZ86" s="626" t="s">
        <v>398</v>
      </c>
      <c r="BA86" s="627"/>
      <c r="BB86" s="627"/>
      <c r="BC86" s="628"/>
      <c r="BD86" s="626" t="s">
        <v>398</v>
      </c>
      <c r="BE86" s="627"/>
      <c r="BF86" s="627"/>
      <c r="BG86" s="628"/>
      <c r="BH86" s="626" t="s">
        <v>398</v>
      </c>
      <c r="BI86" s="627"/>
      <c r="BJ86" s="627"/>
      <c r="BK86" s="628"/>
      <c r="BL86" s="631"/>
      <c r="BM86" s="631" t="s">
        <v>399</v>
      </c>
    </row>
    <row r="87" ht="12.75" customHeight="1">
      <c r="A87" s="605"/>
      <c r="B87" s="521"/>
      <c r="C87" s="512"/>
      <c r="D87" s="513"/>
      <c r="E87" s="513"/>
      <c r="F87" s="513"/>
      <c r="G87" s="513"/>
      <c r="H87" s="513"/>
      <c r="I87" s="513"/>
      <c r="J87" s="513"/>
      <c r="K87" s="513"/>
      <c r="L87" s="513"/>
      <c r="M87" s="513"/>
      <c r="N87" s="514"/>
      <c r="O87" s="515"/>
      <c r="P87" s="632">
        <f>7500</f>
        <v>7500</v>
      </c>
      <c r="Q87" s="513"/>
      <c r="R87" s="513"/>
      <c r="S87" s="513"/>
      <c r="T87" s="632">
        <f>7500</f>
        <v>7500</v>
      </c>
      <c r="U87" s="513"/>
      <c r="V87" s="513"/>
      <c r="W87" s="513"/>
      <c r="X87" s="632">
        <f>7500</f>
        <v>7500</v>
      </c>
      <c r="Y87" s="513"/>
      <c r="Z87" s="513"/>
      <c r="AA87" s="513"/>
      <c r="AB87" s="632">
        <f>32640+4000</f>
        <v>36640</v>
      </c>
      <c r="AC87" s="513"/>
      <c r="AD87" s="513"/>
      <c r="AE87" s="513"/>
      <c r="AF87" s="632">
        <f>59840+4000</f>
        <v>63840</v>
      </c>
      <c r="AG87" s="513"/>
      <c r="AH87" s="513"/>
      <c r="AI87" s="513"/>
      <c r="AJ87" s="632">
        <f>59840+4000</f>
        <v>63840</v>
      </c>
      <c r="AK87" s="513"/>
      <c r="AL87" s="513"/>
      <c r="AM87" s="513"/>
      <c r="AN87" s="632">
        <f>32640+4000</f>
        <v>36640</v>
      </c>
      <c r="AO87" s="513"/>
      <c r="AP87" s="513"/>
      <c r="AQ87" s="513"/>
      <c r="AR87" s="632">
        <f>32640+4000</f>
        <v>36640</v>
      </c>
      <c r="AS87" s="513"/>
      <c r="AT87" s="513"/>
      <c r="AU87" s="513"/>
      <c r="AV87" s="632">
        <f>46240+4000</f>
        <v>50240</v>
      </c>
      <c r="AW87" s="513"/>
      <c r="AX87" s="513"/>
      <c r="AY87" s="513"/>
      <c r="AZ87" s="632">
        <f>46240+4000</f>
        <v>50240</v>
      </c>
      <c r="BA87" s="513"/>
      <c r="BB87" s="513"/>
      <c r="BC87" s="513"/>
      <c r="BD87" s="632">
        <f>59840+4000</f>
        <v>63840</v>
      </c>
      <c r="BE87" s="513"/>
      <c r="BF87" s="513"/>
      <c r="BG87" s="513"/>
      <c r="BH87" s="632">
        <f>59840+4000</f>
        <v>63840</v>
      </c>
      <c r="BI87" s="513"/>
      <c r="BJ87" s="513"/>
      <c r="BK87" s="513"/>
      <c r="BL87" s="519"/>
      <c r="BM87" s="519">
        <f>SUM(P87:BH87)</f>
        <v>488260</v>
      </c>
    </row>
    <row r="88" ht="12.75" customHeight="1">
      <c r="A88" s="580" t="s">
        <v>152</v>
      </c>
      <c r="B88" s="521"/>
      <c r="C88" s="552" t="s">
        <v>354</v>
      </c>
      <c r="D88" s="552" t="s">
        <v>355</v>
      </c>
      <c r="E88" s="552" t="s">
        <v>356</v>
      </c>
      <c r="F88" s="552" t="s">
        <v>357</v>
      </c>
      <c r="G88" s="552" t="s">
        <v>5</v>
      </c>
      <c r="H88" s="552" t="s">
        <v>358</v>
      </c>
      <c r="I88" s="552" t="s">
        <v>359</v>
      </c>
      <c r="J88" s="552" t="s">
        <v>360</v>
      </c>
      <c r="K88" s="552" t="s">
        <v>361</v>
      </c>
      <c r="L88" s="552" t="s">
        <v>362</v>
      </c>
      <c r="M88" s="552" t="s">
        <v>363</v>
      </c>
      <c r="N88" s="552" t="s">
        <v>364</v>
      </c>
      <c r="O88" s="515"/>
      <c r="P88" s="581" t="s">
        <v>319</v>
      </c>
      <c r="Q88" s="581" t="s">
        <v>365</v>
      </c>
      <c r="R88" s="581" t="s">
        <v>366</v>
      </c>
      <c r="S88" s="581" t="s">
        <v>367</v>
      </c>
      <c r="T88" s="581" t="s">
        <v>319</v>
      </c>
      <c r="U88" s="581" t="s">
        <v>365</v>
      </c>
      <c r="V88" s="581" t="s">
        <v>366</v>
      </c>
      <c r="W88" s="581" t="s">
        <v>367</v>
      </c>
      <c r="X88" s="581" t="s">
        <v>319</v>
      </c>
      <c r="Y88" s="581" t="s">
        <v>365</v>
      </c>
      <c r="Z88" s="581" t="s">
        <v>366</v>
      </c>
      <c r="AA88" s="581" t="s">
        <v>367</v>
      </c>
      <c r="AB88" s="581" t="s">
        <v>319</v>
      </c>
      <c r="AC88" s="581" t="s">
        <v>365</v>
      </c>
      <c r="AD88" s="581" t="s">
        <v>366</v>
      </c>
      <c r="AE88" s="581" t="s">
        <v>367</v>
      </c>
      <c r="AF88" s="581" t="s">
        <v>319</v>
      </c>
      <c r="AG88" s="581" t="s">
        <v>365</v>
      </c>
      <c r="AH88" s="581" t="s">
        <v>366</v>
      </c>
      <c r="AI88" s="581" t="s">
        <v>367</v>
      </c>
      <c r="AJ88" s="581" t="s">
        <v>319</v>
      </c>
      <c r="AK88" s="581" t="s">
        <v>365</v>
      </c>
      <c r="AL88" s="581" t="s">
        <v>366</v>
      </c>
      <c r="AM88" s="581" t="s">
        <v>367</v>
      </c>
      <c r="AN88" s="581" t="s">
        <v>319</v>
      </c>
      <c r="AO88" s="581" t="s">
        <v>365</v>
      </c>
      <c r="AP88" s="581" t="s">
        <v>366</v>
      </c>
      <c r="AQ88" s="581" t="s">
        <v>367</v>
      </c>
      <c r="AR88" s="581" t="s">
        <v>319</v>
      </c>
      <c r="AS88" s="581" t="s">
        <v>365</v>
      </c>
      <c r="AT88" s="581" t="s">
        <v>366</v>
      </c>
      <c r="AU88" s="581" t="s">
        <v>367</v>
      </c>
      <c r="AV88" s="581" t="s">
        <v>319</v>
      </c>
      <c r="AW88" s="581" t="s">
        <v>365</v>
      </c>
      <c r="AX88" s="581" t="s">
        <v>366</v>
      </c>
      <c r="AY88" s="581" t="s">
        <v>367</v>
      </c>
      <c r="AZ88" s="581" t="s">
        <v>319</v>
      </c>
      <c r="BA88" s="581" t="s">
        <v>365</v>
      </c>
      <c r="BB88" s="581" t="s">
        <v>366</v>
      </c>
      <c r="BC88" s="581" t="s">
        <v>367</v>
      </c>
      <c r="BD88" s="581" t="s">
        <v>319</v>
      </c>
      <c r="BE88" s="581" t="s">
        <v>365</v>
      </c>
      <c r="BF88" s="581" t="s">
        <v>366</v>
      </c>
      <c r="BG88" s="581" t="s">
        <v>367</v>
      </c>
      <c r="BH88" s="581" t="s">
        <v>319</v>
      </c>
      <c r="BI88" s="581" t="s">
        <v>365</v>
      </c>
      <c r="BJ88" s="581" t="s">
        <v>366</v>
      </c>
      <c r="BK88" s="581" t="s">
        <v>367</v>
      </c>
      <c r="BL88" s="533"/>
      <c r="BM88" s="533"/>
    </row>
    <row r="89" ht="12.75" customHeight="1">
      <c r="A89" s="582" t="s">
        <v>400</v>
      </c>
      <c r="B89" s="521"/>
      <c r="C89" s="572">
        <f>LT!B110</f>
        <v>230</v>
      </c>
      <c r="D89" s="572">
        <f>LT!C110</f>
        <v>240</v>
      </c>
      <c r="E89" s="572">
        <f>LT!D110</f>
        <v>300</v>
      </c>
      <c r="F89" s="572">
        <f>LT!E110</f>
        <v>330</v>
      </c>
      <c r="G89" s="572">
        <f>LT!F110</f>
        <v>330</v>
      </c>
      <c r="H89" s="572">
        <f>LT!G110</f>
        <v>350</v>
      </c>
      <c r="I89" s="572">
        <f>LT!H110</f>
        <v>375</v>
      </c>
      <c r="J89" s="572">
        <f>LT!I110</f>
        <v>375</v>
      </c>
      <c r="K89" s="572">
        <f>LT!J110</f>
        <v>350</v>
      </c>
      <c r="L89" s="572">
        <f>LT!K110</f>
        <v>350</v>
      </c>
      <c r="M89" s="572">
        <f>LT!L110</f>
        <v>350</v>
      </c>
      <c r="N89" s="572">
        <f>LT!M110</f>
        <v>400</v>
      </c>
      <c r="O89" s="515"/>
      <c r="P89" s="586">
        <f t="shared" ref="P89:P104" si="201">SUM(C89:N89)</f>
        <v>3980</v>
      </c>
      <c r="Q89" s="633">
        <f t="shared" ref="Q89:Q100" si="202">(P$87*0.4/14)</f>
        <v>214.2857143</v>
      </c>
      <c r="R89" s="617">
        <f>(P87*0.6)*(P89/P105)</f>
        <v>902.4943311</v>
      </c>
      <c r="S89" s="634">
        <f t="shared" ref="S89:S104" si="203">Q89+R89</f>
        <v>1116.780045</v>
      </c>
      <c r="T89" s="586">
        <f t="shared" ref="T89:T104" si="204">SUM(C89:N89)</f>
        <v>3980</v>
      </c>
      <c r="U89" s="617">
        <f t="shared" ref="U89:U100" si="205">(T$87*0.4/14)</f>
        <v>214.2857143</v>
      </c>
      <c r="V89" s="617">
        <f>(T87*0.6)*(T89/T105)</f>
        <v>902.4943311</v>
      </c>
      <c r="W89" s="634">
        <f t="shared" ref="W89:W104" si="206">U89+V89</f>
        <v>1116.780045</v>
      </c>
      <c r="X89" s="585">
        <f t="shared" ref="X89:X104" si="207">SUM(C89:N89)</f>
        <v>3980</v>
      </c>
      <c r="Y89" s="617">
        <f t="shared" ref="Y89:Y100" si="208">(X$87*0.4/14)</f>
        <v>214.2857143</v>
      </c>
      <c r="Z89" s="617">
        <f>(X87*0.6)*(X89/X105)</f>
        <v>902.4943311</v>
      </c>
      <c r="AA89" s="634">
        <f t="shared" ref="AA89:AA104" si="209">Y89+Z89</f>
        <v>1116.780045</v>
      </c>
      <c r="AB89" s="585">
        <f>SUM(F89:G89)</f>
        <v>660</v>
      </c>
      <c r="AC89" s="613">
        <v>0.0</v>
      </c>
      <c r="AD89" s="617">
        <f>(AB87*0.6)*(AB89/AB105)</f>
        <v>878.029652</v>
      </c>
      <c r="AE89" s="634">
        <f t="shared" ref="AE89:AE104" si="210">AC89+AD89</f>
        <v>878.029652</v>
      </c>
      <c r="AF89" s="585">
        <f>SUM(F89:G89)</f>
        <v>660</v>
      </c>
      <c r="AG89" s="613">
        <v>0.0</v>
      </c>
      <c r="AH89" s="617">
        <f>(AF87*0.6)*(AF89/AF105)</f>
        <v>1529.842057</v>
      </c>
      <c r="AI89" s="634">
        <f t="shared" ref="AI89:AI104" si="211">AG89+AH89</f>
        <v>1529.842057</v>
      </c>
      <c r="AJ89" s="585">
        <f>SUM(H89:N89)</f>
        <v>2550</v>
      </c>
      <c r="AK89" s="617">
        <f t="shared" ref="AK89:AK100" si="212">(AJ$87*0.4/14)</f>
        <v>1824</v>
      </c>
      <c r="AL89" s="617">
        <f>(AJ87*0.6)*(AJ89/AJ105)</f>
        <v>5304.110779</v>
      </c>
      <c r="AM89" s="634">
        <f t="shared" ref="AM89:AM104" si="213">AK89+AL89</f>
        <v>7128.110779</v>
      </c>
      <c r="AN89" s="585">
        <f>SUM(H89:N89)</f>
        <v>2550</v>
      </c>
      <c r="AO89" s="617">
        <f t="shared" ref="AO89:AO100" si="214">(AN$87*0.4/14)</f>
        <v>1046.857143</v>
      </c>
      <c r="AP89" s="617">
        <f>(AN87*0.6)*(AN89/AN105)</f>
        <v>3044.213956</v>
      </c>
      <c r="AQ89" s="634">
        <f t="shared" ref="AQ89:AQ104" si="215">AO89+AP89</f>
        <v>4091.071099</v>
      </c>
      <c r="AR89" s="585">
        <f>SUM(H89:N89)</f>
        <v>2550</v>
      </c>
      <c r="AS89" s="617">
        <f t="shared" ref="AS89:AS100" si="216">(AR$87*0.4/14)</f>
        <v>1046.857143</v>
      </c>
      <c r="AT89" s="617">
        <f>(AR87*0.6)*(AR89/AR105)</f>
        <v>3044.213956</v>
      </c>
      <c r="AU89" s="634">
        <f t="shared" ref="AU89:AU104" si="217">AS89+AT89</f>
        <v>4091.071099</v>
      </c>
      <c r="AV89" s="585">
        <f>SUM(H89:N89)</f>
        <v>2550</v>
      </c>
      <c r="AW89" s="617">
        <f t="shared" ref="AW89:AW100" si="218">(AV$87*0.4/14)</f>
        <v>1435.428571</v>
      </c>
      <c r="AX89" s="617">
        <f>(AV87*0.6)*(AV89/AV105)</f>
        <v>4174.162368</v>
      </c>
      <c r="AY89" s="634">
        <f t="shared" ref="AY89:AY104" si="219">AW89+AX89</f>
        <v>5609.590939</v>
      </c>
      <c r="AZ89" s="585">
        <f>SUM(H89:N89)</f>
        <v>2550</v>
      </c>
      <c r="BA89" s="617">
        <f t="shared" ref="BA89:BA100" si="220">(AZ$87*0.4/14)</f>
        <v>1435.428571</v>
      </c>
      <c r="BB89" s="617">
        <f>(AZ87*0.6)*(AZ89/AZ105)</f>
        <v>4174.162368</v>
      </c>
      <c r="BC89" s="634">
        <f t="shared" ref="BC89:BC104" si="221">BA89+BB89</f>
        <v>5609.590939</v>
      </c>
      <c r="BD89" s="585">
        <f>SUM(H89:N89)</f>
        <v>2550</v>
      </c>
      <c r="BE89" s="617">
        <f t="shared" ref="BE89:BE100" si="222">(BD$87*0.4/14)</f>
        <v>1824</v>
      </c>
      <c r="BF89" s="617">
        <f>(BD87*0.6)*(BD89/BD105)</f>
        <v>5304.110779</v>
      </c>
      <c r="BG89" s="634">
        <f t="shared" ref="BG89:BG104" si="223">BE89+BF89</f>
        <v>7128.110779</v>
      </c>
      <c r="BH89" s="635">
        <f>SUM(H89:N89)</f>
        <v>2550</v>
      </c>
      <c r="BI89" s="617">
        <f t="shared" ref="BI89:BI100" si="224">(BH$87*0.4/14)</f>
        <v>1824</v>
      </c>
      <c r="BJ89" s="617">
        <f>(BH87*0.6)*(BH89/BH105)</f>
        <v>5304.110779</v>
      </c>
      <c r="BK89" s="634">
        <f t="shared" ref="BK89:BK104" si="225">BI89+BJ89</f>
        <v>7128.110779</v>
      </c>
      <c r="BL89" s="555"/>
      <c r="BM89" s="555"/>
    </row>
    <row r="90" ht="12.75" customHeight="1">
      <c r="A90" s="588" t="s">
        <v>377</v>
      </c>
      <c r="B90" s="521"/>
      <c r="C90" s="572">
        <f>SP!B110</f>
        <v>76</v>
      </c>
      <c r="D90" s="572">
        <f>SP!C110</f>
        <v>80</v>
      </c>
      <c r="E90" s="572">
        <f>SP!D110</f>
        <v>90</v>
      </c>
      <c r="F90" s="572">
        <f>SP!E110</f>
        <v>105</v>
      </c>
      <c r="G90" s="572">
        <f>SP!F110</f>
        <v>105</v>
      </c>
      <c r="H90" s="572">
        <f>SP!G110</f>
        <v>105</v>
      </c>
      <c r="I90" s="572">
        <f>SP!H110</f>
        <v>110</v>
      </c>
      <c r="J90" s="572">
        <f>SP!I110</f>
        <v>115</v>
      </c>
      <c r="K90" s="572">
        <f>SP!J110</f>
        <v>100</v>
      </c>
      <c r="L90" s="572">
        <f>SP!K110</f>
        <v>100</v>
      </c>
      <c r="M90" s="572">
        <f>SP!L110</f>
        <v>105</v>
      </c>
      <c r="N90" s="572">
        <f>SP!M110</f>
        <v>125</v>
      </c>
      <c r="O90" s="515"/>
      <c r="P90" s="586">
        <f t="shared" si="201"/>
        <v>1216</v>
      </c>
      <c r="Q90" s="633">
        <f t="shared" si="202"/>
        <v>214.2857143</v>
      </c>
      <c r="R90" s="617">
        <f>(P87*0.6)*(P90/P105)</f>
        <v>275.7369615</v>
      </c>
      <c r="S90" s="634">
        <f t="shared" si="203"/>
        <v>490.0226757</v>
      </c>
      <c r="T90" s="586">
        <f t="shared" si="204"/>
        <v>1216</v>
      </c>
      <c r="U90" s="617">
        <f t="shared" si="205"/>
        <v>214.2857143</v>
      </c>
      <c r="V90" s="617">
        <f>(T87*0.6)*(T90/T105)</f>
        <v>275.7369615</v>
      </c>
      <c r="W90" s="634">
        <f t="shared" si="206"/>
        <v>490.0226757</v>
      </c>
      <c r="X90" s="585">
        <f t="shared" si="207"/>
        <v>1216</v>
      </c>
      <c r="Y90" s="617">
        <f t="shared" si="208"/>
        <v>214.2857143</v>
      </c>
      <c r="Z90" s="617">
        <f>(X87*0.6)*(X90/X105)</f>
        <v>275.7369615</v>
      </c>
      <c r="AA90" s="634">
        <f t="shared" si="209"/>
        <v>490.0226757</v>
      </c>
      <c r="AB90" s="585">
        <f t="shared" ref="AB90:AB104" si="226">SUM(C90:N90)</f>
        <v>1216</v>
      </c>
      <c r="AC90" s="617">
        <f t="shared" ref="AC90:AC100" si="227">(AB$87*0.4/13)</f>
        <v>1127.384615</v>
      </c>
      <c r="AD90" s="617">
        <f>(AB87*0.6)*(AB90/AB105)</f>
        <v>1617.703116</v>
      </c>
      <c r="AE90" s="634">
        <f t="shared" si="210"/>
        <v>2745.087732</v>
      </c>
      <c r="AF90" s="585">
        <f t="shared" ref="AF90:AF104" si="228">SUM(C90:N90)</f>
        <v>1216</v>
      </c>
      <c r="AG90" s="617">
        <f t="shared" ref="AG90:AG100" si="229">(AF$87*0.4/13)</f>
        <v>1964.307692</v>
      </c>
      <c r="AH90" s="617">
        <f>(AF87*0.6)*(AF90/AF105)</f>
        <v>2818.618094</v>
      </c>
      <c r="AI90" s="634">
        <f t="shared" si="211"/>
        <v>4782.925786</v>
      </c>
      <c r="AJ90" s="585">
        <f t="shared" ref="AJ90:AJ104" si="230">SUM(C90:N90)</f>
        <v>1216</v>
      </c>
      <c r="AK90" s="617">
        <f t="shared" si="212"/>
        <v>1824</v>
      </c>
      <c r="AL90" s="617">
        <f>(AJ87*0.6)*(AJ90/AJ105)</f>
        <v>2529.332827</v>
      </c>
      <c r="AM90" s="634">
        <f t="shared" si="213"/>
        <v>4353.332827</v>
      </c>
      <c r="AN90" s="585">
        <f t="shared" ref="AN90:AN104" si="231">SUM(C90:N90)</f>
        <v>1216</v>
      </c>
      <c r="AO90" s="617">
        <f t="shared" si="214"/>
        <v>1046.857143</v>
      </c>
      <c r="AP90" s="617">
        <f>(AN87*0.6)*(AN90/AN105)</f>
        <v>1451.672224</v>
      </c>
      <c r="AQ90" s="634">
        <f t="shared" si="215"/>
        <v>2498.529367</v>
      </c>
      <c r="AR90" s="585">
        <f t="shared" ref="AR90:AR104" si="232">SUM(C90:N90)</f>
        <v>1216</v>
      </c>
      <c r="AS90" s="617">
        <f t="shared" si="216"/>
        <v>1046.857143</v>
      </c>
      <c r="AT90" s="617">
        <f>(AR87*0.6)*(AR90/AR105)</f>
        <v>1451.672224</v>
      </c>
      <c r="AU90" s="634">
        <f t="shared" si="217"/>
        <v>2498.529367</v>
      </c>
      <c r="AV90" s="585">
        <f t="shared" ref="AV90:AV104" si="233">SUM(C90:N90)</f>
        <v>1216</v>
      </c>
      <c r="AW90" s="617">
        <f t="shared" si="218"/>
        <v>1435.428571</v>
      </c>
      <c r="AX90" s="617">
        <f>(AV87*0.6)*(AV90/AV105)</f>
        <v>1990.502525</v>
      </c>
      <c r="AY90" s="634">
        <f t="shared" si="219"/>
        <v>3425.931097</v>
      </c>
      <c r="AZ90" s="585">
        <f t="shared" ref="AZ90:AZ104" si="234">SUM(C90:N90)</f>
        <v>1216</v>
      </c>
      <c r="BA90" s="617">
        <f t="shared" si="220"/>
        <v>1435.428571</v>
      </c>
      <c r="BB90" s="617">
        <f>(AZ87*0.6)*(AZ90/AZ105)</f>
        <v>1990.502525</v>
      </c>
      <c r="BC90" s="634">
        <f t="shared" si="221"/>
        <v>3425.931097</v>
      </c>
      <c r="BD90" s="585">
        <f t="shared" ref="BD90:BD104" si="235">SUM(C90:N90)</f>
        <v>1216</v>
      </c>
      <c r="BE90" s="617">
        <f t="shared" si="222"/>
        <v>1824</v>
      </c>
      <c r="BF90" s="617">
        <f>(BD87*0.6)*(BD90/BD105)</f>
        <v>2529.332827</v>
      </c>
      <c r="BG90" s="634">
        <f t="shared" si="223"/>
        <v>4353.332827</v>
      </c>
      <c r="BH90" s="635">
        <f t="shared" ref="BH90:BH104" si="236">SUM(C90:N90)</f>
        <v>1216</v>
      </c>
      <c r="BI90" s="617">
        <f t="shared" si="224"/>
        <v>1824</v>
      </c>
      <c r="BJ90" s="617">
        <f>(BH87*0.6)*(BH90/BH105)</f>
        <v>2529.332827</v>
      </c>
      <c r="BK90" s="634">
        <f t="shared" si="225"/>
        <v>4353.332827</v>
      </c>
      <c r="BL90" s="555"/>
      <c r="BM90" s="555"/>
    </row>
    <row r="91" ht="12.75" customHeight="1">
      <c r="A91" s="588" t="s">
        <v>376</v>
      </c>
      <c r="B91" s="521"/>
      <c r="C91" s="572">
        <f>GA!B110</f>
        <v>124</v>
      </c>
      <c r="D91" s="572">
        <f>GA!C110</f>
        <v>176</v>
      </c>
      <c r="E91" s="572">
        <f>GA!D110</f>
        <v>167</v>
      </c>
      <c r="F91" s="572">
        <f>GA!E110</f>
        <v>167</v>
      </c>
      <c r="G91" s="572">
        <f>GA!F110</f>
        <v>170</v>
      </c>
      <c r="H91" s="572">
        <f>GA!G110</f>
        <v>163</v>
      </c>
      <c r="I91" s="572">
        <f>GA!H110</f>
        <v>165</v>
      </c>
      <c r="J91" s="572">
        <f>GA!I110</f>
        <v>164</v>
      </c>
      <c r="K91" s="572">
        <f>GA!J110</f>
        <v>155</v>
      </c>
      <c r="L91" s="572">
        <f>GA!K110</f>
        <v>151</v>
      </c>
      <c r="M91" s="572">
        <f>GA!L110</f>
        <v>161</v>
      </c>
      <c r="N91" s="572">
        <f>GA!M110</f>
        <v>196</v>
      </c>
      <c r="O91" s="515"/>
      <c r="P91" s="586">
        <f t="shared" si="201"/>
        <v>1959</v>
      </c>
      <c r="Q91" s="633">
        <f t="shared" si="202"/>
        <v>214.2857143</v>
      </c>
      <c r="R91" s="617">
        <f>(P87*0.6)*(P91/P105)</f>
        <v>444.2176871</v>
      </c>
      <c r="S91" s="634">
        <f t="shared" si="203"/>
        <v>658.5034014</v>
      </c>
      <c r="T91" s="586">
        <f t="shared" si="204"/>
        <v>1959</v>
      </c>
      <c r="U91" s="617">
        <f t="shared" si="205"/>
        <v>214.2857143</v>
      </c>
      <c r="V91" s="617">
        <f>(T87*0.6)*(T91/T105)</f>
        <v>444.2176871</v>
      </c>
      <c r="W91" s="634">
        <f t="shared" si="206"/>
        <v>658.5034014</v>
      </c>
      <c r="X91" s="585">
        <f t="shared" si="207"/>
        <v>1959</v>
      </c>
      <c r="Y91" s="617">
        <f t="shared" si="208"/>
        <v>214.2857143</v>
      </c>
      <c r="Z91" s="617">
        <f>(X87*0.6)*(X91/X105)</f>
        <v>444.2176871</v>
      </c>
      <c r="AA91" s="634">
        <f t="shared" si="209"/>
        <v>658.5034014</v>
      </c>
      <c r="AB91" s="585">
        <f t="shared" si="226"/>
        <v>1959</v>
      </c>
      <c r="AC91" s="617">
        <f t="shared" si="227"/>
        <v>1127.384615</v>
      </c>
      <c r="AD91" s="617">
        <f>(AB87*0.6)*(AB91/AB105)</f>
        <v>2606.151649</v>
      </c>
      <c r="AE91" s="634">
        <f t="shared" si="210"/>
        <v>3733.536264</v>
      </c>
      <c r="AF91" s="585">
        <f t="shared" si="228"/>
        <v>1959</v>
      </c>
      <c r="AG91" s="617">
        <f t="shared" si="229"/>
        <v>1964.307692</v>
      </c>
      <c r="AH91" s="617">
        <f>(AF87*0.6)*(AF91/AF105)</f>
        <v>4540.84938</v>
      </c>
      <c r="AI91" s="634">
        <f t="shared" si="211"/>
        <v>6505.157072</v>
      </c>
      <c r="AJ91" s="585">
        <f t="shared" si="230"/>
        <v>1959</v>
      </c>
      <c r="AK91" s="617">
        <f t="shared" si="212"/>
        <v>1824</v>
      </c>
      <c r="AL91" s="617">
        <f>(AJ87*0.6)*(AJ91/AJ105)</f>
        <v>4074.805105</v>
      </c>
      <c r="AM91" s="634">
        <f t="shared" si="213"/>
        <v>5898.805105</v>
      </c>
      <c r="AN91" s="585">
        <f t="shared" si="231"/>
        <v>1959</v>
      </c>
      <c r="AO91" s="617">
        <f t="shared" si="214"/>
        <v>1046.857143</v>
      </c>
      <c r="AP91" s="617">
        <f>(AN87*0.6)*(AN91/AN105)</f>
        <v>2338.672604</v>
      </c>
      <c r="AQ91" s="634">
        <f t="shared" si="215"/>
        <v>3385.529747</v>
      </c>
      <c r="AR91" s="585">
        <f t="shared" si="232"/>
        <v>1959</v>
      </c>
      <c r="AS91" s="617">
        <f t="shared" si="216"/>
        <v>1046.857143</v>
      </c>
      <c r="AT91" s="617">
        <f>(AR87*0.6)*(AR91/AR105)</f>
        <v>2338.672604</v>
      </c>
      <c r="AU91" s="634">
        <f t="shared" si="217"/>
        <v>3385.529747</v>
      </c>
      <c r="AV91" s="585">
        <f t="shared" si="233"/>
        <v>1959</v>
      </c>
      <c r="AW91" s="617">
        <f t="shared" si="218"/>
        <v>1435.428571</v>
      </c>
      <c r="AX91" s="617">
        <f>(AV87*0.6)*(AV91/AV105)</f>
        <v>3206.738854</v>
      </c>
      <c r="AY91" s="634">
        <f t="shared" si="219"/>
        <v>4642.167426</v>
      </c>
      <c r="AZ91" s="585">
        <f t="shared" si="234"/>
        <v>1959</v>
      </c>
      <c r="BA91" s="617">
        <f t="shared" si="220"/>
        <v>1435.428571</v>
      </c>
      <c r="BB91" s="617">
        <f>(AZ87*0.6)*(AZ91/AZ105)</f>
        <v>3206.738854</v>
      </c>
      <c r="BC91" s="634">
        <f t="shared" si="221"/>
        <v>4642.167426</v>
      </c>
      <c r="BD91" s="585">
        <f t="shared" si="235"/>
        <v>1959</v>
      </c>
      <c r="BE91" s="617">
        <f t="shared" si="222"/>
        <v>1824</v>
      </c>
      <c r="BF91" s="617">
        <f>(BD87*0.6)*(BD91/BD105)</f>
        <v>4074.805105</v>
      </c>
      <c r="BG91" s="634">
        <f t="shared" si="223"/>
        <v>5898.805105</v>
      </c>
      <c r="BH91" s="635">
        <f t="shared" si="236"/>
        <v>1959</v>
      </c>
      <c r="BI91" s="617">
        <f t="shared" si="224"/>
        <v>1824</v>
      </c>
      <c r="BJ91" s="617">
        <f>(BH87*0.6)*(BH91/BH105)</f>
        <v>4074.805105</v>
      </c>
      <c r="BK91" s="634">
        <f t="shared" si="225"/>
        <v>5898.805105</v>
      </c>
      <c r="BL91" s="555"/>
      <c r="BM91" s="555"/>
    </row>
    <row r="92" ht="12.75" customHeight="1">
      <c r="A92" s="588" t="s">
        <v>378</v>
      </c>
      <c r="B92" s="521"/>
      <c r="C92" s="572">
        <f>WR!B110</f>
        <v>60</v>
      </c>
      <c r="D92" s="572">
        <f>WR!C110</f>
        <v>65</v>
      </c>
      <c r="E92" s="572">
        <f>WR!D110</f>
        <v>75</v>
      </c>
      <c r="F92" s="572">
        <f>WR!E110</f>
        <v>75</v>
      </c>
      <c r="G92" s="572">
        <f>WR!F110</f>
        <v>85</v>
      </c>
      <c r="H92" s="572">
        <f>WR!G110</f>
        <v>75</v>
      </c>
      <c r="I92" s="572">
        <f>WR!H110</f>
        <v>80</v>
      </c>
      <c r="J92" s="572">
        <f>WR!I110</f>
        <v>80</v>
      </c>
      <c r="K92" s="572">
        <f>WR!J110</f>
        <v>80</v>
      </c>
      <c r="L92" s="572">
        <f>WR!K110</f>
        <v>75</v>
      </c>
      <c r="M92" s="572">
        <f>WR!L110</f>
        <v>80</v>
      </c>
      <c r="N92" s="572">
        <f>WR!M110</f>
        <v>95</v>
      </c>
      <c r="O92" s="515"/>
      <c r="P92" s="586">
        <f t="shared" si="201"/>
        <v>925</v>
      </c>
      <c r="Q92" s="633">
        <f t="shared" si="202"/>
        <v>214.2857143</v>
      </c>
      <c r="R92" s="617">
        <f>(P87*0.6)*(P92/P105)</f>
        <v>209.7505669</v>
      </c>
      <c r="S92" s="634">
        <f t="shared" si="203"/>
        <v>424.0362812</v>
      </c>
      <c r="T92" s="586">
        <f t="shared" si="204"/>
        <v>925</v>
      </c>
      <c r="U92" s="617">
        <f t="shared" si="205"/>
        <v>214.2857143</v>
      </c>
      <c r="V92" s="617">
        <f>(T87*0.6)*(T92/T105)</f>
        <v>209.7505669</v>
      </c>
      <c r="W92" s="634">
        <f t="shared" si="206"/>
        <v>424.0362812</v>
      </c>
      <c r="X92" s="585">
        <f t="shared" si="207"/>
        <v>925</v>
      </c>
      <c r="Y92" s="617">
        <f t="shared" si="208"/>
        <v>214.2857143</v>
      </c>
      <c r="Z92" s="617">
        <f>(X87*0.6)*(X92/X105)</f>
        <v>209.7505669</v>
      </c>
      <c r="AA92" s="634">
        <f t="shared" si="209"/>
        <v>424.0362812</v>
      </c>
      <c r="AB92" s="585">
        <f t="shared" si="226"/>
        <v>925</v>
      </c>
      <c r="AC92" s="617">
        <f t="shared" si="227"/>
        <v>1127.384615</v>
      </c>
      <c r="AD92" s="617">
        <f>(AB87*0.6)*(AB92/AB105)</f>
        <v>1230.571861</v>
      </c>
      <c r="AE92" s="634">
        <f t="shared" si="210"/>
        <v>2357.956476</v>
      </c>
      <c r="AF92" s="585">
        <f t="shared" si="228"/>
        <v>925</v>
      </c>
      <c r="AG92" s="617">
        <f t="shared" si="229"/>
        <v>1964.307692</v>
      </c>
      <c r="AH92" s="617">
        <f>(AF87*0.6)*(AF92/AF105)</f>
        <v>2144.096823</v>
      </c>
      <c r="AI92" s="634">
        <f t="shared" si="211"/>
        <v>4108.404515</v>
      </c>
      <c r="AJ92" s="585">
        <f t="shared" si="230"/>
        <v>925</v>
      </c>
      <c r="AK92" s="617">
        <f t="shared" si="212"/>
        <v>1824</v>
      </c>
      <c r="AL92" s="617">
        <f>(AJ87*0.6)*(AJ92/AJ105)</f>
        <v>1924.040185</v>
      </c>
      <c r="AM92" s="634">
        <f t="shared" si="213"/>
        <v>3748.040185</v>
      </c>
      <c r="AN92" s="585">
        <f t="shared" si="231"/>
        <v>925</v>
      </c>
      <c r="AO92" s="617">
        <f t="shared" si="214"/>
        <v>1046.857143</v>
      </c>
      <c r="AP92" s="617">
        <f>(AN87*0.6)*(AN92/AN105)</f>
        <v>1104.27369</v>
      </c>
      <c r="AQ92" s="634">
        <f t="shared" si="215"/>
        <v>2151.130833</v>
      </c>
      <c r="AR92" s="585">
        <f t="shared" si="232"/>
        <v>925</v>
      </c>
      <c r="AS92" s="617">
        <f t="shared" si="216"/>
        <v>1046.857143</v>
      </c>
      <c r="AT92" s="617">
        <f>(AR87*0.6)*(AR92/AR105)</f>
        <v>1104.27369</v>
      </c>
      <c r="AU92" s="634">
        <f t="shared" si="217"/>
        <v>2151.130833</v>
      </c>
      <c r="AV92" s="585">
        <f t="shared" si="233"/>
        <v>925</v>
      </c>
      <c r="AW92" s="617">
        <f t="shared" si="218"/>
        <v>1435.428571</v>
      </c>
      <c r="AX92" s="617">
        <f>(AV87*0.6)*(AV92/AV105)</f>
        <v>1514.156937</v>
      </c>
      <c r="AY92" s="634">
        <f t="shared" si="219"/>
        <v>2949.585509</v>
      </c>
      <c r="AZ92" s="585">
        <f t="shared" si="234"/>
        <v>925</v>
      </c>
      <c r="BA92" s="617">
        <f t="shared" si="220"/>
        <v>1435.428571</v>
      </c>
      <c r="BB92" s="617">
        <f>(AZ87*0.6)*(AZ92/AZ105)</f>
        <v>1514.156937</v>
      </c>
      <c r="BC92" s="634">
        <f t="shared" si="221"/>
        <v>2949.585509</v>
      </c>
      <c r="BD92" s="585">
        <f t="shared" si="235"/>
        <v>925</v>
      </c>
      <c r="BE92" s="617">
        <f t="shared" si="222"/>
        <v>1824</v>
      </c>
      <c r="BF92" s="617">
        <f>(BD87*0.6)*(BD92/BD105)</f>
        <v>1924.040185</v>
      </c>
      <c r="BG92" s="634">
        <f t="shared" si="223"/>
        <v>3748.040185</v>
      </c>
      <c r="BH92" s="635">
        <f t="shared" si="236"/>
        <v>925</v>
      </c>
      <c r="BI92" s="617">
        <f t="shared" si="224"/>
        <v>1824</v>
      </c>
      <c r="BJ92" s="617">
        <f>(BH87*0.6)*(BH92/BH105)</f>
        <v>1924.040185</v>
      </c>
      <c r="BK92" s="634">
        <f t="shared" si="225"/>
        <v>3748.040185</v>
      </c>
      <c r="BL92" s="555"/>
      <c r="BM92" s="555"/>
    </row>
    <row r="93" ht="12.75" customHeight="1">
      <c r="A93" s="588" t="s">
        <v>368</v>
      </c>
      <c r="B93" s="521"/>
      <c r="C93" s="572">
        <f>MA!B111</f>
        <v>55</v>
      </c>
      <c r="D93" s="572">
        <f>MA!C111</f>
        <v>70</v>
      </c>
      <c r="E93" s="572">
        <f>MA!D111</f>
        <v>85</v>
      </c>
      <c r="F93" s="572">
        <f>MA!E111</f>
        <v>90</v>
      </c>
      <c r="G93" s="572">
        <f>MA!F111</f>
        <v>100</v>
      </c>
      <c r="H93" s="572">
        <f>MA!G111</f>
        <v>105</v>
      </c>
      <c r="I93" s="572">
        <f>MA!H111</f>
        <v>110</v>
      </c>
      <c r="J93" s="572">
        <f>MA!I111</f>
        <v>110</v>
      </c>
      <c r="K93" s="572">
        <f>MA!J111</f>
        <v>85</v>
      </c>
      <c r="L93" s="572">
        <f>MA!K111</f>
        <v>82</v>
      </c>
      <c r="M93" s="572">
        <f>MA!L111</f>
        <v>80</v>
      </c>
      <c r="N93" s="572">
        <f>MA!M111</f>
        <v>100</v>
      </c>
      <c r="O93" s="515"/>
      <c r="P93" s="586">
        <f t="shared" si="201"/>
        <v>1072</v>
      </c>
      <c r="Q93" s="633">
        <f t="shared" si="202"/>
        <v>214.2857143</v>
      </c>
      <c r="R93" s="617">
        <f>(P87*0.6)*(P93/P105)</f>
        <v>243.0839002</v>
      </c>
      <c r="S93" s="634">
        <f t="shared" si="203"/>
        <v>457.3696145</v>
      </c>
      <c r="T93" s="586">
        <f t="shared" si="204"/>
        <v>1072</v>
      </c>
      <c r="U93" s="617">
        <f t="shared" si="205"/>
        <v>214.2857143</v>
      </c>
      <c r="V93" s="617">
        <f>(T87*0.6)*(T93/T105)</f>
        <v>243.0839002</v>
      </c>
      <c r="W93" s="634">
        <f t="shared" si="206"/>
        <v>457.3696145</v>
      </c>
      <c r="X93" s="585">
        <f t="shared" si="207"/>
        <v>1072</v>
      </c>
      <c r="Y93" s="617">
        <f t="shared" si="208"/>
        <v>214.2857143</v>
      </c>
      <c r="Z93" s="617">
        <f>(X87*0.6)*(X93/X105)</f>
        <v>243.0839002</v>
      </c>
      <c r="AA93" s="634">
        <f t="shared" si="209"/>
        <v>457.3696145</v>
      </c>
      <c r="AB93" s="585">
        <f t="shared" si="226"/>
        <v>1072</v>
      </c>
      <c r="AC93" s="617">
        <f t="shared" si="227"/>
        <v>1127.384615</v>
      </c>
      <c r="AD93" s="617">
        <f>(AB87*0.6)*(AB93/AB105)</f>
        <v>1426.133011</v>
      </c>
      <c r="AE93" s="634">
        <f t="shared" si="210"/>
        <v>2553.517626</v>
      </c>
      <c r="AF93" s="585">
        <f t="shared" si="228"/>
        <v>1072</v>
      </c>
      <c r="AG93" s="617">
        <f t="shared" si="229"/>
        <v>1964.307692</v>
      </c>
      <c r="AH93" s="617">
        <f>(AF87*0.6)*(AF93/AF105)</f>
        <v>2484.834372</v>
      </c>
      <c r="AI93" s="634">
        <f t="shared" si="211"/>
        <v>4449.142064</v>
      </c>
      <c r="AJ93" s="585">
        <f t="shared" si="230"/>
        <v>1072</v>
      </c>
      <c r="AK93" s="617">
        <f t="shared" si="212"/>
        <v>1824</v>
      </c>
      <c r="AL93" s="617">
        <f>(AJ87*0.6)*(AJ93/AJ105)</f>
        <v>2229.806571</v>
      </c>
      <c r="AM93" s="634">
        <f t="shared" si="213"/>
        <v>4053.806571</v>
      </c>
      <c r="AN93" s="585">
        <f t="shared" si="231"/>
        <v>1072</v>
      </c>
      <c r="AO93" s="617">
        <f t="shared" si="214"/>
        <v>1046.857143</v>
      </c>
      <c r="AP93" s="617">
        <f>(AN87*0.6)*(AN93/AN105)</f>
        <v>1279.763671</v>
      </c>
      <c r="AQ93" s="634">
        <f t="shared" si="215"/>
        <v>2326.620814</v>
      </c>
      <c r="AR93" s="585">
        <f t="shared" si="232"/>
        <v>1072</v>
      </c>
      <c r="AS93" s="617">
        <f t="shared" si="216"/>
        <v>1046.857143</v>
      </c>
      <c r="AT93" s="617">
        <f>(AR87*0.6)*(AR93/AR105)</f>
        <v>1279.763671</v>
      </c>
      <c r="AU93" s="634">
        <f t="shared" si="217"/>
        <v>2326.620814</v>
      </c>
      <c r="AV93" s="585">
        <f t="shared" si="233"/>
        <v>1072</v>
      </c>
      <c r="AW93" s="617">
        <f t="shared" si="218"/>
        <v>1435.428571</v>
      </c>
      <c r="AX93" s="617">
        <f>(AV87*0.6)*(AV93/AV105)</f>
        <v>1754.785121</v>
      </c>
      <c r="AY93" s="634">
        <f t="shared" si="219"/>
        <v>3190.213692</v>
      </c>
      <c r="AZ93" s="585">
        <f t="shared" si="234"/>
        <v>1072</v>
      </c>
      <c r="BA93" s="617">
        <f t="shared" si="220"/>
        <v>1435.428571</v>
      </c>
      <c r="BB93" s="617">
        <f>(AZ87*0.6)*(AZ93/AZ105)</f>
        <v>1754.785121</v>
      </c>
      <c r="BC93" s="634">
        <f t="shared" si="221"/>
        <v>3190.213692</v>
      </c>
      <c r="BD93" s="585">
        <f t="shared" si="235"/>
        <v>1072</v>
      </c>
      <c r="BE93" s="617">
        <f t="shared" si="222"/>
        <v>1824</v>
      </c>
      <c r="BF93" s="617">
        <f>(BD87*0.6)*(BD93/BD105)</f>
        <v>2229.806571</v>
      </c>
      <c r="BG93" s="634">
        <f t="shared" si="223"/>
        <v>4053.806571</v>
      </c>
      <c r="BH93" s="635">
        <f t="shared" si="236"/>
        <v>1072</v>
      </c>
      <c r="BI93" s="617">
        <f t="shared" si="224"/>
        <v>1824</v>
      </c>
      <c r="BJ93" s="617">
        <f>(BH87*0.6)*(BH93/BH105)</f>
        <v>2229.806571</v>
      </c>
      <c r="BK93" s="634">
        <f t="shared" si="225"/>
        <v>4053.806571</v>
      </c>
      <c r="BL93" s="555"/>
      <c r="BM93" s="555"/>
    </row>
    <row r="94" ht="12.75" customHeight="1">
      <c r="A94" s="588" t="s">
        <v>369</v>
      </c>
      <c r="B94" s="521"/>
      <c r="C94" s="572">
        <f>WA!B110</f>
        <v>45</v>
      </c>
      <c r="D94" s="572">
        <f>WA!C110</f>
        <v>45</v>
      </c>
      <c r="E94" s="572">
        <f>WA!D110</f>
        <v>50</v>
      </c>
      <c r="F94" s="572">
        <f>WA!E110</f>
        <v>55</v>
      </c>
      <c r="G94" s="572">
        <f>WA!F110</f>
        <v>60</v>
      </c>
      <c r="H94" s="572">
        <f>WA!G110</f>
        <v>55</v>
      </c>
      <c r="I94" s="572">
        <f>WA!H110</f>
        <v>60</v>
      </c>
      <c r="J94" s="572">
        <f>WA!I110</f>
        <v>60</v>
      </c>
      <c r="K94" s="572">
        <f>WA!J110</f>
        <v>55</v>
      </c>
      <c r="L94" s="572">
        <f>WA!K110</f>
        <v>60</v>
      </c>
      <c r="M94" s="572">
        <f>WA!L110</f>
        <v>55</v>
      </c>
      <c r="N94" s="572">
        <f>WA!M110</f>
        <v>60</v>
      </c>
      <c r="O94" s="515"/>
      <c r="P94" s="586">
        <f t="shared" si="201"/>
        <v>660</v>
      </c>
      <c r="Q94" s="633">
        <f t="shared" si="202"/>
        <v>214.2857143</v>
      </c>
      <c r="R94" s="617">
        <f>(P87*0.6)*(P94/P105)</f>
        <v>149.6598639</v>
      </c>
      <c r="S94" s="634">
        <f t="shared" si="203"/>
        <v>363.9455782</v>
      </c>
      <c r="T94" s="586">
        <f t="shared" si="204"/>
        <v>660</v>
      </c>
      <c r="U94" s="617">
        <f t="shared" si="205"/>
        <v>214.2857143</v>
      </c>
      <c r="V94" s="617">
        <f>(T87*0.6)*(T94/T105)</f>
        <v>149.6598639</v>
      </c>
      <c r="W94" s="634">
        <f t="shared" si="206"/>
        <v>363.9455782</v>
      </c>
      <c r="X94" s="585">
        <f t="shared" si="207"/>
        <v>660</v>
      </c>
      <c r="Y94" s="617">
        <f t="shared" si="208"/>
        <v>214.2857143</v>
      </c>
      <c r="Z94" s="617">
        <f>(X87*0.6)*(X94/X105)</f>
        <v>149.6598639</v>
      </c>
      <c r="AA94" s="634">
        <f t="shared" si="209"/>
        <v>363.9455782</v>
      </c>
      <c r="AB94" s="585">
        <f t="shared" si="226"/>
        <v>660</v>
      </c>
      <c r="AC94" s="617">
        <f t="shared" si="227"/>
        <v>1127.384615</v>
      </c>
      <c r="AD94" s="617">
        <f>(AB87*0.6)*(AB94/AB105)</f>
        <v>878.029652</v>
      </c>
      <c r="AE94" s="634">
        <f t="shared" si="210"/>
        <v>2005.414267</v>
      </c>
      <c r="AF94" s="585">
        <f t="shared" si="228"/>
        <v>660</v>
      </c>
      <c r="AG94" s="617">
        <f t="shared" si="229"/>
        <v>1964.307692</v>
      </c>
      <c r="AH94" s="617">
        <f>(AF87*0.6)*(AF94/AF105)</f>
        <v>1529.842057</v>
      </c>
      <c r="AI94" s="634">
        <f t="shared" si="211"/>
        <v>3494.14975</v>
      </c>
      <c r="AJ94" s="585">
        <f t="shared" si="230"/>
        <v>660</v>
      </c>
      <c r="AK94" s="617">
        <f t="shared" si="212"/>
        <v>1824</v>
      </c>
      <c r="AL94" s="617">
        <f>(AJ87*0.6)*(AJ94/AJ105)</f>
        <v>1372.828672</v>
      </c>
      <c r="AM94" s="634">
        <f t="shared" si="213"/>
        <v>3196.828672</v>
      </c>
      <c r="AN94" s="585">
        <f t="shared" si="231"/>
        <v>660</v>
      </c>
      <c r="AO94" s="617">
        <f t="shared" si="214"/>
        <v>1046.857143</v>
      </c>
      <c r="AP94" s="617">
        <f>(AN87*0.6)*(AN94/AN105)</f>
        <v>787.9142004</v>
      </c>
      <c r="AQ94" s="634">
        <f t="shared" si="215"/>
        <v>1834.771343</v>
      </c>
      <c r="AR94" s="585">
        <f t="shared" si="232"/>
        <v>660</v>
      </c>
      <c r="AS94" s="617">
        <f t="shared" si="216"/>
        <v>1046.857143</v>
      </c>
      <c r="AT94" s="617">
        <f>(AR87*0.6)*(AR94/AR105)</f>
        <v>787.9142004</v>
      </c>
      <c r="AU94" s="634">
        <f t="shared" si="217"/>
        <v>1834.771343</v>
      </c>
      <c r="AV94" s="585">
        <f t="shared" si="233"/>
        <v>660</v>
      </c>
      <c r="AW94" s="617">
        <f t="shared" si="218"/>
        <v>1435.428571</v>
      </c>
      <c r="AX94" s="617">
        <f>(AV87*0.6)*(AV94/AV105)</f>
        <v>1080.371436</v>
      </c>
      <c r="AY94" s="634">
        <f t="shared" si="219"/>
        <v>2515.800008</v>
      </c>
      <c r="AZ94" s="585">
        <f t="shared" si="234"/>
        <v>660</v>
      </c>
      <c r="BA94" s="617">
        <f t="shared" si="220"/>
        <v>1435.428571</v>
      </c>
      <c r="BB94" s="617">
        <f>(AZ87*0.6)*(AZ94/AZ105)</f>
        <v>1080.371436</v>
      </c>
      <c r="BC94" s="634">
        <f t="shared" si="221"/>
        <v>2515.800008</v>
      </c>
      <c r="BD94" s="585">
        <f t="shared" si="235"/>
        <v>660</v>
      </c>
      <c r="BE94" s="617">
        <f t="shared" si="222"/>
        <v>1824</v>
      </c>
      <c r="BF94" s="617">
        <f>(BD87*0.6)*(BD94/BD105)</f>
        <v>1372.828672</v>
      </c>
      <c r="BG94" s="634">
        <f t="shared" si="223"/>
        <v>3196.828672</v>
      </c>
      <c r="BH94" s="635">
        <f t="shared" si="236"/>
        <v>660</v>
      </c>
      <c r="BI94" s="617">
        <f t="shared" si="224"/>
        <v>1824</v>
      </c>
      <c r="BJ94" s="617">
        <f>(BH87*0.6)*(BH94/BH105)</f>
        <v>1372.828672</v>
      </c>
      <c r="BK94" s="634">
        <f t="shared" si="225"/>
        <v>3196.828672</v>
      </c>
      <c r="BL94" s="555"/>
      <c r="BM94" s="555"/>
    </row>
    <row r="95" ht="12.75" customHeight="1">
      <c r="A95" s="588" t="s">
        <v>385</v>
      </c>
      <c r="B95" s="521"/>
      <c r="C95" s="572">
        <f>AX!B110</f>
        <v>70</v>
      </c>
      <c r="D95" s="572">
        <f>AX!C110</f>
        <v>76</v>
      </c>
      <c r="E95" s="572">
        <f>AX!D110</f>
        <v>85</v>
      </c>
      <c r="F95" s="572">
        <f>AX!E110</f>
        <v>95</v>
      </c>
      <c r="G95" s="572">
        <f>AX!F110</f>
        <v>110</v>
      </c>
      <c r="H95" s="572">
        <f>AX!G110</f>
        <v>110</v>
      </c>
      <c r="I95" s="572">
        <f>AX!H110</f>
        <v>115</v>
      </c>
      <c r="J95" s="572">
        <f>AX!I110</f>
        <v>120</v>
      </c>
      <c r="K95" s="572">
        <f>AX!J110</f>
        <v>110</v>
      </c>
      <c r="L95" s="572">
        <f>AX!K110</f>
        <v>105</v>
      </c>
      <c r="M95" s="572">
        <f>AX!L110</f>
        <v>105</v>
      </c>
      <c r="N95" s="572">
        <f>AX!M110</f>
        <v>130</v>
      </c>
      <c r="O95" s="515"/>
      <c r="P95" s="586">
        <f t="shared" si="201"/>
        <v>1231</v>
      </c>
      <c r="Q95" s="633">
        <f t="shared" si="202"/>
        <v>214.2857143</v>
      </c>
      <c r="R95" s="617">
        <f>(P87*0.6)*(P95/P105)</f>
        <v>279.138322</v>
      </c>
      <c r="S95" s="634">
        <f t="shared" si="203"/>
        <v>493.4240363</v>
      </c>
      <c r="T95" s="586">
        <f t="shared" si="204"/>
        <v>1231</v>
      </c>
      <c r="U95" s="617">
        <f t="shared" si="205"/>
        <v>214.2857143</v>
      </c>
      <c r="V95" s="617">
        <f>(T87*0.6)*(T95/T105)</f>
        <v>279.138322</v>
      </c>
      <c r="W95" s="634">
        <f t="shared" si="206"/>
        <v>493.4240363</v>
      </c>
      <c r="X95" s="585">
        <f t="shared" si="207"/>
        <v>1231</v>
      </c>
      <c r="Y95" s="617">
        <f t="shared" si="208"/>
        <v>214.2857143</v>
      </c>
      <c r="Z95" s="617">
        <f>(X87*0.6)*(X95/X105)</f>
        <v>279.138322</v>
      </c>
      <c r="AA95" s="634">
        <f t="shared" si="209"/>
        <v>493.4240363</v>
      </c>
      <c r="AB95" s="585">
        <f t="shared" si="226"/>
        <v>1231</v>
      </c>
      <c r="AC95" s="617">
        <f t="shared" si="227"/>
        <v>1127.384615</v>
      </c>
      <c r="AD95" s="617">
        <f>(AB87*0.6)*(AB95/AB105)</f>
        <v>1637.658336</v>
      </c>
      <c r="AE95" s="634">
        <f t="shared" si="210"/>
        <v>2765.042951</v>
      </c>
      <c r="AF95" s="585">
        <f t="shared" si="228"/>
        <v>1231</v>
      </c>
      <c r="AG95" s="617">
        <f t="shared" si="229"/>
        <v>1964.307692</v>
      </c>
      <c r="AH95" s="617">
        <f>(AF87*0.6)*(AF95/AF105)</f>
        <v>2853.387231</v>
      </c>
      <c r="AI95" s="634">
        <f t="shared" si="211"/>
        <v>4817.694924</v>
      </c>
      <c r="AJ95" s="585">
        <f t="shared" si="230"/>
        <v>1231</v>
      </c>
      <c r="AK95" s="617">
        <f t="shared" si="212"/>
        <v>1824</v>
      </c>
      <c r="AL95" s="617">
        <f>(AJ87*0.6)*(AJ95/AJ105)</f>
        <v>2560.533478</v>
      </c>
      <c r="AM95" s="634">
        <f t="shared" si="213"/>
        <v>4384.533478</v>
      </c>
      <c r="AN95" s="585">
        <f t="shared" si="231"/>
        <v>1231</v>
      </c>
      <c r="AO95" s="617">
        <f t="shared" si="214"/>
        <v>1046.857143</v>
      </c>
      <c r="AP95" s="617">
        <f>(AN87*0.6)*(AN95/AN105)</f>
        <v>1469.579365</v>
      </c>
      <c r="AQ95" s="634">
        <f t="shared" si="215"/>
        <v>2516.436508</v>
      </c>
      <c r="AR95" s="585">
        <f t="shared" si="232"/>
        <v>1231</v>
      </c>
      <c r="AS95" s="617">
        <f t="shared" si="216"/>
        <v>1046.857143</v>
      </c>
      <c r="AT95" s="617">
        <f>(AR87*0.6)*(AR95/AR105)</f>
        <v>1469.579365</v>
      </c>
      <c r="AU95" s="634">
        <f t="shared" si="217"/>
        <v>2516.436508</v>
      </c>
      <c r="AV95" s="585">
        <f t="shared" si="233"/>
        <v>1231</v>
      </c>
      <c r="AW95" s="617">
        <f t="shared" si="218"/>
        <v>1435.428571</v>
      </c>
      <c r="AX95" s="617">
        <f>(AV87*0.6)*(AV95/AV105)</f>
        <v>2015.056421</v>
      </c>
      <c r="AY95" s="634">
        <f t="shared" si="219"/>
        <v>3450.484993</v>
      </c>
      <c r="AZ95" s="585">
        <f t="shared" si="234"/>
        <v>1231</v>
      </c>
      <c r="BA95" s="617">
        <f t="shared" si="220"/>
        <v>1435.428571</v>
      </c>
      <c r="BB95" s="617">
        <f>(AZ87*0.6)*(AZ95/AZ105)</f>
        <v>2015.056421</v>
      </c>
      <c r="BC95" s="634">
        <f t="shared" si="221"/>
        <v>3450.484993</v>
      </c>
      <c r="BD95" s="585">
        <f t="shared" si="235"/>
        <v>1231</v>
      </c>
      <c r="BE95" s="617">
        <f t="shared" si="222"/>
        <v>1824</v>
      </c>
      <c r="BF95" s="617">
        <f>(BD87*0.6)*(BD95/BD105)</f>
        <v>2560.533478</v>
      </c>
      <c r="BG95" s="634">
        <f t="shared" si="223"/>
        <v>4384.533478</v>
      </c>
      <c r="BH95" s="635">
        <f t="shared" si="236"/>
        <v>1231</v>
      </c>
      <c r="BI95" s="617">
        <f t="shared" si="224"/>
        <v>1824</v>
      </c>
      <c r="BJ95" s="617">
        <f>(BH87*0.6)*(BH95/BH105)</f>
        <v>2560.533478</v>
      </c>
      <c r="BK95" s="634">
        <f t="shared" si="225"/>
        <v>4384.533478</v>
      </c>
      <c r="BL95" s="555"/>
      <c r="BM95" s="555"/>
    </row>
    <row r="96" ht="12.75" customHeight="1">
      <c r="A96" s="588" t="s">
        <v>386</v>
      </c>
      <c r="B96" s="521"/>
      <c r="C96" s="572">
        <f>HY!B110</f>
        <v>50</v>
      </c>
      <c r="D96" s="572">
        <f>HY!C110</f>
        <v>55</v>
      </c>
      <c r="E96" s="572">
        <f>HY!D110</f>
        <v>60</v>
      </c>
      <c r="F96" s="572">
        <f>HY!E110</f>
        <v>70</v>
      </c>
      <c r="G96" s="572">
        <f>HY!F110</f>
        <v>80</v>
      </c>
      <c r="H96" s="572">
        <f>HY!G110</f>
        <v>85</v>
      </c>
      <c r="I96" s="572">
        <f>HY!H110</f>
        <v>90</v>
      </c>
      <c r="J96" s="572">
        <f>HY!I110</f>
        <v>90</v>
      </c>
      <c r="K96" s="572">
        <f>HY!J110</f>
        <v>80</v>
      </c>
      <c r="L96" s="572">
        <f>HY!K110</f>
        <v>85</v>
      </c>
      <c r="M96" s="572">
        <f>HY!L110</f>
        <v>90</v>
      </c>
      <c r="N96" s="572">
        <f>HY!M110</f>
        <v>95</v>
      </c>
      <c r="O96" s="515"/>
      <c r="P96" s="586">
        <f t="shared" si="201"/>
        <v>930</v>
      </c>
      <c r="Q96" s="633">
        <f t="shared" si="202"/>
        <v>214.2857143</v>
      </c>
      <c r="R96" s="617">
        <f>(P87*0.6)*(P96/P105)</f>
        <v>210.8843537</v>
      </c>
      <c r="S96" s="634">
        <f t="shared" si="203"/>
        <v>425.170068</v>
      </c>
      <c r="T96" s="586">
        <f t="shared" si="204"/>
        <v>930</v>
      </c>
      <c r="U96" s="617">
        <f t="shared" si="205"/>
        <v>214.2857143</v>
      </c>
      <c r="V96" s="617">
        <f>(T87*0.6)*(T96/T105)</f>
        <v>210.8843537</v>
      </c>
      <c r="W96" s="634">
        <f t="shared" si="206"/>
        <v>425.170068</v>
      </c>
      <c r="X96" s="585">
        <f t="shared" si="207"/>
        <v>930</v>
      </c>
      <c r="Y96" s="617">
        <f t="shared" si="208"/>
        <v>214.2857143</v>
      </c>
      <c r="Z96" s="617">
        <f>(X87*0.6)*(X96/X105)</f>
        <v>210.8843537</v>
      </c>
      <c r="AA96" s="634">
        <f t="shared" si="209"/>
        <v>425.170068</v>
      </c>
      <c r="AB96" s="585">
        <f t="shared" si="226"/>
        <v>930</v>
      </c>
      <c r="AC96" s="617">
        <f t="shared" si="227"/>
        <v>1127.384615</v>
      </c>
      <c r="AD96" s="617">
        <f>(AB87*0.6)*(AB96/AB105)</f>
        <v>1237.223601</v>
      </c>
      <c r="AE96" s="634">
        <f t="shared" si="210"/>
        <v>2364.608216</v>
      </c>
      <c r="AF96" s="585">
        <f t="shared" si="228"/>
        <v>930</v>
      </c>
      <c r="AG96" s="617">
        <f t="shared" si="229"/>
        <v>1964.307692</v>
      </c>
      <c r="AH96" s="617">
        <f>(AF87*0.6)*(AF96/AF105)</f>
        <v>2155.686536</v>
      </c>
      <c r="AI96" s="634">
        <f t="shared" si="211"/>
        <v>4119.994228</v>
      </c>
      <c r="AJ96" s="585">
        <f t="shared" si="230"/>
        <v>930</v>
      </c>
      <c r="AK96" s="617">
        <f t="shared" si="212"/>
        <v>1824</v>
      </c>
      <c r="AL96" s="617">
        <f>(AJ87*0.6)*(AJ96/AJ105)</f>
        <v>1934.440402</v>
      </c>
      <c r="AM96" s="634">
        <f t="shared" si="213"/>
        <v>3758.440402</v>
      </c>
      <c r="AN96" s="585">
        <f t="shared" si="231"/>
        <v>930</v>
      </c>
      <c r="AO96" s="617">
        <f t="shared" si="214"/>
        <v>1046.857143</v>
      </c>
      <c r="AP96" s="617">
        <f>(AN87*0.6)*(AN96/AN105)</f>
        <v>1110.242737</v>
      </c>
      <c r="AQ96" s="634">
        <f t="shared" si="215"/>
        <v>2157.09988</v>
      </c>
      <c r="AR96" s="585">
        <f t="shared" si="232"/>
        <v>930</v>
      </c>
      <c r="AS96" s="617">
        <f t="shared" si="216"/>
        <v>1046.857143</v>
      </c>
      <c r="AT96" s="617">
        <f>(AR87*0.6)*(AR96/AR105)</f>
        <v>1110.242737</v>
      </c>
      <c r="AU96" s="634">
        <f t="shared" si="217"/>
        <v>2157.09988</v>
      </c>
      <c r="AV96" s="585">
        <f t="shared" si="233"/>
        <v>930</v>
      </c>
      <c r="AW96" s="617">
        <f t="shared" si="218"/>
        <v>1435.428571</v>
      </c>
      <c r="AX96" s="617">
        <f>(AV87*0.6)*(AV96/AV105)</f>
        <v>1522.341569</v>
      </c>
      <c r="AY96" s="634">
        <f t="shared" si="219"/>
        <v>2957.770141</v>
      </c>
      <c r="AZ96" s="585">
        <f t="shared" si="234"/>
        <v>930</v>
      </c>
      <c r="BA96" s="617">
        <f t="shared" si="220"/>
        <v>1435.428571</v>
      </c>
      <c r="BB96" s="617">
        <f>(AZ87*0.6)*(AZ96/AZ105)</f>
        <v>1522.341569</v>
      </c>
      <c r="BC96" s="634">
        <f t="shared" si="221"/>
        <v>2957.770141</v>
      </c>
      <c r="BD96" s="585">
        <f t="shared" si="235"/>
        <v>930</v>
      </c>
      <c r="BE96" s="617">
        <f t="shared" si="222"/>
        <v>1824</v>
      </c>
      <c r="BF96" s="617">
        <f>(BD87*0.6)*(BD96/BD105)</f>
        <v>1934.440402</v>
      </c>
      <c r="BG96" s="634">
        <f t="shared" si="223"/>
        <v>3758.440402</v>
      </c>
      <c r="BH96" s="635">
        <f t="shared" si="236"/>
        <v>930</v>
      </c>
      <c r="BI96" s="617">
        <f t="shared" si="224"/>
        <v>1824</v>
      </c>
      <c r="BJ96" s="617">
        <f>(BH87*0.6)*(BH96/BH105)</f>
        <v>1934.440402</v>
      </c>
      <c r="BK96" s="634">
        <f t="shared" si="225"/>
        <v>3758.440402</v>
      </c>
      <c r="BL96" s="555"/>
      <c r="BM96" s="555"/>
    </row>
    <row r="97" ht="12.75" customHeight="1">
      <c r="A97" s="588" t="s">
        <v>387</v>
      </c>
      <c r="B97" s="521"/>
      <c r="C97" s="572">
        <f>VW!B110</f>
        <v>70</v>
      </c>
      <c r="D97" s="572">
        <f>VW!C110</f>
        <v>75</v>
      </c>
      <c r="E97" s="572">
        <f>VW!D110</f>
        <v>80</v>
      </c>
      <c r="F97" s="572">
        <f>VW!E110</f>
        <v>80</v>
      </c>
      <c r="G97" s="572">
        <f>VW!F110</f>
        <v>90</v>
      </c>
      <c r="H97" s="572">
        <f>VW!G110</f>
        <v>90</v>
      </c>
      <c r="I97" s="572">
        <f>VW!H110</f>
        <v>95</v>
      </c>
      <c r="J97" s="572">
        <f>VW!I110</f>
        <v>95</v>
      </c>
      <c r="K97" s="572">
        <f>VW!J110</f>
        <v>85</v>
      </c>
      <c r="L97" s="572">
        <f>VW!K110</f>
        <v>85</v>
      </c>
      <c r="M97" s="572">
        <f>VW!L110</f>
        <v>85</v>
      </c>
      <c r="N97" s="572">
        <f>VW!M110</f>
        <v>95</v>
      </c>
      <c r="O97" s="515"/>
      <c r="P97" s="586">
        <f t="shared" si="201"/>
        <v>1025</v>
      </c>
      <c r="Q97" s="633">
        <f t="shared" si="202"/>
        <v>214.2857143</v>
      </c>
      <c r="R97" s="617">
        <f>(P87*0.6)*(P97/P105)</f>
        <v>232.4263039</v>
      </c>
      <c r="S97" s="634">
        <f t="shared" si="203"/>
        <v>446.7120181</v>
      </c>
      <c r="T97" s="586">
        <f t="shared" si="204"/>
        <v>1025</v>
      </c>
      <c r="U97" s="617">
        <f t="shared" si="205"/>
        <v>214.2857143</v>
      </c>
      <c r="V97" s="617">
        <f>(T87*0.6)*(T97/T105)</f>
        <v>232.4263039</v>
      </c>
      <c r="W97" s="634">
        <f t="shared" si="206"/>
        <v>446.7120181</v>
      </c>
      <c r="X97" s="585">
        <f t="shared" si="207"/>
        <v>1025</v>
      </c>
      <c r="Y97" s="617">
        <f t="shared" si="208"/>
        <v>214.2857143</v>
      </c>
      <c r="Z97" s="617">
        <f>(X87*0.6)*(X97/X105)</f>
        <v>232.4263039</v>
      </c>
      <c r="AA97" s="634">
        <f t="shared" si="209"/>
        <v>446.7120181</v>
      </c>
      <c r="AB97" s="585">
        <f t="shared" si="226"/>
        <v>1025</v>
      </c>
      <c r="AC97" s="617">
        <f t="shared" si="227"/>
        <v>1127.384615</v>
      </c>
      <c r="AD97" s="617">
        <f>(AB87*0.6)*(AB97/AB105)</f>
        <v>1363.606657</v>
      </c>
      <c r="AE97" s="634">
        <f t="shared" si="210"/>
        <v>2490.991272</v>
      </c>
      <c r="AF97" s="585">
        <f t="shared" si="228"/>
        <v>1025</v>
      </c>
      <c r="AG97" s="617">
        <f t="shared" si="229"/>
        <v>1964.307692</v>
      </c>
      <c r="AH97" s="617">
        <f>(AF87*0.6)*(AF97/AF105)</f>
        <v>2375.891074</v>
      </c>
      <c r="AI97" s="634">
        <f t="shared" si="211"/>
        <v>4340.198766</v>
      </c>
      <c r="AJ97" s="585">
        <f t="shared" si="230"/>
        <v>1025</v>
      </c>
      <c r="AK97" s="617">
        <f t="shared" si="212"/>
        <v>1824</v>
      </c>
      <c r="AL97" s="617">
        <f>(AJ87*0.6)*(AJ97/AJ105)</f>
        <v>2132.044529</v>
      </c>
      <c r="AM97" s="634">
        <f t="shared" si="213"/>
        <v>3956.044529</v>
      </c>
      <c r="AN97" s="585">
        <f t="shared" si="231"/>
        <v>1025</v>
      </c>
      <c r="AO97" s="617">
        <f t="shared" si="214"/>
        <v>1046.857143</v>
      </c>
      <c r="AP97" s="617">
        <f>(AN87*0.6)*(AN97/AN105)</f>
        <v>1223.654629</v>
      </c>
      <c r="AQ97" s="634">
        <f t="shared" si="215"/>
        <v>2270.511772</v>
      </c>
      <c r="AR97" s="585">
        <f t="shared" si="232"/>
        <v>1025</v>
      </c>
      <c r="AS97" s="617">
        <f t="shared" si="216"/>
        <v>1046.857143</v>
      </c>
      <c r="AT97" s="617">
        <f>(AR87*0.6)*(AR97/AR105)</f>
        <v>1223.654629</v>
      </c>
      <c r="AU97" s="634">
        <f t="shared" si="217"/>
        <v>2270.511772</v>
      </c>
      <c r="AV97" s="585">
        <f t="shared" si="233"/>
        <v>1025</v>
      </c>
      <c r="AW97" s="617">
        <f t="shared" si="218"/>
        <v>1435.428571</v>
      </c>
      <c r="AX97" s="617">
        <f>(AV87*0.6)*(AV97/AV105)</f>
        <v>1677.849579</v>
      </c>
      <c r="AY97" s="634">
        <f t="shared" si="219"/>
        <v>3113.278151</v>
      </c>
      <c r="AZ97" s="585">
        <f t="shared" si="234"/>
        <v>1025</v>
      </c>
      <c r="BA97" s="617">
        <f t="shared" si="220"/>
        <v>1435.428571</v>
      </c>
      <c r="BB97" s="617">
        <f>(AZ87*0.6)*(AZ97/AZ105)</f>
        <v>1677.849579</v>
      </c>
      <c r="BC97" s="634">
        <f t="shared" si="221"/>
        <v>3113.278151</v>
      </c>
      <c r="BD97" s="585">
        <f t="shared" si="235"/>
        <v>1025</v>
      </c>
      <c r="BE97" s="617">
        <f t="shared" si="222"/>
        <v>1824</v>
      </c>
      <c r="BF97" s="617">
        <f>(BD87*0.6)*(BD97/BD105)</f>
        <v>2132.044529</v>
      </c>
      <c r="BG97" s="634">
        <f t="shared" si="223"/>
        <v>3956.044529</v>
      </c>
      <c r="BH97" s="635">
        <f t="shared" si="236"/>
        <v>1025</v>
      </c>
      <c r="BI97" s="617">
        <f t="shared" si="224"/>
        <v>1824</v>
      </c>
      <c r="BJ97" s="617">
        <f>(BH87*0.6)*(BH97/BH105)</f>
        <v>2132.044529</v>
      </c>
      <c r="BK97" s="634">
        <f t="shared" si="225"/>
        <v>3956.044529</v>
      </c>
      <c r="BL97" s="555"/>
      <c r="BM97" s="555"/>
    </row>
    <row r="98" ht="12.75" customHeight="1">
      <c r="A98" s="588" t="s">
        <v>388</v>
      </c>
      <c r="B98" s="521"/>
      <c r="C98" s="591">
        <f>SU!B110</f>
        <v>80</v>
      </c>
      <c r="D98" s="591">
        <f>SU!C110</f>
        <v>80</v>
      </c>
      <c r="E98" s="591">
        <f>SU!D110</f>
        <v>90</v>
      </c>
      <c r="F98" s="591">
        <f>SU!E110</f>
        <v>100</v>
      </c>
      <c r="G98" s="591">
        <f>SU!F110</f>
        <v>100</v>
      </c>
      <c r="H98" s="591">
        <f>SU!G110</f>
        <v>110</v>
      </c>
      <c r="I98" s="591">
        <f>SU!H110</f>
        <v>100</v>
      </c>
      <c r="J98" s="591">
        <f>SU!I110</f>
        <v>100</v>
      </c>
      <c r="K98" s="591">
        <f>SU!J110</f>
        <v>110</v>
      </c>
      <c r="L98" s="591">
        <f>SU!K110</f>
        <v>100</v>
      </c>
      <c r="M98" s="591">
        <f>SU!L110</f>
        <v>110</v>
      </c>
      <c r="N98" s="591">
        <f>SU!M110</f>
        <v>120</v>
      </c>
      <c r="O98" s="515"/>
      <c r="P98" s="586">
        <f t="shared" si="201"/>
        <v>1200</v>
      </c>
      <c r="Q98" s="633">
        <f t="shared" si="202"/>
        <v>214.2857143</v>
      </c>
      <c r="R98" s="617">
        <f>(P87*0.6)*(P98/P105)</f>
        <v>272.1088435</v>
      </c>
      <c r="S98" s="634">
        <f t="shared" si="203"/>
        <v>486.3945578</v>
      </c>
      <c r="T98" s="586">
        <f t="shared" si="204"/>
        <v>1200</v>
      </c>
      <c r="U98" s="617">
        <f t="shared" si="205"/>
        <v>214.2857143</v>
      </c>
      <c r="V98" s="617">
        <f>(T87*0.6)*(T98/T105)</f>
        <v>272.1088435</v>
      </c>
      <c r="W98" s="634">
        <f t="shared" si="206"/>
        <v>486.3945578</v>
      </c>
      <c r="X98" s="585">
        <f t="shared" si="207"/>
        <v>1200</v>
      </c>
      <c r="Y98" s="617">
        <f t="shared" si="208"/>
        <v>214.2857143</v>
      </c>
      <c r="Z98" s="617">
        <f>(X87*0.6)*(X98/X105)</f>
        <v>272.1088435</v>
      </c>
      <c r="AA98" s="634">
        <f t="shared" si="209"/>
        <v>486.3945578</v>
      </c>
      <c r="AB98" s="585">
        <f t="shared" si="226"/>
        <v>1200</v>
      </c>
      <c r="AC98" s="617">
        <f t="shared" si="227"/>
        <v>1127.384615</v>
      </c>
      <c r="AD98" s="617">
        <f>(AB87*0.6)*(AB98/AB105)</f>
        <v>1596.417549</v>
      </c>
      <c r="AE98" s="634">
        <f t="shared" si="210"/>
        <v>2723.802165</v>
      </c>
      <c r="AF98" s="585">
        <f t="shared" si="228"/>
        <v>1200</v>
      </c>
      <c r="AG98" s="617">
        <f t="shared" si="229"/>
        <v>1964.307692</v>
      </c>
      <c r="AH98" s="617">
        <f>(AF87*0.6)*(AF98/AF105)</f>
        <v>2781.531014</v>
      </c>
      <c r="AI98" s="634">
        <f t="shared" si="211"/>
        <v>4745.838706</v>
      </c>
      <c r="AJ98" s="585">
        <f t="shared" si="230"/>
        <v>1200</v>
      </c>
      <c r="AK98" s="617">
        <f t="shared" si="212"/>
        <v>1824</v>
      </c>
      <c r="AL98" s="617">
        <f>(AJ87*0.6)*(AJ98/AJ105)</f>
        <v>2496.052131</v>
      </c>
      <c r="AM98" s="634">
        <f t="shared" si="213"/>
        <v>4320.052131</v>
      </c>
      <c r="AN98" s="585">
        <f t="shared" si="231"/>
        <v>1200</v>
      </c>
      <c r="AO98" s="617">
        <f t="shared" si="214"/>
        <v>1046.857143</v>
      </c>
      <c r="AP98" s="617">
        <f>(AN87*0.6)*(AN98/AN105)</f>
        <v>1432.571273</v>
      </c>
      <c r="AQ98" s="634">
        <f t="shared" si="215"/>
        <v>2479.428416</v>
      </c>
      <c r="AR98" s="585">
        <f t="shared" si="232"/>
        <v>1200</v>
      </c>
      <c r="AS98" s="617">
        <f t="shared" si="216"/>
        <v>1046.857143</v>
      </c>
      <c r="AT98" s="617">
        <f>(AR87*0.6)*(AR98/AR105)</f>
        <v>1432.571273</v>
      </c>
      <c r="AU98" s="634">
        <f t="shared" si="217"/>
        <v>2479.428416</v>
      </c>
      <c r="AV98" s="585">
        <f t="shared" si="233"/>
        <v>1200</v>
      </c>
      <c r="AW98" s="617">
        <f t="shared" si="218"/>
        <v>1435.428571</v>
      </c>
      <c r="AX98" s="617">
        <f>(AV87*0.6)*(AV98/AV105)</f>
        <v>1964.311702</v>
      </c>
      <c r="AY98" s="634">
        <f t="shared" si="219"/>
        <v>3399.740274</v>
      </c>
      <c r="AZ98" s="585">
        <f t="shared" si="234"/>
        <v>1200</v>
      </c>
      <c r="BA98" s="617">
        <f t="shared" si="220"/>
        <v>1435.428571</v>
      </c>
      <c r="BB98" s="617">
        <f>(AZ87*0.6)*(AZ98/AZ105)</f>
        <v>1964.311702</v>
      </c>
      <c r="BC98" s="634">
        <f t="shared" si="221"/>
        <v>3399.740274</v>
      </c>
      <c r="BD98" s="585">
        <f t="shared" si="235"/>
        <v>1200</v>
      </c>
      <c r="BE98" s="617">
        <f t="shared" si="222"/>
        <v>1824</v>
      </c>
      <c r="BF98" s="617">
        <f>(BD87*0.6)*(BD98/BD105)</f>
        <v>2496.052131</v>
      </c>
      <c r="BG98" s="634">
        <f t="shared" si="223"/>
        <v>4320.052131</v>
      </c>
      <c r="BH98" s="635">
        <f t="shared" si="236"/>
        <v>1200</v>
      </c>
      <c r="BI98" s="617">
        <f t="shared" si="224"/>
        <v>1824</v>
      </c>
      <c r="BJ98" s="617">
        <f>(BH87*0.6)*(BH98/BH105)</f>
        <v>2496.052131</v>
      </c>
      <c r="BK98" s="634">
        <f t="shared" si="225"/>
        <v>4320.052131</v>
      </c>
      <c r="BL98" s="555"/>
      <c r="BM98" s="555"/>
    </row>
    <row r="99" ht="12.75" customHeight="1">
      <c r="A99" s="592" t="s">
        <v>389</v>
      </c>
      <c r="B99" s="521"/>
      <c r="C99" s="553">
        <f>FR!B110</f>
        <v>140</v>
      </c>
      <c r="D99" s="553">
        <f>FR!C110</f>
        <v>140</v>
      </c>
      <c r="E99" s="553">
        <f>FR!D110</f>
        <v>150</v>
      </c>
      <c r="F99" s="553">
        <f>FR!E110</f>
        <v>145</v>
      </c>
      <c r="G99" s="553">
        <f>FR!F110</f>
        <v>160</v>
      </c>
      <c r="H99" s="553">
        <f>FR!G110</f>
        <v>140</v>
      </c>
      <c r="I99" s="553">
        <f>FR!H110</f>
        <v>175</v>
      </c>
      <c r="J99" s="553">
        <f>FR!I110</f>
        <v>175</v>
      </c>
      <c r="K99" s="553">
        <f>FR!J110</f>
        <v>160</v>
      </c>
      <c r="L99" s="553">
        <f>FR!K110</f>
        <v>170</v>
      </c>
      <c r="M99" s="553">
        <f>FR!L110</f>
        <v>160</v>
      </c>
      <c r="N99" s="553">
        <f>FR!M110</f>
        <v>180</v>
      </c>
      <c r="O99" s="515"/>
      <c r="P99" s="636">
        <f t="shared" si="201"/>
        <v>1895</v>
      </c>
      <c r="Q99" s="633">
        <f t="shared" si="202"/>
        <v>214.2857143</v>
      </c>
      <c r="R99" s="617">
        <f>(P87*0.6)*(P99/P105)</f>
        <v>429.7052154</v>
      </c>
      <c r="S99" s="634">
        <f t="shared" si="203"/>
        <v>643.9909297</v>
      </c>
      <c r="T99" s="636">
        <f t="shared" si="204"/>
        <v>1895</v>
      </c>
      <c r="U99" s="617">
        <f t="shared" si="205"/>
        <v>214.2857143</v>
      </c>
      <c r="V99" s="617">
        <f>(T87*0.6)*(T99/T105)</f>
        <v>429.7052154</v>
      </c>
      <c r="W99" s="634">
        <f t="shared" si="206"/>
        <v>643.9909297</v>
      </c>
      <c r="X99" s="585">
        <f t="shared" si="207"/>
        <v>1895</v>
      </c>
      <c r="Y99" s="617">
        <f t="shared" si="208"/>
        <v>214.2857143</v>
      </c>
      <c r="Z99" s="617">
        <f>(X87*0.6)*(X99/X105)</f>
        <v>429.7052154</v>
      </c>
      <c r="AA99" s="634">
        <f t="shared" si="209"/>
        <v>643.9909297</v>
      </c>
      <c r="AB99" s="585">
        <f t="shared" si="226"/>
        <v>1895</v>
      </c>
      <c r="AC99" s="617">
        <f t="shared" si="227"/>
        <v>1127.384615</v>
      </c>
      <c r="AD99" s="617">
        <f>(AB87*0.6)*(AB99/AB105)</f>
        <v>2521.00938</v>
      </c>
      <c r="AE99" s="634">
        <f t="shared" si="210"/>
        <v>3648.393995</v>
      </c>
      <c r="AF99" s="585">
        <f t="shared" si="228"/>
        <v>1895</v>
      </c>
      <c r="AG99" s="617">
        <f t="shared" si="229"/>
        <v>1964.307692</v>
      </c>
      <c r="AH99" s="617">
        <f>(AF87*0.6)*(AF99/AF105)</f>
        <v>4392.501059</v>
      </c>
      <c r="AI99" s="634">
        <f t="shared" si="211"/>
        <v>6356.808751</v>
      </c>
      <c r="AJ99" s="585">
        <f t="shared" si="230"/>
        <v>1895</v>
      </c>
      <c r="AK99" s="617">
        <f t="shared" si="212"/>
        <v>1824</v>
      </c>
      <c r="AL99" s="617">
        <f>(AJ87*0.6)*(AJ99/AJ105)</f>
        <v>3941.682324</v>
      </c>
      <c r="AM99" s="634">
        <f t="shared" si="213"/>
        <v>5765.682324</v>
      </c>
      <c r="AN99" s="585">
        <f t="shared" si="231"/>
        <v>1895</v>
      </c>
      <c r="AO99" s="617">
        <f t="shared" si="214"/>
        <v>1046.857143</v>
      </c>
      <c r="AP99" s="617">
        <f>(AN87*0.6)*(AN99/AN105)</f>
        <v>2262.268803</v>
      </c>
      <c r="AQ99" s="634">
        <f t="shared" si="215"/>
        <v>3309.125945</v>
      </c>
      <c r="AR99" s="585">
        <f t="shared" si="232"/>
        <v>1895</v>
      </c>
      <c r="AS99" s="617">
        <f t="shared" si="216"/>
        <v>1046.857143</v>
      </c>
      <c r="AT99" s="617">
        <f>(AR87*0.6)*(AR99/AR105)</f>
        <v>2262.268803</v>
      </c>
      <c r="AU99" s="634">
        <f t="shared" si="217"/>
        <v>3309.125945</v>
      </c>
      <c r="AV99" s="585">
        <f t="shared" si="233"/>
        <v>1895</v>
      </c>
      <c r="AW99" s="617">
        <f t="shared" si="218"/>
        <v>1435.428571</v>
      </c>
      <c r="AX99" s="617">
        <f>(AV87*0.6)*(AV99/AV105)</f>
        <v>3101.975563</v>
      </c>
      <c r="AY99" s="634">
        <f t="shared" si="219"/>
        <v>4537.404135</v>
      </c>
      <c r="AZ99" s="585">
        <f t="shared" si="234"/>
        <v>1895</v>
      </c>
      <c r="BA99" s="617">
        <f t="shared" si="220"/>
        <v>1435.428571</v>
      </c>
      <c r="BB99" s="617">
        <f>(AZ87*0.6)*(AZ99/AZ105)</f>
        <v>3101.975563</v>
      </c>
      <c r="BC99" s="634">
        <f t="shared" si="221"/>
        <v>4537.404135</v>
      </c>
      <c r="BD99" s="585">
        <f t="shared" si="235"/>
        <v>1895</v>
      </c>
      <c r="BE99" s="617">
        <f t="shared" si="222"/>
        <v>1824</v>
      </c>
      <c r="BF99" s="617">
        <f>(BD87*0.6)*(BD99/BD105)</f>
        <v>3941.682324</v>
      </c>
      <c r="BG99" s="634">
        <f t="shared" si="223"/>
        <v>5765.682324</v>
      </c>
      <c r="BH99" s="635">
        <f t="shared" si="236"/>
        <v>1895</v>
      </c>
      <c r="BI99" s="617">
        <f t="shared" si="224"/>
        <v>1824</v>
      </c>
      <c r="BJ99" s="617">
        <f>(BH87*0.6)*(BH99/BH105)</f>
        <v>3941.682324</v>
      </c>
      <c r="BK99" s="634">
        <f t="shared" si="225"/>
        <v>5765.682324</v>
      </c>
      <c r="BL99" s="555"/>
      <c r="BM99" s="555"/>
    </row>
    <row r="100" ht="12.75" customHeight="1">
      <c r="A100" s="592" t="s">
        <v>390</v>
      </c>
      <c r="B100" s="521"/>
      <c r="C100" s="553">
        <f>ST!B110</f>
        <v>75</v>
      </c>
      <c r="D100" s="553">
        <f>ST!C110</f>
        <v>75</v>
      </c>
      <c r="E100" s="553">
        <f>ST!D110</f>
        <v>80</v>
      </c>
      <c r="F100" s="553">
        <f>ST!E110</f>
        <v>80</v>
      </c>
      <c r="G100" s="553">
        <f>ST!F110</f>
        <v>85</v>
      </c>
      <c r="H100" s="553">
        <f>ST!G110</f>
        <v>90</v>
      </c>
      <c r="I100" s="553">
        <f>ST!H110</f>
        <v>120</v>
      </c>
      <c r="J100" s="553">
        <f>ST!I110</f>
        <v>135</v>
      </c>
      <c r="K100" s="553">
        <f>ST!J110</f>
        <v>130</v>
      </c>
      <c r="L100" s="553">
        <f>ST!K110</f>
        <v>130</v>
      </c>
      <c r="M100" s="553">
        <f>ST!L110</f>
        <v>115</v>
      </c>
      <c r="N100" s="553">
        <f>ST!M110</f>
        <v>130</v>
      </c>
      <c r="O100" s="515"/>
      <c r="P100" s="636">
        <f t="shared" si="201"/>
        <v>1245</v>
      </c>
      <c r="Q100" s="633">
        <f t="shared" si="202"/>
        <v>214.2857143</v>
      </c>
      <c r="R100" s="617">
        <f>(P87*0.6)*(P100/P105)</f>
        <v>282.3129252</v>
      </c>
      <c r="S100" s="634">
        <f t="shared" si="203"/>
        <v>496.5986395</v>
      </c>
      <c r="T100" s="636">
        <f t="shared" si="204"/>
        <v>1245</v>
      </c>
      <c r="U100" s="617">
        <f t="shared" si="205"/>
        <v>214.2857143</v>
      </c>
      <c r="V100" s="617">
        <f>(T87*0.6)*(T100/T105)</f>
        <v>282.3129252</v>
      </c>
      <c r="W100" s="634">
        <f t="shared" si="206"/>
        <v>496.5986395</v>
      </c>
      <c r="X100" s="585">
        <f t="shared" si="207"/>
        <v>1245</v>
      </c>
      <c r="Y100" s="617">
        <f t="shared" si="208"/>
        <v>214.2857143</v>
      </c>
      <c r="Z100" s="617">
        <f>(X87*0.6)*(X100/X105)</f>
        <v>282.3129252</v>
      </c>
      <c r="AA100" s="634">
        <f t="shared" si="209"/>
        <v>496.5986395</v>
      </c>
      <c r="AB100" s="585">
        <f t="shared" si="226"/>
        <v>1245</v>
      </c>
      <c r="AC100" s="617">
        <f t="shared" si="227"/>
        <v>1127.384615</v>
      </c>
      <c r="AD100" s="617">
        <f>(AB87*0.6)*(AB100/AB105)</f>
        <v>1656.283207</v>
      </c>
      <c r="AE100" s="634">
        <f t="shared" si="210"/>
        <v>2783.667823</v>
      </c>
      <c r="AF100" s="585">
        <f t="shared" si="228"/>
        <v>1245</v>
      </c>
      <c r="AG100" s="617">
        <f t="shared" si="229"/>
        <v>1964.307692</v>
      </c>
      <c r="AH100" s="617">
        <f>(AF87*0.6)*(AF100/AF105)</f>
        <v>2885.838427</v>
      </c>
      <c r="AI100" s="634">
        <f t="shared" si="211"/>
        <v>4850.146119</v>
      </c>
      <c r="AJ100" s="585">
        <f t="shared" si="230"/>
        <v>1245</v>
      </c>
      <c r="AK100" s="617">
        <f t="shared" si="212"/>
        <v>1824</v>
      </c>
      <c r="AL100" s="617">
        <f>(AJ87*0.6)*(AJ100/AJ105)</f>
        <v>2589.654086</v>
      </c>
      <c r="AM100" s="634">
        <f t="shared" si="213"/>
        <v>4413.654086</v>
      </c>
      <c r="AN100" s="585">
        <f t="shared" si="231"/>
        <v>1245</v>
      </c>
      <c r="AO100" s="617">
        <f t="shared" si="214"/>
        <v>1046.857143</v>
      </c>
      <c r="AP100" s="617">
        <f>(AN87*0.6)*(AN100/AN105)</f>
        <v>1486.292696</v>
      </c>
      <c r="AQ100" s="634">
        <f t="shared" si="215"/>
        <v>2533.149839</v>
      </c>
      <c r="AR100" s="585">
        <f t="shared" si="232"/>
        <v>1245</v>
      </c>
      <c r="AS100" s="617">
        <f t="shared" si="216"/>
        <v>1046.857143</v>
      </c>
      <c r="AT100" s="617">
        <f>(AR87*0.6)*(AR100/AR105)</f>
        <v>1486.292696</v>
      </c>
      <c r="AU100" s="634">
        <f t="shared" si="217"/>
        <v>2533.149839</v>
      </c>
      <c r="AV100" s="585">
        <f t="shared" si="233"/>
        <v>1245</v>
      </c>
      <c r="AW100" s="617">
        <f t="shared" si="218"/>
        <v>1435.428571</v>
      </c>
      <c r="AX100" s="617">
        <f>(AV87*0.6)*(AV100/AV105)</f>
        <v>2037.973391</v>
      </c>
      <c r="AY100" s="634">
        <f t="shared" si="219"/>
        <v>3473.401963</v>
      </c>
      <c r="AZ100" s="585">
        <f t="shared" si="234"/>
        <v>1245</v>
      </c>
      <c r="BA100" s="617">
        <f t="shared" si="220"/>
        <v>1435.428571</v>
      </c>
      <c r="BB100" s="617">
        <f>(AZ87*0.6)*(AZ100/AZ105)</f>
        <v>2037.973391</v>
      </c>
      <c r="BC100" s="634">
        <f t="shared" si="221"/>
        <v>3473.401963</v>
      </c>
      <c r="BD100" s="585">
        <f t="shared" si="235"/>
        <v>1245</v>
      </c>
      <c r="BE100" s="617">
        <f t="shared" si="222"/>
        <v>1824</v>
      </c>
      <c r="BF100" s="617">
        <f>(BD87*0.6)*(BD100/BD105)</f>
        <v>2589.654086</v>
      </c>
      <c r="BG100" s="634">
        <f t="shared" si="223"/>
        <v>4413.654086</v>
      </c>
      <c r="BH100" s="635">
        <f t="shared" si="236"/>
        <v>1245</v>
      </c>
      <c r="BI100" s="617">
        <f t="shared" si="224"/>
        <v>1824</v>
      </c>
      <c r="BJ100" s="617">
        <f>(BH87*0.6)*(BH100/BH105)</f>
        <v>2589.654086</v>
      </c>
      <c r="BK100" s="634">
        <f t="shared" si="225"/>
        <v>4413.654086</v>
      </c>
      <c r="BL100" s="555"/>
      <c r="BM100" s="555"/>
    </row>
    <row r="101" ht="12.75" customHeight="1">
      <c r="A101" s="592" t="s">
        <v>391</v>
      </c>
      <c r="B101" s="521"/>
      <c r="C101" s="553">
        <f>HSU!B110</f>
        <v>60</v>
      </c>
      <c r="D101" s="553">
        <f>HSU!C110</f>
        <v>60</v>
      </c>
      <c r="E101" s="553">
        <f>HSU!D110</f>
        <v>65</v>
      </c>
      <c r="F101" s="553">
        <f>HSU!E110</f>
        <v>75</v>
      </c>
      <c r="G101" s="553">
        <f>HSU!F110</f>
        <v>85</v>
      </c>
      <c r="H101" s="553">
        <f>HSU!G110</f>
        <v>90</v>
      </c>
      <c r="I101" s="553">
        <f>HSU!H110</f>
        <v>100</v>
      </c>
      <c r="J101" s="553">
        <f>HSU!I110</f>
        <v>90</v>
      </c>
      <c r="K101" s="553">
        <f>HSU!J110</f>
        <v>105</v>
      </c>
      <c r="L101" s="553">
        <f>HSU!K110</f>
        <v>95</v>
      </c>
      <c r="M101" s="553">
        <f>HSU!L110</f>
        <v>95</v>
      </c>
      <c r="N101" s="553">
        <f>HSU!M110</f>
        <v>105</v>
      </c>
      <c r="O101" s="515"/>
      <c r="P101" s="636">
        <f t="shared" si="201"/>
        <v>1025</v>
      </c>
      <c r="Q101" s="633">
        <f t="shared" ref="Q101:Q104" si="237">(P$87*0.4/14)/2</f>
        <v>107.1428571</v>
      </c>
      <c r="R101" s="617">
        <f>(P87*0.6)*(P101/P105)</f>
        <v>232.4263039</v>
      </c>
      <c r="S101" s="634">
        <f t="shared" si="203"/>
        <v>339.569161</v>
      </c>
      <c r="T101" s="636">
        <f t="shared" si="204"/>
        <v>1025</v>
      </c>
      <c r="U101" s="617">
        <f t="shared" ref="U101:U104" si="238">(T$87*0.4/14)/2</f>
        <v>107.1428571</v>
      </c>
      <c r="V101" s="617">
        <f>(T87*0.6)*(T101/T105)</f>
        <v>232.4263039</v>
      </c>
      <c r="W101" s="634">
        <f t="shared" si="206"/>
        <v>339.569161</v>
      </c>
      <c r="X101" s="585">
        <f t="shared" si="207"/>
        <v>1025</v>
      </c>
      <c r="Y101" s="617">
        <f t="shared" ref="Y101:Y104" si="239">(X$87*0.4/14)/2</f>
        <v>107.1428571</v>
      </c>
      <c r="Z101" s="617">
        <f>(X87*0.6)*(X101/X105)</f>
        <v>232.4263039</v>
      </c>
      <c r="AA101" s="634">
        <f t="shared" si="209"/>
        <v>339.569161</v>
      </c>
      <c r="AB101" s="585">
        <f t="shared" si="226"/>
        <v>1025</v>
      </c>
      <c r="AC101" s="617">
        <f t="shared" ref="AC101:AC104" si="240">(AB$87*0.4/13)/2</f>
        <v>563.6923077</v>
      </c>
      <c r="AD101" s="617">
        <f>(AB87*0.6)*(AB101/AB105)</f>
        <v>1363.606657</v>
      </c>
      <c r="AE101" s="634">
        <f t="shared" si="210"/>
        <v>1927.298964</v>
      </c>
      <c r="AF101" s="585">
        <f t="shared" si="228"/>
        <v>1025</v>
      </c>
      <c r="AG101" s="617">
        <f t="shared" ref="AG101:AG104" si="241">(AF$87*0.4/13)/2</f>
        <v>982.1538462</v>
      </c>
      <c r="AH101" s="617">
        <f>(AF87*0.6)*(AF101/AF105)</f>
        <v>2375.891074</v>
      </c>
      <c r="AI101" s="634">
        <f t="shared" si="211"/>
        <v>3358.04492</v>
      </c>
      <c r="AJ101" s="585">
        <f t="shared" si="230"/>
        <v>1025</v>
      </c>
      <c r="AK101" s="617">
        <f t="shared" ref="AK101:AK104" si="242">(AJ$87*0.4/14)/2</f>
        <v>912</v>
      </c>
      <c r="AL101" s="617">
        <f>(AJ87*0.6)*(AJ101/AJ105)</f>
        <v>2132.044529</v>
      </c>
      <c r="AM101" s="634">
        <f t="shared" si="213"/>
        <v>3044.044529</v>
      </c>
      <c r="AN101" s="585">
        <f t="shared" si="231"/>
        <v>1025</v>
      </c>
      <c r="AO101" s="617">
        <f t="shared" ref="AO101:AO104" si="243">(AN$87*0.4/14)/2</f>
        <v>523.4285714</v>
      </c>
      <c r="AP101" s="617">
        <f>(AN87*0.6)*(AN101/AN105)</f>
        <v>1223.654629</v>
      </c>
      <c r="AQ101" s="634">
        <f t="shared" si="215"/>
        <v>1747.083201</v>
      </c>
      <c r="AR101" s="585">
        <f t="shared" si="232"/>
        <v>1025</v>
      </c>
      <c r="AS101" s="617">
        <f t="shared" ref="AS101:AS104" si="244">(AR$87*0.4/14)/2</f>
        <v>523.4285714</v>
      </c>
      <c r="AT101" s="617">
        <f>(AR87*0.6)*(AR101/AR105)</f>
        <v>1223.654629</v>
      </c>
      <c r="AU101" s="634">
        <f t="shared" si="217"/>
        <v>1747.083201</v>
      </c>
      <c r="AV101" s="585">
        <f t="shared" si="233"/>
        <v>1025</v>
      </c>
      <c r="AW101" s="617">
        <f t="shared" ref="AW101:AW104" si="245">(AV$87*0.4/14)/2</f>
        <v>717.7142857</v>
      </c>
      <c r="AX101" s="617">
        <f>(AV87*0.6)*(AV101/AV105)</f>
        <v>1677.849579</v>
      </c>
      <c r="AY101" s="634">
        <f t="shared" si="219"/>
        <v>2395.563865</v>
      </c>
      <c r="AZ101" s="585">
        <f t="shared" si="234"/>
        <v>1025</v>
      </c>
      <c r="BA101" s="617">
        <f t="shared" ref="BA101:BA104" si="246">(AZ$87*0.4/14)/2</f>
        <v>717.7142857</v>
      </c>
      <c r="BB101" s="617">
        <f>(AZ87*0.6)*(AZ101/AZ105)</f>
        <v>1677.849579</v>
      </c>
      <c r="BC101" s="634">
        <f t="shared" si="221"/>
        <v>2395.563865</v>
      </c>
      <c r="BD101" s="585">
        <f t="shared" si="235"/>
        <v>1025</v>
      </c>
      <c r="BE101" s="617">
        <f t="shared" ref="BE101:BE104" si="247">(BD$87*0.4/14)/2</f>
        <v>912</v>
      </c>
      <c r="BF101" s="617">
        <f>(BD87*0.6)*(BD101/BD105)</f>
        <v>2132.044529</v>
      </c>
      <c r="BG101" s="634">
        <f t="shared" si="223"/>
        <v>3044.044529</v>
      </c>
      <c r="BH101" s="635">
        <f t="shared" si="236"/>
        <v>1025</v>
      </c>
      <c r="BI101" s="617">
        <f t="shared" ref="BI101:BI104" si="248">(BH$87*0.4/14)/2</f>
        <v>912</v>
      </c>
      <c r="BJ101" s="617">
        <f>(BH87*0.6)*(BH101/BH105)</f>
        <v>2132.044529</v>
      </c>
      <c r="BK101" s="634">
        <f t="shared" si="225"/>
        <v>3044.044529</v>
      </c>
      <c r="BL101" s="533"/>
      <c r="BM101" s="533"/>
    </row>
    <row r="102" ht="12.75" customHeight="1">
      <c r="A102" s="592" t="s">
        <v>392</v>
      </c>
      <c r="B102" s="521"/>
      <c r="C102" s="552">
        <f>HVW!B110</f>
        <v>40</v>
      </c>
      <c r="D102" s="552">
        <f>HVW!C110</f>
        <v>40</v>
      </c>
      <c r="E102" s="552">
        <f>HVW!D110</f>
        <v>45</v>
      </c>
      <c r="F102" s="552">
        <f>HVW!E110</f>
        <v>50</v>
      </c>
      <c r="G102" s="552">
        <f>HVW!F110</f>
        <v>50</v>
      </c>
      <c r="H102" s="552">
        <f>HVW!G110</f>
        <v>50</v>
      </c>
      <c r="I102" s="552">
        <f>HVW!H110</f>
        <v>50</v>
      </c>
      <c r="J102" s="552">
        <f>HVW!I110</f>
        <v>50</v>
      </c>
      <c r="K102" s="552">
        <f>HVW!J110</f>
        <v>55</v>
      </c>
      <c r="L102" s="552">
        <f>HVW!K110</f>
        <v>60</v>
      </c>
      <c r="M102" s="552">
        <f>HVW!L110</f>
        <v>55</v>
      </c>
      <c r="N102" s="552">
        <f>HVW!M110</f>
        <v>60</v>
      </c>
      <c r="O102" s="515"/>
      <c r="P102" s="636">
        <f t="shared" si="201"/>
        <v>605</v>
      </c>
      <c r="Q102" s="633">
        <f t="shared" si="237"/>
        <v>107.1428571</v>
      </c>
      <c r="R102" s="617">
        <f>(P87*0.6)*(P102/P105)</f>
        <v>137.1882086</v>
      </c>
      <c r="S102" s="634">
        <f t="shared" si="203"/>
        <v>244.3310658</v>
      </c>
      <c r="T102" s="636">
        <f t="shared" si="204"/>
        <v>605</v>
      </c>
      <c r="U102" s="617">
        <f t="shared" si="238"/>
        <v>107.1428571</v>
      </c>
      <c r="V102" s="617">
        <f>(T87*0.6)*(T102/T105)</f>
        <v>137.1882086</v>
      </c>
      <c r="W102" s="634">
        <f t="shared" si="206"/>
        <v>244.3310658</v>
      </c>
      <c r="X102" s="585">
        <f t="shared" si="207"/>
        <v>605</v>
      </c>
      <c r="Y102" s="617">
        <f t="shared" si="239"/>
        <v>107.1428571</v>
      </c>
      <c r="Z102" s="617">
        <f>(X87*0.6)*(X102/X105)</f>
        <v>137.1882086</v>
      </c>
      <c r="AA102" s="634">
        <f t="shared" si="209"/>
        <v>244.3310658</v>
      </c>
      <c r="AB102" s="585">
        <f t="shared" si="226"/>
        <v>605</v>
      </c>
      <c r="AC102" s="617">
        <f t="shared" si="240"/>
        <v>563.6923077</v>
      </c>
      <c r="AD102" s="617">
        <f>(AB87*0.6)*(AB102/AB105)</f>
        <v>804.8605144</v>
      </c>
      <c r="AE102" s="634">
        <f t="shared" si="210"/>
        <v>1368.552822</v>
      </c>
      <c r="AF102" s="585">
        <f t="shared" si="228"/>
        <v>605</v>
      </c>
      <c r="AG102" s="617">
        <f t="shared" si="241"/>
        <v>982.1538462</v>
      </c>
      <c r="AH102" s="617">
        <f>(AF87*0.6)*(AF102/AF105)</f>
        <v>1402.355219</v>
      </c>
      <c r="AI102" s="634">
        <f t="shared" si="211"/>
        <v>2384.509066</v>
      </c>
      <c r="AJ102" s="585">
        <f t="shared" si="230"/>
        <v>605</v>
      </c>
      <c r="AK102" s="617">
        <f t="shared" si="242"/>
        <v>912</v>
      </c>
      <c r="AL102" s="617">
        <f>(AJ87*0.6)*(AJ102/AJ105)</f>
        <v>1258.426283</v>
      </c>
      <c r="AM102" s="634">
        <f t="shared" si="213"/>
        <v>2170.426283</v>
      </c>
      <c r="AN102" s="585">
        <f t="shared" si="231"/>
        <v>605</v>
      </c>
      <c r="AO102" s="617">
        <f t="shared" si="243"/>
        <v>523.4285714</v>
      </c>
      <c r="AP102" s="617">
        <f>(AN87*0.6)*(AN102/AN105)</f>
        <v>722.2546837</v>
      </c>
      <c r="AQ102" s="634">
        <f t="shared" si="215"/>
        <v>1245.683255</v>
      </c>
      <c r="AR102" s="585">
        <f t="shared" si="232"/>
        <v>605</v>
      </c>
      <c r="AS102" s="617">
        <f t="shared" si="244"/>
        <v>523.4285714</v>
      </c>
      <c r="AT102" s="617">
        <f>(AR87*0.6)*(AR102/AR105)</f>
        <v>722.2546837</v>
      </c>
      <c r="AU102" s="634">
        <f t="shared" si="217"/>
        <v>1245.683255</v>
      </c>
      <c r="AV102" s="585">
        <f t="shared" si="233"/>
        <v>605</v>
      </c>
      <c r="AW102" s="617">
        <f t="shared" si="245"/>
        <v>717.7142857</v>
      </c>
      <c r="AX102" s="617">
        <f>(AV87*0.6)*(AV102/AV105)</f>
        <v>990.3404833</v>
      </c>
      <c r="AY102" s="634">
        <f t="shared" si="219"/>
        <v>1708.054769</v>
      </c>
      <c r="AZ102" s="585">
        <f t="shared" si="234"/>
        <v>605</v>
      </c>
      <c r="BA102" s="617">
        <f t="shared" si="246"/>
        <v>717.7142857</v>
      </c>
      <c r="BB102" s="617">
        <f>(AZ87*0.6)*(AZ102/AZ105)</f>
        <v>990.3404833</v>
      </c>
      <c r="BC102" s="634">
        <f t="shared" si="221"/>
        <v>1708.054769</v>
      </c>
      <c r="BD102" s="585">
        <f t="shared" si="235"/>
        <v>605</v>
      </c>
      <c r="BE102" s="617">
        <f t="shared" si="247"/>
        <v>912</v>
      </c>
      <c r="BF102" s="617">
        <f>(BD87*0.6)*(BD102/BD105)</f>
        <v>1258.426283</v>
      </c>
      <c r="BG102" s="634">
        <f t="shared" si="223"/>
        <v>2170.426283</v>
      </c>
      <c r="BH102" s="635">
        <f t="shared" si="236"/>
        <v>605</v>
      </c>
      <c r="BI102" s="617">
        <f t="shared" si="248"/>
        <v>912</v>
      </c>
      <c r="BJ102" s="617">
        <f>(BH87*0.6)*(BH102/BH105)</f>
        <v>1258.426283</v>
      </c>
      <c r="BK102" s="634">
        <f t="shared" si="225"/>
        <v>2170.426283</v>
      </c>
      <c r="BL102" s="533"/>
      <c r="BM102" s="533"/>
    </row>
    <row r="103" ht="12.75" customHeight="1">
      <c r="A103" s="592" t="s">
        <v>393</v>
      </c>
      <c r="B103" s="521"/>
      <c r="C103" s="552">
        <f>MZ!B110</f>
        <v>35</v>
      </c>
      <c r="D103" s="552">
        <f>MZ!C110</f>
        <v>45</v>
      </c>
      <c r="E103" s="552">
        <f>MZ!D110</f>
        <v>40</v>
      </c>
      <c r="F103" s="552">
        <f>MZ!E110</f>
        <v>30</v>
      </c>
      <c r="G103" s="552">
        <f>MZ!F110</f>
        <v>30</v>
      </c>
      <c r="H103" s="552">
        <f>MZ!G110</f>
        <v>35</v>
      </c>
      <c r="I103" s="552">
        <f>MZ!H110</f>
        <v>40</v>
      </c>
      <c r="J103" s="552">
        <f>MZ!I110</f>
        <v>35</v>
      </c>
      <c r="K103" s="552">
        <f>MZ!J110</f>
        <v>40</v>
      </c>
      <c r="L103" s="552">
        <f>MZ!K110</f>
        <v>40</v>
      </c>
      <c r="M103" s="552">
        <f>MZ!L110</f>
        <v>40</v>
      </c>
      <c r="N103" s="552">
        <f>MZ!M110</f>
        <v>40</v>
      </c>
      <c r="O103" s="515"/>
      <c r="P103" s="636">
        <f t="shared" si="201"/>
        <v>450</v>
      </c>
      <c r="Q103" s="633">
        <f t="shared" si="237"/>
        <v>107.1428571</v>
      </c>
      <c r="R103" s="617">
        <f>(P87*0.6)*(P103/P105)</f>
        <v>102.0408163</v>
      </c>
      <c r="S103" s="634">
        <f t="shared" si="203"/>
        <v>209.1836735</v>
      </c>
      <c r="T103" s="636">
        <f t="shared" si="204"/>
        <v>450</v>
      </c>
      <c r="U103" s="617">
        <f t="shared" si="238"/>
        <v>107.1428571</v>
      </c>
      <c r="V103" s="617">
        <f>(T87*0.6)*(T103/T105)</f>
        <v>102.0408163</v>
      </c>
      <c r="W103" s="634">
        <f t="shared" si="206"/>
        <v>209.1836735</v>
      </c>
      <c r="X103" s="585">
        <f t="shared" si="207"/>
        <v>450</v>
      </c>
      <c r="Y103" s="617">
        <f t="shared" si="239"/>
        <v>107.1428571</v>
      </c>
      <c r="Z103" s="617">
        <f>(X87*0.6)*(X103/X105)</f>
        <v>102.0408163</v>
      </c>
      <c r="AA103" s="634">
        <f t="shared" si="209"/>
        <v>209.1836735</v>
      </c>
      <c r="AB103" s="585">
        <f t="shared" si="226"/>
        <v>450</v>
      </c>
      <c r="AC103" s="617">
        <f t="shared" si="240"/>
        <v>563.6923077</v>
      </c>
      <c r="AD103" s="617">
        <f>(AB87*0.6)*(AB103/AB105)</f>
        <v>598.6565809</v>
      </c>
      <c r="AE103" s="634">
        <f t="shared" si="210"/>
        <v>1162.348889</v>
      </c>
      <c r="AF103" s="585">
        <f t="shared" si="228"/>
        <v>450</v>
      </c>
      <c r="AG103" s="617">
        <f t="shared" si="241"/>
        <v>982.1538462</v>
      </c>
      <c r="AH103" s="617">
        <f>(AF87*0.6)*(AF103/AF105)</f>
        <v>1043.07413</v>
      </c>
      <c r="AI103" s="634">
        <f t="shared" si="211"/>
        <v>2025.227976</v>
      </c>
      <c r="AJ103" s="585">
        <f t="shared" si="230"/>
        <v>450</v>
      </c>
      <c r="AK103" s="617">
        <f t="shared" si="242"/>
        <v>912</v>
      </c>
      <c r="AL103" s="617">
        <f>(AJ87*0.6)*(AJ103/AJ105)</f>
        <v>936.0195493</v>
      </c>
      <c r="AM103" s="634">
        <f t="shared" si="213"/>
        <v>1848.019549</v>
      </c>
      <c r="AN103" s="585">
        <f t="shared" si="231"/>
        <v>450</v>
      </c>
      <c r="AO103" s="617">
        <f t="shared" si="243"/>
        <v>523.4285714</v>
      </c>
      <c r="AP103" s="617">
        <f>(AN87*0.6)*(AN103/AN105)</f>
        <v>537.2142275</v>
      </c>
      <c r="AQ103" s="634">
        <f t="shared" si="215"/>
        <v>1060.642799</v>
      </c>
      <c r="AR103" s="585">
        <f t="shared" si="232"/>
        <v>450</v>
      </c>
      <c r="AS103" s="617">
        <f t="shared" si="244"/>
        <v>523.4285714</v>
      </c>
      <c r="AT103" s="617">
        <f>(AR87*0.6)*(AR103/AR105)</f>
        <v>537.2142275</v>
      </c>
      <c r="AU103" s="634">
        <f t="shared" si="217"/>
        <v>1060.642799</v>
      </c>
      <c r="AV103" s="585">
        <f t="shared" si="233"/>
        <v>450</v>
      </c>
      <c r="AW103" s="617">
        <f t="shared" si="245"/>
        <v>717.7142857</v>
      </c>
      <c r="AX103" s="617">
        <f>(AV87*0.6)*(AV103/AV105)</f>
        <v>736.6168884</v>
      </c>
      <c r="AY103" s="634">
        <f t="shared" si="219"/>
        <v>1454.331174</v>
      </c>
      <c r="AZ103" s="585">
        <f t="shared" si="234"/>
        <v>450</v>
      </c>
      <c r="BA103" s="617">
        <f t="shared" si="246"/>
        <v>717.7142857</v>
      </c>
      <c r="BB103" s="617">
        <f>(AZ87*0.6)*(AZ103/AZ105)</f>
        <v>736.6168884</v>
      </c>
      <c r="BC103" s="634">
        <f t="shared" si="221"/>
        <v>1454.331174</v>
      </c>
      <c r="BD103" s="585">
        <f t="shared" si="235"/>
        <v>450</v>
      </c>
      <c r="BE103" s="617">
        <f t="shared" si="247"/>
        <v>912</v>
      </c>
      <c r="BF103" s="617">
        <f>(BD87*0.6)*(BD103/BD105)</f>
        <v>936.0195493</v>
      </c>
      <c r="BG103" s="634">
        <f t="shared" si="223"/>
        <v>1848.019549</v>
      </c>
      <c r="BH103" s="635">
        <f t="shared" si="236"/>
        <v>450</v>
      </c>
      <c r="BI103" s="617">
        <f t="shared" si="248"/>
        <v>912</v>
      </c>
      <c r="BJ103" s="617">
        <f>(BH87*0.6)*(BH103/BH105)</f>
        <v>936.0195493</v>
      </c>
      <c r="BK103" s="634">
        <f t="shared" si="225"/>
        <v>1848.019549</v>
      </c>
      <c r="BL103" s="533"/>
      <c r="BM103" s="533"/>
    </row>
    <row r="104" ht="12.75" customHeight="1">
      <c r="A104" s="592" t="s">
        <v>394</v>
      </c>
      <c r="B104" s="521"/>
      <c r="C104" s="552">
        <f>BUGMC!B110</f>
        <v>30</v>
      </c>
      <c r="D104" s="552">
        <f>BUGMC!C110</f>
        <v>32</v>
      </c>
      <c r="E104" s="552">
        <f>BUGMC!D110</f>
        <v>38</v>
      </c>
      <c r="F104" s="552">
        <f>BUGMC!E110</f>
        <v>38</v>
      </c>
      <c r="G104" s="552">
        <f>BUGMC!F110</f>
        <v>43</v>
      </c>
      <c r="H104" s="552">
        <f>BUGMC!G110</f>
        <v>38</v>
      </c>
      <c r="I104" s="552">
        <f>BUGMC!H110</f>
        <v>38</v>
      </c>
      <c r="J104" s="552">
        <f>BUGMC!I110</f>
        <v>37</v>
      </c>
      <c r="K104" s="552">
        <f>BUGMC!J110</f>
        <v>30</v>
      </c>
      <c r="L104" s="552">
        <f>BUGMC!K110</f>
        <v>30</v>
      </c>
      <c r="M104" s="552">
        <f>BUGMC!L110</f>
        <v>35</v>
      </c>
      <c r="N104" s="552">
        <f>BUGMC!M110</f>
        <v>38</v>
      </c>
      <c r="O104" s="515"/>
      <c r="P104" s="636">
        <f t="shared" si="201"/>
        <v>427</v>
      </c>
      <c r="Q104" s="633">
        <f t="shared" si="237"/>
        <v>107.1428571</v>
      </c>
      <c r="R104" s="617">
        <f>(P87*0.6)*(P104/P105)</f>
        <v>96.82539683</v>
      </c>
      <c r="S104" s="634">
        <f t="shared" si="203"/>
        <v>203.968254</v>
      </c>
      <c r="T104" s="636">
        <f t="shared" si="204"/>
        <v>427</v>
      </c>
      <c r="U104" s="617">
        <f t="shared" si="238"/>
        <v>107.1428571</v>
      </c>
      <c r="V104" s="617">
        <f>(T87*0.6)*(T104/T105)</f>
        <v>96.82539683</v>
      </c>
      <c r="W104" s="634">
        <f t="shared" si="206"/>
        <v>203.968254</v>
      </c>
      <c r="X104" s="585">
        <f t="shared" si="207"/>
        <v>427</v>
      </c>
      <c r="Y104" s="617">
        <f t="shared" si="239"/>
        <v>107.1428571</v>
      </c>
      <c r="Z104" s="617">
        <f>(X87*0.6)*(X104/X105)</f>
        <v>96.82539683</v>
      </c>
      <c r="AA104" s="634">
        <f t="shared" si="209"/>
        <v>203.968254</v>
      </c>
      <c r="AB104" s="585">
        <f t="shared" si="226"/>
        <v>427</v>
      </c>
      <c r="AC104" s="617">
        <f t="shared" si="240"/>
        <v>563.6923077</v>
      </c>
      <c r="AD104" s="617">
        <f>(AB87*0.6)*(AB104/AB105)</f>
        <v>568.0585779</v>
      </c>
      <c r="AE104" s="634">
        <f t="shared" si="210"/>
        <v>1131.750886</v>
      </c>
      <c r="AF104" s="585">
        <f t="shared" si="228"/>
        <v>427</v>
      </c>
      <c r="AG104" s="617">
        <f t="shared" si="241"/>
        <v>982.1538462</v>
      </c>
      <c r="AH104" s="617">
        <f>(AF87*0.6)*(AF104/AF105)</f>
        <v>989.7614523</v>
      </c>
      <c r="AI104" s="634">
        <f t="shared" si="211"/>
        <v>1971.915298</v>
      </c>
      <c r="AJ104" s="585">
        <f t="shared" si="230"/>
        <v>427</v>
      </c>
      <c r="AK104" s="617">
        <f t="shared" si="242"/>
        <v>912</v>
      </c>
      <c r="AL104" s="617">
        <f>(AJ87*0.6)*(AJ104/AJ105)</f>
        <v>888.1785501</v>
      </c>
      <c r="AM104" s="634">
        <f t="shared" si="213"/>
        <v>1800.17855</v>
      </c>
      <c r="AN104" s="585">
        <f t="shared" si="231"/>
        <v>427</v>
      </c>
      <c r="AO104" s="617">
        <f t="shared" si="243"/>
        <v>523.4285714</v>
      </c>
      <c r="AP104" s="617">
        <f>(AN87*0.6)*(AN104/AN105)</f>
        <v>509.7566115</v>
      </c>
      <c r="AQ104" s="634">
        <f t="shared" si="215"/>
        <v>1033.185183</v>
      </c>
      <c r="AR104" s="585">
        <f t="shared" si="232"/>
        <v>427</v>
      </c>
      <c r="AS104" s="617">
        <f t="shared" si="244"/>
        <v>523.4285714</v>
      </c>
      <c r="AT104" s="617">
        <f>(AR87*0.6)*(AR104/AR105)</f>
        <v>509.7566115</v>
      </c>
      <c r="AU104" s="634">
        <f t="shared" si="217"/>
        <v>1033.185183</v>
      </c>
      <c r="AV104" s="585">
        <f t="shared" si="233"/>
        <v>427</v>
      </c>
      <c r="AW104" s="617">
        <f t="shared" si="245"/>
        <v>717.7142857</v>
      </c>
      <c r="AX104" s="617">
        <f>(AV87*0.6)*(AV104/AV105)</f>
        <v>698.9675808</v>
      </c>
      <c r="AY104" s="634">
        <f t="shared" si="219"/>
        <v>1416.681866</v>
      </c>
      <c r="AZ104" s="585">
        <f t="shared" si="234"/>
        <v>427</v>
      </c>
      <c r="BA104" s="617">
        <f t="shared" si="246"/>
        <v>717.7142857</v>
      </c>
      <c r="BB104" s="617">
        <f>(AZ87*0.6)*(AZ104/AZ105)</f>
        <v>698.9675808</v>
      </c>
      <c r="BC104" s="634">
        <f t="shared" si="221"/>
        <v>1416.681866</v>
      </c>
      <c r="BD104" s="585">
        <f t="shared" si="235"/>
        <v>427</v>
      </c>
      <c r="BE104" s="617">
        <f t="shared" si="247"/>
        <v>912</v>
      </c>
      <c r="BF104" s="617">
        <f>(BD87*0.6)*(BD104/BD105)</f>
        <v>888.1785501</v>
      </c>
      <c r="BG104" s="634">
        <f t="shared" si="223"/>
        <v>1800.17855</v>
      </c>
      <c r="BH104" s="635">
        <f t="shared" si="236"/>
        <v>427</v>
      </c>
      <c r="BI104" s="617">
        <f t="shared" si="248"/>
        <v>912</v>
      </c>
      <c r="BJ104" s="617">
        <f>(BH87*0.6)*(BH104/BH105)</f>
        <v>888.1785501</v>
      </c>
      <c r="BK104" s="634">
        <f t="shared" si="225"/>
        <v>1800.17855</v>
      </c>
      <c r="BL104" s="533"/>
      <c r="BM104" s="533"/>
    </row>
    <row r="105" ht="12.75" customHeight="1">
      <c r="A105" s="592"/>
      <c r="B105" s="521"/>
      <c r="C105" s="533"/>
      <c r="D105" s="533"/>
      <c r="E105" s="533"/>
      <c r="F105" s="533"/>
      <c r="G105" s="533"/>
      <c r="H105" s="533"/>
      <c r="I105" s="533"/>
      <c r="J105" s="533"/>
      <c r="K105" s="533"/>
      <c r="L105" s="533"/>
      <c r="M105" s="533"/>
      <c r="N105" s="533"/>
      <c r="O105" s="515"/>
      <c r="P105" s="637">
        <f t="shared" ref="P105:BK105" si="249">SUM(P89:P104)</f>
        <v>19845</v>
      </c>
      <c r="Q105" s="638">
        <f t="shared" si="249"/>
        <v>3000</v>
      </c>
      <c r="R105" s="638">
        <f t="shared" si="249"/>
        <v>4500</v>
      </c>
      <c r="S105" s="639">
        <f t="shared" si="249"/>
        <v>7500</v>
      </c>
      <c r="T105" s="581">
        <f t="shared" si="249"/>
        <v>19845</v>
      </c>
      <c r="U105" s="606">
        <f t="shared" si="249"/>
        <v>3000</v>
      </c>
      <c r="V105" s="606">
        <f t="shared" si="249"/>
        <v>4500</v>
      </c>
      <c r="W105" s="639">
        <f t="shared" si="249"/>
        <v>7500</v>
      </c>
      <c r="X105" s="581">
        <f t="shared" si="249"/>
        <v>19845</v>
      </c>
      <c r="Y105" s="606">
        <f t="shared" si="249"/>
        <v>3000</v>
      </c>
      <c r="Z105" s="606">
        <f t="shared" si="249"/>
        <v>4500</v>
      </c>
      <c r="AA105" s="639">
        <f t="shared" si="249"/>
        <v>7500</v>
      </c>
      <c r="AB105" s="581">
        <f t="shared" si="249"/>
        <v>16525</v>
      </c>
      <c r="AC105" s="606">
        <f t="shared" si="249"/>
        <v>14656</v>
      </c>
      <c r="AD105" s="606">
        <f t="shared" si="249"/>
        <v>21984</v>
      </c>
      <c r="AE105" s="639">
        <f t="shared" si="249"/>
        <v>36640</v>
      </c>
      <c r="AF105" s="581">
        <f t="shared" si="249"/>
        <v>16525</v>
      </c>
      <c r="AG105" s="606">
        <f t="shared" si="249"/>
        <v>25536</v>
      </c>
      <c r="AH105" s="606">
        <f t="shared" si="249"/>
        <v>38304</v>
      </c>
      <c r="AI105" s="639">
        <f t="shared" si="249"/>
        <v>63840</v>
      </c>
      <c r="AJ105" s="581">
        <f t="shared" si="249"/>
        <v>18415</v>
      </c>
      <c r="AK105" s="606">
        <f t="shared" si="249"/>
        <v>25536</v>
      </c>
      <c r="AL105" s="606">
        <f t="shared" si="249"/>
        <v>38304</v>
      </c>
      <c r="AM105" s="639">
        <f t="shared" si="249"/>
        <v>63840</v>
      </c>
      <c r="AN105" s="581">
        <f t="shared" si="249"/>
        <v>18415</v>
      </c>
      <c r="AO105" s="606">
        <f t="shared" si="249"/>
        <v>14656</v>
      </c>
      <c r="AP105" s="606">
        <f t="shared" si="249"/>
        <v>21984</v>
      </c>
      <c r="AQ105" s="639">
        <f t="shared" si="249"/>
        <v>36640</v>
      </c>
      <c r="AR105" s="581">
        <f t="shared" si="249"/>
        <v>18415</v>
      </c>
      <c r="AS105" s="606">
        <f t="shared" si="249"/>
        <v>14656</v>
      </c>
      <c r="AT105" s="606">
        <f t="shared" si="249"/>
        <v>21984</v>
      </c>
      <c r="AU105" s="639">
        <f t="shared" si="249"/>
        <v>36640</v>
      </c>
      <c r="AV105" s="581">
        <f t="shared" si="249"/>
        <v>18415</v>
      </c>
      <c r="AW105" s="606">
        <f t="shared" si="249"/>
        <v>20096</v>
      </c>
      <c r="AX105" s="606">
        <f t="shared" si="249"/>
        <v>30144</v>
      </c>
      <c r="AY105" s="639">
        <f t="shared" si="249"/>
        <v>50240</v>
      </c>
      <c r="AZ105" s="581">
        <f t="shared" si="249"/>
        <v>18415</v>
      </c>
      <c r="BA105" s="606">
        <f t="shared" si="249"/>
        <v>20096</v>
      </c>
      <c r="BB105" s="606">
        <f t="shared" si="249"/>
        <v>30144</v>
      </c>
      <c r="BC105" s="639">
        <f t="shared" si="249"/>
        <v>50240</v>
      </c>
      <c r="BD105" s="581">
        <f t="shared" si="249"/>
        <v>18415</v>
      </c>
      <c r="BE105" s="606">
        <f t="shared" si="249"/>
        <v>25536</v>
      </c>
      <c r="BF105" s="606">
        <f t="shared" si="249"/>
        <v>38304</v>
      </c>
      <c r="BG105" s="639">
        <f t="shared" si="249"/>
        <v>63840</v>
      </c>
      <c r="BH105" s="640">
        <f t="shared" si="249"/>
        <v>18415</v>
      </c>
      <c r="BI105" s="606">
        <f t="shared" si="249"/>
        <v>25536</v>
      </c>
      <c r="BJ105" s="606">
        <f t="shared" si="249"/>
        <v>38304</v>
      </c>
      <c r="BK105" s="606">
        <f t="shared" si="249"/>
        <v>63840</v>
      </c>
      <c r="BL105" s="533"/>
      <c r="BM105" s="641" t="s">
        <v>401</v>
      </c>
    </row>
    <row r="106" ht="12.75" customHeight="1">
      <c r="A106" s="642" t="s">
        <v>379</v>
      </c>
      <c r="B106" s="521"/>
      <c r="C106" s="533"/>
      <c r="D106" s="533"/>
      <c r="E106" s="533"/>
      <c r="F106" s="533"/>
      <c r="G106" s="533"/>
      <c r="H106" s="533"/>
      <c r="I106" s="533"/>
      <c r="J106" s="533"/>
      <c r="K106" s="533"/>
      <c r="L106" s="533"/>
      <c r="M106" s="533"/>
      <c r="N106" s="533"/>
      <c r="O106" s="515"/>
      <c r="P106" s="541"/>
      <c r="T106" s="541"/>
      <c r="X106" s="541"/>
      <c r="AB106" s="541"/>
      <c r="AF106" s="541"/>
      <c r="AJ106" s="541"/>
      <c r="AN106" s="541"/>
      <c r="AR106" s="541"/>
      <c r="AV106" s="544"/>
      <c r="AW106" s="544"/>
      <c r="AX106" s="544"/>
      <c r="AY106" s="545"/>
      <c r="AZ106" s="544"/>
      <c r="BA106" s="544"/>
      <c r="BB106" s="544"/>
      <c r="BC106" s="545"/>
      <c r="BD106" s="541"/>
      <c r="BH106" s="544"/>
      <c r="BI106" s="544"/>
      <c r="BJ106" s="544"/>
      <c r="BK106" s="545"/>
      <c r="BL106" s="545"/>
      <c r="BM106" s="643">
        <f>BM87+BM63+BM39</f>
        <v>2047877</v>
      </c>
    </row>
    <row r="107" ht="12.75" hidden="1" customHeight="1">
      <c r="A107" s="487"/>
      <c r="B107" s="488"/>
      <c r="C107" s="489" t="s">
        <v>402</v>
      </c>
      <c r="D107" s="490"/>
      <c r="E107" s="490"/>
      <c r="F107" s="490"/>
      <c r="G107" s="490"/>
      <c r="H107" s="490"/>
      <c r="I107" s="490"/>
      <c r="J107" s="490"/>
      <c r="K107" s="490"/>
      <c r="L107" s="490"/>
      <c r="M107" s="490"/>
      <c r="N107" s="491"/>
      <c r="O107" s="575"/>
      <c r="P107" s="496" t="s">
        <v>340</v>
      </c>
      <c r="Q107" s="494"/>
      <c r="R107" s="494"/>
      <c r="S107" s="495"/>
      <c r="T107" s="496" t="s">
        <v>341</v>
      </c>
      <c r="U107" s="494"/>
      <c r="V107" s="494"/>
      <c r="W107" s="495"/>
      <c r="X107" s="496" t="s">
        <v>342</v>
      </c>
      <c r="Y107" s="494"/>
      <c r="Z107" s="494"/>
      <c r="AA107" s="495"/>
      <c r="AB107" s="496" t="s">
        <v>343</v>
      </c>
      <c r="AC107" s="494"/>
      <c r="AD107" s="494"/>
      <c r="AE107" s="495"/>
      <c r="AF107" s="644" t="s">
        <v>344</v>
      </c>
      <c r="AG107" s="494"/>
      <c r="AH107" s="494"/>
      <c r="AI107" s="495"/>
      <c r="AJ107" s="644" t="s">
        <v>345</v>
      </c>
      <c r="AK107" s="494"/>
      <c r="AL107" s="494"/>
      <c r="AM107" s="495"/>
      <c r="AN107" s="644" t="s">
        <v>346</v>
      </c>
      <c r="AO107" s="494"/>
      <c r="AP107" s="494"/>
      <c r="AQ107" s="495"/>
      <c r="AR107" s="644" t="s">
        <v>347</v>
      </c>
      <c r="AS107" s="494"/>
      <c r="AT107" s="494"/>
      <c r="AU107" s="495"/>
      <c r="AV107" s="546" t="s">
        <v>348</v>
      </c>
      <c r="AW107" s="494"/>
      <c r="AX107" s="494"/>
      <c r="AY107" s="495"/>
      <c r="AZ107" s="546" t="s">
        <v>349</v>
      </c>
      <c r="BA107" s="494"/>
      <c r="BB107" s="494"/>
      <c r="BC107" s="495"/>
      <c r="BD107" s="546" t="s">
        <v>350</v>
      </c>
      <c r="BE107" s="494"/>
      <c r="BF107" s="494"/>
      <c r="BG107" s="495"/>
      <c r="BH107" s="546" t="s">
        <v>351</v>
      </c>
      <c r="BI107" s="494"/>
      <c r="BJ107" s="494"/>
      <c r="BK107" s="495"/>
      <c r="BL107" s="533"/>
      <c r="BM107" s="533"/>
    </row>
    <row r="108" ht="12.75" hidden="1" customHeight="1">
      <c r="A108" s="501"/>
      <c r="B108" s="488"/>
      <c r="C108" s="502"/>
      <c r="N108" s="503"/>
      <c r="O108" s="559"/>
      <c r="P108" s="547" t="s">
        <v>373</v>
      </c>
      <c r="Q108" s="506"/>
      <c r="R108" s="506"/>
      <c r="S108" s="507"/>
      <c r="T108" s="547" t="s">
        <v>373</v>
      </c>
      <c r="U108" s="506"/>
      <c r="V108" s="506"/>
      <c r="W108" s="507"/>
      <c r="X108" s="547" t="s">
        <v>373</v>
      </c>
      <c r="Y108" s="506"/>
      <c r="Z108" s="506"/>
      <c r="AA108" s="507"/>
      <c r="AB108" s="547" t="s">
        <v>373</v>
      </c>
      <c r="AC108" s="506"/>
      <c r="AD108" s="506"/>
      <c r="AE108" s="507"/>
      <c r="AF108" s="547" t="s">
        <v>373</v>
      </c>
      <c r="AG108" s="506"/>
      <c r="AH108" s="506"/>
      <c r="AI108" s="507"/>
      <c r="AJ108" s="547" t="s">
        <v>373</v>
      </c>
      <c r="AK108" s="506"/>
      <c r="AL108" s="506"/>
      <c r="AM108" s="507"/>
      <c r="AN108" s="547" t="s">
        <v>373</v>
      </c>
      <c r="AO108" s="506"/>
      <c r="AP108" s="506"/>
      <c r="AQ108" s="507"/>
      <c r="AR108" s="547" t="s">
        <v>373</v>
      </c>
      <c r="AS108" s="506"/>
      <c r="AT108" s="506"/>
      <c r="AU108" s="507"/>
      <c r="AV108" s="547" t="s">
        <v>373</v>
      </c>
      <c r="AW108" s="506"/>
      <c r="AX108" s="506"/>
      <c r="AY108" s="507"/>
      <c r="AZ108" s="547" t="s">
        <v>373</v>
      </c>
      <c r="BA108" s="506"/>
      <c r="BB108" s="506"/>
      <c r="BC108" s="507"/>
      <c r="BD108" s="547" t="s">
        <v>373</v>
      </c>
      <c r="BE108" s="506"/>
      <c r="BF108" s="506"/>
      <c r="BG108" s="507"/>
      <c r="BH108" s="547" t="s">
        <v>373</v>
      </c>
      <c r="BI108" s="506"/>
      <c r="BJ108" s="506"/>
      <c r="BK108" s="507"/>
      <c r="BL108" s="562"/>
      <c r="BM108" s="562"/>
    </row>
    <row r="109" ht="12.75" hidden="1" customHeight="1">
      <c r="A109" s="645"/>
      <c r="B109" s="521"/>
      <c r="C109" s="512"/>
      <c r="D109" s="513"/>
      <c r="E109" s="513"/>
      <c r="F109" s="513"/>
      <c r="G109" s="513"/>
      <c r="H109" s="513"/>
      <c r="I109" s="513"/>
      <c r="J109" s="513"/>
      <c r="K109" s="513"/>
      <c r="L109" s="513"/>
      <c r="M109" s="513"/>
      <c r="N109" s="514"/>
      <c r="O109" s="515"/>
      <c r="P109" s="517">
        <v>0.0</v>
      </c>
      <c r="Q109" s="498"/>
      <c r="R109" s="498"/>
      <c r="S109" s="498"/>
      <c r="T109" s="517">
        <v>0.0</v>
      </c>
      <c r="U109" s="498"/>
      <c r="V109" s="498"/>
      <c r="W109" s="498"/>
      <c r="X109" s="517">
        <v>0.0</v>
      </c>
      <c r="Y109" s="498"/>
      <c r="Z109" s="498"/>
      <c r="AA109" s="498"/>
      <c r="AB109" s="517">
        <v>0.0</v>
      </c>
      <c r="AC109" s="498"/>
      <c r="AD109" s="498"/>
      <c r="AE109" s="498"/>
      <c r="AF109" s="517">
        <v>0.0</v>
      </c>
      <c r="AG109" s="498"/>
      <c r="AH109" s="498"/>
      <c r="AI109" s="498"/>
      <c r="AJ109" s="517">
        <v>0.0</v>
      </c>
      <c r="AK109" s="498"/>
      <c r="AL109" s="498"/>
      <c r="AM109" s="498"/>
      <c r="AN109" s="517">
        <v>0.0</v>
      </c>
      <c r="AO109" s="498"/>
      <c r="AP109" s="498"/>
      <c r="AQ109" s="498"/>
      <c r="AR109" s="517">
        <v>0.0</v>
      </c>
      <c r="AS109" s="498"/>
      <c r="AT109" s="498"/>
      <c r="AU109" s="498"/>
      <c r="AV109" s="517">
        <v>0.0</v>
      </c>
      <c r="AW109" s="498"/>
      <c r="AX109" s="498"/>
      <c r="AY109" s="498"/>
      <c r="AZ109" s="517">
        <v>0.0</v>
      </c>
      <c r="BA109" s="498"/>
      <c r="BB109" s="498"/>
      <c r="BC109" s="498"/>
      <c r="BD109" s="517">
        <v>0.0</v>
      </c>
      <c r="BE109" s="498"/>
      <c r="BF109" s="498"/>
      <c r="BG109" s="498"/>
      <c r="BH109" s="517">
        <v>0.0</v>
      </c>
      <c r="BI109" s="498"/>
      <c r="BJ109" s="498"/>
      <c r="BK109" s="498"/>
      <c r="BL109" s="519"/>
      <c r="BM109" s="519"/>
    </row>
    <row r="110" ht="12.75" hidden="1" customHeight="1">
      <c r="A110" s="520" t="s">
        <v>374</v>
      </c>
      <c r="B110" s="521"/>
      <c r="C110" s="552" t="s">
        <v>354</v>
      </c>
      <c r="D110" s="552" t="s">
        <v>355</v>
      </c>
      <c r="E110" s="552" t="s">
        <v>356</v>
      </c>
      <c r="F110" s="552" t="s">
        <v>357</v>
      </c>
      <c r="G110" s="552" t="s">
        <v>5</v>
      </c>
      <c r="H110" s="552" t="s">
        <v>358</v>
      </c>
      <c r="I110" s="552" t="s">
        <v>359</v>
      </c>
      <c r="J110" s="552" t="s">
        <v>360</v>
      </c>
      <c r="K110" s="552" t="s">
        <v>361</v>
      </c>
      <c r="L110" s="552" t="s">
        <v>362</v>
      </c>
      <c r="M110" s="552" t="s">
        <v>363</v>
      </c>
      <c r="N110" s="552" t="s">
        <v>364</v>
      </c>
      <c r="O110" s="515"/>
      <c r="P110" s="552" t="s">
        <v>319</v>
      </c>
      <c r="Q110" s="552" t="s">
        <v>365</v>
      </c>
      <c r="R110" s="552" t="s">
        <v>366</v>
      </c>
      <c r="S110" s="552" t="s">
        <v>367</v>
      </c>
      <c r="T110" s="552" t="s">
        <v>319</v>
      </c>
      <c r="U110" s="552" t="s">
        <v>365</v>
      </c>
      <c r="V110" s="552" t="s">
        <v>366</v>
      </c>
      <c r="W110" s="552" t="s">
        <v>367</v>
      </c>
      <c r="X110" s="646" t="s">
        <v>319</v>
      </c>
      <c r="Y110" s="522" t="s">
        <v>365</v>
      </c>
      <c r="Z110" s="522" t="s">
        <v>366</v>
      </c>
      <c r="AA110" s="522" t="s">
        <v>367</v>
      </c>
      <c r="AB110" s="522" t="s">
        <v>319</v>
      </c>
      <c r="AC110" s="522" t="s">
        <v>365</v>
      </c>
      <c r="AD110" s="522" t="s">
        <v>366</v>
      </c>
      <c r="AE110" s="522" t="s">
        <v>367</v>
      </c>
      <c r="AF110" s="522" t="s">
        <v>319</v>
      </c>
      <c r="AG110" s="522" t="s">
        <v>365</v>
      </c>
      <c r="AH110" s="522" t="s">
        <v>366</v>
      </c>
      <c r="AI110" s="522" t="s">
        <v>367</v>
      </c>
      <c r="AJ110" s="647" t="s">
        <v>319</v>
      </c>
      <c r="AK110" s="647" t="s">
        <v>365</v>
      </c>
      <c r="AL110" s="647" t="s">
        <v>366</v>
      </c>
      <c r="AM110" s="647" t="s">
        <v>367</v>
      </c>
      <c r="AN110" s="647" t="s">
        <v>319</v>
      </c>
      <c r="AO110" s="647" t="s">
        <v>365</v>
      </c>
      <c r="AP110" s="647" t="s">
        <v>366</v>
      </c>
      <c r="AQ110" s="647" t="s">
        <v>367</v>
      </c>
      <c r="AR110" s="648" t="s">
        <v>319</v>
      </c>
      <c r="AS110" s="649" t="s">
        <v>365</v>
      </c>
      <c r="AT110" s="649" t="s">
        <v>366</v>
      </c>
      <c r="AU110" s="649" t="s">
        <v>367</v>
      </c>
      <c r="AV110" s="647" t="s">
        <v>319</v>
      </c>
      <c r="AW110" s="647" t="s">
        <v>365</v>
      </c>
      <c r="AX110" s="647" t="s">
        <v>366</v>
      </c>
      <c r="AY110" s="647" t="s">
        <v>367</v>
      </c>
      <c r="AZ110" s="648" t="s">
        <v>319</v>
      </c>
      <c r="BA110" s="649" t="s">
        <v>365</v>
      </c>
      <c r="BB110" s="649" t="s">
        <v>366</v>
      </c>
      <c r="BC110" s="649" t="s">
        <v>367</v>
      </c>
      <c r="BD110" s="647" t="s">
        <v>319</v>
      </c>
      <c r="BE110" s="647" t="s">
        <v>365</v>
      </c>
      <c r="BF110" s="647" t="s">
        <v>366</v>
      </c>
      <c r="BG110" s="647" t="s">
        <v>367</v>
      </c>
      <c r="BH110" s="647" t="s">
        <v>319</v>
      </c>
      <c r="BI110" s="647" t="s">
        <v>365</v>
      </c>
      <c r="BJ110" s="647" t="s">
        <v>366</v>
      </c>
      <c r="BK110" s="647" t="s">
        <v>367</v>
      </c>
      <c r="BL110" s="650"/>
      <c r="BM110" s="650"/>
    </row>
    <row r="111" ht="12.75" hidden="1" customHeight="1">
      <c r="A111" s="510" t="s">
        <v>403</v>
      </c>
      <c r="B111" s="511"/>
      <c r="C111" s="526">
        <f>RI!B110</f>
        <v>108</v>
      </c>
      <c r="D111" s="526">
        <f>RI!C110</f>
        <v>111</v>
      </c>
      <c r="E111" s="526">
        <f>RI!D110</f>
        <v>136</v>
      </c>
      <c r="F111" s="526">
        <f>RI!E110</f>
        <v>125</v>
      </c>
      <c r="G111" s="526">
        <f>RI!F110</f>
        <v>148</v>
      </c>
      <c r="H111" s="526">
        <f>RI!G110</f>
        <v>134</v>
      </c>
      <c r="I111" s="526">
        <f>RI!H110</f>
        <v>145</v>
      </c>
      <c r="J111" s="526">
        <f>RI!I110</f>
        <v>139</v>
      </c>
      <c r="K111" s="526">
        <f>RI!J110</f>
        <v>130</v>
      </c>
      <c r="L111" s="526">
        <f>RI!K110</f>
        <v>136</v>
      </c>
      <c r="M111" s="526">
        <f>RI!L110</f>
        <v>142</v>
      </c>
      <c r="N111" s="526">
        <f>RI!M110</f>
        <v>157</v>
      </c>
      <c r="O111" s="533"/>
      <c r="P111" s="553">
        <f t="shared" ref="P111:P113" si="250">SUM(C111:N111)</f>
        <v>1611</v>
      </c>
      <c r="Q111" s="554">
        <f>P109/6</f>
        <v>0</v>
      </c>
      <c r="R111" s="554" t="str">
        <f>(P109/2) *(P111/P114)</f>
        <v>#REF!</v>
      </c>
      <c r="S111" s="554" t="str">
        <f t="shared" ref="S111:S113" si="251">Q111+R111</f>
        <v>#REF!</v>
      </c>
      <c r="T111" s="553">
        <f t="shared" ref="T111:T113" si="252">SUM(C111:N111)</f>
        <v>1611</v>
      </c>
      <c r="U111" s="554">
        <f>T109/6</f>
        <v>0</v>
      </c>
      <c r="V111" s="554" t="str">
        <f>(T109/2) *(T111/T114)</f>
        <v>#REF!</v>
      </c>
      <c r="W111" s="554" t="str">
        <f t="shared" ref="W111:W113" si="253">U111+V111</f>
        <v>#REF!</v>
      </c>
      <c r="X111" s="553">
        <f t="shared" ref="X111:X113" si="254">SUM(C111:N111)</f>
        <v>1611</v>
      </c>
      <c r="Y111" s="651">
        <f>X109/6</f>
        <v>0</v>
      </c>
      <c r="Z111" s="554" t="str">
        <f>(X109/2) *(X111/X114)</f>
        <v>#REF!</v>
      </c>
      <c r="AA111" s="651" t="str">
        <f t="shared" ref="AA111:AA113" si="255">SUM(Y111:Z111)</f>
        <v>#REF!</v>
      </c>
      <c r="AB111" s="553">
        <f t="shared" ref="AB111:AB112" si="256">SUM(C111:N111)</f>
        <v>1611</v>
      </c>
      <c r="AC111" s="554">
        <f>AB109/4</f>
        <v>0</v>
      </c>
      <c r="AD111" s="554">
        <f>(AB109/2) *(AB111/AB114)</f>
        <v>0</v>
      </c>
      <c r="AE111" s="651">
        <f t="shared" ref="AE111:AE113" si="257">SUM(AC111:AD111)</f>
        <v>0</v>
      </c>
      <c r="AF111" s="652">
        <f t="shared" ref="AF111:AF113" si="258">SUM(C111:N111)</f>
        <v>1611</v>
      </c>
      <c r="AG111" s="653">
        <f>AF109/6</f>
        <v>0</v>
      </c>
      <c r="AH111" s="653" t="str">
        <f>(AF109/2) *(AF111/AF114)</f>
        <v>#REF!</v>
      </c>
      <c r="AI111" s="552" t="str">
        <f t="shared" ref="AI111:AI113" si="259">SUM(AG111:AH111)</f>
        <v>#REF!</v>
      </c>
      <c r="AJ111" s="652">
        <f t="shared" ref="AJ111:AJ113" si="260">SUM(C111:N111)</f>
        <v>1611</v>
      </c>
      <c r="AK111" s="653">
        <f>AJ109/6</f>
        <v>0</v>
      </c>
      <c r="AL111" s="653" t="str">
        <f>(AJ109/2) *(AJ111/AJ114)</f>
        <v>#REF!</v>
      </c>
      <c r="AM111" s="654">
        <v>0.0</v>
      </c>
      <c r="AN111" s="652">
        <f t="shared" ref="AN111:AN113" si="261">SUM(C111:N111)</f>
        <v>1611</v>
      </c>
      <c r="AO111" s="653">
        <f>AN109/6</f>
        <v>0</v>
      </c>
      <c r="AP111" s="653" t="str">
        <f>(AN109/2) *(AN111/AN114)</f>
        <v>#REF!</v>
      </c>
      <c r="AQ111" s="581" t="str">
        <f t="shared" ref="AQ111:AQ113" si="262">SUM(AO111:AP111)</f>
        <v>#REF!</v>
      </c>
      <c r="AR111" s="652">
        <f t="shared" ref="AR111:AR113" si="263">SUM(C111:N111)</f>
        <v>1611</v>
      </c>
      <c r="AS111" s="653">
        <f>AR109/6</f>
        <v>0</v>
      </c>
      <c r="AT111" s="653" t="str">
        <f>(AR109/2) *(AR111/AR114)</f>
        <v>#REF!</v>
      </c>
      <c r="AU111" s="581" t="str">
        <f t="shared" ref="AU111:AU113" si="264">SUM(AS111:AT111)</f>
        <v>#REF!</v>
      </c>
      <c r="AV111" s="652">
        <f t="shared" ref="AV111:AV113" si="265">SUM(C111:N111)</f>
        <v>1611</v>
      </c>
      <c r="AW111" s="653">
        <f>AV109/6</f>
        <v>0</v>
      </c>
      <c r="AX111" s="653" t="str">
        <f>(AV109/2) *(AV111/AV114)</f>
        <v>#REF!</v>
      </c>
      <c r="AY111" s="581" t="str">
        <f t="shared" ref="AY111:AY113" si="266">SUM(AW111:AX111)</f>
        <v>#REF!</v>
      </c>
      <c r="AZ111" s="652">
        <f t="shared" ref="AZ111:AZ113" si="267">SUM(C111:N111)</f>
        <v>1611</v>
      </c>
      <c r="BA111" s="653">
        <f>AZ109/6</f>
        <v>0</v>
      </c>
      <c r="BB111" s="653" t="str">
        <f>(AZ109/2) *(AZ111/AZ114)</f>
        <v>#REF!</v>
      </c>
      <c r="BC111" s="581" t="str">
        <f t="shared" ref="BC111:BC113" si="268">SUM(BA111:BB111)</f>
        <v>#REF!</v>
      </c>
      <c r="BD111" s="652">
        <f t="shared" ref="BD111:BD113" si="269">SUM(C111:N111)</f>
        <v>1611</v>
      </c>
      <c r="BE111" s="653">
        <f>BD109/6</f>
        <v>0</v>
      </c>
      <c r="BF111" s="653" t="str">
        <f>(BD109/2) *(BD111/BD114)</f>
        <v>#REF!</v>
      </c>
      <c r="BG111" s="581" t="str">
        <f t="shared" ref="BG111:BG113" si="270">SUM(BE111:BF111)</f>
        <v>#REF!</v>
      </c>
      <c r="BH111" s="652">
        <f t="shared" ref="BH111:BH113" si="271">SUM(C111:N111)</f>
        <v>1611</v>
      </c>
      <c r="BI111" s="653">
        <f>BH109/6</f>
        <v>0</v>
      </c>
      <c r="BJ111" s="653" t="str">
        <f>(BH109/2) *(BH111/BH114)</f>
        <v>#REF!</v>
      </c>
      <c r="BK111" s="655" t="str">
        <f t="shared" ref="BK111:BK113" si="272">SUM(BI111:BJ111)</f>
        <v>#REF!</v>
      </c>
      <c r="BL111" s="656"/>
      <c r="BM111" s="656"/>
    </row>
    <row r="112" ht="12.75" hidden="1" customHeight="1">
      <c r="A112" s="510" t="s">
        <v>404</v>
      </c>
      <c r="B112" s="511"/>
      <c r="C112" s="526">
        <f>AS!B110</f>
        <v>55</v>
      </c>
      <c r="D112" s="526">
        <f>AS!C110</f>
        <v>56</v>
      </c>
      <c r="E112" s="610">
        <f>AS!D110</f>
        <v>94</v>
      </c>
      <c r="F112" s="526">
        <f>AS!E110</f>
        <v>98</v>
      </c>
      <c r="G112" s="526">
        <f>AS!F110</f>
        <v>80</v>
      </c>
      <c r="H112" s="526">
        <f>AS!G110</f>
        <v>75</v>
      </c>
      <c r="I112" s="526">
        <f>AS!H110</f>
        <v>72</v>
      </c>
      <c r="J112" s="526">
        <f>AS!I110</f>
        <v>79</v>
      </c>
      <c r="K112" s="526">
        <f>AS!J110</f>
        <v>63</v>
      </c>
      <c r="L112" s="526">
        <f>AS!K110</f>
        <v>72</v>
      </c>
      <c r="M112" s="526">
        <f>AS!L110</f>
        <v>67</v>
      </c>
      <c r="N112" s="526">
        <f>AS!M110</f>
        <v>84</v>
      </c>
      <c r="O112" s="533"/>
      <c r="P112" s="553">
        <f t="shared" si="250"/>
        <v>895</v>
      </c>
      <c r="Q112" s="554">
        <f>P109/6</f>
        <v>0</v>
      </c>
      <c r="R112" s="554" t="str">
        <f>(P109/2) *(P112/P114)</f>
        <v>#REF!</v>
      </c>
      <c r="S112" s="554" t="str">
        <f t="shared" si="251"/>
        <v>#REF!</v>
      </c>
      <c r="T112" s="553">
        <f t="shared" si="252"/>
        <v>895</v>
      </c>
      <c r="U112" s="554">
        <f>T109/6</f>
        <v>0</v>
      </c>
      <c r="V112" s="554" t="str">
        <f>(T109/2) *(T112/T114)</f>
        <v>#REF!</v>
      </c>
      <c r="W112" s="554" t="str">
        <f t="shared" si="253"/>
        <v>#REF!</v>
      </c>
      <c r="X112" s="553">
        <f t="shared" si="254"/>
        <v>895</v>
      </c>
      <c r="Y112" s="233">
        <f>X109/6</f>
        <v>0</v>
      </c>
      <c r="Z112" s="554" t="str">
        <f>(X109/2) *(X112/X114)</f>
        <v>#REF!</v>
      </c>
      <c r="AA112" s="651" t="str">
        <f t="shared" si="255"/>
        <v>#REF!</v>
      </c>
      <c r="AB112" s="553">
        <f t="shared" si="256"/>
        <v>895</v>
      </c>
      <c r="AC112" s="233">
        <f>AB109/4</f>
        <v>0</v>
      </c>
      <c r="AD112" s="554">
        <f>(AB109/2) *(AB112/AB114)</f>
        <v>0</v>
      </c>
      <c r="AE112" s="651">
        <f t="shared" si="257"/>
        <v>0</v>
      </c>
      <c r="AF112" s="652">
        <f t="shared" si="258"/>
        <v>895</v>
      </c>
      <c r="AG112" s="653">
        <f>AF109/6</f>
        <v>0</v>
      </c>
      <c r="AH112" s="657" t="str">
        <f>(AF109/2) *(AF112/AF114)</f>
        <v>#REF!</v>
      </c>
      <c r="AI112" s="552" t="str">
        <f t="shared" si="259"/>
        <v>#REF!</v>
      </c>
      <c r="AJ112" s="652">
        <f t="shared" si="260"/>
        <v>895</v>
      </c>
      <c r="AK112" s="657">
        <f>AJ109/6</f>
        <v>0</v>
      </c>
      <c r="AL112" s="657" t="str">
        <f>(AJ109/2) *(AJ112/AJ114)</f>
        <v>#REF!</v>
      </c>
      <c r="AM112" s="654">
        <v>0.0</v>
      </c>
      <c r="AN112" s="652">
        <f t="shared" si="261"/>
        <v>895</v>
      </c>
      <c r="AO112" s="657">
        <f>AN109/6</f>
        <v>0</v>
      </c>
      <c r="AP112" s="657" t="str">
        <f>(AN109/2) *(AN112/AN114)</f>
        <v>#REF!</v>
      </c>
      <c r="AQ112" s="581" t="str">
        <f t="shared" si="262"/>
        <v>#REF!</v>
      </c>
      <c r="AR112" s="652">
        <f t="shared" si="263"/>
        <v>895</v>
      </c>
      <c r="AS112" s="657">
        <f>AR109/6</f>
        <v>0</v>
      </c>
      <c r="AT112" s="653" t="str">
        <f>(AR109/2) *(AR112/AR114)</f>
        <v>#REF!</v>
      </c>
      <c r="AU112" s="581" t="str">
        <f t="shared" si="264"/>
        <v>#REF!</v>
      </c>
      <c r="AV112" s="652">
        <f t="shared" si="265"/>
        <v>895</v>
      </c>
      <c r="AW112" s="658">
        <f>AV109/6</f>
        <v>0</v>
      </c>
      <c r="AX112" s="658" t="str">
        <f>(AV109/2) *(AV112/AV114)</f>
        <v>#REF!</v>
      </c>
      <c r="AY112" s="581" t="str">
        <f t="shared" si="266"/>
        <v>#REF!</v>
      </c>
      <c r="AZ112" s="652">
        <f t="shared" si="267"/>
        <v>895</v>
      </c>
      <c r="BA112" s="658">
        <f>AZ109/6</f>
        <v>0</v>
      </c>
      <c r="BB112" s="658" t="str">
        <f>(AZ109/2) *(AZ112/AZ114)</f>
        <v>#REF!</v>
      </c>
      <c r="BC112" s="581" t="str">
        <f t="shared" si="268"/>
        <v>#REF!</v>
      </c>
      <c r="BD112" s="652">
        <f t="shared" si="269"/>
        <v>895</v>
      </c>
      <c r="BE112" s="658">
        <f>BD109/6</f>
        <v>0</v>
      </c>
      <c r="BF112" s="658" t="str">
        <f>(BD109/2) *(BD112/BD114)</f>
        <v>#REF!</v>
      </c>
      <c r="BG112" s="581" t="str">
        <f t="shared" si="270"/>
        <v>#REF!</v>
      </c>
      <c r="BH112" s="652">
        <f t="shared" si="271"/>
        <v>895</v>
      </c>
      <c r="BI112" s="658">
        <f>BH109/6</f>
        <v>0</v>
      </c>
      <c r="BJ112" s="658" t="str">
        <f>(BH109/2) *(BH112/BH114)</f>
        <v>#REF!</v>
      </c>
      <c r="BK112" s="655" t="str">
        <f t="shared" si="272"/>
        <v>#REF!</v>
      </c>
      <c r="BL112" s="656"/>
      <c r="BM112" s="656"/>
    </row>
    <row r="113" ht="12.75" hidden="1" customHeight="1">
      <c r="A113" s="659" t="s">
        <v>405</v>
      </c>
      <c r="B113" s="521"/>
      <c r="C113" s="553" t="str">
        <f t="shared" ref="C113:N113" si="273">MV!B123</f>
        <v>#REF!</v>
      </c>
      <c r="D113" s="553" t="str">
        <f t="shared" si="273"/>
        <v>#REF!</v>
      </c>
      <c r="E113" s="553" t="str">
        <f t="shared" si="273"/>
        <v>#REF!</v>
      </c>
      <c r="F113" s="553" t="str">
        <f t="shared" si="273"/>
        <v>#REF!</v>
      </c>
      <c r="G113" s="553" t="str">
        <f t="shared" si="273"/>
        <v>#REF!</v>
      </c>
      <c r="H113" s="553" t="str">
        <f t="shared" si="273"/>
        <v>#REF!</v>
      </c>
      <c r="I113" s="553" t="str">
        <f t="shared" si="273"/>
        <v>#REF!</v>
      </c>
      <c r="J113" s="553" t="str">
        <f t="shared" si="273"/>
        <v>#REF!</v>
      </c>
      <c r="K113" s="553" t="str">
        <f t="shared" si="273"/>
        <v>#REF!</v>
      </c>
      <c r="L113" s="553" t="str">
        <f t="shared" si="273"/>
        <v>#REF!</v>
      </c>
      <c r="M113" s="553" t="str">
        <f t="shared" si="273"/>
        <v>#REF!</v>
      </c>
      <c r="N113" s="553" t="str">
        <f t="shared" si="273"/>
        <v>#REF!</v>
      </c>
      <c r="O113" s="533"/>
      <c r="P113" s="553" t="str">
        <f t="shared" si="250"/>
        <v>#REF!</v>
      </c>
      <c r="Q113" s="554">
        <f>P109/6</f>
        <v>0</v>
      </c>
      <c r="R113" s="554" t="str">
        <f>(P109/2) *(P113/P114)</f>
        <v>#REF!</v>
      </c>
      <c r="S113" s="554" t="str">
        <f t="shared" si="251"/>
        <v>#REF!</v>
      </c>
      <c r="T113" s="553" t="str">
        <f t="shared" si="252"/>
        <v>#REF!</v>
      </c>
      <c r="U113" s="554">
        <f>T109/6</f>
        <v>0</v>
      </c>
      <c r="V113" s="554" t="str">
        <f>(T109/2) *(T113/T114)</f>
        <v>#REF!</v>
      </c>
      <c r="W113" s="554" t="str">
        <f t="shared" si="253"/>
        <v>#REF!</v>
      </c>
      <c r="X113" s="553" t="str">
        <f t="shared" si="254"/>
        <v>#REF!</v>
      </c>
      <c r="Y113" s="233">
        <f>X109/6</f>
        <v>0</v>
      </c>
      <c r="Z113" s="554" t="str">
        <f>(X109/2) *(X113/X114)</f>
        <v>#REF!</v>
      </c>
      <c r="AA113" s="651" t="str">
        <f t="shared" si="255"/>
        <v>#REF!</v>
      </c>
      <c r="AB113" s="553"/>
      <c r="AC113" s="233"/>
      <c r="AD113" s="554">
        <f>(AB109/2) *(AB113/AB114)</f>
        <v>0</v>
      </c>
      <c r="AE113" s="651">
        <f t="shared" si="257"/>
        <v>0</v>
      </c>
      <c r="AF113" s="660" t="str">
        <f t="shared" si="258"/>
        <v>#REF!</v>
      </c>
      <c r="AG113" s="653">
        <f>AF109/6</f>
        <v>0</v>
      </c>
      <c r="AH113" s="657" t="str">
        <f>(AF109/2) *(AF113/AF114)</f>
        <v>#REF!</v>
      </c>
      <c r="AI113" s="552" t="str">
        <f t="shared" si="259"/>
        <v>#REF!</v>
      </c>
      <c r="AJ113" s="660" t="str">
        <f t="shared" si="260"/>
        <v>#REF!</v>
      </c>
      <c r="AK113" s="653">
        <f>AJ109/6</f>
        <v>0</v>
      </c>
      <c r="AL113" s="657" t="str">
        <f>(AJ109/2) *(AJ113/AJ114)</f>
        <v>#REF!</v>
      </c>
      <c r="AM113" s="654">
        <v>0.0</v>
      </c>
      <c r="AN113" s="660" t="str">
        <f t="shared" si="261"/>
        <v>#REF!</v>
      </c>
      <c r="AO113" s="653">
        <f>AN109/6</f>
        <v>0</v>
      </c>
      <c r="AP113" s="657" t="str">
        <f>(AN109/2) *(AN113/AN114)</f>
        <v>#REF!</v>
      </c>
      <c r="AQ113" s="581" t="str">
        <f t="shared" si="262"/>
        <v>#REF!</v>
      </c>
      <c r="AR113" s="661" t="str">
        <f t="shared" si="263"/>
        <v>#REF!</v>
      </c>
      <c r="AS113" s="653">
        <f>AR109/6</f>
        <v>0</v>
      </c>
      <c r="AT113" s="657" t="str">
        <f>(AR109/2) *(AR113/AR114)</f>
        <v>#REF!</v>
      </c>
      <c r="AU113" s="581" t="str">
        <f t="shared" si="264"/>
        <v>#REF!</v>
      </c>
      <c r="AV113" s="661" t="str">
        <f t="shared" si="265"/>
        <v>#REF!</v>
      </c>
      <c r="AW113" s="653">
        <f>AV109/6</f>
        <v>0</v>
      </c>
      <c r="AX113" s="658" t="str">
        <f>(AV109/2) *(AV113/AV114)</f>
        <v>#REF!</v>
      </c>
      <c r="AY113" s="581" t="str">
        <f t="shared" si="266"/>
        <v>#REF!</v>
      </c>
      <c r="AZ113" s="662" t="str">
        <f t="shared" si="267"/>
        <v>#REF!</v>
      </c>
      <c r="BA113" s="653">
        <f>AZ109/6</f>
        <v>0</v>
      </c>
      <c r="BB113" s="658" t="str">
        <f>(AZ109/2) *(AZ113/AZ114)</f>
        <v>#REF!</v>
      </c>
      <c r="BC113" s="581" t="str">
        <f t="shared" si="268"/>
        <v>#REF!</v>
      </c>
      <c r="BD113" s="662" t="str">
        <f t="shared" si="269"/>
        <v>#REF!</v>
      </c>
      <c r="BE113" s="653">
        <f>BD109/6</f>
        <v>0</v>
      </c>
      <c r="BF113" s="658" t="str">
        <f>(BD109/2) *(BD113/BD114)</f>
        <v>#REF!</v>
      </c>
      <c r="BG113" s="581" t="str">
        <f t="shared" si="270"/>
        <v>#REF!</v>
      </c>
      <c r="BH113" s="662" t="str">
        <f t="shared" si="271"/>
        <v>#REF!</v>
      </c>
      <c r="BI113" s="653">
        <f>BH109/6</f>
        <v>0</v>
      </c>
      <c r="BJ113" s="658" t="str">
        <f>(BH109/2) *(BH113/BH114)</f>
        <v>#REF!</v>
      </c>
      <c r="BK113" s="655" t="str">
        <f t="shared" si="272"/>
        <v>#REF!</v>
      </c>
      <c r="BL113" s="656"/>
      <c r="BM113" s="656"/>
    </row>
    <row r="114" ht="12.75" hidden="1" customHeight="1">
      <c r="A114" s="532"/>
      <c r="B114" s="521"/>
      <c r="C114" s="515"/>
      <c r="D114" s="515"/>
      <c r="E114" s="515"/>
      <c r="F114" s="515"/>
      <c r="G114" s="515"/>
      <c r="H114" s="515"/>
      <c r="I114" s="515"/>
      <c r="J114" s="515"/>
      <c r="K114" s="515"/>
      <c r="L114" s="515"/>
      <c r="M114" s="515"/>
      <c r="N114" s="515"/>
      <c r="O114" s="533"/>
      <c r="P114" s="552" t="str">
        <f t="shared" ref="P114:AF114" si="274">SUM(P111:P113)</f>
        <v>#REF!</v>
      </c>
      <c r="Q114" s="556">
        <f t="shared" si="274"/>
        <v>0</v>
      </c>
      <c r="R114" s="556" t="str">
        <f t="shared" si="274"/>
        <v>#REF!</v>
      </c>
      <c r="S114" s="556" t="str">
        <f t="shared" si="274"/>
        <v>#REF!</v>
      </c>
      <c r="T114" s="552" t="str">
        <f t="shared" si="274"/>
        <v>#REF!</v>
      </c>
      <c r="U114" s="556">
        <f t="shared" si="274"/>
        <v>0</v>
      </c>
      <c r="V114" s="556" t="str">
        <f t="shared" si="274"/>
        <v>#REF!</v>
      </c>
      <c r="W114" s="556" t="str">
        <f t="shared" si="274"/>
        <v>#REF!</v>
      </c>
      <c r="X114" s="552" t="str">
        <f t="shared" si="274"/>
        <v>#REF!</v>
      </c>
      <c r="Y114" s="556">
        <f t="shared" si="274"/>
        <v>0</v>
      </c>
      <c r="Z114" s="556" t="str">
        <f t="shared" si="274"/>
        <v>#REF!</v>
      </c>
      <c r="AA114" s="556" t="str">
        <f t="shared" si="274"/>
        <v>#REF!</v>
      </c>
      <c r="AB114" s="552">
        <f t="shared" si="274"/>
        <v>2506</v>
      </c>
      <c r="AC114" s="556">
        <f t="shared" si="274"/>
        <v>0</v>
      </c>
      <c r="AD114" s="556">
        <f t="shared" si="274"/>
        <v>0</v>
      </c>
      <c r="AE114" s="556">
        <f t="shared" si="274"/>
        <v>0</v>
      </c>
      <c r="AF114" s="590" t="str">
        <f t="shared" si="274"/>
        <v>#REF!</v>
      </c>
      <c r="AG114" s="639">
        <f t="shared" ref="AG114:AH114" si="275">SUM(AG111:AG112)</f>
        <v>0</v>
      </c>
      <c r="AH114" s="639" t="str">
        <f t="shared" si="275"/>
        <v>#REF!</v>
      </c>
      <c r="AI114" s="556" t="str">
        <f t="shared" ref="AI114:AL114" si="276">SUM(AI111:AI113)</f>
        <v>#REF!</v>
      </c>
      <c r="AJ114" s="590" t="str">
        <f t="shared" si="276"/>
        <v>#REF!</v>
      </c>
      <c r="AK114" s="653">
        <f t="shared" si="276"/>
        <v>0</v>
      </c>
      <c r="AL114" s="653" t="str">
        <f t="shared" si="276"/>
        <v>#REF!</v>
      </c>
      <c r="AM114" s="663">
        <v>0.0</v>
      </c>
      <c r="AN114" s="590" t="str">
        <f t="shared" ref="AN114:BK114" si="277">SUM(AN111:AN113)</f>
        <v>#REF!</v>
      </c>
      <c r="AO114" s="653">
        <f t="shared" si="277"/>
        <v>0</v>
      </c>
      <c r="AP114" s="653" t="str">
        <f t="shared" si="277"/>
        <v>#REF!</v>
      </c>
      <c r="AQ114" s="639" t="str">
        <f t="shared" si="277"/>
        <v>#REF!</v>
      </c>
      <c r="AR114" s="590" t="str">
        <f t="shared" si="277"/>
        <v>#REF!</v>
      </c>
      <c r="AS114" s="653">
        <f t="shared" si="277"/>
        <v>0</v>
      </c>
      <c r="AT114" s="653" t="str">
        <f t="shared" si="277"/>
        <v>#REF!</v>
      </c>
      <c r="AU114" s="639" t="str">
        <f t="shared" si="277"/>
        <v>#REF!</v>
      </c>
      <c r="AV114" s="590" t="str">
        <f t="shared" si="277"/>
        <v>#REF!</v>
      </c>
      <c r="AW114" s="653">
        <f t="shared" si="277"/>
        <v>0</v>
      </c>
      <c r="AX114" s="653" t="str">
        <f t="shared" si="277"/>
        <v>#REF!</v>
      </c>
      <c r="AY114" s="653" t="str">
        <f t="shared" si="277"/>
        <v>#REF!</v>
      </c>
      <c r="AZ114" s="590" t="str">
        <f t="shared" si="277"/>
        <v>#REF!</v>
      </c>
      <c r="BA114" s="653">
        <f t="shared" si="277"/>
        <v>0</v>
      </c>
      <c r="BB114" s="653" t="str">
        <f t="shared" si="277"/>
        <v>#REF!</v>
      </c>
      <c r="BC114" s="653" t="str">
        <f t="shared" si="277"/>
        <v>#REF!</v>
      </c>
      <c r="BD114" s="590" t="str">
        <f t="shared" si="277"/>
        <v>#REF!</v>
      </c>
      <c r="BE114" s="653">
        <f t="shared" si="277"/>
        <v>0</v>
      </c>
      <c r="BF114" s="653" t="str">
        <f t="shared" si="277"/>
        <v>#REF!</v>
      </c>
      <c r="BG114" s="653" t="str">
        <f t="shared" si="277"/>
        <v>#REF!</v>
      </c>
      <c r="BH114" s="590" t="str">
        <f t="shared" si="277"/>
        <v>#REF!</v>
      </c>
      <c r="BI114" s="655">
        <f t="shared" si="277"/>
        <v>0</v>
      </c>
      <c r="BJ114" s="655" t="str">
        <f t="shared" si="277"/>
        <v>#REF!</v>
      </c>
      <c r="BK114" s="655" t="str">
        <f t="shared" si="277"/>
        <v>#REF!</v>
      </c>
      <c r="BL114" s="656"/>
      <c r="BM114" s="656"/>
    </row>
    <row r="115" ht="12.75" hidden="1" customHeight="1">
      <c r="A115" s="567"/>
      <c r="B115" s="521"/>
      <c r="C115" s="515"/>
      <c r="D115" s="515"/>
      <c r="E115" s="515"/>
      <c r="F115" s="515"/>
      <c r="G115" s="515"/>
      <c r="H115" s="515"/>
      <c r="I115" s="515"/>
      <c r="J115" s="515"/>
      <c r="K115" s="515"/>
      <c r="L115" s="515"/>
      <c r="M115" s="515"/>
      <c r="N115" s="515"/>
      <c r="O115" s="533"/>
      <c r="P115" s="533"/>
      <c r="Q115" s="557"/>
      <c r="R115" s="557"/>
      <c r="S115" s="557"/>
      <c r="T115" s="533"/>
      <c r="U115" s="557"/>
      <c r="V115" s="557"/>
      <c r="W115" s="557"/>
      <c r="X115" s="533"/>
      <c r="Y115" s="557"/>
      <c r="Z115" s="557"/>
      <c r="AA115" s="557"/>
      <c r="AB115" s="533"/>
      <c r="AC115" s="557"/>
      <c r="AD115" s="557"/>
      <c r="AE115" s="557"/>
      <c r="AF115" s="664"/>
      <c r="AG115" s="665"/>
      <c r="AH115" s="665"/>
      <c r="AI115" s="557"/>
      <c r="AJ115" s="664"/>
      <c r="AK115" s="666"/>
      <c r="AL115" s="666"/>
      <c r="AM115" s="665"/>
      <c r="AN115" s="664"/>
      <c r="AO115" s="666"/>
      <c r="AP115" s="666"/>
      <c r="AQ115" s="665"/>
      <c r="AR115" s="664"/>
      <c r="AS115" s="666"/>
      <c r="AT115" s="666"/>
      <c r="AU115" s="665"/>
      <c r="AV115" s="664"/>
      <c r="AW115" s="666"/>
      <c r="AX115" s="666"/>
      <c r="AY115" s="666"/>
      <c r="AZ115" s="664"/>
      <c r="BA115" s="666"/>
      <c r="BB115" s="666"/>
      <c r="BC115" s="666"/>
      <c r="BD115" s="664"/>
      <c r="BE115" s="666"/>
      <c r="BF115" s="666"/>
      <c r="BG115" s="666"/>
      <c r="BH115" s="664"/>
      <c r="BI115" s="656"/>
      <c r="BJ115" s="656"/>
      <c r="BK115" s="656"/>
      <c r="BL115" s="656"/>
      <c r="BM115" s="656"/>
    </row>
    <row r="116" ht="12.75" hidden="1" customHeight="1">
      <c r="A116" s="567"/>
      <c r="B116" s="521"/>
      <c r="C116" s="515"/>
      <c r="D116" s="515"/>
      <c r="E116" s="515"/>
      <c r="F116" s="515"/>
      <c r="G116" s="515"/>
      <c r="H116" s="515"/>
      <c r="I116" s="515"/>
      <c r="J116" s="515"/>
      <c r="K116" s="515"/>
      <c r="L116" s="515"/>
      <c r="M116" s="515"/>
      <c r="N116" s="515"/>
      <c r="O116" s="533"/>
      <c r="P116" s="496" t="s">
        <v>340</v>
      </c>
      <c r="Q116" s="494"/>
      <c r="R116" s="494"/>
      <c r="S116" s="495"/>
      <c r="T116" s="496" t="s">
        <v>341</v>
      </c>
      <c r="U116" s="494"/>
      <c r="V116" s="494"/>
      <c r="W116" s="495"/>
      <c r="X116" s="496" t="s">
        <v>342</v>
      </c>
      <c r="Y116" s="494"/>
      <c r="Z116" s="494"/>
      <c r="AA116" s="495"/>
      <c r="AB116" s="496" t="s">
        <v>343</v>
      </c>
      <c r="AC116" s="494"/>
      <c r="AD116" s="494"/>
      <c r="AE116" s="495"/>
      <c r="AF116" s="644" t="s">
        <v>344</v>
      </c>
      <c r="AG116" s="494"/>
      <c r="AH116" s="494"/>
      <c r="AI116" s="495"/>
      <c r="AJ116" s="644" t="s">
        <v>345</v>
      </c>
      <c r="AK116" s="494"/>
      <c r="AL116" s="494"/>
      <c r="AM116" s="495"/>
      <c r="AN116" s="644" t="s">
        <v>346</v>
      </c>
      <c r="AO116" s="494"/>
      <c r="AP116" s="494"/>
      <c r="AQ116" s="495"/>
      <c r="AR116" s="644" t="s">
        <v>347</v>
      </c>
      <c r="AS116" s="494"/>
      <c r="AT116" s="494"/>
      <c r="AU116" s="495"/>
      <c r="AV116" s="546" t="s">
        <v>348</v>
      </c>
      <c r="AW116" s="494"/>
      <c r="AX116" s="494"/>
      <c r="AY116" s="495"/>
      <c r="AZ116" s="546" t="s">
        <v>349</v>
      </c>
      <c r="BA116" s="494"/>
      <c r="BB116" s="494"/>
      <c r="BC116" s="495"/>
      <c r="BD116" s="546" t="s">
        <v>350</v>
      </c>
      <c r="BE116" s="494"/>
      <c r="BF116" s="494"/>
      <c r="BG116" s="495"/>
      <c r="BH116" s="546" t="s">
        <v>351</v>
      </c>
      <c r="BI116" s="494"/>
      <c r="BJ116" s="494"/>
      <c r="BK116" s="495"/>
      <c r="BL116" s="533"/>
      <c r="BM116" s="533"/>
    </row>
    <row r="117" ht="12.75" hidden="1" customHeight="1">
      <c r="A117" s="567"/>
      <c r="B117" s="521"/>
      <c r="C117" s="515"/>
      <c r="D117" s="515"/>
      <c r="E117" s="515"/>
      <c r="F117" s="515"/>
      <c r="G117" s="515"/>
      <c r="H117" s="515"/>
      <c r="I117" s="515"/>
      <c r="J117" s="515"/>
      <c r="K117" s="515"/>
      <c r="L117" s="515"/>
      <c r="M117" s="515"/>
      <c r="N117" s="515"/>
      <c r="O117" s="533"/>
      <c r="P117" s="547" t="s">
        <v>373</v>
      </c>
      <c r="Q117" s="506"/>
      <c r="R117" s="506"/>
      <c r="S117" s="507"/>
      <c r="T117" s="547" t="s">
        <v>373</v>
      </c>
      <c r="U117" s="506"/>
      <c r="V117" s="506"/>
      <c r="W117" s="507"/>
      <c r="X117" s="547" t="s">
        <v>373</v>
      </c>
      <c r="Y117" s="506"/>
      <c r="Z117" s="506"/>
      <c r="AA117" s="507"/>
      <c r="AB117" s="547" t="s">
        <v>373</v>
      </c>
      <c r="AC117" s="506"/>
      <c r="AD117" s="506"/>
      <c r="AE117" s="507"/>
      <c r="AF117" s="547" t="s">
        <v>373</v>
      </c>
      <c r="AG117" s="506"/>
      <c r="AH117" s="506"/>
      <c r="AI117" s="507"/>
      <c r="AJ117" s="547" t="s">
        <v>373</v>
      </c>
      <c r="AK117" s="506"/>
      <c r="AL117" s="506"/>
      <c r="AM117" s="507"/>
      <c r="AN117" s="547" t="s">
        <v>373</v>
      </c>
      <c r="AO117" s="506"/>
      <c r="AP117" s="506"/>
      <c r="AQ117" s="507"/>
      <c r="AR117" s="547" t="s">
        <v>373</v>
      </c>
      <c r="AS117" s="506"/>
      <c r="AT117" s="506"/>
      <c r="AU117" s="507"/>
      <c r="AV117" s="547" t="s">
        <v>373</v>
      </c>
      <c r="AW117" s="506"/>
      <c r="AX117" s="506"/>
      <c r="AY117" s="507"/>
      <c r="AZ117" s="547" t="s">
        <v>373</v>
      </c>
      <c r="BA117" s="506"/>
      <c r="BB117" s="506"/>
      <c r="BC117" s="507"/>
      <c r="BD117" s="547" t="s">
        <v>373</v>
      </c>
      <c r="BE117" s="506"/>
      <c r="BF117" s="506"/>
      <c r="BG117" s="507"/>
      <c r="BH117" s="547" t="s">
        <v>373</v>
      </c>
      <c r="BI117" s="506"/>
      <c r="BJ117" s="506"/>
      <c r="BK117" s="507"/>
      <c r="BL117" s="562"/>
      <c r="BM117" s="562"/>
    </row>
    <row r="118" ht="12.75" hidden="1" customHeight="1">
      <c r="A118" s="567"/>
      <c r="B118" s="521"/>
      <c r="C118" s="515"/>
      <c r="D118" s="515"/>
      <c r="E118" s="515"/>
      <c r="F118" s="515"/>
      <c r="G118" s="515"/>
      <c r="H118" s="515"/>
      <c r="I118" s="515"/>
      <c r="J118" s="515"/>
      <c r="K118" s="515"/>
      <c r="L118" s="515"/>
      <c r="M118" s="515"/>
      <c r="N118" s="515"/>
      <c r="O118" s="533"/>
      <c r="P118" s="517">
        <v>0.0</v>
      </c>
      <c r="Q118" s="498"/>
      <c r="R118" s="498"/>
      <c r="S118" s="498"/>
      <c r="T118" s="517">
        <v>0.0</v>
      </c>
      <c r="U118" s="498"/>
      <c r="V118" s="498"/>
      <c r="W118" s="498"/>
      <c r="X118" s="517">
        <v>0.0</v>
      </c>
      <c r="Y118" s="498"/>
      <c r="Z118" s="498"/>
      <c r="AA118" s="498"/>
      <c r="AB118" s="517">
        <v>0.0</v>
      </c>
      <c r="AC118" s="498"/>
      <c r="AD118" s="498"/>
      <c r="AE118" s="498"/>
      <c r="AF118" s="517">
        <f>18878.15+1904</f>
        <v>20782.15</v>
      </c>
      <c r="AG118" s="498"/>
      <c r="AH118" s="498"/>
      <c r="AI118" s="498"/>
      <c r="AJ118" s="517">
        <v>0.0</v>
      </c>
      <c r="AK118" s="498"/>
      <c r="AL118" s="498"/>
      <c r="AM118" s="498"/>
      <c r="AN118" s="517"/>
      <c r="AO118" s="498"/>
      <c r="AP118" s="498"/>
      <c r="AQ118" s="498"/>
      <c r="AR118" s="517"/>
      <c r="AS118" s="498"/>
      <c r="AT118" s="498"/>
      <c r="AU118" s="498"/>
      <c r="AV118" s="517"/>
      <c r="AW118" s="498"/>
      <c r="AX118" s="498"/>
      <c r="AY118" s="498"/>
      <c r="AZ118" s="517"/>
      <c r="BA118" s="498"/>
      <c r="BB118" s="498"/>
      <c r="BC118" s="498"/>
      <c r="BD118" s="517"/>
      <c r="BE118" s="498"/>
      <c r="BF118" s="498"/>
      <c r="BG118" s="498"/>
      <c r="BH118" s="517"/>
      <c r="BI118" s="498"/>
      <c r="BJ118" s="498"/>
      <c r="BK118" s="498"/>
      <c r="BL118" s="519"/>
      <c r="BM118" s="519"/>
    </row>
    <row r="119" ht="12.75" hidden="1" customHeight="1">
      <c r="A119" s="520" t="s">
        <v>353</v>
      </c>
      <c r="B119" s="521"/>
      <c r="C119" s="515"/>
      <c r="D119" s="515"/>
      <c r="E119" s="515"/>
      <c r="F119" s="515"/>
      <c r="G119" s="515"/>
      <c r="H119" s="515"/>
      <c r="I119" s="515"/>
      <c r="J119" s="515"/>
      <c r="K119" s="515"/>
      <c r="L119" s="515"/>
      <c r="M119" s="515"/>
      <c r="N119" s="515"/>
      <c r="O119" s="533"/>
      <c r="P119" s="552" t="s">
        <v>319</v>
      </c>
      <c r="Q119" s="552" t="s">
        <v>365</v>
      </c>
      <c r="R119" s="552" t="s">
        <v>366</v>
      </c>
      <c r="S119" s="552" t="s">
        <v>367</v>
      </c>
      <c r="T119" s="552" t="s">
        <v>319</v>
      </c>
      <c r="U119" s="552" t="s">
        <v>365</v>
      </c>
      <c r="V119" s="552" t="s">
        <v>366</v>
      </c>
      <c r="W119" s="552" t="s">
        <v>367</v>
      </c>
      <c r="X119" s="667" t="s">
        <v>319</v>
      </c>
      <c r="Y119" s="552" t="s">
        <v>365</v>
      </c>
      <c r="Z119" s="552" t="s">
        <v>366</v>
      </c>
      <c r="AA119" s="552" t="s">
        <v>367</v>
      </c>
      <c r="AB119" s="552" t="s">
        <v>319</v>
      </c>
      <c r="AC119" s="552" t="s">
        <v>365</v>
      </c>
      <c r="AD119" s="552" t="s">
        <v>366</v>
      </c>
      <c r="AE119" s="552" t="s">
        <v>367</v>
      </c>
      <c r="AF119" s="552" t="s">
        <v>319</v>
      </c>
      <c r="AG119" s="552" t="s">
        <v>365</v>
      </c>
      <c r="AH119" s="552" t="s">
        <v>366</v>
      </c>
      <c r="AI119" s="552" t="s">
        <v>367</v>
      </c>
      <c r="AJ119" s="647" t="s">
        <v>319</v>
      </c>
      <c r="AK119" s="647" t="s">
        <v>365</v>
      </c>
      <c r="AL119" s="647" t="s">
        <v>366</v>
      </c>
      <c r="AM119" s="647" t="s">
        <v>367</v>
      </c>
      <c r="AN119" s="647" t="s">
        <v>319</v>
      </c>
      <c r="AO119" s="647" t="s">
        <v>365</v>
      </c>
      <c r="AP119" s="647" t="s">
        <v>366</v>
      </c>
      <c r="AQ119" s="647" t="s">
        <v>367</v>
      </c>
      <c r="AR119" s="668" t="s">
        <v>319</v>
      </c>
      <c r="AS119" s="668" t="s">
        <v>365</v>
      </c>
      <c r="AT119" s="668" t="s">
        <v>366</v>
      </c>
      <c r="AU119" s="668" t="s">
        <v>367</v>
      </c>
      <c r="AV119" s="647" t="s">
        <v>319</v>
      </c>
      <c r="AW119" s="647" t="s">
        <v>365</v>
      </c>
      <c r="AX119" s="647" t="s">
        <v>366</v>
      </c>
      <c r="AY119" s="647" t="s">
        <v>367</v>
      </c>
      <c r="AZ119" s="668" t="s">
        <v>319</v>
      </c>
      <c r="BA119" s="668" t="s">
        <v>365</v>
      </c>
      <c r="BB119" s="668" t="s">
        <v>366</v>
      </c>
      <c r="BC119" s="668" t="s">
        <v>367</v>
      </c>
      <c r="BD119" s="647" t="s">
        <v>319</v>
      </c>
      <c r="BE119" s="647" t="s">
        <v>365</v>
      </c>
      <c r="BF119" s="647" t="s">
        <v>366</v>
      </c>
      <c r="BG119" s="647" t="s">
        <v>367</v>
      </c>
      <c r="BH119" s="647" t="s">
        <v>319</v>
      </c>
      <c r="BI119" s="647" t="s">
        <v>365</v>
      </c>
      <c r="BJ119" s="647" t="s">
        <v>366</v>
      </c>
      <c r="BK119" s="647" t="s">
        <v>367</v>
      </c>
      <c r="BL119" s="650"/>
      <c r="BM119" s="650"/>
    </row>
    <row r="120" ht="12.75" hidden="1" customHeight="1">
      <c r="A120" s="510" t="s">
        <v>403</v>
      </c>
      <c r="B120" s="521"/>
      <c r="C120" s="515"/>
      <c r="D120" s="515"/>
      <c r="E120" s="515"/>
      <c r="F120" s="515"/>
      <c r="G120" s="515"/>
      <c r="H120" s="515"/>
      <c r="I120" s="515"/>
      <c r="J120" s="515"/>
      <c r="K120" s="515"/>
      <c r="L120" s="515"/>
      <c r="M120" s="515"/>
      <c r="N120" s="515"/>
      <c r="O120" s="533"/>
      <c r="P120" s="669">
        <f t="shared" ref="P120:P122" si="278">SUM(C111:N111)</f>
        <v>1611</v>
      </c>
      <c r="Q120" s="554">
        <f>P118/6</f>
        <v>0</v>
      </c>
      <c r="R120" s="554" t="str">
        <f>(P118/2) *(P120/P123)</f>
        <v>#REF!</v>
      </c>
      <c r="S120" s="554" t="str">
        <f t="shared" ref="S120:S122" si="279">Q120+R120</f>
        <v>#REF!</v>
      </c>
      <c r="T120" s="669">
        <f t="shared" ref="T120:T122" si="280">SUM(C111:N111)</f>
        <v>1611</v>
      </c>
      <c r="U120" s="554">
        <f>T118/6</f>
        <v>0</v>
      </c>
      <c r="V120" s="554" t="str">
        <f>(T118/2) *(T120/T123)</f>
        <v>#REF!</v>
      </c>
      <c r="W120" s="554" t="str">
        <f t="shared" ref="W120:W122" si="281">U120+V120</f>
        <v>#REF!</v>
      </c>
      <c r="X120" s="669">
        <f t="shared" ref="X120:X122" si="282">SUM(C111:N111)</f>
        <v>1611</v>
      </c>
      <c r="Y120" s="651">
        <f>X118/6</f>
        <v>0</v>
      </c>
      <c r="Z120" s="554" t="str">
        <f>(X118/2) *(X120/X123)</f>
        <v>#REF!</v>
      </c>
      <c r="AA120" s="651" t="str">
        <f t="shared" ref="AA120:AA122" si="283">SUM(Y120:Z120)</f>
        <v>#REF!</v>
      </c>
      <c r="AB120" s="669">
        <f t="shared" ref="AB120:AB122" si="284">SUM(C111:N111)</f>
        <v>1611</v>
      </c>
      <c r="AC120" s="554">
        <f>AB118/6</f>
        <v>0</v>
      </c>
      <c r="AD120" s="554" t="str">
        <f>(AB118/2) *(AB120/AB123)</f>
        <v>#REF!</v>
      </c>
      <c r="AE120" s="651" t="str">
        <f t="shared" ref="AE120:AE122" si="285">SUM(AC120:AD120)</f>
        <v>#REF!</v>
      </c>
      <c r="AF120" s="669">
        <f t="shared" ref="AF120:AF122" si="286">SUM(C111:N111)</f>
        <v>1611</v>
      </c>
      <c r="AG120" s="653">
        <f>AF118/6</f>
        <v>3463.691667</v>
      </c>
      <c r="AH120" s="653" t="str">
        <f>(AF118/2) *(AF120/AF123)</f>
        <v>#REF!</v>
      </c>
      <c r="AI120" s="552" t="str">
        <f t="shared" ref="AI120:AI122" si="287">SUM(AG120:AH120)</f>
        <v>#REF!</v>
      </c>
      <c r="AJ120" s="669">
        <f t="shared" ref="AJ120:AJ122" si="288">SUM(C111:N111)</f>
        <v>1611</v>
      </c>
      <c r="AK120" s="653">
        <f>AJ118/6</f>
        <v>0</v>
      </c>
      <c r="AL120" s="653" t="str">
        <f>(AJ118/2) *(AJ120/AJ123)</f>
        <v>#REF!</v>
      </c>
      <c r="AM120" s="654">
        <v>0.0</v>
      </c>
      <c r="AN120" s="669">
        <f t="shared" ref="AN120:AN122" si="289">SUM(C111:N111)</f>
        <v>1611</v>
      </c>
      <c r="AO120" s="653">
        <f>AN118/6</f>
        <v>0</v>
      </c>
      <c r="AP120" s="653" t="str">
        <f>(AN118/2) *(AN120/AN123)</f>
        <v>#REF!</v>
      </c>
      <c r="AQ120" s="581" t="str">
        <f t="shared" ref="AQ120:AQ122" si="290">SUM(AO120:AP120)</f>
        <v>#REF!</v>
      </c>
      <c r="AR120" s="670">
        <f t="shared" ref="AR120:AR122" si="291">SUM(C111:N111)</f>
        <v>1611</v>
      </c>
      <c r="AS120" s="653">
        <f>AR118/6</f>
        <v>0</v>
      </c>
      <c r="AT120" s="653" t="str">
        <f>(AR118/2) *(AR120/AR123)</f>
        <v>#REF!</v>
      </c>
      <c r="AU120" s="581" t="str">
        <f t="shared" ref="AU120:AU122" si="292">SUM(AS120:AT120)</f>
        <v>#REF!</v>
      </c>
      <c r="AV120" s="670">
        <f t="shared" ref="AV120:AV122" si="293">SUM(C111:N111)</f>
        <v>1611</v>
      </c>
      <c r="AW120" s="653">
        <f>AV118/6</f>
        <v>0</v>
      </c>
      <c r="AX120" s="653" t="str">
        <f>(AV118/2) *(AV120/AV123)</f>
        <v>#REF!</v>
      </c>
      <c r="AY120" s="581" t="str">
        <f t="shared" ref="AY120:AY122" si="294">SUM(AW120:AX120)</f>
        <v>#REF!</v>
      </c>
      <c r="AZ120" s="670">
        <f t="shared" ref="AZ120:AZ122" si="295">SUM(C111:N111)</f>
        <v>1611</v>
      </c>
      <c r="BA120" s="653">
        <f>AZ118/6</f>
        <v>0</v>
      </c>
      <c r="BB120" s="653" t="str">
        <f>(AZ118/2) *(AZ120/AZ123)</f>
        <v>#REF!</v>
      </c>
      <c r="BC120" s="581" t="str">
        <f t="shared" ref="BC120:BC122" si="296">SUM(BA120:BB120)</f>
        <v>#REF!</v>
      </c>
      <c r="BD120" s="670">
        <f t="shared" ref="BD120:BD122" si="297">SUM(C111:N111)</f>
        <v>1611</v>
      </c>
      <c r="BE120" s="653">
        <f>BD118/6</f>
        <v>0</v>
      </c>
      <c r="BF120" s="653" t="str">
        <f>(BD118/2) *(BD120/BD123)</f>
        <v>#REF!</v>
      </c>
      <c r="BG120" s="581" t="str">
        <f t="shared" ref="BG120:BG122" si="298">SUM(BE120:BF120)</f>
        <v>#REF!</v>
      </c>
      <c r="BH120" s="670">
        <f t="shared" ref="BH120:BH122" si="299">SUM(C111:N111)</f>
        <v>1611</v>
      </c>
      <c r="BI120" s="653">
        <f>BH118/6</f>
        <v>0</v>
      </c>
      <c r="BJ120" s="653" t="str">
        <f>(BH118/2) *(BH120/BH123)</f>
        <v>#REF!</v>
      </c>
      <c r="BK120" s="655" t="str">
        <f t="shared" ref="BK120:BK122" si="300">SUM(BI120:BJ120)</f>
        <v>#REF!</v>
      </c>
      <c r="BL120" s="656"/>
      <c r="BM120" s="656"/>
    </row>
    <row r="121" ht="12.75" hidden="1" customHeight="1">
      <c r="A121" s="510" t="s">
        <v>404</v>
      </c>
      <c r="B121" s="521"/>
      <c r="C121" s="515"/>
      <c r="D121" s="515"/>
      <c r="E121" s="515"/>
      <c r="F121" s="515"/>
      <c r="G121" s="515"/>
      <c r="H121" s="515"/>
      <c r="I121" s="515"/>
      <c r="J121" s="515"/>
      <c r="K121" s="515"/>
      <c r="L121" s="515"/>
      <c r="M121" s="515"/>
      <c r="N121" s="515"/>
      <c r="O121" s="533"/>
      <c r="P121" s="669">
        <f t="shared" si="278"/>
        <v>895</v>
      </c>
      <c r="Q121" s="671">
        <f>P118/6</f>
        <v>0</v>
      </c>
      <c r="R121" s="554" t="str">
        <f>(P118/2) *(P121/P123)</f>
        <v>#REF!</v>
      </c>
      <c r="S121" s="554" t="str">
        <f t="shared" si="279"/>
        <v>#REF!</v>
      </c>
      <c r="T121" s="669">
        <f t="shared" si="280"/>
        <v>895</v>
      </c>
      <c r="U121" s="554">
        <f>T118/6</f>
        <v>0</v>
      </c>
      <c r="V121" s="554" t="str">
        <f>(T118/2) *(T121/T123)</f>
        <v>#REF!</v>
      </c>
      <c r="W121" s="554" t="str">
        <f t="shared" si="281"/>
        <v>#REF!</v>
      </c>
      <c r="X121" s="669">
        <f t="shared" si="282"/>
        <v>895</v>
      </c>
      <c r="Y121" s="233">
        <f>X118/6</f>
        <v>0</v>
      </c>
      <c r="Z121" s="554" t="str">
        <f>(X118/2) *(X121/X123)</f>
        <v>#REF!</v>
      </c>
      <c r="AA121" s="651" t="str">
        <f t="shared" si="283"/>
        <v>#REF!</v>
      </c>
      <c r="AB121" s="669">
        <f t="shared" si="284"/>
        <v>895</v>
      </c>
      <c r="AC121" s="233">
        <f>AB118/6</f>
        <v>0</v>
      </c>
      <c r="AD121" s="554" t="str">
        <f>(AB118/2) *(AB121/AB123)</f>
        <v>#REF!</v>
      </c>
      <c r="AE121" s="651" t="str">
        <f t="shared" si="285"/>
        <v>#REF!</v>
      </c>
      <c r="AF121" s="669">
        <f t="shared" si="286"/>
        <v>895</v>
      </c>
      <c r="AG121" s="653">
        <f>AF118/6</f>
        <v>3463.691667</v>
      </c>
      <c r="AH121" s="657" t="str">
        <f>(AF118/2) *(AF121/AF123)</f>
        <v>#REF!</v>
      </c>
      <c r="AI121" s="552" t="str">
        <f t="shared" si="287"/>
        <v>#REF!</v>
      </c>
      <c r="AJ121" s="669">
        <f t="shared" si="288"/>
        <v>895</v>
      </c>
      <c r="AK121" s="657">
        <f>AJ118/6</f>
        <v>0</v>
      </c>
      <c r="AL121" s="657" t="str">
        <f>(AJ118/2) *(AJ121/AJ123)</f>
        <v>#REF!</v>
      </c>
      <c r="AM121" s="654">
        <v>0.0</v>
      </c>
      <c r="AN121" s="669">
        <f t="shared" si="289"/>
        <v>895</v>
      </c>
      <c r="AO121" s="657">
        <f>AN118/6</f>
        <v>0</v>
      </c>
      <c r="AP121" s="657" t="str">
        <f>(AN118/2) *(AN121/AN123)</f>
        <v>#REF!</v>
      </c>
      <c r="AQ121" s="581" t="str">
        <f t="shared" si="290"/>
        <v>#REF!</v>
      </c>
      <c r="AR121" s="670">
        <f t="shared" si="291"/>
        <v>895</v>
      </c>
      <c r="AS121" s="657">
        <f>AR118/6</f>
        <v>0</v>
      </c>
      <c r="AT121" s="653" t="str">
        <f>(AR118/2) *(AR121/AR123)</f>
        <v>#REF!</v>
      </c>
      <c r="AU121" s="581" t="str">
        <f t="shared" si="292"/>
        <v>#REF!</v>
      </c>
      <c r="AV121" s="670">
        <f t="shared" si="293"/>
        <v>895</v>
      </c>
      <c r="AW121" s="658">
        <f>AV118/6</f>
        <v>0</v>
      </c>
      <c r="AX121" s="658" t="str">
        <f>(AV118/2) *(AV121/AV123)</f>
        <v>#REF!</v>
      </c>
      <c r="AY121" s="581" t="str">
        <f t="shared" si="294"/>
        <v>#REF!</v>
      </c>
      <c r="AZ121" s="670">
        <f t="shared" si="295"/>
        <v>895</v>
      </c>
      <c r="BA121" s="658">
        <f>AZ118/6</f>
        <v>0</v>
      </c>
      <c r="BB121" s="658" t="str">
        <f>(AZ118/2) *(AZ121/AZ123)</f>
        <v>#REF!</v>
      </c>
      <c r="BC121" s="581" t="str">
        <f t="shared" si="296"/>
        <v>#REF!</v>
      </c>
      <c r="BD121" s="670">
        <f t="shared" si="297"/>
        <v>895</v>
      </c>
      <c r="BE121" s="658">
        <f>BD118/6</f>
        <v>0</v>
      </c>
      <c r="BF121" s="658" t="str">
        <f>(BD118/2) *(BD121/BD123)</f>
        <v>#REF!</v>
      </c>
      <c r="BG121" s="581" t="str">
        <f t="shared" si="298"/>
        <v>#REF!</v>
      </c>
      <c r="BH121" s="670">
        <f t="shared" si="299"/>
        <v>895</v>
      </c>
      <c r="BI121" s="658">
        <f>BH118/6</f>
        <v>0</v>
      </c>
      <c r="BJ121" s="658" t="str">
        <f>(BH118/2) *(BH121/BH123)</f>
        <v>#REF!</v>
      </c>
      <c r="BK121" s="655" t="str">
        <f t="shared" si="300"/>
        <v>#REF!</v>
      </c>
      <c r="BL121" s="656"/>
      <c r="BM121" s="656"/>
    </row>
    <row r="122" ht="12.75" hidden="1" customHeight="1">
      <c r="A122" s="659" t="s">
        <v>405</v>
      </c>
      <c r="B122" s="521"/>
      <c r="C122" s="515"/>
      <c r="D122" s="515"/>
      <c r="E122" s="515"/>
      <c r="F122" s="515"/>
      <c r="G122" s="515"/>
      <c r="H122" s="515"/>
      <c r="I122" s="515"/>
      <c r="J122" s="515"/>
      <c r="K122" s="515"/>
      <c r="L122" s="515"/>
      <c r="M122" s="515"/>
      <c r="N122" s="515"/>
      <c r="O122" s="533"/>
      <c r="P122" s="669" t="str">
        <f t="shared" si="278"/>
        <v>#REF!</v>
      </c>
      <c r="Q122" s="671">
        <f>P118/6</f>
        <v>0</v>
      </c>
      <c r="R122" s="554" t="str">
        <f>(P118/2) *(P122/P123)</f>
        <v>#REF!</v>
      </c>
      <c r="S122" s="554" t="str">
        <f t="shared" si="279"/>
        <v>#REF!</v>
      </c>
      <c r="T122" s="669" t="str">
        <f t="shared" si="280"/>
        <v>#REF!</v>
      </c>
      <c r="U122" s="554">
        <f>T118/6</f>
        <v>0</v>
      </c>
      <c r="V122" s="554" t="str">
        <f>(T118/2) *(T122/T123)</f>
        <v>#REF!</v>
      </c>
      <c r="W122" s="554" t="str">
        <f t="shared" si="281"/>
        <v>#REF!</v>
      </c>
      <c r="X122" s="669" t="str">
        <f t="shared" si="282"/>
        <v>#REF!</v>
      </c>
      <c r="Y122" s="233">
        <f>X118/6</f>
        <v>0</v>
      </c>
      <c r="Z122" s="554" t="str">
        <f>(X118/2) *(X122/X123)</f>
        <v>#REF!</v>
      </c>
      <c r="AA122" s="651" t="str">
        <f t="shared" si="283"/>
        <v>#REF!</v>
      </c>
      <c r="AB122" s="669" t="str">
        <f t="shared" si="284"/>
        <v>#REF!</v>
      </c>
      <c r="AC122" s="233">
        <f>AB118/6</f>
        <v>0</v>
      </c>
      <c r="AD122" s="554" t="str">
        <f>(AB118/2) *(AB122/AB123)</f>
        <v>#REF!</v>
      </c>
      <c r="AE122" s="651" t="str">
        <f t="shared" si="285"/>
        <v>#REF!</v>
      </c>
      <c r="AF122" s="672" t="str">
        <f t="shared" si="286"/>
        <v>#REF!</v>
      </c>
      <c r="AG122" s="653">
        <f>AF118/6</f>
        <v>3463.691667</v>
      </c>
      <c r="AH122" s="657" t="str">
        <f>(AF118/2) *(AF122/AF123)</f>
        <v>#REF!</v>
      </c>
      <c r="AI122" s="552" t="str">
        <f t="shared" si="287"/>
        <v>#REF!</v>
      </c>
      <c r="AJ122" s="672" t="str">
        <f t="shared" si="288"/>
        <v>#REF!</v>
      </c>
      <c r="AK122" s="653">
        <f>AJ118/6</f>
        <v>0</v>
      </c>
      <c r="AL122" s="657" t="str">
        <f>(AJ118/2) *(AJ122/AJ123)</f>
        <v>#REF!</v>
      </c>
      <c r="AM122" s="654">
        <v>0.0</v>
      </c>
      <c r="AN122" s="672" t="str">
        <f t="shared" si="289"/>
        <v>#REF!</v>
      </c>
      <c r="AO122" s="653">
        <f>AN118/6</f>
        <v>0</v>
      </c>
      <c r="AP122" s="657" t="str">
        <f>(AN118/2) *(AN122/AN123)</f>
        <v>#REF!</v>
      </c>
      <c r="AQ122" s="581" t="str">
        <f t="shared" si="290"/>
        <v>#REF!</v>
      </c>
      <c r="AR122" s="673" t="str">
        <f t="shared" si="291"/>
        <v>#REF!</v>
      </c>
      <c r="AS122" s="653">
        <f>AR118/6</f>
        <v>0</v>
      </c>
      <c r="AT122" s="657" t="str">
        <f>(AR118/2) *(AR122/AR123)</f>
        <v>#REF!</v>
      </c>
      <c r="AU122" s="581" t="str">
        <f t="shared" si="292"/>
        <v>#REF!</v>
      </c>
      <c r="AV122" s="673" t="str">
        <f t="shared" si="293"/>
        <v>#REF!</v>
      </c>
      <c r="AW122" s="653">
        <f>AV118/6</f>
        <v>0</v>
      </c>
      <c r="AX122" s="658" t="str">
        <f>(AV118/2) *(AV122/AV123)</f>
        <v>#REF!</v>
      </c>
      <c r="AY122" s="581" t="str">
        <f t="shared" si="294"/>
        <v>#REF!</v>
      </c>
      <c r="AZ122" s="673" t="str">
        <f t="shared" si="295"/>
        <v>#REF!</v>
      </c>
      <c r="BA122" s="653">
        <f>AZ118/6</f>
        <v>0</v>
      </c>
      <c r="BB122" s="658" t="str">
        <f>(AZ118/2) *(AZ122/AZ123)</f>
        <v>#REF!</v>
      </c>
      <c r="BC122" s="581" t="str">
        <f t="shared" si="296"/>
        <v>#REF!</v>
      </c>
      <c r="BD122" s="673" t="str">
        <f t="shared" si="297"/>
        <v>#REF!</v>
      </c>
      <c r="BE122" s="653">
        <f>BD118/6</f>
        <v>0</v>
      </c>
      <c r="BF122" s="658" t="str">
        <f>(BD118/2) *(BD122/BD123)</f>
        <v>#REF!</v>
      </c>
      <c r="BG122" s="581" t="str">
        <f t="shared" si="298"/>
        <v>#REF!</v>
      </c>
      <c r="BH122" s="673" t="str">
        <f t="shared" si="299"/>
        <v>#REF!</v>
      </c>
      <c r="BI122" s="653">
        <f>BH118/6</f>
        <v>0</v>
      </c>
      <c r="BJ122" s="658" t="str">
        <f>(BH118/2) *(BH122/BH123)</f>
        <v>#REF!</v>
      </c>
      <c r="BK122" s="655" t="str">
        <f t="shared" si="300"/>
        <v>#REF!</v>
      </c>
      <c r="BL122" s="656"/>
      <c r="BM122" s="656"/>
    </row>
    <row r="123" ht="12.75" hidden="1" customHeight="1">
      <c r="A123" s="567"/>
      <c r="B123" s="521"/>
      <c r="C123" s="515"/>
      <c r="D123" s="515"/>
      <c r="E123" s="515"/>
      <c r="F123" s="515"/>
      <c r="G123" s="515"/>
      <c r="H123" s="515"/>
      <c r="I123" s="515"/>
      <c r="J123" s="515"/>
      <c r="K123" s="515"/>
      <c r="L123" s="515"/>
      <c r="M123" s="515"/>
      <c r="N123" s="515"/>
      <c r="O123" s="533"/>
      <c r="P123" s="552" t="str">
        <f t="shared" ref="P123:AF123" si="301">SUM(P120:P122)</f>
        <v>#REF!</v>
      </c>
      <c r="Q123" s="556">
        <f t="shared" si="301"/>
        <v>0</v>
      </c>
      <c r="R123" s="556" t="str">
        <f t="shared" si="301"/>
        <v>#REF!</v>
      </c>
      <c r="S123" s="556" t="str">
        <f t="shared" si="301"/>
        <v>#REF!</v>
      </c>
      <c r="T123" s="552" t="str">
        <f t="shared" si="301"/>
        <v>#REF!</v>
      </c>
      <c r="U123" s="556">
        <f t="shared" si="301"/>
        <v>0</v>
      </c>
      <c r="V123" s="556" t="str">
        <f t="shared" si="301"/>
        <v>#REF!</v>
      </c>
      <c r="W123" s="556" t="str">
        <f t="shared" si="301"/>
        <v>#REF!</v>
      </c>
      <c r="X123" s="552" t="str">
        <f t="shared" si="301"/>
        <v>#REF!</v>
      </c>
      <c r="Y123" s="556">
        <f t="shared" si="301"/>
        <v>0</v>
      </c>
      <c r="Z123" s="556" t="str">
        <f t="shared" si="301"/>
        <v>#REF!</v>
      </c>
      <c r="AA123" s="556" t="str">
        <f t="shared" si="301"/>
        <v>#REF!</v>
      </c>
      <c r="AB123" s="552" t="str">
        <f t="shared" si="301"/>
        <v>#REF!</v>
      </c>
      <c r="AC123" s="556">
        <f t="shared" si="301"/>
        <v>0</v>
      </c>
      <c r="AD123" s="556" t="str">
        <f t="shared" si="301"/>
        <v>#REF!</v>
      </c>
      <c r="AE123" s="556" t="str">
        <f t="shared" si="301"/>
        <v>#REF!</v>
      </c>
      <c r="AF123" s="590" t="str">
        <f t="shared" si="301"/>
        <v>#REF!</v>
      </c>
      <c r="AG123" s="639">
        <f t="shared" ref="AG123:AH123" si="302">SUM(AG120:AG121)</f>
        <v>6927.383333</v>
      </c>
      <c r="AH123" s="639" t="str">
        <f t="shared" si="302"/>
        <v>#REF!</v>
      </c>
      <c r="AI123" s="556" t="str">
        <f t="shared" ref="AI123:BK123" si="303">SUM(AI120:AI122)</f>
        <v>#REF!</v>
      </c>
      <c r="AJ123" s="590" t="str">
        <f t="shared" si="303"/>
        <v>#REF!</v>
      </c>
      <c r="AK123" s="653">
        <f t="shared" si="303"/>
        <v>0</v>
      </c>
      <c r="AL123" s="653" t="str">
        <f t="shared" si="303"/>
        <v>#REF!</v>
      </c>
      <c r="AM123" s="639">
        <f t="shared" si="303"/>
        <v>0</v>
      </c>
      <c r="AN123" s="590" t="str">
        <f t="shared" si="303"/>
        <v>#REF!</v>
      </c>
      <c r="AO123" s="653">
        <f t="shared" si="303"/>
        <v>0</v>
      </c>
      <c r="AP123" s="653" t="str">
        <f t="shared" si="303"/>
        <v>#REF!</v>
      </c>
      <c r="AQ123" s="639" t="str">
        <f t="shared" si="303"/>
        <v>#REF!</v>
      </c>
      <c r="AR123" s="590" t="str">
        <f t="shared" si="303"/>
        <v>#REF!</v>
      </c>
      <c r="AS123" s="653">
        <f t="shared" si="303"/>
        <v>0</v>
      </c>
      <c r="AT123" s="653" t="str">
        <f t="shared" si="303"/>
        <v>#REF!</v>
      </c>
      <c r="AU123" s="639" t="str">
        <f t="shared" si="303"/>
        <v>#REF!</v>
      </c>
      <c r="AV123" s="590" t="str">
        <f t="shared" si="303"/>
        <v>#REF!</v>
      </c>
      <c r="AW123" s="653">
        <f t="shared" si="303"/>
        <v>0</v>
      </c>
      <c r="AX123" s="653" t="str">
        <f t="shared" si="303"/>
        <v>#REF!</v>
      </c>
      <c r="AY123" s="653" t="str">
        <f t="shared" si="303"/>
        <v>#REF!</v>
      </c>
      <c r="AZ123" s="590" t="str">
        <f t="shared" si="303"/>
        <v>#REF!</v>
      </c>
      <c r="BA123" s="653">
        <f t="shared" si="303"/>
        <v>0</v>
      </c>
      <c r="BB123" s="653" t="str">
        <f t="shared" si="303"/>
        <v>#REF!</v>
      </c>
      <c r="BC123" s="653" t="str">
        <f t="shared" si="303"/>
        <v>#REF!</v>
      </c>
      <c r="BD123" s="590" t="str">
        <f t="shared" si="303"/>
        <v>#REF!</v>
      </c>
      <c r="BE123" s="653">
        <f t="shared" si="303"/>
        <v>0</v>
      </c>
      <c r="BF123" s="653" t="str">
        <f t="shared" si="303"/>
        <v>#REF!</v>
      </c>
      <c r="BG123" s="653" t="str">
        <f t="shared" si="303"/>
        <v>#REF!</v>
      </c>
      <c r="BH123" s="590" t="str">
        <f t="shared" si="303"/>
        <v>#REF!</v>
      </c>
      <c r="BI123" s="655">
        <f t="shared" si="303"/>
        <v>0</v>
      </c>
      <c r="BJ123" s="655" t="str">
        <f t="shared" si="303"/>
        <v>#REF!</v>
      </c>
      <c r="BK123" s="655" t="str">
        <f t="shared" si="303"/>
        <v>#REF!</v>
      </c>
      <c r="BL123" s="656"/>
      <c r="BM123" s="656"/>
    </row>
    <row r="124" ht="12.75" hidden="1" customHeight="1">
      <c r="A124" s="567"/>
      <c r="B124" s="521"/>
      <c r="C124" s="515"/>
      <c r="D124" s="515"/>
      <c r="E124" s="515"/>
      <c r="F124" s="515"/>
      <c r="G124" s="515"/>
      <c r="H124" s="515"/>
      <c r="I124" s="515"/>
      <c r="J124" s="515"/>
      <c r="K124" s="515"/>
      <c r="L124" s="515"/>
      <c r="M124" s="515"/>
      <c r="N124" s="515"/>
      <c r="O124" s="533"/>
      <c r="P124" s="533"/>
      <c r="Q124" s="557"/>
      <c r="R124" s="557"/>
      <c r="S124" s="557"/>
      <c r="T124" s="533"/>
      <c r="U124" s="557"/>
      <c r="V124" s="557"/>
      <c r="W124" s="557"/>
      <c r="X124" s="533"/>
      <c r="Y124" s="557"/>
      <c r="Z124" s="557"/>
      <c r="AA124" s="557"/>
      <c r="AB124" s="533"/>
      <c r="AC124" s="557"/>
      <c r="AD124" s="557"/>
      <c r="AE124" s="557"/>
      <c r="AF124" s="664"/>
      <c r="AG124" s="665"/>
      <c r="AH124" s="665"/>
      <c r="AI124" s="557"/>
      <c r="AJ124" s="664"/>
      <c r="AK124" s="666"/>
      <c r="AL124" s="666"/>
      <c r="AM124" s="665"/>
      <c r="AN124" s="664"/>
      <c r="AO124" s="666"/>
      <c r="AP124" s="666"/>
      <c r="AQ124" s="665"/>
      <c r="AR124" s="664"/>
      <c r="AS124" s="666"/>
      <c r="AT124" s="666"/>
      <c r="AU124" s="665"/>
      <c r="AV124" s="664"/>
      <c r="AW124" s="666"/>
      <c r="AX124" s="666"/>
      <c r="AY124" s="666"/>
      <c r="AZ124" s="664"/>
      <c r="BA124" s="666"/>
      <c r="BB124" s="666"/>
      <c r="BC124" s="666"/>
      <c r="BD124" s="664"/>
      <c r="BE124" s="666"/>
      <c r="BF124" s="666"/>
      <c r="BG124" s="666"/>
      <c r="BH124" s="664"/>
      <c r="BI124" s="656"/>
      <c r="BJ124" s="656"/>
      <c r="BK124" s="656"/>
      <c r="BL124" s="656"/>
      <c r="BM124" s="656"/>
    </row>
    <row r="125" ht="12.75" hidden="1" customHeight="1">
      <c r="A125" s="487"/>
      <c r="B125" s="488"/>
      <c r="C125" s="489" t="s">
        <v>402</v>
      </c>
      <c r="D125" s="490"/>
      <c r="E125" s="490"/>
      <c r="F125" s="490"/>
      <c r="G125" s="490"/>
      <c r="H125" s="490"/>
      <c r="I125" s="490"/>
      <c r="J125" s="490"/>
      <c r="K125" s="490"/>
      <c r="L125" s="490"/>
      <c r="M125" s="490"/>
      <c r="N125" s="491"/>
      <c r="O125" s="575"/>
      <c r="P125" s="496" t="s">
        <v>340</v>
      </c>
      <c r="Q125" s="494"/>
      <c r="R125" s="494"/>
      <c r="S125" s="495"/>
      <c r="T125" s="496" t="s">
        <v>341</v>
      </c>
      <c r="U125" s="494"/>
      <c r="V125" s="494"/>
      <c r="W125" s="495"/>
      <c r="X125" s="496" t="s">
        <v>342</v>
      </c>
      <c r="Y125" s="494"/>
      <c r="Z125" s="494"/>
      <c r="AA125" s="495"/>
      <c r="AB125" s="496" t="s">
        <v>343</v>
      </c>
      <c r="AC125" s="494"/>
      <c r="AD125" s="494"/>
      <c r="AE125" s="495"/>
      <c r="AF125" s="644" t="s">
        <v>344</v>
      </c>
      <c r="AG125" s="494"/>
      <c r="AH125" s="494"/>
      <c r="AI125" s="495"/>
      <c r="AJ125" s="644" t="s">
        <v>345</v>
      </c>
      <c r="AK125" s="494"/>
      <c r="AL125" s="494"/>
      <c r="AM125" s="495"/>
      <c r="AN125" s="644" t="s">
        <v>346</v>
      </c>
      <c r="AO125" s="494"/>
      <c r="AP125" s="494"/>
      <c r="AQ125" s="495"/>
      <c r="AR125" s="644" t="s">
        <v>347</v>
      </c>
      <c r="AS125" s="494"/>
      <c r="AT125" s="494"/>
      <c r="AU125" s="495"/>
      <c r="AV125" s="546" t="s">
        <v>348</v>
      </c>
      <c r="AW125" s="494"/>
      <c r="AX125" s="494"/>
      <c r="AY125" s="495"/>
      <c r="AZ125" s="546" t="s">
        <v>349</v>
      </c>
      <c r="BA125" s="494"/>
      <c r="BB125" s="494"/>
      <c r="BC125" s="495"/>
      <c r="BD125" s="546" t="s">
        <v>350</v>
      </c>
      <c r="BE125" s="494"/>
      <c r="BF125" s="494"/>
      <c r="BG125" s="495"/>
      <c r="BH125" s="546" t="s">
        <v>351</v>
      </c>
      <c r="BI125" s="494"/>
      <c r="BJ125" s="494"/>
      <c r="BK125" s="495"/>
      <c r="BL125" s="533"/>
      <c r="BM125" s="533"/>
    </row>
    <row r="126" ht="12.75" hidden="1" customHeight="1">
      <c r="A126" s="501"/>
      <c r="B126" s="488"/>
      <c r="C126" s="502"/>
      <c r="N126" s="503"/>
      <c r="O126" s="559"/>
      <c r="P126" s="547" t="s">
        <v>406</v>
      </c>
      <c r="Q126" s="506"/>
      <c r="R126" s="506"/>
      <c r="S126" s="507"/>
      <c r="T126" s="547" t="s">
        <v>407</v>
      </c>
      <c r="U126" s="506"/>
      <c r="V126" s="506"/>
      <c r="W126" s="507"/>
      <c r="X126" s="547" t="s">
        <v>407</v>
      </c>
      <c r="Y126" s="506"/>
      <c r="Z126" s="506"/>
      <c r="AA126" s="507"/>
      <c r="AB126" s="547" t="s">
        <v>373</v>
      </c>
      <c r="AC126" s="506"/>
      <c r="AD126" s="506"/>
      <c r="AE126" s="507"/>
      <c r="AF126" s="547" t="s">
        <v>373</v>
      </c>
      <c r="AG126" s="506"/>
      <c r="AH126" s="506"/>
      <c r="AI126" s="507"/>
      <c r="AJ126" s="674" t="s">
        <v>373</v>
      </c>
      <c r="AK126" s="506"/>
      <c r="AL126" s="506"/>
      <c r="AM126" s="549"/>
      <c r="AN126" s="674" t="s">
        <v>373</v>
      </c>
      <c r="AO126" s="506"/>
      <c r="AP126" s="506"/>
      <c r="AQ126" s="549"/>
      <c r="AR126" s="674" t="s">
        <v>373</v>
      </c>
      <c r="AS126" s="506"/>
      <c r="AT126" s="506"/>
      <c r="AU126" s="549"/>
      <c r="AV126" s="674" t="s">
        <v>373</v>
      </c>
      <c r="AW126" s="506"/>
      <c r="AX126" s="506"/>
      <c r="AY126" s="549"/>
      <c r="AZ126" s="674" t="s">
        <v>373</v>
      </c>
      <c r="BA126" s="506"/>
      <c r="BB126" s="506"/>
      <c r="BC126" s="549"/>
      <c r="BD126" s="674" t="s">
        <v>373</v>
      </c>
      <c r="BE126" s="506"/>
      <c r="BF126" s="506"/>
      <c r="BG126" s="549"/>
      <c r="BH126" s="674" t="s">
        <v>373</v>
      </c>
      <c r="BI126" s="506"/>
      <c r="BJ126" s="506"/>
      <c r="BK126" s="549"/>
      <c r="BL126" s="675"/>
      <c r="BM126" s="675"/>
    </row>
    <row r="127" ht="12.75" hidden="1" customHeight="1">
      <c r="A127" s="645"/>
      <c r="B127" s="521"/>
      <c r="C127" s="512"/>
      <c r="D127" s="513"/>
      <c r="E127" s="513"/>
      <c r="F127" s="513"/>
      <c r="G127" s="513"/>
      <c r="H127" s="513"/>
      <c r="I127" s="513"/>
      <c r="J127" s="513"/>
      <c r="K127" s="513"/>
      <c r="L127" s="513"/>
      <c r="M127" s="513"/>
      <c r="N127" s="514"/>
      <c r="O127" s="515"/>
      <c r="P127" s="517"/>
      <c r="Q127" s="498"/>
      <c r="R127" s="498"/>
      <c r="S127" s="498"/>
      <c r="T127" s="517"/>
      <c r="U127" s="498"/>
      <c r="V127" s="498"/>
      <c r="W127" s="498"/>
      <c r="X127" s="517"/>
      <c r="Y127" s="498"/>
      <c r="Z127" s="498"/>
      <c r="AA127" s="498"/>
      <c r="AB127" s="517">
        <v>0.0</v>
      </c>
      <c r="AC127" s="498"/>
      <c r="AD127" s="498"/>
      <c r="AE127" s="498"/>
      <c r="AF127" s="517">
        <v>0.0</v>
      </c>
      <c r="AG127" s="498"/>
      <c r="AH127" s="498"/>
      <c r="AI127" s="498"/>
      <c r="AJ127" s="517">
        <v>0.0</v>
      </c>
      <c r="AK127" s="498"/>
      <c r="AL127" s="498"/>
      <c r="AM127" s="498"/>
      <c r="AN127" s="517">
        <v>0.0</v>
      </c>
      <c r="AO127" s="498"/>
      <c r="AP127" s="498"/>
      <c r="AQ127" s="498"/>
      <c r="AR127" s="517">
        <v>0.0</v>
      </c>
      <c r="AS127" s="498"/>
      <c r="AT127" s="498"/>
      <c r="AU127" s="498"/>
      <c r="AV127" s="517">
        <v>0.0</v>
      </c>
      <c r="AW127" s="498"/>
      <c r="AX127" s="498"/>
      <c r="AY127" s="498"/>
      <c r="AZ127" s="517">
        <v>0.0</v>
      </c>
      <c r="BA127" s="498"/>
      <c r="BB127" s="498"/>
      <c r="BC127" s="498"/>
      <c r="BD127" s="517">
        <v>0.0</v>
      </c>
      <c r="BE127" s="498"/>
      <c r="BF127" s="498"/>
      <c r="BG127" s="498"/>
      <c r="BH127" s="517">
        <v>0.0</v>
      </c>
      <c r="BI127" s="498"/>
      <c r="BJ127" s="498"/>
      <c r="BK127" s="498"/>
      <c r="BL127" s="519"/>
      <c r="BM127" s="519"/>
    </row>
    <row r="128" ht="12.75" hidden="1" customHeight="1">
      <c r="A128" s="520" t="s">
        <v>374</v>
      </c>
      <c r="B128" s="521"/>
      <c r="C128" s="552" t="s">
        <v>354</v>
      </c>
      <c r="D128" s="552" t="s">
        <v>355</v>
      </c>
      <c r="E128" s="552" t="s">
        <v>356</v>
      </c>
      <c r="F128" s="552" t="s">
        <v>357</v>
      </c>
      <c r="G128" s="552" t="s">
        <v>5</v>
      </c>
      <c r="H128" s="552" t="s">
        <v>358</v>
      </c>
      <c r="I128" s="552" t="s">
        <v>359</v>
      </c>
      <c r="J128" s="552" t="s">
        <v>360</v>
      </c>
      <c r="K128" s="552" t="s">
        <v>361</v>
      </c>
      <c r="L128" s="552" t="s">
        <v>362</v>
      </c>
      <c r="M128" s="552" t="s">
        <v>363</v>
      </c>
      <c r="N128" s="552" t="s">
        <v>364</v>
      </c>
      <c r="O128" s="515"/>
      <c r="P128" s="552" t="s">
        <v>319</v>
      </c>
      <c r="Q128" s="552" t="s">
        <v>365</v>
      </c>
      <c r="R128" s="552" t="s">
        <v>366</v>
      </c>
      <c r="S128" s="552" t="s">
        <v>367</v>
      </c>
      <c r="T128" s="552" t="s">
        <v>319</v>
      </c>
      <c r="U128" s="552" t="s">
        <v>365</v>
      </c>
      <c r="V128" s="552" t="s">
        <v>366</v>
      </c>
      <c r="W128" s="552" t="s">
        <v>367</v>
      </c>
      <c r="X128" s="646" t="s">
        <v>319</v>
      </c>
      <c r="Y128" s="522" t="s">
        <v>365</v>
      </c>
      <c r="Z128" s="522" t="s">
        <v>366</v>
      </c>
      <c r="AA128" s="522" t="s">
        <v>367</v>
      </c>
      <c r="AB128" s="522" t="s">
        <v>319</v>
      </c>
      <c r="AC128" s="522" t="s">
        <v>365</v>
      </c>
      <c r="AD128" s="522" t="s">
        <v>366</v>
      </c>
      <c r="AE128" s="522" t="s">
        <v>367</v>
      </c>
      <c r="AF128" s="522" t="s">
        <v>319</v>
      </c>
      <c r="AG128" s="522" t="s">
        <v>365</v>
      </c>
      <c r="AH128" s="522" t="s">
        <v>366</v>
      </c>
      <c r="AI128" s="522" t="s">
        <v>367</v>
      </c>
      <c r="AJ128" s="647" t="s">
        <v>319</v>
      </c>
      <c r="AK128" s="647" t="s">
        <v>365</v>
      </c>
      <c r="AL128" s="647" t="s">
        <v>366</v>
      </c>
      <c r="AM128" s="647" t="s">
        <v>367</v>
      </c>
      <c r="AN128" s="647" t="s">
        <v>319</v>
      </c>
      <c r="AO128" s="647" t="s">
        <v>365</v>
      </c>
      <c r="AP128" s="647" t="s">
        <v>366</v>
      </c>
      <c r="AQ128" s="647" t="s">
        <v>367</v>
      </c>
      <c r="AR128" s="648" t="s">
        <v>319</v>
      </c>
      <c r="AS128" s="649" t="s">
        <v>365</v>
      </c>
      <c r="AT128" s="649" t="s">
        <v>366</v>
      </c>
      <c r="AU128" s="649" t="s">
        <v>367</v>
      </c>
      <c r="AV128" s="647" t="s">
        <v>319</v>
      </c>
      <c r="AW128" s="647" t="s">
        <v>365</v>
      </c>
      <c r="AX128" s="647" t="s">
        <v>366</v>
      </c>
      <c r="AY128" s="647" t="s">
        <v>367</v>
      </c>
      <c r="AZ128" s="648" t="s">
        <v>319</v>
      </c>
      <c r="BA128" s="649" t="s">
        <v>365</v>
      </c>
      <c r="BB128" s="649" t="s">
        <v>366</v>
      </c>
      <c r="BC128" s="649" t="s">
        <v>367</v>
      </c>
      <c r="BD128" s="647" t="s">
        <v>319</v>
      </c>
      <c r="BE128" s="647" t="s">
        <v>365</v>
      </c>
      <c r="BF128" s="647" t="s">
        <v>366</v>
      </c>
      <c r="BG128" s="647" t="s">
        <v>367</v>
      </c>
      <c r="BH128" s="647" t="s">
        <v>319</v>
      </c>
      <c r="BI128" s="647" t="s">
        <v>365</v>
      </c>
      <c r="BJ128" s="647" t="s">
        <v>366</v>
      </c>
      <c r="BK128" s="647" t="s">
        <v>367</v>
      </c>
      <c r="BL128" s="650"/>
      <c r="BM128" s="650"/>
    </row>
    <row r="129" ht="12.75" hidden="1" customHeight="1">
      <c r="A129" s="659" t="s">
        <v>405</v>
      </c>
      <c r="B129" s="521"/>
      <c r="C129" s="553" t="str">
        <f t="shared" ref="C129:N129" si="304">MV!B123</f>
        <v>#REF!</v>
      </c>
      <c r="D129" s="553" t="str">
        <f t="shared" si="304"/>
        <v>#REF!</v>
      </c>
      <c r="E129" s="553" t="str">
        <f t="shared" si="304"/>
        <v>#REF!</v>
      </c>
      <c r="F129" s="553" t="str">
        <f t="shared" si="304"/>
        <v>#REF!</v>
      </c>
      <c r="G129" s="553" t="str">
        <f t="shared" si="304"/>
        <v>#REF!</v>
      </c>
      <c r="H129" s="553" t="str">
        <f t="shared" si="304"/>
        <v>#REF!</v>
      </c>
      <c r="I129" s="553" t="str">
        <f t="shared" si="304"/>
        <v>#REF!</v>
      </c>
      <c r="J129" s="553" t="str">
        <f t="shared" si="304"/>
        <v>#REF!</v>
      </c>
      <c r="K129" s="553" t="str">
        <f t="shared" si="304"/>
        <v>#REF!</v>
      </c>
      <c r="L129" s="553" t="str">
        <f t="shared" si="304"/>
        <v>#REF!</v>
      </c>
      <c r="M129" s="553" t="str">
        <f t="shared" si="304"/>
        <v>#REF!</v>
      </c>
      <c r="N129" s="553" t="str">
        <f t="shared" si="304"/>
        <v>#REF!</v>
      </c>
      <c r="O129" s="533"/>
      <c r="P129" s="553" t="str">
        <f>SUM(C129:N129)</f>
        <v>#REF!</v>
      </c>
      <c r="Q129" s="554">
        <f>P127/2</f>
        <v>0</v>
      </c>
      <c r="R129" s="554" t="str">
        <f>(P127/2) *(P129/P130)</f>
        <v>#REF!</v>
      </c>
      <c r="S129" s="554" t="str">
        <f>Q129+R129</f>
        <v>#REF!</v>
      </c>
      <c r="T129" s="553" t="str">
        <f>SUM(C129:N129)</f>
        <v>#REF!</v>
      </c>
      <c r="U129" s="554">
        <f>T127/2</f>
        <v>0</v>
      </c>
      <c r="V129" s="554" t="str">
        <f>(T127/2) *(T129/T130)</f>
        <v>#REF!</v>
      </c>
      <c r="W129" s="554" t="str">
        <f>U129+V129</f>
        <v>#REF!</v>
      </c>
      <c r="X129" s="553" t="str">
        <f>SUM(C129:N129)</f>
        <v>#REF!</v>
      </c>
      <c r="Y129" s="554">
        <f>X127/2</f>
        <v>0</v>
      </c>
      <c r="Z129" s="554"/>
      <c r="AA129" s="554">
        <f>Y129+Z129</f>
        <v>0</v>
      </c>
      <c r="AB129" s="553" t="str">
        <f>SUM(C129:N129)</f>
        <v>#REF!</v>
      </c>
      <c r="AC129" s="554">
        <f>AB127/2</f>
        <v>0</v>
      </c>
      <c r="AD129" s="554" t="str">
        <f>(AB127/2) *(AB129/AB130)</f>
        <v>#REF!</v>
      </c>
      <c r="AE129" s="651">
        <f>AB127</f>
        <v>0</v>
      </c>
      <c r="AF129" s="553" t="str">
        <f>SUM(C129:N129)</f>
        <v>#REF!</v>
      </c>
      <c r="AG129" s="554">
        <f>AF127/2</f>
        <v>0</v>
      </c>
      <c r="AH129" s="554" t="str">
        <f>(AF127/2) *(AF129/AF130)</f>
        <v>#REF!</v>
      </c>
      <c r="AI129" s="554" t="str">
        <f>AG129+AH129</f>
        <v>#REF!</v>
      </c>
      <c r="AJ129" s="660" t="str">
        <f>SUM(C129:N129)</f>
        <v>#REF!</v>
      </c>
      <c r="AK129" s="554">
        <f>AJ127/2</f>
        <v>0</v>
      </c>
      <c r="AL129" s="554" t="str">
        <f>(AJ127/2) *(AJ129/AJ130)</f>
        <v>#REF!</v>
      </c>
      <c r="AM129" s="651">
        <v>8885.01</v>
      </c>
      <c r="AN129" s="660" t="str">
        <f>SUM(C129:N129)</f>
        <v>#REF!</v>
      </c>
      <c r="AO129" s="554">
        <f>AN127/2</f>
        <v>0</v>
      </c>
      <c r="AP129" s="554" t="str">
        <f>(AN127/2) *(AN129/AN130)</f>
        <v>#REF!</v>
      </c>
      <c r="AQ129" s="554" t="str">
        <f>AO129+AP129</f>
        <v>#REF!</v>
      </c>
      <c r="AR129" s="661" t="str">
        <f>SUM(C129:N129)</f>
        <v>#REF!</v>
      </c>
      <c r="AS129" s="554">
        <f>AR127/2</f>
        <v>0</v>
      </c>
      <c r="AT129" s="554" t="str">
        <f>(AR127/2) *(AR129/AR130)</f>
        <v>#REF!</v>
      </c>
      <c r="AU129" s="554" t="str">
        <f>AS129+AT129</f>
        <v>#REF!</v>
      </c>
      <c r="AV129" s="661" t="str">
        <f>SUM(C129:N129)</f>
        <v>#REF!</v>
      </c>
      <c r="AW129" s="554">
        <f>AV127/2</f>
        <v>0</v>
      </c>
      <c r="AX129" s="554" t="str">
        <f>(AV127/2) *(AV129/AV130)</f>
        <v>#REF!</v>
      </c>
      <c r="AY129" s="554" t="str">
        <f>AW129+AX129</f>
        <v>#REF!</v>
      </c>
      <c r="AZ129" s="662" t="str">
        <f>SUM(C129:N129)</f>
        <v>#REF!</v>
      </c>
      <c r="BA129" s="554">
        <f>AZ127/2</f>
        <v>0</v>
      </c>
      <c r="BB129" s="554" t="str">
        <f>(AZ127/2) *(AZ129/AZ130)</f>
        <v>#REF!</v>
      </c>
      <c r="BC129" s="554" t="str">
        <f>BA129+BB129</f>
        <v>#REF!</v>
      </c>
      <c r="BD129" s="662" t="str">
        <f>SUM(C129:N129)</f>
        <v>#REF!</v>
      </c>
      <c r="BE129" s="554">
        <f>BD127/2</f>
        <v>0</v>
      </c>
      <c r="BF129" s="554" t="str">
        <f>(BD127/2) *(BD129/BD130)</f>
        <v>#REF!</v>
      </c>
      <c r="BG129" s="554" t="str">
        <f>BE129+BF129</f>
        <v>#REF!</v>
      </c>
      <c r="BH129" s="662" t="str">
        <f>SUM(C129:N129)</f>
        <v>#REF!</v>
      </c>
      <c r="BI129" s="554">
        <f>BH127/2</f>
        <v>0</v>
      </c>
      <c r="BJ129" s="554" t="str">
        <f>(BH127/2) *(BH129/BH130)</f>
        <v>#REF!</v>
      </c>
      <c r="BK129" s="554" t="str">
        <f>BI129+BJ129</f>
        <v>#REF!</v>
      </c>
      <c r="BL129" s="555"/>
      <c r="BM129" s="555"/>
    </row>
    <row r="130" ht="12.75" hidden="1" customHeight="1">
      <c r="A130" s="532"/>
      <c r="B130" s="521"/>
      <c r="C130" s="533"/>
      <c r="D130" s="533"/>
      <c r="E130" s="533"/>
      <c r="F130" s="533"/>
      <c r="G130" s="533"/>
      <c r="H130" s="533"/>
      <c r="I130" s="533"/>
      <c r="J130" s="533"/>
      <c r="K130" s="533"/>
      <c r="L130" s="533"/>
      <c r="M130" s="533"/>
      <c r="N130" s="533"/>
      <c r="O130" s="515"/>
      <c r="P130" s="676" t="str">
        <f t="shared" ref="P130:BK130" si="305">SUM(P129)</f>
        <v>#REF!</v>
      </c>
      <c r="Q130" s="677">
        <f t="shared" si="305"/>
        <v>0</v>
      </c>
      <c r="R130" s="676" t="str">
        <f t="shared" si="305"/>
        <v>#REF!</v>
      </c>
      <c r="S130" s="676" t="str">
        <f t="shared" si="305"/>
        <v>#REF!</v>
      </c>
      <c r="T130" s="676" t="str">
        <f t="shared" si="305"/>
        <v>#REF!</v>
      </c>
      <c r="U130" s="677">
        <f t="shared" si="305"/>
        <v>0</v>
      </c>
      <c r="V130" s="676" t="str">
        <f t="shared" si="305"/>
        <v>#REF!</v>
      </c>
      <c r="W130" s="676" t="str">
        <f t="shared" si="305"/>
        <v>#REF!</v>
      </c>
      <c r="X130" s="676" t="str">
        <f t="shared" si="305"/>
        <v>#REF!</v>
      </c>
      <c r="Y130" s="677">
        <f t="shared" si="305"/>
        <v>0</v>
      </c>
      <c r="Z130" s="677">
        <f t="shared" si="305"/>
        <v>0</v>
      </c>
      <c r="AA130" s="677">
        <f t="shared" si="305"/>
        <v>0</v>
      </c>
      <c r="AB130" s="676" t="str">
        <f t="shared" si="305"/>
        <v>#REF!</v>
      </c>
      <c r="AC130" s="677">
        <f t="shared" si="305"/>
        <v>0</v>
      </c>
      <c r="AD130" s="676" t="str">
        <f t="shared" si="305"/>
        <v>#REF!</v>
      </c>
      <c r="AE130" s="677">
        <f t="shared" si="305"/>
        <v>0</v>
      </c>
      <c r="AF130" s="676" t="str">
        <f t="shared" si="305"/>
        <v>#REF!</v>
      </c>
      <c r="AG130" s="677">
        <f t="shared" si="305"/>
        <v>0</v>
      </c>
      <c r="AH130" s="676" t="str">
        <f t="shared" si="305"/>
        <v>#REF!</v>
      </c>
      <c r="AI130" s="676" t="str">
        <f t="shared" si="305"/>
        <v>#REF!</v>
      </c>
      <c r="AJ130" s="676" t="str">
        <f t="shared" si="305"/>
        <v>#REF!</v>
      </c>
      <c r="AK130" s="677">
        <f t="shared" si="305"/>
        <v>0</v>
      </c>
      <c r="AL130" s="676" t="str">
        <f t="shared" si="305"/>
        <v>#REF!</v>
      </c>
      <c r="AM130" s="677">
        <f t="shared" si="305"/>
        <v>8885.01</v>
      </c>
      <c r="AN130" s="676" t="str">
        <f t="shared" si="305"/>
        <v>#REF!</v>
      </c>
      <c r="AO130" s="677">
        <f t="shared" si="305"/>
        <v>0</v>
      </c>
      <c r="AP130" s="676" t="str">
        <f t="shared" si="305"/>
        <v>#REF!</v>
      </c>
      <c r="AQ130" s="676" t="str">
        <f t="shared" si="305"/>
        <v>#REF!</v>
      </c>
      <c r="AR130" s="676" t="str">
        <f t="shared" si="305"/>
        <v>#REF!</v>
      </c>
      <c r="AS130" s="677">
        <f t="shared" si="305"/>
        <v>0</v>
      </c>
      <c r="AT130" s="676" t="str">
        <f t="shared" si="305"/>
        <v>#REF!</v>
      </c>
      <c r="AU130" s="676" t="str">
        <f t="shared" si="305"/>
        <v>#REF!</v>
      </c>
      <c r="AV130" s="676" t="str">
        <f t="shared" si="305"/>
        <v>#REF!</v>
      </c>
      <c r="AW130" s="677">
        <f t="shared" si="305"/>
        <v>0</v>
      </c>
      <c r="AX130" s="676" t="str">
        <f t="shared" si="305"/>
        <v>#REF!</v>
      </c>
      <c r="AY130" s="676" t="str">
        <f t="shared" si="305"/>
        <v>#REF!</v>
      </c>
      <c r="AZ130" s="676" t="str">
        <f t="shared" si="305"/>
        <v>#REF!</v>
      </c>
      <c r="BA130" s="677">
        <f t="shared" si="305"/>
        <v>0</v>
      </c>
      <c r="BB130" s="676" t="str">
        <f t="shared" si="305"/>
        <v>#REF!</v>
      </c>
      <c r="BC130" s="676" t="str">
        <f t="shared" si="305"/>
        <v>#REF!</v>
      </c>
      <c r="BD130" s="676" t="str">
        <f t="shared" si="305"/>
        <v>#REF!</v>
      </c>
      <c r="BE130" s="677">
        <f t="shared" si="305"/>
        <v>0</v>
      </c>
      <c r="BF130" s="676" t="str">
        <f t="shared" si="305"/>
        <v>#REF!</v>
      </c>
      <c r="BG130" s="676" t="str">
        <f t="shared" si="305"/>
        <v>#REF!</v>
      </c>
      <c r="BH130" s="676" t="str">
        <f t="shared" si="305"/>
        <v>#REF!</v>
      </c>
      <c r="BI130" s="677">
        <f t="shared" si="305"/>
        <v>0</v>
      </c>
      <c r="BJ130" s="676" t="str">
        <f t="shared" si="305"/>
        <v>#REF!</v>
      </c>
      <c r="BK130" s="676" t="str">
        <f t="shared" si="305"/>
        <v>#REF!</v>
      </c>
      <c r="BL130" s="533"/>
      <c r="BM130" s="533"/>
    </row>
    <row r="131" ht="12.75" hidden="1" customHeight="1">
      <c r="A131" s="532"/>
      <c r="B131" s="521"/>
      <c r="C131" s="533"/>
      <c r="D131" s="533"/>
      <c r="E131" s="533"/>
      <c r="F131" s="533"/>
      <c r="G131" s="533"/>
      <c r="H131" s="533"/>
      <c r="I131" s="533"/>
      <c r="J131" s="533"/>
      <c r="K131" s="533"/>
      <c r="L131" s="533"/>
      <c r="M131" s="533"/>
      <c r="N131" s="533"/>
      <c r="O131" s="515"/>
      <c r="P131" s="541"/>
      <c r="Q131" s="541"/>
      <c r="R131" s="541"/>
      <c r="S131" s="541"/>
      <c r="T131" s="541"/>
      <c r="U131" s="541"/>
      <c r="V131" s="541"/>
      <c r="W131" s="541"/>
      <c r="X131" s="541"/>
      <c r="Y131" s="541"/>
      <c r="Z131" s="541"/>
      <c r="AA131" s="541"/>
      <c r="AB131" s="541"/>
      <c r="AC131" s="541"/>
      <c r="AD131" s="541"/>
      <c r="AE131" s="541"/>
      <c r="AF131" s="533"/>
      <c r="AG131" s="557"/>
      <c r="AH131" s="557"/>
      <c r="AI131" s="557"/>
      <c r="AJ131" s="533"/>
      <c r="AK131" s="557"/>
      <c r="AL131" s="557"/>
      <c r="AM131" s="557"/>
      <c r="AN131" s="533"/>
      <c r="AO131" s="557"/>
      <c r="AP131" s="557"/>
      <c r="AQ131" s="557"/>
      <c r="AR131" s="533"/>
      <c r="AS131" s="557"/>
      <c r="AT131" s="557"/>
      <c r="AU131" s="557"/>
      <c r="AV131" s="533"/>
      <c r="AW131" s="557"/>
      <c r="AX131" s="557"/>
      <c r="AY131" s="557"/>
      <c r="AZ131" s="533"/>
      <c r="BA131" s="557"/>
      <c r="BB131" s="557"/>
      <c r="BC131" s="557"/>
      <c r="BD131" s="533"/>
      <c r="BE131" s="557"/>
      <c r="BF131" s="557"/>
      <c r="BG131" s="557"/>
      <c r="BH131" s="678"/>
      <c r="BI131" s="679"/>
      <c r="BJ131" s="679"/>
      <c r="BK131" s="680"/>
      <c r="BL131" s="679"/>
      <c r="BM131" s="679"/>
    </row>
    <row r="132" ht="12.75" customHeight="1">
      <c r="A132" s="681"/>
      <c r="B132" s="682"/>
      <c r="C132" s="683"/>
      <c r="D132" s="683"/>
      <c r="E132" s="683"/>
      <c r="F132" s="683"/>
      <c r="G132" s="683"/>
      <c r="H132" s="683"/>
      <c r="I132" s="683"/>
      <c r="J132" s="683"/>
      <c r="K132" s="683"/>
      <c r="L132" s="683"/>
      <c r="M132" s="683"/>
      <c r="N132" s="683"/>
      <c r="O132" s="682"/>
      <c r="P132" s="684"/>
      <c r="Q132" s="684"/>
      <c r="R132" s="684"/>
      <c r="S132" s="684"/>
      <c r="T132" s="684"/>
      <c r="U132" s="684"/>
      <c r="V132" s="684"/>
      <c r="W132" s="684"/>
      <c r="X132" s="684"/>
      <c r="Y132" s="684"/>
      <c r="Z132" s="684"/>
      <c r="AA132" s="684"/>
      <c r="AB132" s="684"/>
      <c r="AC132" s="684"/>
      <c r="AD132" s="684"/>
      <c r="AE132" s="684"/>
      <c r="AF132" s="625"/>
      <c r="AG132" s="625"/>
      <c r="AH132" s="625"/>
      <c r="AI132" s="625"/>
      <c r="AJ132" s="625"/>
      <c r="AK132" s="625"/>
      <c r="AL132" s="625"/>
      <c r="AM132" s="625"/>
      <c r="AN132" s="625"/>
      <c r="AO132" s="625"/>
      <c r="AP132" s="625"/>
      <c r="AQ132" s="625"/>
      <c r="AR132" s="625"/>
      <c r="AS132" s="625"/>
      <c r="AT132" s="625"/>
      <c r="AU132" s="625"/>
      <c r="AV132" s="625"/>
      <c r="AW132" s="625"/>
      <c r="AX132" s="625"/>
      <c r="AY132" s="625"/>
      <c r="AZ132" s="625"/>
      <c r="BA132" s="625"/>
      <c r="BB132" s="625"/>
      <c r="BC132" s="625"/>
      <c r="BD132" s="625"/>
      <c r="BE132" s="625"/>
      <c r="BF132" s="625"/>
      <c r="BG132" s="625"/>
      <c r="BH132" s="625"/>
      <c r="BI132" s="625"/>
      <c r="BJ132" s="625"/>
      <c r="BK132" s="685"/>
      <c r="BL132" s="625"/>
      <c r="BM132" s="625"/>
    </row>
    <row r="133" ht="12.75" customHeight="1">
      <c r="A133" s="686"/>
      <c r="B133" s="687"/>
      <c r="C133" s="688" t="s">
        <v>402</v>
      </c>
      <c r="D133" s="490"/>
      <c r="E133" s="490"/>
      <c r="F133" s="490"/>
      <c r="G133" s="490"/>
      <c r="H133" s="490"/>
      <c r="I133" s="490"/>
      <c r="J133" s="490"/>
      <c r="K133" s="490"/>
      <c r="L133" s="490"/>
      <c r="M133" s="490"/>
      <c r="N133" s="491"/>
      <c r="O133" s="689"/>
      <c r="P133" s="622" t="s">
        <v>340</v>
      </c>
      <c r="Q133" s="494"/>
      <c r="R133" s="494"/>
      <c r="S133" s="495"/>
      <c r="T133" s="622" t="s">
        <v>341</v>
      </c>
      <c r="U133" s="494"/>
      <c r="V133" s="494"/>
      <c r="W133" s="495"/>
      <c r="X133" s="622" t="s">
        <v>342</v>
      </c>
      <c r="Y133" s="494"/>
      <c r="Z133" s="494"/>
      <c r="AA133" s="495"/>
      <c r="AB133" s="622" t="s">
        <v>343</v>
      </c>
      <c r="AC133" s="494"/>
      <c r="AD133" s="494"/>
      <c r="AE133" s="495"/>
      <c r="AF133" s="623" t="s">
        <v>344</v>
      </c>
      <c r="AG133" s="494"/>
      <c r="AH133" s="494"/>
      <c r="AI133" s="495"/>
      <c r="AJ133" s="623" t="s">
        <v>345</v>
      </c>
      <c r="AK133" s="494"/>
      <c r="AL133" s="494"/>
      <c r="AM133" s="495"/>
      <c r="AN133" s="623" t="s">
        <v>346</v>
      </c>
      <c r="AO133" s="494"/>
      <c r="AP133" s="494"/>
      <c r="AQ133" s="495"/>
      <c r="AR133" s="623" t="s">
        <v>347</v>
      </c>
      <c r="AS133" s="494"/>
      <c r="AT133" s="494"/>
      <c r="AU133" s="495"/>
      <c r="AV133" s="623" t="s">
        <v>348</v>
      </c>
      <c r="AW133" s="494"/>
      <c r="AX133" s="494"/>
      <c r="AY133" s="495"/>
      <c r="AZ133" s="623" t="s">
        <v>349</v>
      </c>
      <c r="BA133" s="494"/>
      <c r="BB133" s="494"/>
      <c r="BC133" s="495"/>
      <c r="BD133" s="623" t="s">
        <v>350</v>
      </c>
      <c r="BE133" s="494"/>
      <c r="BF133" s="494"/>
      <c r="BG133" s="495"/>
      <c r="BH133" s="623" t="s">
        <v>351</v>
      </c>
      <c r="BI133" s="494"/>
      <c r="BJ133" s="494"/>
      <c r="BK133" s="495"/>
      <c r="BL133" s="625"/>
      <c r="BM133" s="625"/>
    </row>
    <row r="134" ht="12.75" customHeight="1">
      <c r="A134" s="690"/>
      <c r="B134" s="687"/>
      <c r="N134" s="503"/>
      <c r="O134" s="691"/>
      <c r="P134" s="692" t="s">
        <v>373</v>
      </c>
      <c r="Q134" s="513"/>
      <c r="R134" s="513"/>
      <c r="S134" s="514"/>
      <c r="T134" s="692" t="s">
        <v>373</v>
      </c>
      <c r="U134" s="513"/>
      <c r="V134" s="513"/>
      <c r="W134" s="514"/>
      <c r="X134" s="692" t="s">
        <v>373</v>
      </c>
      <c r="Y134" s="513"/>
      <c r="Z134" s="513"/>
      <c r="AA134" s="514"/>
      <c r="AB134" s="692" t="s">
        <v>373</v>
      </c>
      <c r="AC134" s="513"/>
      <c r="AD134" s="513"/>
      <c r="AE134" s="514"/>
      <c r="AF134" s="692" t="s">
        <v>373</v>
      </c>
      <c r="AG134" s="513"/>
      <c r="AH134" s="513"/>
      <c r="AI134" s="514"/>
      <c r="AJ134" s="692" t="s">
        <v>373</v>
      </c>
      <c r="AK134" s="513"/>
      <c r="AL134" s="513"/>
      <c r="AM134" s="514"/>
      <c r="AN134" s="692" t="s">
        <v>373</v>
      </c>
      <c r="AO134" s="513"/>
      <c r="AP134" s="513"/>
      <c r="AQ134" s="514"/>
      <c r="AR134" s="692" t="s">
        <v>373</v>
      </c>
      <c r="AS134" s="513"/>
      <c r="AT134" s="513"/>
      <c r="AU134" s="514"/>
      <c r="AV134" s="692" t="s">
        <v>373</v>
      </c>
      <c r="AW134" s="513"/>
      <c r="AX134" s="513"/>
      <c r="AY134" s="514"/>
      <c r="AZ134" s="692" t="s">
        <v>373</v>
      </c>
      <c r="BA134" s="513"/>
      <c r="BB134" s="513"/>
      <c r="BC134" s="514"/>
      <c r="BD134" s="692" t="s">
        <v>373</v>
      </c>
      <c r="BE134" s="513"/>
      <c r="BF134" s="513"/>
      <c r="BG134" s="514"/>
      <c r="BH134" s="692" t="s">
        <v>373</v>
      </c>
      <c r="BI134" s="513"/>
      <c r="BJ134" s="513"/>
      <c r="BK134" s="514"/>
      <c r="BL134" s="693"/>
      <c r="BM134" s="693"/>
    </row>
    <row r="135" ht="12.75" customHeight="1">
      <c r="A135" s="694"/>
      <c r="B135" s="695"/>
      <c r="C135" s="513"/>
      <c r="D135" s="513"/>
      <c r="E135" s="513"/>
      <c r="F135" s="513"/>
      <c r="G135" s="513"/>
      <c r="H135" s="513"/>
      <c r="I135" s="513"/>
      <c r="J135" s="513"/>
      <c r="K135" s="513"/>
      <c r="L135" s="513"/>
      <c r="M135" s="513"/>
      <c r="N135" s="514"/>
      <c r="O135" s="695"/>
      <c r="P135" s="696">
        <v>16477.0</v>
      </c>
      <c r="Q135" s="513"/>
      <c r="R135" s="513"/>
      <c r="S135" s="514"/>
      <c r="T135" s="696">
        <v>16477.0</v>
      </c>
      <c r="U135" s="513"/>
      <c r="V135" s="513"/>
      <c r="W135" s="514"/>
      <c r="X135" s="696">
        <v>23538.0</v>
      </c>
      <c r="Y135" s="513"/>
      <c r="Z135" s="513"/>
      <c r="AA135" s="514"/>
      <c r="AB135" s="696">
        <v>23538.0</v>
      </c>
      <c r="AC135" s="513"/>
      <c r="AD135" s="513"/>
      <c r="AE135" s="514"/>
      <c r="AF135" s="696">
        <v>33894.0</v>
      </c>
      <c r="AG135" s="513"/>
      <c r="AH135" s="513"/>
      <c r="AI135" s="514"/>
      <c r="AJ135" s="696">
        <v>33894.0</v>
      </c>
      <c r="AK135" s="513"/>
      <c r="AL135" s="513"/>
      <c r="AM135" s="514"/>
      <c r="AN135" s="696">
        <v>16477.0</v>
      </c>
      <c r="AO135" s="513"/>
      <c r="AP135" s="513"/>
      <c r="AQ135" s="514"/>
      <c r="AR135" s="696">
        <v>16477.0</v>
      </c>
      <c r="AS135" s="513"/>
      <c r="AT135" s="513"/>
      <c r="AU135" s="514"/>
      <c r="AV135" s="696">
        <v>23538.0</v>
      </c>
      <c r="AW135" s="513"/>
      <c r="AX135" s="513"/>
      <c r="AY135" s="514"/>
      <c r="AZ135" s="696">
        <v>23538.0</v>
      </c>
      <c r="BA135" s="513"/>
      <c r="BB135" s="513"/>
      <c r="BC135" s="514"/>
      <c r="BD135" s="696">
        <v>23538.0</v>
      </c>
      <c r="BE135" s="513"/>
      <c r="BF135" s="513"/>
      <c r="BG135" s="514"/>
      <c r="BH135" s="696">
        <v>33894.0</v>
      </c>
      <c r="BI135" s="513"/>
      <c r="BJ135" s="513"/>
      <c r="BK135" s="514"/>
      <c r="BL135" s="697"/>
      <c r="BM135" s="519">
        <f>SUM(P135:BH135)</f>
        <v>285280</v>
      </c>
    </row>
    <row r="136" ht="12.75" customHeight="1">
      <c r="A136" s="698" t="s">
        <v>374</v>
      </c>
      <c r="B136" s="695"/>
      <c r="C136" s="699" t="s">
        <v>354</v>
      </c>
      <c r="D136" s="699" t="s">
        <v>355</v>
      </c>
      <c r="E136" s="699" t="s">
        <v>356</v>
      </c>
      <c r="F136" s="699" t="s">
        <v>357</v>
      </c>
      <c r="G136" s="699" t="s">
        <v>5</v>
      </c>
      <c r="H136" s="699" t="s">
        <v>358</v>
      </c>
      <c r="I136" s="699" t="s">
        <v>359</v>
      </c>
      <c r="J136" s="699" t="s">
        <v>360</v>
      </c>
      <c r="K136" s="699" t="s">
        <v>361</v>
      </c>
      <c r="L136" s="699" t="s">
        <v>362</v>
      </c>
      <c r="M136" s="699" t="s">
        <v>363</v>
      </c>
      <c r="N136" s="699" t="s">
        <v>364</v>
      </c>
      <c r="O136" s="695"/>
      <c r="P136" s="700" t="s">
        <v>319</v>
      </c>
      <c r="Q136" s="700" t="s">
        <v>365</v>
      </c>
      <c r="R136" s="700" t="s">
        <v>366</v>
      </c>
      <c r="S136" s="700" t="s">
        <v>367</v>
      </c>
      <c r="T136" s="700" t="s">
        <v>319</v>
      </c>
      <c r="U136" s="700" t="s">
        <v>365</v>
      </c>
      <c r="V136" s="700" t="s">
        <v>366</v>
      </c>
      <c r="W136" s="700" t="s">
        <v>367</v>
      </c>
      <c r="X136" s="700" t="s">
        <v>319</v>
      </c>
      <c r="Y136" s="700" t="s">
        <v>365</v>
      </c>
      <c r="Z136" s="700" t="s">
        <v>366</v>
      </c>
      <c r="AA136" s="700" t="s">
        <v>367</v>
      </c>
      <c r="AB136" s="700" t="s">
        <v>319</v>
      </c>
      <c r="AC136" s="700" t="s">
        <v>365</v>
      </c>
      <c r="AD136" s="700" t="s">
        <v>366</v>
      </c>
      <c r="AE136" s="700" t="s">
        <v>367</v>
      </c>
      <c r="AF136" s="701" t="s">
        <v>319</v>
      </c>
      <c r="AG136" s="702" t="s">
        <v>365</v>
      </c>
      <c r="AH136" s="702" t="s">
        <v>366</v>
      </c>
      <c r="AI136" s="702" t="s">
        <v>367</v>
      </c>
      <c r="AJ136" s="701" t="s">
        <v>319</v>
      </c>
      <c r="AK136" s="702" t="s">
        <v>365</v>
      </c>
      <c r="AL136" s="702" t="s">
        <v>366</v>
      </c>
      <c r="AM136" s="702" t="s">
        <v>367</v>
      </c>
      <c r="AN136" s="701" t="s">
        <v>319</v>
      </c>
      <c r="AO136" s="702" t="s">
        <v>365</v>
      </c>
      <c r="AP136" s="702" t="s">
        <v>366</v>
      </c>
      <c r="AQ136" s="702" t="s">
        <v>367</v>
      </c>
      <c r="AR136" s="701" t="s">
        <v>319</v>
      </c>
      <c r="AS136" s="702" t="s">
        <v>365</v>
      </c>
      <c r="AT136" s="702" t="s">
        <v>366</v>
      </c>
      <c r="AU136" s="702" t="s">
        <v>367</v>
      </c>
      <c r="AV136" s="701" t="s">
        <v>319</v>
      </c>
      <c r="AW136" s="702" t="s">
        <v>365</v>
      </c>
      <c r="AX136" s="702" t="s">
        <v>366</v>
      </c>
      <c r="AY136" s="702" t="s">
        <v>367</v>
      </c>
      <c r="AZ136" s="701" t="s">
        <v>319</v>
      </c>
      <c r="BA136" s="702" t="s">
        <v>365</v>
      </c>
      <c r="BB136" s="702" t="s">
        <v>366</v>
      </c>
      <c r="BC136" s="702" t="s">
        <v>367</v>
      </c>
      <c r="BD136" s="701" t="s">
        <v>319</v>
      </c>
      <c r="BE136" s="702" t="s">
        <v>365</v>
      </c>
      <c r="BF136" s="702" t="s">
        <v>366</v>
      </c>
      <c r="BG136" s="702" t="s">
        <v>367</v>
      </c>
      <c r="BH136" s="701" t="s">
        <v>319</v>
      </c>
      <c r="BI136" s="702" t="s">
        <v>365</v>
      </c>
      <c r="BJ136" s="702" t="s">
        <v>366</v>
      </c>
      <c r="BK136" s="702" t="s">
        <v>367</v>
      </c>
      <c r="BL136" s="625"/>
      <c r="BM136" s="625"/>
    </row>
    <row r="137" ht="12.75" customHeight="1">
      <c r="A137" s="703" t="s">
        <v>403</v>
      </c>
      <c r="B137" s="695"/>
      <c r="C137" s="669">
        <f>RI!B110</f>
        <v>108</v>
      </c>
      <c r="D137" s="669">
        <f>RI!C110</f>
        <v>111</v>
      </c>
      <c r="E137" s="669">
        <f>RI!D110</f>
        <v>136</v>
      </c>
      <c r="F137" s="669">
        <f>RI!E110</f>
        <v>125</v>
      </c>
      <c r="G137" s="669">
        <f>RI!F110</f>
        <v>148</v>
      </c>
      <c r="H137" s="669">
        <f>RI!G110</f>
        <v>134</v>
      </c>
      <c r="I137" s="669">
        <f>RI!H110</f>
        <v>145</v>
      </c>
      <c r="J137" s="669">
        <f>RI!I110</f>
        <v>139</v>
      </c>
      <c r="K137" s="669">
        <f>RI!J110</f>
        <v>130</v>
      </c>
      <c r="L137" s="669">
        <f>RI!K110</f>
        <v>136</v>
      </c>
      <c r="M137" s="669">
        <f>RI!L110</f>
        <v>142</v>
      </c>
      <c r="N137" s="669">
        <f>RI!M110</f>
        <v>157</v>
      </c>
      <c r="O137" s="695"/>
      <c r="P137" s="553">
        <f t="shared" ref="P137:P138" si="306">SUM(C111:N111)</f>
        <v>1611</v>
      </c>
      <c r="Q137" s="704">
        <f>P135/4</f>
        <v>4119.25</v>
      </c>
      <c r="R137" s="705">
        <f>(P135/2) *(P137/P139)</f>
        <v>5296.178571</v>
      </c>
      <c r="S137" s="704">
        <f t="shared" ref="S137:S138" si="307">SUM(Q137:R137)</f>
        <v>9415.428571</v>
      </c>
      <c r="T137" s="706">
        <f t="shared" ref="T137:T138" si="308">SUM(C111:N111)</f>
        <v>1611</v>
      </c>
      <c r="U137" s="704">
        <f>T135/4</f>
        <v>4119.25</v>
      </c>
      <c r="V137" s="704">
        <f>(T135/2) *(T137/T139)</f>
        <v>5296.178571</v>
      </c>
      <c r="W137" s="707">
        <f t="shared" ref="W137:W138" si="309">SUM(U137:V137)</f>
        <v>9415.428571</v>
      </c>
      <c r="X137" s="708">
        <f t="shared" ref="X137:X138" si="310">SUM(C111:N111)</f>
        <v>1611</v>
      </c>
      <c r="Y137" s="704">
        <f>X135/4</f>
        <v>5884.5</v>
      </c>
      <c r="Z137" s="704">
        <f>(X135/2) *(X137/X139)</f>
        <v>7565.785714</v>
      </c>
      <c r="AA137" s="707">
        <f t="shared" ref="AA137:AA138" si="311">SUM(Y137:Z137)</f>
        <v>13450.28571</v>
      </c>
      <c r="AB137" s="708">
        <f t="shared" ref="AB137:AB138" si="312">SUM(C111:N111)</f>
        <v>1611</v>
      </c>
      <c r="AC137" s="704">
        <f>AB135/4</f>
        <v>5884.5</v>
      </c>
      <c r="AD137" s="704">
        <f>(AB135/2) *(AB137/AB139)</f>
        <v>7565.785714</v>
      </c>
      <c r="AE137" s="707">
        <f t="shared" ref="AE137:AE138" si="313">SUM(AC137:AD137)</f>
        <v>13450.28571</v>
      </c>
      <c r="AF137" s="709">
        <f t="shared" ref="AF137:AF138" si="314">SUM(C111:N111)</f>
        <v>1611</v>
      </c>
      <c r="AG137" s="704">
        <f>AF135/4</f>
        <v>8473.5</v>
      </c>
      <c r="AH137" s="704">
        <f>(AF135/2)*(AF137/AF139)</f>
        <v>10894.5</v>
      </c>
      <c r="AI137" s="704">
        <f t="shared" ref="AI137:AI138" si="315">AG137+AH137</f>
        <v>19368</v>
      </c>
      <c r="AJ137" s="709">
        <f t="shared" ref="AJ137:AJ138" si="316">SUM(C111:N111)</f>
        <v>1611</v>
      </c>
      <c r="AK137" s="704">
        <f>AJ135/4</f>
        <v>8473.5</v>
      </c>
      <c r="AL137" s="704">
        <f>(AJ135/2)*(AJ137/AJ139)</f>
        <v>10894.5</v>
      </c>
      <c r="AM137" s="707">
        <f t="shared" ref="AM137:AM138" si="317">AK137+AL137</f>
        <v>19368</v>
      </c>
      <c r="AN137" s="709">
        <f t="shared" ref="AN137:AN138" si="318">SUM(C111:N111)</f>
        <v>1611</v>
      </c>
      <c r="AO137" s="704">
        <f>AN135/4</f>
        <v>4119.25</v>
      </c>
      <c r="AP137" s="704">
        <f>(AN135/2)*(AN137/AN139)</f>
        <v>5296.178571</v>
      </c>
      <c r="AQ137" s="704">
        <f t="shared" ref="AQ137:AQ138" si="319">AO137+AP137</f>
        <v>9415.428571</v>
      </c>
      <c r="AR137" s="709">
        <f t="shared" ref="AR137:AR138" si="320">SUM(C111:N111)</f>
        <v>1611</v>
      </c>
      <c r="AS137" s="704">
        <f>AR135/4</f>
        <v>4119.25</v>
      </c>
      <c r="AT137" s="704">
        <f>(AR135/2)*(AR137/AR139)</f>
        <v>5296.178571</v>
      </c>
      <c r="AU137" s="704">
        <f t="shared" ref="AU137:AU138" si="321">AS137+AT137</f>
        <v>9415.428571</v>
      </c>
      <c r="AV137" s="709">
        <f t="shared" ref="AV137:AV138" si="322">SUM(C111:N111)</f>
        <v>1611</v>
      </c>
      <c r="AW137" s="704">
        <f>AV135/4</f>
        <v>5884.5</v>
      </c>
      <c r="AX137" s="704">
        <f>(AV135/2)*(AV137/AV139)</f>
        <v>7565.785714</v>
      </c>
      <c r="AY137" s="704">
        <f t="shared" ref="AY137:AY138" si="323">AW137+AX137</f>
        <v>13450.28571</v>
      </c>
      <c r="AZ137" s="709">
        <f t="shared" ref="AZ137:AZ138" si="324">SUM(C111:N111)</f>
        <v>1611</v>
      </c>
      <c r="BA137" s="704">
        <f>AZ135/4</f>
        <v>5884.5</v>
      </c>
      <c r="BB137" s="704">
        <f>(AZ135/2)*(AZ137/AZ139)</f>
        <v>7565.785714</v>
      </c>
      <c r="BC137" s="707">
        <f t="shared" ref="BC137:BC138" si="325">BA137+BB137</f>
        <v>13450.28571</v>
      </c>
      <c r="BD137" s="709">
        <f t="shared" ref="BD137:BD138" si="326">SUM(C111:N111)</f>
        <v>1611</v>
      </c>
      <c r="BE137" s="704">
        <f>BD135/4</f>
        <v>5884.5</v>
      </c>
      <c r="BF137" s="704">
        <f>(BD135/2)*(BD137/BD139)</f>
        <v>7565.785714</v>
      </c>
      <c r="BG137" s="704">
        <f t="shared" ref="BG137:BG138" si="327">BE137+BF137</f>
        <v>13450.28571</v>
      </c>
      <c r="BH137" s="709">
        <f t="shared" ref="BH137:BH138" si="328">SUM(C111:N111)</f>
        <v>1611</v>
      </c>
      <c r="BI137" s="704">
        <f>BH135/4</f>
        <v>8473.5</v>
      </c>
      <c r="BJ137" s="704">
        <f>(BH135/2)*(BH137/BH139)</f>
        <v>10894.5</v>
      </c>
      <c r="BK137" s="704">
        <f t="shared" ref="BK137:BK138" si="329">BI137+BJ137</f>
        <v>19368</v>
      </c>
      <c r="BL137" s="710"/>
      <c r="BM137" s="710"/>
    </row>
    <row r="138" ht="12.75" customHeight="1">
      <c r="A138" s="703" t="s">
        <v>404</v>
      </c>
      <c r="B138" s="695"/>
      <c r="C138" s="637">
        <f>AS!B110</f>
        <v>55</v>
      </c>
      <c r="D138" s="637">
        <f>AS!C110</f>
        <v>56</v>
      </c>
      <c r="E138" s="637">
        <f>AS!D110</f>
        <v>94</v>
      </c>
      <c r="F138" s="637">
        <f>AS!E110</f>
        <v>98</v>
      </c>
      <c r="G138" s="637">
        <f>AS!F110</f>
        <v>80</v>
      </c>
      <c r="H138" s="637">
        <f>AS!G110</f>
        <v>75</v>
      </c>
      <c r="I138" s="637">
        <f>AS!H110</f>
        <v>72</v>
      </c>
      <c r="J138" s="637">
        <f>AS!I110</f>
        <v>79</v>
      </c>
      <c r="K138" s="637">
        <f>AS!J110</f>
        <v>63</v>
      </c>
      <c r="L138" s="637">
        <f>AS!K110</f>
        <v>72</v>
      </c>
      <c r="M138" s="637">
        <f>AS!L110</f>
        <v>67</v>
      </c>
      <c r="N138" s="637">
        <f>AS!M110</f>
        <v>84</v>
      </c>
      <c r="O138" s="695"/>
      <c r="P138" s="553">
        <f t="shared" si="306"/>
        <v>895</v>
      </c>
      <c r="Q138" s="704">
        <f>P135/4</f>
        <v>4119.25</v>
      </c>
      <c r="R138" s="704">
        <f>(P135/2) *(P138/P139)</f>
        <v>2942.321429</v>
      </c>
      <c r="S138" s="704">
        <f t="shared" si="307"/>
        <v>7061.571429</v>
      </c>
      <c r="T138" s="711">
        <f t="shared" si="308"/>
        <v>895</v>
      </c>
      <c r="U138" s="705">
        <f>T135/4</f>
        <v>4119.25</v>
      </c>
      <c r="V138" s="704">
        <f>(T135/2) *(T138/T139)</f>
        <v>2942.321429</v>
      </c>
      <c r="W138" s="707">
        <f t="shared" si="309"/>
        <v>7061.571429</v>
      </c>
      <c r="X138" s="711">
        <f t="shared" si="310"/>
        <v>895</v>
      </c>
      <c r="Y138" s="704">
        <f>X135/4</f>
        <v>5884.5</v>
      </c>
      <c r="Z138" s="712">
        <f>(X135/2) *(X138/X139)</f>
        <v>4203.214286</v>
      </c>
      <c r="AA138" s="707">
        <f t="shared" si="311"/>
        <v>10087.71429</v>
      </c>
      <c r="AB138" s="711">
        <f t="shared" si="312"/>
        <v>895</v>
      </c>
      <c r="AC138" s="704">
        <f>AB135/4</f>
        <v>5884.5</v>
      </c>
      <c r="AD138" s="704">
        <f>(AB135/2) *(AB138/AB139)</f>
        <v>4203.214286</v>
      </c>
      <c r="AE138" s="707">
        <f t="shared" si="313"/>
        <v>10087.71429</v>
      </c>
      <c r="AF138" s="713">
        <f t="shared" si="314"/>
        <v>895</v>
      </c>
      <c r="AG138" s="704">
        <f>AF135/4</f>
        <v>8473.5</v>
      </c>
      <c r="AH138" s="704">
        <f>(AF135/2)*(AF138/AF139)</f>
        <v>6052.5</v>
      </c>
      <c r="AI138" s="704">
        <f t="shared" si="315"/>
        <v>14526</v>
      </c>
      <c r="AJ138" s="713">
        <f t="shared" si="316"/>
        <v>895</v>
      </c>
      <c r="AK138" s="704">
        <f>AJ135/4</f>
        <v>8473.5</v>
      </c>
      <c r="AL138" s="704">
        <f>(AJ135/2)*(AJ138/AJ139)</f>
        <v>6052.5</v>
      </c>
      <c r="AM138" s="707">
        <f t="shared" si="317"/>
        <v>14526</v>
      </c>
      <c r="AN138" s="713">
        <f t="shared" si="318"/>
        <v>895</v>
      </c>
      <c r="AO138" s="704">
        <f>AN135/4</f>
        <v>4119.25</v>
      </c>
      <c r="AP138" s="704">
        <f>(AN135/2)*(AN138/AN139)</f>
        <v>2942.321429</v>
      </c>
      <c r="AQ138" s="704">
        <f t="shared" si="319"/>
        <v>7061.571429</v>
      </c>
      <c r="AR138" s="714">
        <f t="shared" si="320"/>
        <v>895</v>
      </c>
      <c r="AS138" s="704">
        <f>AR135/4</f>
        <v>4119.25</v>
      </c>
      <c r="AT138" s="704">
        <f>(AR135/2)*(AR138/AR139)</f>
        <v>2942.321429</v>
      </c>
      <c r="AU138" s="704">
        <f t="shared" si="321"/>
        <v>7061.571429</v>
      </c>
      <c r="AV138" s="714">
        <f t="shared" si="322"/>
        <v>895</v>
      </c>
      <c r="AW138" s="704">
        <f>AV135/4</f>
        <v>5884.5</v>
      </c>
      <c r="AX138" s="704">
        <f>(AV135/2)*(AV138/AV139)</f>
        <v>4203.214286</v>
      </c>
      <c r="AY138" s="704">
        <f t="shared" si="323"/>
        <v>10087.71429</v>
      </c>
      <c r="AZ138" s="714">
        <f t="shared" si="324"/>
        <v>895</v>
      </c>
      <c r="BA138" s="704">
        <f>AZ135/4</f>
        <v>5884.5</v>
      </c>
      <c r="BB138" s="704">
        <f>(AZ135/2)*(AZ138/AZ139)</f>
        <v>4203.214286</v>
      </c>
      <c r="BC138" s="707">
        <f t="shared" si="325"/>
        <v>10087.71429</v>
      </c>
      <c r="BD138" s="714">
        <f t="shared" si="326"/>
        <v>895</v>
      </c>
      <c r="BE138" s="704">
        <f>BD135/4</f>
        <v>5884.5</v>
      </c>
      <c r="BF138" s="704">
        <f>(BD135/2)*(BD138/BD139)</f>
        <v>4203.214286</v>
      </c>
      <c r="BG138" s="704">
        <f t="shared" si="327"/>
        <v>10087.71429</v>
      </c>
      <c r="BH138" s="714">
        <f t="shared" si="328"/>
        <v>895</v>
      </c>
      <c r="BI138" s="704">
        <f>BH135/4</f>
        <v>8473.5</v>
      </c>
      <c r="BJ138" s="704">
        <f>(BH135/2)*(BH138/BH139)</f>
        <v>6052.5</v>
      </c>
      <c r="BK138" s="704">
        <f t="shared" si="329"/>
        <v>14526</v>
      </c>
      <c r="BL138" s="710"/>
      <c r="BM138" s="710"/>
    </row>
    <row r="139" ht="12.75" customHeight="1">
      <c r="A139" s="715"/>
      <c r="B139" s="678"/>
      <c r="C139" s="678"/>
      <c r="D139" s="678"/>
      <c r="E139" s="678"/>
      <c r="F139" s="678"/>
      <c r="G139" s="678"/>
      <c r="H139" s="678"/>
      <c r="I139" s="678"/>
      <c r="J139" s="678"/>
      <c r="K139" s="678"/>
      <c r="L139" s="678"/>
      <c r="M139" s="678"/>
      <c r="N139" s="678"/>
      <c r="O139" s="695"/>
      <c r="P139" s="700">
        <f>SUM(P136:P138)</f>
        <v>2506</v>
      </c>
      <c r="Q139" s="716">
        <f t="shared" ref="Q139:AA139" si="330">SUM(Q137:Q138)</f>
        <v>8238.5</v>
      </c>
      <c r="R139" s="716">
        <f t="shared" si="330"/>
        <v>8238.5</v>
      </c>
      <c r="S139" s="716">
        <f t="shared" si="330"/>
        <v>16477</v>
      </c>
      <c r="T139" s="700">
        <f t="shared" si="330"/>
        <v>2506</v>
      </c>
      <c r="U139" s="716">
        <f t="shared" si="330"/>
        <v>8238.5</v>
      </c>
      <c r="V139" s="716">
        <f t="shared" si="330"/>
        <v>8238.5</v>
      </c>
      <c r="W139" s="716">
        <f t="shared" si="330"/>
        <v>16477</v>
      </c>
      <c r="X139" s="700">
        <f t="shared" si="330"/>
        <v>2506</v>
      </c>
      <c r="Y139" s="716">
        <f t="shared" si="330"/>
        <v>11769</v>
      </c>
      <c r="Z139" s="716">
        <f t="shared" si="330"/>
        <v>11769</v>
      </c>
      <c r="AA139" s="716">
        <f t="shared" si="330"/>
        <v>23538</v>
      </c>
      <c r="AB139" s="700">
        <f>SUM(AB136:AB138)</f>
        <v>2506</v>
      </c>
      <c r="AC139" s="716">
        <f>AC137+AC138</f>
        <v>11769</v>
      </c>
      <c r="AD139" s="716">
        <f>SUM(AD137:AD138)</f>
        <v>11769</v>
      </c>
      <c r="AE139" s="716">
        <f>AE137+AE138</f>
        <v>23538</v>
      </c>
      <c r="AF139" s="699">
        <f>SUM(AF137:AF138)</f>
        <v>2506</v>
      </c>
      <c r="AG139" s="716">
        <f t="shared" ref="AG139:AI139" si="331">AG137+AG138</f>
        <v>16947</v>
      </c>
      <c r="AH139" s="716">
        <f t="shared" si="331"/>
        <v>16947</v>
      </c>
      <c r="AI139" s="716">
        <f t="shared" si="331"/>
        <v>33894</v>
      </c>
      <c r="AJ139" s="699">
        <f>SUM(AJ137:AJ138)</f>
        <v>2506</v>
      </c>
      <c r="AK139" s="716">
        <f t="shared" ref="AK139:AM139" si="332">AK137+AK138</f>
        <v>16947</v>
      </c>
      <c r="AL139" s="716">
        <f t="shared" si="332"/>
        <v>16947</v>
      </c>
      <c r="AM139" s="716">
        <f t="shared" si="332"/>
        <v>33894</v>
      </c>
      <c r="AN139" s="699">
        <f>SUM(AN137:AN138)</f>
        <v>2506</v>
      </c>
      <c r="AO139" s="716">
        <f t="shared" ref="AO139:AQ139" si="333">AO137+AO138</f>
        <v>8238.5</v>
      </c>
      <c r="AP139" s="716">
        <f t="shared" si="333"/>
        <v>8238.5</v>
      </c>
      <c r="AQ139" s="716">
        <f t="shared" si="333"/>
        <v>16477</v>
      </c>
      <c r="AR139" s="699">
        <f>SUM(AR137:AR138)</f>
        <v>2506</v>
      </c>
      <c r="AS139" s="716">
        <f t="shared" ref="AS139:AU139" si="334">AS137+AS138</f>
        <v>8238.5</v>
      </c>
      <c r="AT139" s="716">
        <f t="shared" si="334"/>
        <v>8238.5</v>
      </c>
      <c r="AU139" s="716">
        <f t="shared" si="334"/>
        <v>16477</v>
      </c>
      <c r="AV139" s="699">
        <f>SUM(AV137:AV138)</f>
        <v>2506</v>
      </c>
      <c r="AW139" s="716">
        <f t="shared" ref="AW139:AY139" si="335">AW137+AW138</f>
        <v>11769</v>
      </c>
      <c r="AX139" s="716">
        <f t="shared" si="335"/>
        <v>11769</v>
      </c>
      <c r="AY139" s="716">
        <f t="shared" si="335"/>
        <v>23538</v>
      </c>
      <c r="AZ139" s="699">
        <f>SUM(AZ137:AZ138)</f>
        <v>2506</v>
      </c>
      <c r="BA139" s="716">
        <f t="shared" ref="BA139:BC139" si="336">BA137+BA138</f>
        <v>11769</v>
      </c>
      <c r="BB139" s="716">
        <f t="shared" si="336"/>
        <v>11769</v>
      </c>
      <c r="BC139" s="716">
        <f t="shared" si="336"/>
        <v>23538</v>
      </c>
      <c r="BD139" s="699">
        <f>SUM(BD137:BD138)</f>
        <v>2506</v>
      </c>
      <c r="BE139" s="716">
        <f t="shared" ref="BE139:BG139" si="337">BE137+BE138</f>
        <v>11769</v>
      </c>
      <c r="BF139" s="716">
        <f t="shared" si="337"/>
        <v>11769</v>
      </c>
      <c r="BG139" s="716">
        <f t="shared" si="337"/>
        <v>23538</v>
      </c>
      <c r="BH139" s="699">
        <f>SUM(BH137:BH138)</f>
        <v>2506</v>
      </c>
      <c r="BI139" s="716">
        <f t="shared" ref="BI139:BK139" si="338">BI137+BI138</f>
        <v>16947</v>
      </c>
      <c r="BJ139" s="716">
        <f t="shared" si="338"/>
        <v>16947</v>
      </c>
      <c r="BK139" s="716">
        <f t="shared" si="338"/>
        <v>33894</v>
      </c>
      <c r="BL139" s="717"/>
      <c r="BM139" s="717"/>
    </row>
    <row r="140" ht="12.75" customHeight="1">
      <c r="A140" s="718"/>
      <c r="B140" s="521"/>
      <c r="C140" s="533"/>
      <c r="D140" s="533"/>
      <c r="E140" s="533"/>
      <c r="F140" s="533"/>
      <c r="G140" s="533"/>
      <c r="H140" s="533"/>
      <c r="I140" s="533"/>
      <c r="J140" s="533"/>
      <c r="K140" s="533"/>
      <c r="L140" s="533"/>
      <c r="M140" s="533"/>
      <c r="N140" s="533"/>
      <c r="O140" s="515"/>
      <c r="P140" s="541"/>
      <c r="Q140" s="541"/>
      <c r="R140" s="541"/>
      <c r="S140" s="541"/>
      <c r="T140" s="541"/>
      <c r="U140" s="541"/>
      <c r="V140" s="541"/>
      <c r="W140" s="541"/>
      <c r="X140" s="541"/>
      <c r="Y140" s="541"/>
      <c r="Z140" s="541"/>
      <c r="AA140" s="541"/>
      <c r="AB140" s="541"/>
      <c r="AC140" s="541"/>
      <c r="AD140" s="541"/>
      <c r="AE140" s="541"/>
      <c r="AF140" s="533"/>
      <c r="AG140" s="557"/>
      <c r="AH140" s="557"/>
      <c r="AI140" s="557"/>
      <c r="AJ140" s="533"/>
      <c r="AK140" s="557"/>
      <c r="AL140" s="557"/>
      <c r="AM140" s="557"/>
      <c r="AN140" s="533"/>
      <c r="AO140" s="557"/>
      <c r="AP140" s="557"/>
      <c r="AQ140" s="557"/>
      <c r="AR140" s="533"/>
      <c r="AS140" s="557"/>
      <c r="AT140" s="557"/>
      <c r="AU140" s="557"/>
      <c r="AV140" s="533"/>
      <c r="AW140" s="557"/>
      <c r="AX140" s="557"/>
      <c r="AY140" s="557"/>
      <c r="AZ140" s="533"/>
      <c r="BA140" s="557"/>
      <c r="BB140" s="557"/>
      <c r="BC140" s="557"/>
      <c r="BD140" s="533"/>
      <c r="BE140" s="557"/>
      <c r="BF140" s="557"/>
      <c r="BG140" s="557"/>
      <c r="BH140" s="678"/>
      <c r="BI140" s="679"/>
      <c r="BJ140" s="679"/>
      <c r="BK140" s="680"/>
      <c r="BL140" s="679"/>
      <c r="BM140" s="679"/>
    </row>
    <row r="141" ht="12.75" customHeight="1">
      <c r="A141" s="718"/>
      <c r="B141" s="521"/>
      <c r="C141" s="533"/>
      <c r="D141" s="533"/>
      <c r="E141" s="533"/>
      <c r="F141" s="533"/>
      <c r="G141" s="533"/>
      <c r="H141" s="533"/>
      <c r="I141" s="533"/>
      <c r="J141" s="533"/>
      <c r="K141" s="533"/>
      <c r="L141" s="533"/>
      <c r="M141" s="533"/>
      <c r="N141" s="533"/>
      <c r="O141" s="515"/>
      <c r="P141" s="541"/>
      <c r="T141" s="541"/>
      <c r="X141" s="541"/>
      <c r="AB141" s="541"/>
      <c r="AF141" s="533"/>
      <c r="AG141" s="557"/>
      <c r="AH141" s="557"/>
      <c r="AI141" s="557"/>
      <c r="AJ141" s="533"/>
      <c r="AK141" s="557"/>
      <c r="AL141" s="557"/>
      <c r="AM141" s="557"/>
      <c r="AN141" s="533"/>
      <c r="AO141" s="557"/>
      <c r="AP141" s="557"/>
      <c r="AQ141" s="557"/>
      <c r="AR141" s="533"/>
      <c r="AS141" s="557"/>
      <c r="AT141" s="557"/>
      <c r="AU141" s="557"/>
      <c r="AV141" s="533"/>
      <c r="AW141" s="557"/>
      <c r="AX141" s="557"/>
      <c r="AY141" s="557"/>
      <c r="AZ141" s="533"/>
      <c r="BA141" s="557"/>
      <c r="BB141" s="557"/>
      <c r="BC141" s="557"/>
      <c r="BD141" s="533"/>
      <c r="BE141" s="557"/>
      <c r="BF141" s="557"/>
      <c r="BG141" s="557"/>
      <c r="BH141" s="678"/>
      <c r="BI141" s="679"/>
      <c r="BJ141" s="679"/>
      <c r="BK141" s="719"/>
      <c r="BL141" s="679"/>
      <c r="BM141" s="679"/>
    </row>
    <row r="142" ht="12.75" customHeight="1">
      <c r="A142" s="720"/>
      <c r="B142" s="488"/>
      <c r="C142" s="489" t="s">
        <v>402</v>
      </c>
      <c r="D142" s="490"/>
      <c r="E142" s="490"/>
      <c r="F142" s="490"/>
      <c r="G142" s="490"/>
      <c r="H142" s="490"/>
      <c r="I142" s="490"/>
      <c r="J142" s="490"/>
      <c r="K142" s="490"/>
      <c r="L142" s="490"/>
      <c r="M142" s="490"/>
      <c r="N142" s="491"/>
      <c r="O142" s="575"/>
      <c r="P142" s="576" t="s">
        <v>340</v>
      </c>
      <c r="Q142" s="494"/>
      <c r="R142" s="494"/>
      <c r="S142" s="495"/>
      <c r="T142" s="576" t="s">
        <v>341</v>
      </c>
      <c r="U142" s="494"/>
      <c r="V142" s="494"/>
      <c r="W142" s="495"/>
      <c r="X142" s="576" t="s">
        <v>342</v>
      </c>
      <c r="Y142" s="494"/>
      <c r="Z142" s="494"/>
      <c r="AA142" s="495"/>
      <c r="AB142" s="576" t="s">
        <v>343</v>
      </c>
      <c r="AC142" s="494"/>
      <c r="AD142" s="494"/>
      <c r="AE142" s="495"/>
      <c r="AF142" s="576" t="s">
        <v>344</v>
      </c>
      <c r="AG142" s="494"/>
      <c r="AH142" s="494"/>
      <c r="AI142" s="495"/>
      <c r="AJ142" s="721" t="s">
        <v>345</v>
      </c>
      <c r="AK142" s="722"/>
      <c r="AL142" s="722"/>
      <c r="AM142" s="723"/>
      <c r="AN142" s="721" t="s">
        <v>346</v>
      </c>
      <c r="AO142" s="722"/>
      <c r="AP142" s="722"/>
      <c r="AQ142" s="723"/>
      <c r="AR142" s="576" t="s">
        <v>347</v>
      </c>
      <c r="AS142" s="494"/>
      <c r="AT142" s="494"/>
      <c r="AU142" s="495"/>
      <c r="AV142" s="576" t="s">
        <v>348</v>
      </c>
      <c r="AW142" s="494"/>
      <c r="AX142" s="494"/>
      <c r="AY142" s="495"/>
      <c r="AZ142" s="576" t="s">
        <v>349</v>
      </c>
      <c r="BA142" s="494"/>
      <c r="BB142" s="494"/>
      <c r="BC142" s="495"/>
      <c r="BD142" s="576" t="s">
        <v>350</v>
      </c>
      <c r="BE142" s="494"/>
      <c r="BF142" s="494"/>
      <c r="BG142" s="495"/>
      <c r="BH142" s="576" t="s">
        <v>351</v>
      </c>
      <c r="BI142" s="494"/>
      <c r="BJ142" s="494"/>
      <c r="BK142" s="495"/>
      <c r="BL142" s="500"/>
      <c r="BM142" s="500"/>
    </row>
    <row r="143" ht="12.75" customHeight="1">
      <c r="A143" s="724"/>
      <c r="B143" s="488"/>
      <c r="C143" s="502"/>
      <c r="N143" s="503"/>
      <c r="O143" s="559"/>
      <c r="P143" s="725" t="s">
        <v>352</v>
      </c>
      <c r="Q143" s="506"/>
      <c r="R143" s="506"/>
      <c r="S143" s="507"/>
      <c r="T143" s="725" t="s">
        <v>352</v>
      </c>
      <c r="U143" s="506"/>
      <c r="V143" s="506"/>
      <c r="W143" s="507"/>
      <c r="X143" s="725" t="s">
        <v>352</v>
      </c>
      <c r="Y143" s="506"/>
      <c r="Z143" s="506"/>
      <c r="AA143" s="507"/>
      <c r="AB143" s="725" t="s">
        <v>352</v>
      </c>
      <c r="AC143" s="506"/>
      <c r="AD143" s="506"/>
      <c r="AE143" s="507"/>
      <c r="AF143" s="725" t="s">
        <v>352</v>
      </c>
      <c r="AG143" s="506"/>
      <c r="AH143" s="506"/>
      <c r="AI143" s="507"/>
      <c r="AJ143" s="725" t="s">
        <v>352</v>
      </c>
      <c r="AK143" s="506"/>
      <c r="AL143" s="506"/>
      <c r="AM143" s="507"/>
      <c r="AN143" s="725" t="s">
        <v>352</v>
      </c>
      <c r="AO143" s="506"/>
      <c r="AP143" s="506"/>
      <c r="AQ143" s="507"/>
      <c r="AR143" s="725" t="s">
        <v>352</v>
      </c>
      <c r="AS143" s="506"/>
      <c r="AT143" s="506"/>
      <c r="AU143" s="507"/>
      <c r="AV143" s="725" t="s">
        <v>352</v>
      </c>
      <c r="AW143" s="506"/>
      <c r="AX143" s="506"/>
      <c r="AY143" s="507"/>
      <c r="AZ143" s="725" t="s">
        <v>352</v>
      </c>
      <c r="BA143" s="506"/>
      <c r="BB143" s="506"/>
      <c r="BC143" s="507"/>
      <c r="BD143" s="725" t="s">
        <v>352</v>
      </c>
      <c r="BE143" s="506"/>
      <c r="BF143" s="506"/>
      <c r="BG143" s="507"/>
      <c r="BH143" s="725" t="s">
        <v>352</v>
      </c>
      <c r="BI143" s="506"/>
      <c r="BJ143" s="506"/>
      <c r="BK143" s="507"/>
      <c r="BL143" s="509"/>
      <c r="BM143" s="509"/>
    </row>
    <row r="144" ht="12.75" customHeight="1">
      <c r="A144" s="726"/>
      <c r="B144" s="521"/>
      <c r="C144" s="512"/>
      <c r="D144" s="513"/>
      <c r="E144" s="513"/>
      <c r="F144" s="513"/>
      <c r="G144" s="513"/>
      <c r="H144" s="513"/>
      <c r="I144" s="513"/>
      <c r="J144" s="513"/>
      <c r="K144" s="513"/>
      <c r="L144" s="513"/>
      <c r="M144" s="513"/>
      <c r="N144" s="514"/>
      <c r="O144" s="515"/>
      <c r="P144" s="579">
        <v>13593.0</v>
      </c>
      <c r="Q144" s="498"/>
      <c r="R144" s="498"/>
      <c r="S144" s="498"/>
      <c r="T144" s="579">
        <v>13593.0</v>
      </c>
      <c r="U144" s="498"/>
      <c r="V144" s="498"/>
      <c r="W144" s="498"/>
      <c r="X144" s="579">
        <v>18068.0</v>
      </c>
      <c r="Y144" s="498"/>
      <c r="Z144" s="498"/>
      <c r="AA144" s="498"/>
      <c r="AB144" s="579">
        <v>18068.0</v>
      </c>
      <c r="AC144" s="498"/>
      <c r="AD144" s="498"/>
      <c r="AE144" s="498"/>
      <c r="AF144" s="579">
        <v>28135.0</v>
      </c>
      <c r="AG144" s="498"/>
      <c r="AH144" s="498"/>
      <c r="AI144" s="498"/>
      <c r="AJ144" s="579">
        <v>28135.0</v>
      </c>
      <c r="AK144" s="498"/>
      <c r="AL144" s="498"/>
      <c r="AM144" s="498"/>
      <c r="AN144" s="579">
        <v>13593.0</v>
      </c>
      <c r="AO144" s="498"/>
      <c r="AP144" s="498"/>
      <c r="AQ144" s="498"/>
      <c r="AR144" s="579">
        <v>13593.0</v>
      </c>
      <c r="AS144" s="498"/>
      <c r="AT144" s="498"/>
      <c r="AU144" s="498"/>
      <c r="AV144" s="579">
        <v>18068.0</v>
      </c>
      <c r="AW144" s="498"/>
      <c r="AX144" s="498"/>
      <c r="AY144" s="498"/>
      <c r="AZ144" s="579">
        <v>18068.0</v>
      </c>
      <c r="BA144" s="498"/>
      <c r="BB144" s="498"/>
      <c r="BC144" s="498"/>
      <c r="BD144" s="579">
        <v>18068.0</v>
      </c>
      <c r="BE144" s="498"/>
      <c r="BF144" s="498"/>
      <c r="BG144" s="498"/>
      <c r="BH144" s="579">
        <v>28135.0</v>
      </c>
      <c r="BI144" s="498"/>
      <c r="BJ144" s="498"/>
      <c r="BK144" s="498"/>
      <c r="BL144" s="519"/>
      <c r="BM144" s="519">
        <f>SUM(P144:BH144)</f>
        <v>229117</v>
      </c>
    </row>
    <row r="145" ht="12.75" customHeight="1">
      <c r="A145" s="520" t="s">
        <v>353</v>
      </c>
      <c r="B145" s="521"/>
      <c r="C145" s="552" t="s">
        <v>354</v>
      </c>
      <c r="D145" s="552" t="s">
        <v>355</v>
      </c>
      <c r="E145" s="552" t="s">
        <v>356</v>
      </c>
      <c r="F145" s="552" t="s">
        <v>357</v>
      </c>
      <c r="G145" s="552" t="s">
        <v>5</v>
      </c>
      <c r="H145" s="552" t="s">
        <v>358</v>
      </c>
      <c r="I145" s="552" t="s">
        <v>359</v>
      </c>
      <c r="J145" s="552" t="s">
        <v>360</v>
      </c>
      <c r="K145" s="552" t="s">
        <v>361</v>
      </c>
      <c r="L145" s="552" t="s">
        <v>362</v>
      </c>
      <c r="M145" s="552" t="s">
        <v>363</v>
      </c>
      <c r="N145" s="552" t="s">
        <v>364</v>
      </c>
      <c r="O145" s="515"/>
      <c r="P145" s="667" t="s">
        <v>319</v>
      </c>
      <c r="Q145" s="667" t="s">
        <v>365</v>
      </c>
      <c r="R145" s="667" t="s">
        <v>366</v>
      </c>
      <c r="S145" s="667" t="s">
        <v>367</v>
      </c>
      <c r="T145" s="667" t="s">
        <v>319</v>
      </c>
      <c r="U145" s="667" t="s">
        <v>365</v>
      </c>
      <c r="V145" s="667" t="s">
        <v>366</v>
      </c>
      <c r="W145" s="667" t="s">
        <v>367</v>
      </c>
      <c r="X145" s="667" t="s">
        <v>319</v>
      </c>
      <c r="Y145" s="667" t="s">
        <v>365</v>
      </c>
      <c r="Z145" s="667" t="s">
        <v>366</v>
      </c>
      <c r="AA145" s="667" t="s">
        <v>367</v>
      </c>
      <c r="AB145" s="667" t="s">
        <v>319</v>
      </c>
      <c r="AC145" s="667" t="s">
        <v>365</v>
      </c>
      <c r="AD145" s="667" t="s">
        <v>366</v>
      </c>
      <c r="AE145" s="667" t="s">
        <v>367</v>
      </c>
      <c r="AF145" s="524" t="s">
        <v>319</v>
      </c>
      <c r="AG145" s="524" t="s">
        <v>365</v>
      </c>
      <c r="AH145" s="524" t="s">
        <v>366</v>
      </c>
      <c r="AI145" s="524" t="s">
        <v>367</v>
      </c>
      <c r="AJ145" s="524" t="s">
        <v>319</v>
      </c>
      <c r="AK145" s="524" t="s">
        <v>365</v>
      </c>
      <c r="AL145" s="524" t="s">
        <v>366</v>
      </c>
      <c r="AM145" s="524" t="s">
        <v>367</v>
      </c>
      <c r="AN145" s="524" t="s">
        <v>319</v>
      </c>
      <c r="AO145" s="524" t="s">
        <v>365</v>
      </c>
      <c r="AP145" s="524" t="s">
        <v>366</v>
      </c>
      <c r="AQ145" s="524" t="s">
        <v>367</v>
      </c>
      <c r="AR145" s="727" t="s">
        <v>319</v>
      </c>
      <c r="AS145" s="524" t="s">
        <v>365</v>
      </c>
      <c r="AT145" s="524" t="s">
        <v>366</v>
      </c>
      <c r="AU145" s="524" t="s">
        <v>367</v>
      </c>
      <c r="AV145" s="727" t="s">
        <v>319</v>
      </c>
      <c r="AW145" s="524" t="s">
        <v>365</v>
      </c>
      <c r="AX145" s="524" t="s">
        <v>366</v>
      </c>
      <c r="AY145" s="524" t="s">
        <v>367</v>
      </c>
      <c r="AZ145" s="524" t="s">
        <v>319</v>
      </c>
      <c r="BA145" s="524" t="s">
        <v>365</v>
      </c>
      <c r="BB145" s="524" t="s">
        <v>366</v>
      </c>
      <c r="BC145" s="524" t="s">
        <v>367</v>
      </c>
      <c r="BD145" s="524" t="s">
        <v>319</v>
      </c>
      <c r="BE145" s="524" t="s">
        <v>365</v>
      </c>
      <c r="BF145" s="524" t="s">
        <v>366</v>
      </c>
      <c r="BG145" s="524" t="s">
        <v>367</v>
      </c>
      <c r="BH145" s="524" t="s">
        <v>319</v>
      </c>
      <c r="BI145" s="524" t="s">
        <v>365</v>
      </c>
      <c r="BJ145" s="524" t="s">
        <v>366</v>
      </c>
      <c r="BK145" s="524" t="s">
        <v>367</v>
      </c>
      <c r="BL145" s="500"/>
      <c r="BM145" s="500"/>
    </row>
    <row r="146" ht="12.75" customHeight="1">
      <c r="A146" s="728" t="s">
        <v>403</v>
      </c>
      <c r="B146" s="511"/>
      <c r="C146" s="669">
        <f>RI!B110</f>
        <v>108</v>
      </c>
      <c r="D146" s="526">
        <f>RI!C110</f>
        <v>111</v>
      </c>
      <c r="E146" s="526">
        <f>RI!D110</f>
        <v>136</v>
      </c>
      <c r="F146" s="526">
        <f>RI!E110</f>
        <v>125</v>
      </c>
      <c r="G146" s="526">
        <f>RI!F110</f>
        <v>148</v>
      </c>
      <c r="H146" s="526">
        <f>RI!G110</f>
        <v>134</v>
      </c>
      <c r="I146" s="526">
        <f>RI!H110</f>
        <v>145</v>
      </c>
      <c r="J146" s="526">
        <f>RI!I110</f>
        <v>139</v>
      </c>
      <c r="K146" s="526">
        <f>RI!J110</f>
        <v>130</v>
      </c>
      <c r="L146" s="526">
        <f>RI!K110</f>
        <v>136</v>
      </c>
      <c r="M146" s="526">
        <f>RI!L110</f>
        <v>142</v>
      </c>
      <c r="N146" s="526">
        <f>RI!M110</f>
        <v>157</v>
      </c>
      <c r="O146" s="533"/>
      <c r="P146" s="553">
        <f t="shared" ref="P146:P147" si="339">SUM(C146:N146)</f>
        <v>1611</v>
      </c>
      <c r="Q146" s="554">
        <f>P144/4</f>
        <v>3398.25</v>
      </c>
      <c r="R146" s="729">
        <f>(P144/2) *(P146/P148)</f>
        <v>4369.178571</v>
      </c>
      <c r="S146" s="554">
        <f t="shared" ref="S146:S147" si="340">SUM(Q146:R146)</f>
        <v>7767.428571</v>
      </c>
      <c r="T146" s="669">
        <f t="shared" ref="T146:T147" si="341">SUM(C146:N146)</f>
        <v>1611</v>
      </c>
      <c r="U146" s="554">
        <f>T144/4</f>
        <v>3398.25</v>
      </c>
      <c r="V146" s="554">
        <f>(T144/2) *(T146/T148)</f>
        <v>4369.178571</v>
      </c>
      <c r="W146" s="554">
        <f t="shared" ref="W146:W147" si="342">SUM(U146:V146)</f>
        <v>7767.428571</v>
      </c>
      <c r="X146" s="553">
        <f t="shared" ref="X146:X147" si="343">SUM(C146:N146)</f>
        <v>1611</v>
      </c>
      <c r="Y146" s="651">
        <f>X144/4</f>
        <v>4517</v>
      </c>
      <c r="Z146" s="651">
        <f>(X144/2) *(X146/X148)</f>
        <v>5807.571429</v>
      </c>
      <c r="AA146" s="651">
        <f t="shared" ref="AA146:AA147" si="344">SUM(Y146:Z146)</f>
        <v>10324.57143</v>
      </c>
      <c r="AB146" s="553">
        <f t="shared" ref="AB146:AB147" si="345">SUM(C146:N146)</f>
        <v>1611</v>
      </c>
      <c r="AC146" s="651">
        <f>AB144/4</f>
        <v>4517</v>
      </c>
      <c r="AD146" s="651">
        <f>(AB144/2) *(AB146/AB148)</f>
        <v>5807.571429</v>
      </c>
      <c r="AE146" s="530">
        <f t="shared" ref="AE146:AE147" si="346">AC146+AD146</f>
        <v>10324.57143</v>
      </c>
      <c r="AF146" s="529">
        <f t="shared" ref="AF146:AF147" si="347">SUM(C146:N146)</f>
        <v>1611</v>
      </c>
      <c r="AG146" s="530">
        <f>AF144/4</f>
        <v>7033.75</v>
      </c>
      <c r="AH146" s="530">
        <f>(AF144/2)*(AF146/AF148)</f>
        <v>9043.392857</v>
      </c>
      <c r="AI146" s="530">
        <f t="shared" ref="AI146:AI147" si="348">AG146+AH146</f>
        <v>16077.14286</v>
      </c>
      <c r="AJ146" s="529">
        <f t="shared" ref="AJ146:AJ147" si="349">SUM(C146:N146)</f>
        <v>1611</v>
      </c>
      <c r="AK146" s="530">
        <f>AJ144/4</f>
        <v>7033.75</v>
      </c>
      <c r="AL146" s="530">
        <f>(AJ144/2)*(AJ146/AJ148)</f>
        <v>9043.392857</v>
      </c>
      <c r="AM146" s="730">
        <f t="shared" ref="AM146:AM147" si="350">AK146+AL146</f>
        <v>16077.14286</v>
      </c>
      <c r="AN146" s="529">
        <f t="shared" ref="AN146:AN147" si="351">SUM(C146:N146)</f>
        <v>1611</v>
      </c>
      <c r="AO146" s="530">
        <f>AN144/4</f>
        <v>3398.25</v>
      </c>
      <c r="AP146" s="530">
        <f>(AN144/2)*(AN146/AN148)</f>
        <v>4369.178571</v>
      </c>
      <c r="AQ146" s="530">
        <f t="shared" ref="AQ146:AQ147" si="352">AO146+AP146</f>
        <v>7767.428571</v>
      </c>
      <c r="AR146" s="529">
        <f t="shared" ref="AR146:AR147" si="353">SUM(C146:N146)</f>
        <v>1611</v>
      </c>
      <c r="AS146" s="530">
        <f>AR144/4</f>
        <v>3398.25</v>
      </c>
      <c r="AT146" s="530">
        <f>(AR144/2)*(AR146/AR148)</f>
        <v>4369.178571</v>
      </c>
      <c r="AU146" s="530">
        <f t="shared" ref="AU146:AU147" si="354">AS146+AT146</f>
        <v>7767.428571</v>
      </c>
      <c r="AV146" s="529">
        <f t="shared" ref="AV146:AV147" si="355">SUM(C146:N146)</f>
        <v>1611</v>
      </c>
      <c r="AW146" s="530">
        <f>AV144/4</f>
        <v>4517</v>
      </c>
      <c r="AX146" s="530">
        <f>(AV144/2)*(AV146/AV148)</f>
        <v>5807.571429</v>
      </c>
      <c r="AY146" s="530">
        <f t="shared" ref="AY146:AY147" si="356">AW146+AX146</f>
        <v>10324.57143</v>
      </c>
      <c r="AZ146" s="529">
        <f t="shared" ref="AZ146:AZ147" si="357">SUM(C146:N146)</f>
        <v>1611</v>
      </c>
      <c r="BA146" s="530">
        <f>AZ144/4</f>
        <v>4517</v>
      </c>
      <c r="BB146" s="530">
        <f>(AZ144/2)*(AZ146/AZ148)</f>
        <v>5807.571429</v>
      </c>
      <c r="BC146" s="730">
        <f t="shared" ref="BC146:BC147" si="358">SUM(BA146:BB146)</f>
        <v>10324.57143</v>
      </c>
      <c r="BD146" s="529">
        <f t="shared" ref="BD146:BD147" si="359">SUM(C146:N146)</f>
        <v>1611</v>
      </c>
      <c r="BE146" s="530">
        <f>BD144/4</f>
        <v>4517</v>
      </c>
      <c r="BF146" s="530">
        <f>(BD144/2)*(BD146/BD148)</f>
        <v>5807.571429</v>
      </c>
      <c r="BG146" s="530">
        <f t="shared" ref="BG146:BG147" si="360">BE146+BF146</f>
        <v>10324.57143</v>
      </c>
      <c r="BH146" s="529">
        <f t="shared" ref="BH146:BH147" si="361">SUM(C146:N146)</f>
        <v>1611</v>
      </c>
      <c r="BI146" s="530">
        <f>BH144/4</f>
        <v>7033.75</v>
      </c>
      <c r="BJ146" s="530">
        <f>(BH144/2)*(BH146/BH148)</f>
        <v>9043.392857</v>
      </c>
      <c r="BK146" s="530">
        <f t="shared" ref="BK146:BK147" si="362">BI146+BJ146</f>
        <v>16077.14286</v>
      </c>
      <c r="BL146" s="531"/>
      <c r="BM146" s="531"/>
    </row>
    <row r="147" ht="12.75" customHeight="1">
      <c r="A147" s="728" t="s">
        <v>404</v>
      </c>
      <c r="B147" s="511"/>
      <c r="C147" s="526">
        <f>AS!B110</f>
        <v>55</v>
      </c>
      <c r="D147" s="526">
        <f>AS!C110</f>
        <v>56</v>
      </c>
      <c r="E147" s="526">
        <f>AS!D110</f>
        <v>94</v>
      </c>
      <c r="F147" s="526">
        <f>AS!E110</f>
        <v>98</v>
      </c>
      <c r="G147" s="526">
        <f>AS!F110</f>
        <v>80</v>
      </c>
      <c r="H147" s="526">
        <f>AS!G110</f>
        <v>75</v>
      </c>
      <c r="I147" s="669">
        <f>AS!H110</f>
        <v>72</v>
      </c>
      <c r="J147" s="669">
        <f>AS!I110</f>
        <v>79</v>
      </c>
      <c r="K147" s="669">
        <f>AS!J110</f>
        <v>63</v>
      </c>
      <c r="L147" s="669">
        <f>AS!K110</f>
        <v>72</v>
      </c>
      <c r="M147" s="669">
        <f>AS!L110</f>
        <v>67</v>
      </c>
      <c r="N147" s="669">
        <f>AS!M110</f>
        <v>84</v>
      </c>
      <c r="O147" s="533"/>
      <c r="P147" s="553">
        <f t="shared" si="339"/>
        <v>895</v>
      </c>
      <c r="Q147" s="554">
        <f>P144/4</f>
        <v>3398.25</v>
      </c>
      <c r="R147" s="554">
        <f>(P144/2) *(P147/P148)</f>
        <v>2427.321429</v>
      </c>
      <c r="S147" s="554">
        <f t="shared" si="340"/>
        <v>5825.571429</v>
      </c>
      <c r="T147" s="669">
        <f t="shared" si="341"/>
        <v>895</v>
      </c>
      <c r="U147" s="729">
        <f>T144/4</f>
        <v>3398.25</v>
      </c>
      <c r="V147" s="554">
        <f>(T144/2) *(T147/T148)</f>
        <v>2427.321429</v>
      </c>
      <c r="W147" s="554">
        <f t="shared" si="342"/>
        <v>5825.571429</v>
      </c>
      <c r="X147" s="553">
        <f t="shared" si="343"/>
        <v>895</v>
      </c>
      <c r="Y147" s="651">
        <f>X144/4</f>
        <v>4517</v>
      </c>
      <c r="Z147" s="731">
        <f>(X144/2) *(X147/X148)</f>
        <v>3226.428571</v>
      </c>
      <c r="AA147" s="651">
        <f t="shared" si="344"/>
        <v>7743.428571</v>
      </c>
      <c r="AB147" s="553">
        <f t="shared" si="345"/>
        <v>895</v>
      </c>
      <c r="AC147" s="651">
        <f>AB144/4</f>
        <v>4517</v>
      </c>
      <c r="AD147" s="651">
        <f>(AB144/2) *(AB147/AB148)</f>
        <v>3226.428571</v>
      </c>
      <c r="AE147" s="530">
        <f t="shared" si="346"/>
        <v>7743.428571</v>
      </c>
      <c r="AF147" s="529">
        <f t="shared" si="347"/>
        <v>895</v>
      </c>
      <c r="AG147" s="530">
        <f>AF144/4</f>
        <v>7033.75</v>
      </c>
      <c r="AH147" s="530">
        <f>(AF144/2)*(AF147/AF148)</f>
        <v>5024.107143</v>
      </c>
      <c r="AI147" s="530">
        <f t="shared" si="348"/>
        <v>12057.85714</v>
      </c>
      <c r="AJ147" s="529">
        <f t="shared" si="349"/>
        <v>895</v>
      </c>
      <c r="AK147" s="530">
        <f>AJ144/4</f>
        <v>7033.75</v>
      </c>
      <c r="AL147" s="530">
        <f>(AJ144/2)*(AJ147/AJ148)</f>
        <v>5024.107143</v>
      </c>
      <c r="AM147" s="730">
        <f t="shared" si="350"/>
        <v>12057.85714</v>
      </c>
      <c r="AN147" s="529">
        <f t="shared" si="351"/>
        <v>895</v>
      </c>
      <c r="AO147" s="530">
        <f>AN144/4</f>
        <v>3398.25</v>
      </c>
      <c r="AP147" s="530">
        <f>(AN144/2)*(AN147/AN148)</f>
        <v>2427.321429</v>
      </c>
      <c r="AQ147" s="530">
        <f t="shared" si="352"/>
        <v>5825.571429</v>
      </c>
      <c r="AR147" s="529">
        <f t="shared" si="353"/>
        <v>895</v>
      </c>
      <c r="AS147" s="530">
        <f>AR144/4</f>
        <v>3398.25</v>
      </c>
      <c r="AT147" s="530">
        <f>(AR144/2)*(AR147/AR148)</f>
        <v>2427.321429</v>
      </c>
      <c r="AU147" s="530">
        <f t="shared" si="354"/>
        <v>5825.571429</v>
      </c>
      <c r="AV147" s="529">
        <f t="shared" si="355"/>
        <v>895</v>
      </c>
      <c r="AW147" s="530">
        <f>AV144/4</f>
        <v>4517</v>
      </c>
      <c r="AX147" s="530">
        <f>(AV144/2)*(AV147/AV148)</f>
        <v>3226.428571</v>
      </c>
      <c r="AY147" s="530">
        <f t="shared" si="356"/>
        <v>7743.428571</v>
      </c>
      <c r="AZ147" s="529">
        <f t="shared" si="357"/>
        <v>895</v>
      </c>
      <c r="BA147" s="530">
        <f>AZ144/4</f>
        <v>4517</v>
      </c>
      <c r="BB147" s="530">
        <f>(AZ144/2)*(AZ147/AZ148)</f>
        <v>3226.428571</v>
      </c>
      <c r="BC147" s="730">
        <f t="shared" si="358"/>
        <v>7743.428571</v>
      </c>
      <c r="BD147" s="529">
        <f t="shared" si="359"/>
        <v>895</v>
      </c>
      <c r="BE147" s="530">
        <f>BD144/4</f>
        <v>4517</v>
      </c>
      <c r="BF147" s="530">
        <f>(BD144/2)*(BD147/BD148)</f>
        <v>3226.428571</v>
      </c>
      <c r="BG147" s="530">
        <f t="shared" si="360"/>
        <v>7743.428571</v>
      </c>
      <c r="BH147" s="529">
        <f t="shared" si="361"/>
        <v>895</v>
      </c>
      <c r="BI147" s="530">
        <f>BH144/4</f>
        <v>7033.75</v>
      </c>
      <c r="BJ147" s="530">
        <f>(BH144/2)*(BH147/BH148)</f>
        <v>5024.107143</v>
      </c>
      <c r="BK147" s="530">
        <f t="shared" si="362"/>
        <v>12057.85714</v>
      </c>
      <c r="BL147" s="531"/>
      <c r="BM147" s="531"/>
    </row>
    <row r="148" ht="12.75" customHeight="1">
      <c r="A148" s="718"/>
      <c r="B148" s="521"/>
      <c r="C148" s="515"/>
      <c r="D148" s="515"/>
      <c r="E148" s="515"/>
      <c r="F148" s="515"/>
      <c r="G148" s="515"/>
      <c r="H148" s="515"/>
      <c r="I148" s="515"/>
      <c r="J148" s="515"/>
      <c r="K148" s="515"/>
      <c r="L148" s="515"/>
      <c r="M148" s="515"/>
      <c r="N148" s="515"/>
      <c r="O148" s="533"/>
      <c r="P148" s="552">
        <f>SUM(P145:P147)</f>
        <v>2506</v>
      </c>
      <c r="Q148" s="556">
        <f t="shared" ref="Q148:AA148" si="363">SUM(Q146:Q147)</f>
        <v>6796.5</v>
      </c>
      <c r="R148" s="556">
        <f t="shared" si="363"/>
        <v>6796.5</v>
      </c>
      <c r="S148" s="556">
        <f t="shared" si="363"/>
        <v>13593</v>
      </c>
      <c r="T148" s="552">
        <f t="shared" si="363"/>
        <v>2506</v>
      </c>
      <c r="U148" s="556">
        <f t="shared" si="363"/>
        <v>6796.5</v>
      </c>
      <c r="V148" s="556">
        <f t="shared" si="363"/>
        <v>6796.5</v>
      </c>
      <c r="W148" s="556">
        <f t="shared" si="363"/>
        <v>13593</v>
      </c>
      <c r="X148" s="552">
        <f t="shared" si="363"/>
        <v>2506</v>
      </c>
      <c r="Y148" s="556">
        <f t="shared" si="363"/>
        <v>9034</v>
      </c>
      <c r="Z148" s="556">
        <f t="shared" si="363"/>
        <v>9034</v>
      </c>
      <c r="AA148" s="556">
        <f t="shared" si="363"/>
        <v>18068</v>
      </c>
      <c r="AB148" s="552">
        <f>SUM(AB145:AB147)</f>
        <v>2506</v>
      </c>
      <c r="AC148" s="536">
        <f>AC146+AC147</f>
        <v>9034</v>
      </c>
      <c r="AD148" s="556">
        <f>SUM(AD146:AD147)</f>
        <v>9034</v>
      </c>
      <c r="AE148" s="536">
        <f>AE146+AE147</f>
        <v>18068</v>
      </c>
      <c r="AF148" s="535">
        <f>SUM(AF146:AF147)</f>
        <v>2506</v>
      </c>
      <c r="AG148" s="536">
        <f t="shared" ref="AG148:AI148" si="364">AG146+AG147</f>
        <v>14067.5</v>
      </c>
      <c r="AH148" s="536">
        <f t="shared" si="364"/>
        <v>14067.5</v>
      </c>
      <c r="AI148" s="536">
        <f t="shared" si="364"/>
        <v>28135</v>
      </c>
      <c r="AJ148" s="535">
        <f>SUM(AJ146:AJ147)</f>
        <v>2506</v>
      </c>
      <c r="AK148" s="536">
        <f t="shared" ref="AK148:AM148" si="365">AK146+AK147</f>
        <v>14067.5</v>
      </c>
      <c r="AL148" s="536">
        <f t="shared" si="365"/>
        <v>14067.5</v>
      </c>
      <c r="AM148" s="536">
        <f t="shared" si="365"/>
        <v>28135</v>
      </c>
      <c r="AN148" s="535">
        <f>SUM(AN146:AN147)</f>
        <v>2506</v>
      </c>
      <c r="AO148" s="536">
        <f t="shared" ref="AO148:AQ148" si="366">AO146+AO147</f>
        <v>6796.5</v>
      </c>
      <c r="AP148" s="536">
        <f t="shared" si="366"/>
        <v>6796.5</v>
      </c>
      <c r="AQ148" s="536">
        <f t="shared" si="366"/>
        <v>13593</v>
      </c>
      <c r="AR148" s="535">
        <f>SUM(AR146:AR147)</f>
        <v>2506</v>
      </c>
      <c r="AS148" s="536">
        <f t="shared" ref="AS148:AU148" si="367">AS146+AS147</f>
        <v>6796.5</v>
      </c>
      <c r="AT148" s="536">
        <f t="shared" si="367"/>
        <v>6796.5</v>
      </c>
      <c r="AU148" s="536">
        <f t="shared" si="367"/>
        <v>13593</v>
      </c>
      <c r="AV148" s="535">
        <f>SUM(AV146:AV147)</f>
        <v>2506</v>
      </c>
      <c r="AW148" s="536">
        <f t="shared" ref="AW148:AY148" si="368">AW146+AW147</f>
        <v>9034</v>
      </c>
      <c r="AX148" s="536">
        <f t="shared" si="368"/>
        <v>9034</v>
      </c>
      <c r="AY148" s="536">
        <f t="shared" si="368"/>
        <v>18068</v>
      </c>
      <c r="AZ148" s="535">
        <f>SUM(AZ146:AZ147)</f>
        <v>2506</v>
      </c>
      <c r="BA148" s="536">
        <f t="shared" ref="BA148:BC148" si="369">BA146+BA147</f>
        <v>9034</v>
      </c>
      <c r="BB148" s="536">
        <f t="shared" si="369"/>
        <v>9034</v>
      </c>
      <c r="BC148" s="536">
        <f t="shared" si="369"/>
        <v>18068</v>
      </c>
      <c r="BD148" s="535">
        <f>SUM(BD146:BD147)</f>
        <v>2506</v>
      </c>
      <c r="BE148" s="536">
        <f t="shared" ref="BE148:BG148" si="370">BE146+BE147</f>
        <v>9034</v>
      </c>
      <c r="BF148" s="536">
        <f t="shared" si="370"/>
        <v>9034</v>
      </c>
      <c r="BG148" s="536">
        <f t="shared" si="370"/>
        <v>18068</v>
      </c>
      <c r="BH148" s="535">
        <f>SUM(BH146:BH147)</f>
        <v>2506</v>
      </c>
      <c r="BI148" s="536">
        <f t="shared" ref="BI148:BK148" si="371">BI146+BI147</f>
        <v>14067.5</v>
      </c>
      <c r="BJ148" s="536">
        <f t="shared" si="371"/>
        <v>14067.5</v>
      </c>
      <c r="BK148" s="536">
        <f t="shared" si="371"/>
        <v>28135</v>
      </c>
      <c r="BL148" s="537"/>
      <c r="BM148" s="537"/>
    </row>
    <row r="149" ht="12.75" hidden="1" customHeight="1">
      <c r="A149" s="718"/>
      <c r="B149" s="521"/>
      <c r="C149" s="533"/>
      <c r="D149" s="533"/>
      <c r="E149" s="533"/>
      <c r="F149" s="533"/>
      <c r="G149" s="533"/>
      <c r="H149" s="533"/>
      <c r="I149" s="533"/>
      <c r="J149" s="533"/>
      <c r="K149" s="533"/>
      <c r="L149" s="533"/>
      <c r="M149" s="533"/>
      <c r="N149" s="533"/>
      <c r="O149" s="515"/>
      <c r="P149" s="541"/>
      <c r="Q149" s="541"/>
      <c r="R149" s="541"/>
      <c r="S149" s="541"/>
      <c r="T149" s="541"/>
      <c r="U149" s="541"/>
      <c r="V149" s="541"/>
      <c r="W149" s="541"/>
      <c r="X149" s="541"/>
      <c r="Y149" s="541"/>
      <c r="Z149" s="541"/>
      <c r="AA149" s="541"/>
      <c r="AB149" s="541"/>
      <c r="AC149" s="541"/>
      <c r="AD149" s="541"/>
      <c r="AE149" s="541"/>
      <c r="AF149" s="541"/>
      <c r="AG149" s="541"/>
      <c r="AH149" s="541"/>
      <c r="AI149" s="541"/>
      <c r="AJ149" s="541"/>
      <c r="AK149" s="541"/>
      <c r="AL149" s="541"/>
      <c r="AM149" s="541"/>
      <c r="AN149" s="541"/>
      <c r="AO149" s="541"/>
      <c r="AP149" s="541"/>
      <c r="AQ149" s="541"/>
      <c r="AR149" s="544"/>
      <c r="AS149" s="544"/>
      <c r="AT149" s="544"/>
      <c r="AU149" s="545"/>
      <c r="AV149" s="544"/>
      <c r="AW149" s="544"/>
      <c r="AX149" s="544"/>
      <c r="AY149" s="545"/>
      <c r="AZ149" s="544"/>
      <c r="BA149" s="544"/>
      <c r="BB149" s="544"/>
      <c r="BC149" s="544"/>
      <c r="BD149" s="541"/>
      <c r="BE149" s="541"/>
      <c r="BF149" s="541"/>
      <c r="BG149" s="541"/>
      <c r="BH149" s="544"/>
      <c r="BI149" s="544"/>
      <c r="BJ149" s="544"/>
      <c r="BK149" s="544"/>
      <c r="BL149" s="544"/>
      <c r="BM149" s="544"/>
    </row>
    <row r="150" ht="12.75" hidden="1" customHeight="1">
      <c r="A150" s="720"/>
      <c r="B150" s="488"/>
      <c r="C150" s="489" t="s">
        <v>402</v>
      </c>
      <c r="D150" s="490"/>
      <c r="E150" s="490"/>
      <c r="F150" s="490"/>
      <c r="G150" s="490"/>
      <c r="H150" s="490"/>
      <c r="I150" s="490"/>
      <c r="J150" s="490"/>
      <c r="K150" s="490"/>
      <c r="L150" s="490"/>
      <c r="M150" s="490"/>
      <c r="N150" s="491"/>
      <c r="O150" s="575"/>
      <c r="P150" s="496" t="s">
        <v>340</v>
      </c>
      <c r="Q150" s="494"/>
      <c r="R150" s="494"/>
      <c r="S150" s="495"/>
      <c r="T150" s="496" t="s">
        <v>341</v>
      </c>
      <c r="U150" s="494"/>
      <c r="V150" s="494"/>
      <c r="W150" s="495"/>
      <c r="X150" s="496" t="s">
        <v>342</v>
      </c>
      <c r="Y150" s="494"/>
      <c r="Z150" s="494"/>
      <c r="AA150" s="495"/>
      <c r="AB150" s="496" t="s">
        <v>343</v>
      </c>
      <c r="AC150" s="494"/>
      <c r="AD150" s="494"/>
      <c r="AE150" s="495"/>
      <c r="AF150" s="644" t="s">
        <v>344</v>
      </c>
      <c r="AG150" s="494"/>
      <c r="AH150" s="494"/>
      <c r="AI150" s="495"/>
      <c r="AJ150" s="644" t="s">
        <v>345</v>
      </c>
      <c r="AK150" s="494"/>
      <c r="AL150" s="494"/>
      <c r="AM150" s="495"/>
      <c r="AN150" s="644" t="s">
        <v>346</v>
      </c>
      <c r="AO150" s="494"/>
      <c r="AP150" s="494"/>
      <c r="AQ150" s="495"/>
      <c r="AR150" s="644" t="s">
        <v>347</v>
      </c>
      <c r="AS150" s="494"/>
      <c r="AT150" s="494"/>
      <c r="AU150" s="495"/>
      <c r="AV150" s="546" t="s">
        <v>348</v>
      </c>
      <c r="AW150" s="494"/>
      <c r="AX150" s="494"/>
      <c r="AY150" s="495"/>
      <c r="AZ150" s="546" t="s">
        <v>349</v>
      </c>
      <c r="BA150" s="494"/>
      <c r="BB150" s="494"/>
      <c r="BC150" s="495"/>
      <c r="BD150" s="546" t="s">
        <v>350</v>
      </c>
      <c r="BE150" s="494"/>
      <c r="BF150" s="494"/>
      <c r="BG150" s="495"/>
      <c r="BH150" s="546" t="s">
        <v>351</v>
      </c>
      <c r="BI150" s="494"/>
      <c r="BJ150" s="494"/>
      <c r="BK150" s="495"/>
      <c r="BL150" s="533"/>
      <c r="BM150" s="533"/>
    </row>
    <row r="151" ht="12.75" hidden="1" customHeight="1">
      <c r="A151" s="724"/>
      <c r="B151" s="488"/>
      <c r="C151" s="502"/>
      <c r="N151" s="503"/>
      <c r="O151" s="559"/>
      <c r="P151" s="547" t="s">
        <v>406</v>
      </c>
      <c r="Q151" s="506"/>
      <c r="R151" s="506"/>
      <c r="S151" s="507"/>
      <c r="T151" s="547" t="s">
        <v>407</v>
      </c>
      <c r="U151" s="506"/>
      <c r="V151" s="506"/>
      <c r="W151" s="507"/>
      <c r="X151" s="547" t="s">
        <v>407</v>
      </c>
      <c r="Y151" s="506"/>
      <c r="Z151" s="506"/>
      <c r="AA151" s="507"/>
      <c r="AB151" s="547" t="s">
        <v>373</v>
      </c>
      <c r="AC151" s="506"/>
      <c r="AD151" s="506"/>
      <c r="AE151" s="507"/>
      <c r="AF151" s="547" t="s">
        <v>373</v>
      </c>
      <c r="AG151" s="506"/>
      <c r="AH151" s="506"/>
      <c r="AI151" s="507"/>
      <c r="AJ151" s="674" t="s">
        <v>373</v>
      </c>
      <c r="AK151" s="506"/>
      <c r="AL151" s="506"/>
      <c r="AM151" s="549"/>
      <c r="AN151" s="674" t="s">
        <v>373</v>
      </c>
      <c r="AO151" s="506"/>
      <c r="AP151" s="506"/>
      <c r="AQ151" s="549"/>
      <c r="AR151" s="674" t="s">
        <v>373</v>
      </c>
      <c r="AS151" s="506"/>
      <c r="AT151" s="506"/>
      <c r="AU151" s="549"/>
      <c r="AV151" s="674" t="s">
        <v>373</v>
      </c>
      <c r="AW151" s="506"/>
      <c r="AX151" s="506"/>
      <c r="AY151" s="549"/>
      <c r="AZ151" s="674" t="s">
        <v>373</v>
      </c>
      <c r="BA151" s="506"/>
      <c r="BB151" s="506"/>
      <c r="BC151" s="549"/>
      <c r="BD151" s="674" t="s">
        <v>373</v>
      </c>
      <c r="BE151" s="506"/>
      <c r="BF151" s="506"/>
      <c r="BG151" s="549"/>
      <c r="BH151" s="674" t="s">
        <v>373</v>
      </c>
      <c r="BI151" s="506"/>
      <c r="BJ151" s="506"/>
      <c r="BK151" s="549"/>
      <c r="BL151" s="675"/>
      <c r="BM151" s="675"/>
    </row>
    <row r="152" ht="12.75" hidden="1" customHeight="1">
      <c r="A152" s="726"/>
      <c r="B152" s="521"/>
      <c r="C152" s="512"/>
      <c r="D152" s="513"/>
      <c r="E152" s="513"/>
      <c r="F152" s="513"/>
      <c r="G152" s="513"/>
      <c r="H152" s="513"/>
      <c r="I152" s="513"/>
      <c r="J152" s="513"/>
      <c r="K152" s="513"/>
      <c r="L152" s="513"/>
      <c r="M152" s="513"/>
      <c r="N152" s="514"/>
      <c r="O152" s="515"/>
      <c r="P152" s="517"/>
      <c r="Q152" s="498"/>
      <c r="R152" s="498"/>
      <c r="S152" s="498"/>
      <c r="T152" s="517"/>
      <c r="U152" s="498"/>
      <c r="V152" s="498"/>
      <c r="W152" s="498"/>
      <c r="X152" s="517"/>
      <c r="Y152" s="498"/>
      <c r="Z152" s="498"/>
      <c r="AA152" s="498"/>
      <c r="AB152" s="517">
        <v>0.0</v>
      </c>
      <c r="AC152" s="498"/>
      <c r="AD152" s="498"/>
      <c r="AE152" s="498"/>
      <c r="AF152" s="517">
        <v>0.0</v>
      </c>
      <c r="AG152" s="498"/>
      <c r="AH152" s="498"/>
      <c r="AI152" s="498"/>
      <c r="AJ152" s="517">
        <v>0.0</v>
      </c>
      <c r="AK152" s="498"/>
      <c r="AL152" s="498"/>
      <c r="AM152" s="498"/>
      <c r="AN152" s="517">
        <v>0.0</v>
      </c>
      <c r="AO152" s="498"/>
      <c r="AP152" s="498"/>
      <c r="AQ152" s="498"/>
      <c r="AR152" s="517">
        <v>0.0</v>
      </c>
      <c r="AS152" s="498"/>
      <c r="AT152" s="498"/>
      <c r="AU152" s="498"/>
      <c r="AV152" s="517">
        <v>0.0</v>
      </c>
      <c r="AW152" s="498"/>
      <c r="AX152" s="498"/>
      <c r="AY152" s="498"/>
      <c r="AZ152" s="517">
        <v>0.0</v>
      </c>
      <c r="BA152" s="498"/>
      <c r="BB152" s="498"/>
      <c r="BC152" s="498"/>
      <c r="BD152" s="517">
        <v>0.0</v>
      </c>
      <c r="BE152" s="498"/>
      <c r="BF152" s="498"/>
      <c r="BG152" s="498"/>
      <c r="BH152" s="517">
        <v>0.0</v>
      </c>
      <c r="BI152" s="498"/>
      <c r="BJ152" s="498"/>
      <c r="BK152" s="498"/>
      <c r="BL152" s="519"/>
      <c r="BM152" s="519"/>
    </row>
    <row r="153" ht="12.75" hidden="1" customHeight="1">
      <c r="A153" s="732" t="s">
        <v>353</v>
      </c>
      <c r="B153" s="521"/>
      <c r="C153" s="552" t="s">
        <v>354</v>
      </c>
      <c r="D153" s="552" t="s">
        <v>355</v>
      </c>
      <c r="E153" s="552" t="s">
        <v>356</v>
      </c>
      <c r="F153" s="552" t="s">
        <v>357</v>
      </c>
      <c r="G153" s="552" t="s">
        <v>5</v>
      </c>
      <c r="H153" s="552" t="s">
        <v>358</v>
      </c>
      <c r="I153" s="552" t="s">
        <v>359</v>
      </c>
      <c r="J153" s="552" t="s">
        <v>360</v>
      </c>
      <c r="K153" s="552" t="s">
        <v>361</v>
      </c>
      <c r="L153" s="552" t="s">
        <v>362</v>
      </c>
      <c r="M153" s="552" t="s">
        <v>363</v>
      </c>
      <c r="N153" s="552" t="s">
        <v>364</v>
      </c>
      <c r="O153" s="515"/>
      <c r="P153" s="552" t="s">
        <v>319</v>
      </c>
      <c r="Q153" s="552" t="s">
        <v>365</v>
      </c>
      <c r="R153" s="552" t="s">
        <v>366</v>
      </c>
      <c r="S153" s="552" t="s">
        <v>367</v>
      </c>
      <c r="T153" s="552" t="s">
        <v>319</v>
      </c>
      <c r="U153" s="552" t="s">
        <v>365</v>
      </c>
      <c r="V153" s="552" t="s">
        <v>366</v>
      </c>
      <c r="W153" s="552" t="s">
        <v>367</v>
      </c>
      <c r="X153" s="646" t="s">
        <v>319</v>
      </c>
      <c r="Y153" s="522" t="s">
        <v>365</v>
      </c>
      <c r="Z153" s="522" t="s">
        <v>366</v>
      </c>
      <c r="AA153" s="522" t="s">
        <v>367</v>
      </c>
      <c r="AB153" s="522" t="s">
        <v>319</v>
      </c>
      <c r="AC153" s="522" t="s">
        <v>365</v>
      </c>
      <c r="AD153" s="522" t="s">
        <v>366</v>
      </c>
      <c r="AE153" s="522" t="s">
        <v>367</v>
      </c>
      <c r="AF153" s="522" t="s">
        <v>319</v>
      </c>
      <c r="AG153" s="522" t="s">
        <v>365</v>
      </c>
      <c r="AH153" s="522" t="s">
        <v>366</v>
      </c>
      <c r="AI153" s="522" t="s">
        <v>367</v>
      </c>
      <c r="AJ153" s="647" t="s">
        <v>319</v>
      </c>
      <c r="AK153" s="647" t="s">
        <v>365</v>
      </c>
      <c r="AL153" s="647" t="s">
        <v>366</v>
      </c>
      <c r="AM153" s="647" t="s">
        <v>367</v>
      </c>
      <c r="AN153" s="647" t="s">
        <v>319</v>
      </c>
      <c r="AO153" s="647" t="s">
        <v>365</v>
      </c>
      <c r="AP153" s="647" t="s">
        <v>366</v>
      </c>
      <c r="AQ153" s="647" t="s">
        <v>367</v>
      </c>
      <c r="AR153" s="648" t="s">
        <v>319</v>
      </c>
      <c r="AS153" s="649" t="s">
        <v>365</v>
      </c>
      <c r="AT153" s="649" t="s">
        <v>366</v>
      </c>
      <c r="AU153" s="649" t="s">
        <v>367</v>
      </c>
      <c r="AV153" s="647" t="s">
        <v>319</v>
      </c>
      <c r="AW153" s="647" t="s">
        <v>365</v>
      </c>
      <c r="AX153" s="647" t="s">
        <v>366</v>
      </c>
      <c r="AY153" s="647" t="s">
        <v>367</v>
      </c>
      <c r="AZ153" s="648" t="s">
        <v>319</v>
      </c>
      <c r="BA153" s="649" t="s">
        <v>365</v>
      </c>
      <c r="BB153" s="649" t="s">
        <v>366</v>
      </c>
      <c r="BC153" s="649" t="s">
        <v>367</v>
      </c>
      <c r="BD153" s="647" t="s">
        <v>319</v>
      </c>
      <c r="BE153" s="647" t="s">
        <v>365</v>
      </c>
      <c r="BF153" s="647" t="s">
        <v>366</v>
      </c>
      <c r="BG153" s="647" t="s">
        <v>367</v>
      </c>
      <c r="BH153" s="647" t="s">
        <v>319</v>
      </c>
      <c r="BI153" s="647" t="s">
        <v>365</v>
      </c>
      <c r="BJ153" s="647" t="s">
        <v>366</v>
      </c>
      <c r="BK153" s="647" t="s">
        <v>367</v>
      </c>
      <c r="BL153" s="650"/>
      <c r="BM153" s="650"/>
    </row>
    <row r="154" ht="12.75" hidden="1" customHeight="1">
      <c r="A154" s="732" t="s">
        <v>405</v>
      </c>
      <c r="B154" s="521"/>
      <c r="C154" s="553" t="str">
        <f t="shared" ref="C154:N154" si="372">MV!B123</f>
        <v>#REF!</v>
      </c>
      <c r="D154" s="553" t="str">
        <f t="shared" si="372"/>
        <v>#REF!</v>
      </c>
      <c r="E154" s="553" t="str">
        <f t="shared" si="372"/>
        <v>#REF!</v>
      </c>
      <c r="F154" s="553" t="str">
        <f t="shared" si="372"/>
        <v>#REF!</v>
      </c>
      <c r="G154" s="553" t="str">
        <f t="shared" si="372"/>
        <v>#REF!</v>
      </c>
      <c r="H154" s="553" t="str">
        <f t="shared" si="372"/>
        <v>#REF!</v>
      </c>
      <c r="I154" s="553" t="str">
        <f t="shared" si="372"/>
        <v>#REF!</v>
      </c>
      <c r="J154" s="553" t="str">
        <f t="shared" si="372"/>
        <v>#REF!</v>
      </c>
      <c r="K154" s="553" t="str">
        <f t="shared" si="372"/>
        <v>#REF!</v>
      </c>
      <c r="L154" s="553" t="str">
        <f t="shared" si="372"/>
        <v>#REF!</v>
      </c>
      <c r="M154" s="553" t="str">
        <f t="shared" si="372"/>
        <v>#REF!</v>
      </c>
      <c r="N154" s="553" t="str">
        <f t="shared" si="372"/>
        <v>#REF!</v>
      </c>
      <c r="O154" s="533"/>
      <c r="P154" s="553" t="str">
        <f>SUM(C154:N154)</f>
        <v>#REF!</v>
      </c>
      <c r="Q154" s="554">
        <f>P152/2</f>
        <v>0</v>
      </c>
      <c r="R154" s="554" t="str">
        <f>(P152/2) *(P154/P155)</f>
        <v>#REF!</v>
      </c>
      <c r="S154" s="554" t="str">
        <f>Q154+R154</f>
        <v>#REF!</v>
      </c>
      <c r="T154" s="553" t="str">
        <f>SUM(C154:N154)</f>
        <v>#REF!</v>
      </c>
      <c r="U154" s="554">
        <f>T152/2</f>
        <v>0</v>
      </c>
      <c r="V154" s="554" t="str">
        <f>(T152/2) *(T154/T155)</f>
        <v>#REF!</v>
      </c>
      <c r="W154" s="554" t="str">
        <f>U154+V154</f>
        <v>#REF!</v>
      </c>
      <c r="X154" s="553" t="str">
        <f>SUM(C154:N154)</f>
        <v>#REF!</v>
      </c>
      <c r="Y154" s="554">
        <f>X152/2</f>
        <v>0</v>
      </c>
      <c r="Z154" s="554"/>
      <c r="AA154" s="554">
        <f>Y154+Z154</f>
        <v>0</v>
      </c>
      <c r="AB154" s="553" t="str">
        <f>SUM(C154:N154)</f>
        <v>#REF!</v>
      </c>
      <c r="AC154" s="554">
        <f>AB152/2</f>
        <v>0</v>
      </c>
      <c r="AD154" s="554" t="str">
        <f>(AB152/2) *(AB154/AB155)</f>
        <v>#REF!</v>
      </c>
      <c r="AE154" s="651">
        <f>AB152</f>
        <v>0</v>
      </c>
      <c r="AF154" s="553" t="str">
        <f>SUM(C154:N154)</f>
        <v>#REF!</v>
      </c>
      <c r="AG154" s="554">
        <f>AF152/2</f>
        <v>0</v>
      </c>
      <c r="AH154" s="554" t="str">
        <f>(AF152/2) *(AF154/AF155)</f>
        <v>#REF!</v>
      </c>
      <c r="AI154" s="554" t="str">
        <f>AG154+AH154</f>
        <v>#REF!</v>
      </c>
      <c r="AJ154" s="660" t="str">
        <f>SUM(C154:N154)</f>
        <v>#REF!</v>
      </c>
      <c r="AK154" s="554">
        <f>AJ152/2</f>
        <v>0</v>
      </c>
      <c r="AL154" s="554" t="str">
        <f>(AJ152/2) *(AJ154/AJ155)</f>
        <v>#REF!</v>
      </c>
      <c r="AM154" s="651">
        <v>4349.69</v>
      </c>
      <c r="AN154" s="660" t="str">
        <f>SUM(C154:N154)</f>
        <v>#REF!</v>
      </c>
      <c r="AO154" s="554">
        <f>AN152/2</f>
        <v>0</v>
      </c>
      <c r="AP154" s="554" t="str">
        <f>(AN152/2) *(AN154/AN155)</f>
        <v>#REF!</v>
      </c>
      <c r="AQ154" s="554" t="str">
        <f>AO154+AP154</f>
        <v>#REF!</v>
      </c>
      <c r="AR154" s="661" t="str">
        <f>SUM(C154:N154)</f>
        <v>#REF!</v>
      </c>
      <c r="AS154" s="554">
        <f>AR152/2</f>
        <v>0</v>
      </c>
      <c r="AT154" s="554" t="str">
        <f>(AR152/2) *(AR154/AR155)</f>
        <v>#REF!</v>
      </c>
      <c r="AU154" s="554" t="str">
        <f>AS154+AT154</f>
        <v>#REF!</v>
      </c>
      <c r="AV154" s="661" t="str">
        <f>SUM(C154:N154)</f>
        <v>#REF!</v>
      </c>
      <c r="AW154" s="554">
        <f>AV152/2</f>
        <v>0</v>
      </c>
      <c r="AX154" s="554" t="str">
        <f>(AV152/2) *(AV154/AV155)</f>
        <v>#REF!</v>
      </c>
      <c r="AY154" s="554" t="str">
        <f>AW154+AX154</f>
        <v>#REF!</v>
      </c>
      <c r="AZ154" s="662" t="str">
        <f>SUM(C154:N154)</f>
        <v>#REF!</v>
      </c>
      <c r="BA154" s="554">
        <f>AZ152/2</f>
        <v>0</v>
      </c>
      <c r="BB154" s="554" t="str">
        <f>(AZ152/2) *(AZ154/AZ155)</f>
        <v>#REF!</v>
      </c>
      <c r="BC154" s="554" t="str">
        <f>BA154+BB154</f>
        <v>#REF!</v>
      </c>
      <c r="BD154" s="662" t="str">
        <f>SUM(C154:N154)</f>
        <v>#REF!</v>
      </c>
      <c r="BE154" s="554">
        <f>BD152/2</f>
        <v>0</v>
      </c>
      <c r="BF154" s="554" t="str">
        <f>(BD152/2) *(BD154/BD155)</f>
        <v>#REF!</v>
      </c>
      <c r="BG154" s="554" t="str">
        <f>BE154+BF154</f>
        <v>#REF!</v>
      </c>
      <c r="BH154" s="662" t="str">
        <f>SUM(C154:N154)</f>
        <v>#REF!</v>
      </c>
      <c r="BI154" s="554">
        <f>BH152/2</f>
        <v>0</v>
      </c>
      <c r="BJ154" s="554" t="str">
        <f>(BH152/2) *(BH154/BH155)</f>
        <v>#REF!</v>
      </c>
      <c r="BK154" s="554" t="str">
        <f>BI154+BJ154</f>
        <v>#REF!</v>
      </c>
      <c r="BL154" s="555"/>
      <c r="BM154" s="555"/>
    </row>
    <row r="155" ht="12.75" hidden="1" customHeight="1">
      <c r="A155" s="718"/>
      <c r="B155" s="521"/>
      <c r="C155" s="533"/>
      <c r="D155" s="533"/>
      <c r="E155" s="533"/>
      <c r="F155" s="533"/>
      <c r="G155" s="533"/>
      <c r="H155" s="533"/>
      <c r="I155" s="533"/>
      <c r="J155" s="533"/>
      <c r="K155" s="533"/>
      <c r="L155" s="533"/>
      <c r="M155" s="533"/>
      <c r="N155" s="533"/>
      <c r="O155" s="515"/>
      <c r="P155" s="676" t="str">
        <f t="shared" ref="P155:BK155" si="373">SUM(P154)</f>
        <v>#REF!</v>
      </c>
      <c r="Q155" s="677">
        <f t="shared" si="373"/>
        <v>0</v>
      </c>
      <c r="R155" s="676" t="str">
        <f t="shared" si="373"/>
        <v>#REF!</v>
      </c>
      <c r="S155" s="676" t="str">
        <f t="shared" si="373"/>
        <v>#REF!</v>
      </c>
      <c r="T155" s="676" t="str">
        <f t="shared" si="373"/>
        <v>#REF!</v>
      </c>
      <c r="U155" s="677">
        <f t="shared" si="373"/>
        <v>0</v>
      </c>
      <c r="V155" s="676" t="str">
        <f t="shared" si="373"/>
        <v>#REF!</v>
      </c>
      <c r="W155" s="676" t="str">
        <f t="shared" si="373"/>
        <v>#REF!</v>
      </c>
      <c r="X155" s="676" t="str">
        <f t="shared" si="373"/>
        <v>#REF!</v>
      </c>
      <c r="Y155" s="677">
        <f t="shared" si="373"/>
        <v>0</v>
      </c>
      <c r="Z155" s="677">
        <f t="shared" si="373"/>
        <v>0</v>
      </c>
      <c r="AA155" s="677">
        <f t="shared" si="373"/>
        <v>0</v>
      </c>
      <c r="AB155" s="676" t="str">
        <f t="shared" si="373"/>
        <v>#REF!</v>
      </c>
      <c r="AC155" s="677">
        <f t="shared" si="373"/>
        <v>0</v>
      </c>
      <c r="AD155" s="676" t="str">
        <f t="shared" si="373"/>
        <v>#REF!</v>
      </c>
      <c r="AE155" s="677">
        <f t="shared" si="373"/>
        <v>0</v>
      </c>
      <c r="AF155" s="676" t="str">
        <f t="shared" si="373"/>
        <v>#REF!</v>
      </c>
      <c r="AG155" s="677">
        <f t="shared" si="373"/>
        <v>0</v>
      </c>
      <c r="AH155" s="676" t="str">
        <f t="shared" si="373"/>
        <v>#REF!</v>
      </c>
      <c r="AI155" s="676" t="str">
        <f t="shared" si="373"/>
        <v>#REF!</v>
      </c>
      <c r="AJ155" s="676" t="str">
        <f t="shared" si="373"/>
        <v>#REF!</v>
      </c>
      <c r="AK155" s="677">
        <f t="shared" si="373"/>
        <v>0</v>
      </c>
      <c r="AL155" s="676" t="str">
        <f t="shared" si="373"/>
        <v>#REF!</v>
      </c>
      <c r="AM155" s="677">
        <f t="shared" si="373"/>
        <v>4349.69</v>
      </c>
      <c r="AN155" s="676" t="str">
        <f t="shared" si="373"/>
        <v>#REF!</v>
      </c>
      <c r="AO155" s="677">
        <f t="shared" si="373"/>
        <v>0</v>
      </c>
      <c r="AP155" s="676" t="str">
        <f t="shared" si="373"/>
        <v>#REF!</v>
      </c>
      <c r="AQ155" s="676" t="str">
        <f t="shared" si="373"/>
        <v>#REF!</v>
      </c>
      <c r="AR155" s="676" t="str">
        <f t="shared" si="373"/>
        <v>#REF!</v>
      </c>
      <c r="AS155" s="677">
        <f t="shared" si="373"/>
        <v>0</v>
      </c>
      <c r="AT155" s="676" t="str">
        <f t="shared" si="373"/>
        <v>#REF!</v>
      </c>
      <c r="AU155" s="676" t="str">
        <f t="shared" si="373"/>
        <v>#REF!</v>
      </c>
      <c r="AV155" s="676" t="str">
        <f t="shared" si="373"/>
        <v>#REF!</v>
      </c>
      <c r="AW155" s="677">
        <f t="shared" si="373"/>
        <v>0</v>
      </c>
      <c r="AX155" s="676" t="str">
        <f t="shared" si="373"/>
        <v>#REF!</v>
      </c>
      <c r="AY155" s="676" t="str">
        <f t="shared" si="373"/>
        <v>#REF!</v>
      </c>
      <c r="AZ155" s="676" t="str">
        <f t="shared" si="373"/>
        <v>#REF!</v>
      </c>
      <c r="BA155" s="677">
        <f t="shared" si="373"/>
        <v>0</v>
      </c>
      <c r="BB155" s="676" t="str">
        <f t="shared" si="373"/>
        <v>#REF!</v>
      </c>
      <c r="BC155" s="676" t="str">
        <f t="shared" si="373"/>
        <v>#REF!</v>
      </c>
      <c r="BD155" s="676" t="str">
        <f t="shared" si="373"/>
        <v>#REF!</v>
      </c>
      <c r="BE155" s="677">
        <f t="shared" si="373"/>
        <v>0</v>
      </c>
      <c r="BF155" s="676" t="str">
        <f t="shared" si="373"/>
        <v>#REF!</v>
      </c>
      <c r="BG155" s="676" t="str">
        <f t="shared" si="373"/>
        <v>#REF!</v>
      </c>
      <c r="BH155" s="676" t="str">
        <f t="shared" si="373"/>
        <v>#REF!</v>
      </c>
      <c r="BI155" s="677">
        <f t="shared" si="373"/>
        <v>0</v>
      </c>
      <c r="BJ155" s="676" t="str">
        <f t="shared" si="373"/>
        <v>#REF!</v>
      </c>
      <c r="BK155" s="676" t="str">
        <f t="shared" si="373"/>
        <v>#REF!</v>
      </c>
      <c r="BL155" s="533"/>
      <c r="BM155" s="533"/>
    </row>
    <row r="156" ht="12.75" customHeight="1">
      <c r="A156" s="718"/>
      <c r="B156" s="521"/>
      <c r="C156" s="533"/>
      <c r="D156" s="533"/>
      <c r="E156" s="533"/>
      <c r="F156" s="533"/>
      <c r="G156" s="533"/>
      <c r="H156" s="533"/>
      <c r="I156" s="533"/>
      <c r="J156" s="533"/>
      <c r="K156" s="533"/>
      <c r="L156" s="533"/>
      <c r="M156" s="533"/>
      <c r="N156" s="533"/>
      <c r="O156" s="515"/>
      <c r="P156" s="541"/>
      <c r="Q156" s="541"/>
      <c r="R156" s="541"/>
      <c r="S156" s="541"/>
      <c r="T156" s="541"/>
      <c r="U156" s="541"/>
      <c r="V156" s="541"/>
      <c r="W156" s="541"/>
      <c r="X156" s="541"/>
      <c r="Y156" s="541"/>
      <c r="Z156" s="541"/>
      <c r="AA156" s="541"/>
      <c r="AB156" s="541"/>
      <c r="AC156" s="541"/>
      <c r="AD156" s="541"/>
      <c r="AE156" s="541"/>
      <c r="AF156" s="533"/>
      <c r="AG156" s="557"/>
      <c r="AH156" s="557"/>
      <c r="AI156" s="557"/>
      <c r="AJ156" s="533"/>
      <c r="AK156" s="557"/>
      <c r="AL156" s="557"/>
      <c r="AM156" s="557"/>
      <c r="AN156" s="533"/>
      <c r="AO156" s="557"/>
      <c r="AP156" s="557"/>
      <c r="AQ156" s="557"/>
      <c r="AR156" s="533"/>
      <c r="AS156" s="557"/>
      <c r="AT156" s="557"/>
      <c r="AU156" s="557"/>
      <c r="AV156" s="533"/>
      <c r="AW156" s="557"/>
      <c r="AX156" s="557"/>
      <c r="AY156" s="557"/>
      <c r="AZ156" s="533"/>
      <c r="BA156" s="557"/>
      <c r="BB156" s="557"/>
      <c r="BC156" s="557"/>
      <c r="BD156" s="533"/>
      <c r="BE156" s="557"/>
      <c r="BF156" s="557"/>
      <c r="BG156" s="557"/>
      <c r="BH156" s="678"/>
      <c r="BI156" s="679"/>
      <c r="BJ156" s="679"/>
      <c r="BK156" s="680"/>
      <c r="BL156" s="679"/>
      <c r="BM156" s="679"/>
    </row>
    <row r="157" ht="12.75" customHeight="1">
      <c r="A157" s="720"/>
      <c r="B157" s="488"/>
      <c r="C157" s="489" t="s">
        <v>402</v>
      </c>
      <c r="D157" s="490"/>
      <c r="E157" s="490"/>
      <c r="F157" s="490"/>
      <c r="G157" s="490"/>
      <c r="H157" s="490"/>
      <c r="I157" s="490"/>
      <c r="J157" s="490"/>
      <c r="K157" s="490"/>
      <c r="L157" s="490"/>
      <c r="M157" s="490"/>
      <c r="N157" s="491"/>
      <c r="O157" s="575"/>
      <c r="P157" s="576" t="s">
        <v>340</v>
      </c>
      <c r="Q157" s="494"/>
      <c r="R157" s="494"/>
      <c r="S157" s="495"/>
      <c r="T157" s="576" t="s">
        <v>341</v>
      </c>
      <c r="U157" s="494"/>
      <c r="V157" s="494"/>
      <c r="W157" s="495"/>
      <c r="X157" s="576" t="s">
        <v>342</v>
      </c>
      <c r="Y157" s="494"/>
      <c r="Z157" s="494"/>
      <c r="AA157" s="495"/>
      <c r="AB157" s="576" t="s">
        <v>343</v>
      </c>
      <c r="AC157" s="494"/>
      <c r="AD157" s="494"/>
      <c r="AE157" s="495"/>
      <c r="AF157" s="576" t="s">
        <v>344</v>
      </c>
      <c r="AG157" s="494"/>
      <c r="AH157" s="494"/>
      <c r="AI157" s="495"/>
      <c r="AJ157" s="576" t="s">
        <v>345</v>
      </c>
      <c r="AK157" s="494"/>
      <c r="AL157" s="494"/>
      <c r="AM157" s="495"/>
      <c r="AN157" s="576" t="s">
        <v>346</v>
      </c>
      <c r="AO157" s="494"/>
      <c r="AP157" s="494"/>
      <c r="AQ157" s="495"/>
      <c r="AR157" s="576" t="s">
        <v>347</v>
      </c>
      <c r="AS157" s="494"/>
      <c r="AT157" s="494"/>
      <c r="AU157" s="495"/>
      <c r="AV157" s="576" t="s">
        <v>348</v>
      </c>
      <c r="AW157" s="494"/>
      <c r="AX157" s="494"/>
      <c r="AY157" s="495"/>
      <c r="AZ157" s="576" t="s">
        <v>349</v>
      </c>
      <c r="BA157" s="494"/>
      <c r="BB157" s="494"/>
      <c r="BC157" s="495"/>
      <c r="BD157" s="576" t="s">
        <v>350</v>
      </c>
      <c r="BE157" s="494"/>
      <c r="BF157" s="494"/>
      <c r="BG157" s="495"/>
      <c r="BH157" s="576" t="s">
        <v>351</v>
      </c>
      <c r="BI157" s="494"/>
      <c r="BJ157" s="494"/>
      <c r="BK157" s="495"/>
      <c r="BL157" s="500"/>
      <c r="BM157" s="500"/>
    </row>
    <row r="158" ht="12.75" customHeight="1">
      <c r="A158" s="724"/>
      <c r="B158" s="488"/>
      <c r="C158" s="502"/>
      <c r="N158" s="503"/>
      <c r="O158" s="559"/>
      <c r="P158" s="508" t="s">
        <v>408</v>
      </c>
      <c r="Q158" s="506"/>
      <c r="R158" s="506"/>
      <c r="S158" s="507"/>
      <c r="T158" s="508" t="s">
        <v>408</v>
      </c>
      <c r="U158" s="506"/>
      <c r="V158" s="506"/>
      <c r="W158" s="507"/>
      <c r="X158" s="508" t="s">
        <v>408</v>
      </c>
      <c r="Y158" s="506"/>
      <c r="Z158" s="506"/>
      <c r="AA158" s="507"/>
      <c r="AB158" s="508" t="s">
        <v>408</v>
      </c>
      <c r="AC158" s="506"/>
      <c r="AD158" s="506"/>
      <c r="AE158" s="507"/>
      <c r="AF158" s="508" t="s">
        <v>408</v>
      </c>
      <c r="AG158" s="506"/>
      <c r="AH158" s="506"/>
      <c r="AI158" s="507"/>
      <c r="AJ158" s="508" t="s">
        <v>408</v>
      </c>
      <c r="AK158" s="506"/>
      <c r="AL158" s="506"/>
      <c r="AM158" s="507"/>
      <c r="AN158" s="508" t="s">
        <v>408</v>
      </c>
      <c r="AO158" s="506"/>
      <c r="AP158" s="506"/>
      <c r="AQ158" s="507"/>
      <c r="AR158" s="508" t="s">
        <v>408</v>
      </c>
      <c r="AS158" s="506"/>
      <c r="AT158" s="506"/>
      <c r="AU158" s="507"/>
      <c r="AV158" s="508" t="s">
        <v>408</v>
      </c>
      <c r="AW158" s="506"/>
      <c r="AX158" s="506"/>
      <c r="AY158" s="507"/>
      <c r="AZ158" s="508" t="s">
        <v>408</v>
      </c>
      <c r="BA158" s="506"/>
      <c r="BB158" s="506"/>
      <c r="BC158" s="507"/>
      <c r="BD158" s="508" t="s">
        <v>408</v>
      </c>
      <c r="BE158" s="506"/>
      <c r="BF158" s="506"/>
      <c r="BG158" s="507"/>
      <c r="BH158" s="508" t="s">
        <v>408</v>
      </c>
      <c r="BI158" s="506"/>
      <c r="BJ158" s="506"/>
      <c r="BK158" s="507"/>
      <c r="BL158" s="509"/>
      <c r="BM158" s="509"/>
    </row>
    <row r="159" ht="12.75" customHeight="1">
      <c r="A159" s="726"/>
      <c r="B159" s="521"/>
      <c r="C159" s="512"/>
      <c r="D159" s="513"/>
      <c r="E159" s="513"/>
      <c r="F159" s="513"/>
      <c r="G159" s="513"/>
      <c r="H159" s="513"/>
      <c r="I159" s="513"/>
      <c r="J159" s="513"/>
      <c r="K159" s="513"/>
      <c r="L159" s="513"/>
      <c r="M159" s="513"/>
      <c r="N159" s="514"/>
      <c r="O159" s="515"/>
      <c r="P159" s="579">
        <v>0.0</v>
      </c>
      <c r="Q159" s="498"/>
      <c r="R159" s="498"/>
      <c r="S159" s="498"/>
      <c r="T159" s="579">
        <v>0.0</v>
      </c>
      <c r="U159" s="498"/>
      <c r="V159" s="498"/>
      <c r="W159" s="498"/>
      <c r="X159" s="579">
        <v>0.0</v>
      </c>
      <c r="Y159" s="498"/>
      <c r="Z159" s="498"/>
      <c r="AA159" s="498"/>
      <c r="AB159" s="579">
        <v>0.0</v>
      </c>
      <c r="AC159" s="498"/>
      <c r="AD159" s="498"/>
      <c r="AE159" s="498"/>
      <c r="AF159" s="579">
        <v>0.0</v>
      </c>
      <c r="AG159" s="498"/>
      <c r="AH159" s="498"/>
      <c r="AI159" s="498"/>
      <c r="AJ159" s="579">
        <v>0.0</v>
      </c>
      <c r="AK159" s="498"/>
      <c r="AL159" s="498"/>
      <c r="AM159" s="498"/>
      <c r="AN159" s="579">
        <v>0.0</v>
      </c>
      <c r="AO159" s="498"/>
      <c r="AP159" s="498"/>
      <c r="AQ159" s="498"/>
      <c r="AR159" s="579">
        <v>0.0</v>
      </c>
      <c r="AS159" s="498"/>
      <c r="AT159" s="498"/>
      <c r="AU159" s="498"/>
      <c r="AV159" s="579">
        <v>0.0</v>
      </c>
      <c r="AW159" s="498"/>
      <c r="AX159" s="498"/>
      <c r="AY159" s="498"/>
      <c r="AZ159" s="579">
        <v>0.0</v>
      </c>
      <c r="BA159" s="498"/>
      <c r="BB159" s="498"/>
      <c r="BC159" s="498"/>
      <c r="BD159" s="579">
        <v>0.0</v>
      </c>
      <c r="BE159" s="498"/>
      <c r="BF159" s="498"/>
      <c r="BG159" s="498"/>
      <c r="BH159" s="579">
        <v>0.0</v>
      </c>
      <c r="BI159" s="498"/>
      <c r="BJ159" s="498"/>
      <c r="BK159" s="498"/>
      <c r="BL159" s="519"/>
      <c r="BM159" s="519">
        <f>SUM(P159:BH159)</f>
        <v>0</v>
      </c>
    </row>
    <row r="160" ht="12.75" customHeight="1">
      <c r="A160" s="520" t="s">
        <v>409</v>
      </c>
      <c r="B160" s="521"/>
      <c r="C160" s="552" t="s">
        <v>354</v>
      </c>
      <c r="D160" s="552" t="s">
        <v>355</v>
      </c>
      <c r="E160" s="552" t="s">
        <v>356</v>
      </c>
      <c r="F160" s="552" t="s">
        <v>357</v>
      </c>
      <c r="G160" s="552" t="s">
        <v>5</v>
      </c>
      <c r="H160" s="552" t="s">
        <v>358</v>
      </c>
      <c r="I160" s="552" t="s">
        <v>359</v>
      </c>
      <c r="J160" s="552" t="s">
        <v>360</v>
      </c>
      <c r="K160" s="552" t="s">
        <v>361</v>
      </c>
      <c r="L160" s="552" t="s">
        <v>362</v>
      </c>
      <c r="M160" s="552" t="s">
        <v>363</v>
      </c>
      <c r="N160" s="552" t="s">
        <v>364</v>
      </c>
      <c r="O160" s="515"/>
      <c r="P160" s="667" t="s">
        <v>319</v>
      </c>
      <c r="Q160" s="667" t="s">
        <v>365</v>
      </c>
      <c r="R160" s="667" t="s">
        <v>366</v>
      </c>
      <c r="S160" s="667" t="s">
        <v>367</v>
      </c>
      <c r="T160" s="667" t="s">
        <v>319</v>
      </c>
      <c r="U160" s="667" t="s">
        <v>365</v>
      </c>
      <c r="V160" s="667" t="s">
        <v>366</v>
      </c>
      <c r="W160" s="667" t="s">
        <v>367</v>
      </c>
      <c r="X160" s="667" t="s">
        <v>319</v>
      </c>
      <c r="Y160" s="667" t="s">
        <v>365</v>
      </c>
      <c r="Z160" s="667" t="s">
        <v>366</v>
      </c>
      <c r="AA160" s="667" t="s">
        <v>367</v>
      </c>
      <c r="AB160" s="667" t="s">
        <v>319</v>
      </c>
      <c r="AC160" s="667" t="s">
        <v>365</v>
      </c>
      <c r="AD160" s="667" t="s">
        <v>366</v>
      </c>
      <c r="AE160" s="667" t="s">
        <v>367</v>
      </c>
      <c r="AF160" s="524" t="s">
        <v>319</v>
      </c>
      <c r="AG160" s="524" t="s">
        <v>365</v>
      </c>
      <c r="AH160" s="524" t="s">
        <v>366</v>
      </c>
      <c r="AI160" s="524" t="s">
        <v>367</v>
      </c>
      <c r="AJ160" s="524" t="s">
        <v>319</v>
      </c>
      <c r="AK160" s="524" t="s">
        <v>365</v>
      </c>
      <c r="AL160" s="524" t="s">
        <v>366</v>
      </c>
      <c r="AM160" s="524" t="s">
        <v>367</v>
      </c>
      <c r="AN160" s="524" t="s">
        <v>319</v>
      </c>
      <c r="AO160" s="524" t="s">
        <v>365</v>
      </c>
      <c r="AP160" s="524" t="s">
        <v>366</v>
      </c>
      <c r="AQ160" s="524" t="s">
        <v>367</v>
      </c>
      <c r="AR160" s="524" t="s">
        <v>319</v>
      </c>
      <c r="AS160" s="524" t="s">
        <v>365</v>
      </c>
      <c r="AT160" s="524" t="s">
        <v>366</v>
      </c>
      <c r="AU160" s="524" t="s">
        <v>367</v>
      </c>
      <c r="AV160" s="524" t="s">
        <v>319</v>
      </c>
      <c r="AW160" s="524" t="s">
        <v>365</v>
      </c>
      <c r="AX160" s="524" t="s">
        <v>366</v>
      </c>
      <c r="AY160" s="524" t="s">
        <v>367</v>
      </c>
      <c r="AZ160" s="524" t="s">
        <v>319</v>
      </c>
      <c r="BA160" s="524" t="s">
        <v>365</v>
      </c>
      <c r="BB160" s="524" t="s">
        <v>366</v>
      </c>
      <c r="BC160" s="524" t="s">
        <v>367</v>
      </c>
      <c r="BD160" s="524" t="s">
        <v>319</v>
      </c>
      <c r="BE160" s="524" t="s">
        <v>365</v>
      </c>
      <c r="BF160" s="524" t="s">
        <v>366</v>
      </c>
      <c r="BG160" s="524" t="s">
        <v>367</v>
      </c>
      <c r="BH160" s="524" t="s">
        <v>319</v>
      </c>
      <c r="BI160" s="524" t="s">
        <v>365</v>
      </c>
      <c r="BJ160" s="524" t="s">
        <v>366</v>
      </c>
      <c r="BK160" s="524" t="s">
        <v>367</v>
      </c>
      <c r="BL160" s="500"/>
      <c r="BM160" s="500"/>
    </row>
    <row r="161" ht="12.75" customHeight="1">
      <c r="A161" s="728" t="s">
        <v>403</v>
      </c>
      <c r="B161" s="511"/>
      <c r="C161" s="669">
        <f>RI!B110</f>
        <v>108</v>
      </c>
      <c r="D161" s="526">
        <f>RI!C110</f>
        <v>111</v>
      </c>
      <c r="E161" s="526">
        <f>RI!D110</f>
        <v>136</v>
      </c>
      <c r="F161" s="526">
        <f>RI!E110</f>
        <v>125</v>
      </c>
      <c r="G161" s="526">
        <f>RI!F110</f>
        <v>148</v>
      </c>
      <c r="H161" s="526">
        <f>RI!G110</f>
        <v>134</v>
      </c>
      <c r="I161" s="526">
        <f>RI!H110</f>
        <v>145</v>
      </c>
      <c r="J161" s="526">
        <f>RI!I110</f>
        <v>139</v>
      </c>
      <c r="K161" s="526">
        <f>RI!J110</f>
        <v>130</v>
      </c>
      <c r="L161" s="526">
        <f>RI!K110</f>
        <v>136</v>
      </c>
      <c r="M161" s="526">
        <f>RI!L110</f>
        <v>142</v>
      </c>
      <c r="N161" s="526">
        <f>RI!M110</f>
        <v>157</v>
      </c>
      <c r="O161" s="533"/>
      <c r="P161" s="553">
        <f t="shared" ref="P161:P162" si="374">SUM(C161:N161)</f>
        <v>1611</v>
      </c>
      <c r="Q161" s="554">
        <f>P159/4</f>
        <v>0</v>
      </c>
      <c r="R161" s="729">
        <f>(P159/2) *(P161/P163)</f>
        <v>0</v>
      </c>
      <c r="S161" s="554">
        <f t="shared" ref="S161:S162" si="375">SUM(Q161:R161)</f>
        <v>0</v>
      </c>
      <c r="T161" s="669">
        <f t="shared" ref="T161:T162" si="376">SUM(C161:N161)</f>
        <v>1611</v>
      </c>
      <c r="U161" s="554">
        <f>T159/4</f>
        <v>0</v>
      </c>
      <c r="V161" s="554">
        <f>(T159/2) *(T161/T163)</f>
        <v>0</v>
      </c>
      <c r="W161" s="554">
        <f t="shared" ref="W161:W162" si="377">SUM(U161:V161)</f>
        <v>0</v>
      </c>
      <c r="X161" s="553">
        <f t="shared" ref="X161:X162" si="378">SUM(C161:N161)</f>
        <v>1611</v>
      </c>
      <c r="Y161" s="651">
        <f>X159/4</f>
        <v>0</v>
      </c>
      <c r="Z161" s="651">
        <f>(X159/2) *(X161/X163)</f>
        <v>0</v>
      </c>
      <c r="AA161" s="651">
        <f t="shared" ref="AA161:AA162" si="379">SUM(Y161:Z161)</f>
        <v>0</v>
      </c>
      <c r="AB161" s="553">
        <f t="shared" ref="AB161:AB162" si="380">SUM(C161:N161)</f>
        <v>1611</v>
      </c>
      <c r="AC161" s="554">
        <f>AB159/4</f>
        <v>0</v>
      </c>
      <c r="AD161" s="651">
        <f>(AB159/2) *(AB161/AB163)</f>
        <v>0</v>
      </c>
      <c r="AE161" s="651">
        <f t="shared" ref="AE161:AE162" si="381">SUM(AC161:AD161)</f>
        <v>0</v>
      </c>
      <c r="AF161" s="529">
        <f t="shared" ref="AF161:AF162" si="382">SUM(C161:N161)</f>
        <v>1611</v>
      </c>
      <c r="AG161" s="530">
        <f>AF159/4</f>
        <v>0</v>
      </c>
      <c r="AH161" s="530">
        <f>(AF159/2)*(AF161/AF163)</f>
        <v>0</v>
      </c>
      <c r="AI161" s="530">
        <f t="shared" ref="AI161:AI162" si="383">AG161+AH161</f>
        <v>0</v>
      </c>
      <c r="AJ161" s="529">
        <f t="shared" ref="AJ161:AJ162" si="384">SUM(C161:N161)</f>
        <v>1611</v>
      </c>
      <c r="AK161" s="530">
        <f>AJ159/4</f>
        <v>0</v>
      </c>
      <c r="AL161" s="530">
        <f>(AJ159/2)*(AJ161/AJ163)</f>
        <v>0</v>
      </c>
      <c r="AM161" s="530">
        <f t="shared" ref="AM161:AM162" si="385">AK161+AL161</f>
        <v>0</v>
      </c>
      <c r="AN161" s="529">
        <f t="shared" ref="AN161:AN162" si="386">SUM(C161:N161)</f>
        <v>1611</v>
      </c>
      <c r="AO161" s="530">
        <f>AN159/4</f>
        <v>0</v>
      </c>
      <c r="AP161" s="530">
        <f>(AN159/2)*(AN161/AN163)</f>
        <v>0</v>
      </c>
      <c r="AQ161" s="530">
        <f t="shared" ref="AQ161:AQ162" si="387">AO161+AP161</f>
        <v>0</v>
      </c>
      <c r="AR161" s="529">
        <f t="shared" ref="AR161:AR162" si="388">SUM(C161:N161)</f>
        <v>1611</v>
      </c>
      <c r="AS161" s="530">
        <f>AR159/4</f>
        <v>0</v>
      </c>
      <c r="AT161" s="530">
        <f>(AR159/2)*(AR161/AR163)</f>
        <v>0</v>
      </c>
      <c r="AU161" s="530">
        <f t="shared" ref="AU161:AU162" si="389">AS161+AT161</f>
        <v>0</v>
      </c>
      <c r="AV161" s="529">
        <f t="shared" ref="AV161:AV162" si="390">SUM(C161:N161)</f>
        <v>1611</v>
      </c>
      <c r="AW161" s="530">
        <f>AV159/4</f>
        <v>0</v>
      </c>
      <c r="AX161" s="530">
        <f>(AV159/2)*(AV161/AV163)</f>
        <v>0</v>
      </c>
      <c r="AY161" s="530">
        <f t="shared" ref="AY161:AY162" si="391">AW161+AX161</f>
        <v>0</v>
      </c>
      <c r="AZ161" s="529">
        <f t="shared" ref="AZ161:AZ162" si="392">SUM(C161:N161)</f>
        <v>1611</v>
      </c>
      <c r="BA161" s="530">
        <f>AZ159/4</f>
        <v>0</v>
      </c>
      <c r="BB161" s="530">
        <f>(AZ159/2)*(AZ161/AZ163)</f>
        <v>0</v>
      </c>
      <c r="BC161" s="530">
        <f t="shared" ref="BC161:BC162" si="393">BA161+BB161</f>
        <v>0</v>
      </c>
      <c r="BD161" s="529">
        <f t="shared" ref="BD161:BD162" si="394">SUM(C161:N161)</f>
        <v>1611</v>
      </c>
      <c r="BE161" s="530">
        <f>BD159/4</f>
        <v>0</v>
      </c>
      <c r="BF161" s="530">
        <f>(BD159/2)*(BD161/BD163)</f>
        <v>0</v>
      </c>
      <c r="BG161" s="530">
        <f t="shared" ref="BG161:BG162" si="395">BE161+BF161</f>
        <v>0</v>
      </c>
      <c r="BH161" s="529">
        <f t="shared" ref="BH161:BH162" si="396">SUM(C161:N161)</f>
        <v>1611</v>
      </c>
      <c r="BI161" s="530">
        <f>BH159/4</f>
        <v>0</v>
      </c>
      <c r="BJ161" s="530">
        <f>(BH159/2)*(BH161/BH163)</f>
        <v>0</v>
      </c>
      <c r="BK161" s="530">
        <f t="shared" ref="BK161:BK162" si="397">BI161+BJ161</f>
        <v>0</v>
      </c>
      <c r="BL161" s="531"/>
      <c r="BM161" s="531"/>
    </row>
    <row r="162" ht="12.75" customHeight="1">
      <c r="A162" s="728" t="s">
        <v>404</v>
      </c>
      <c r="B162" s="511"/>
      <c r="C162" s="526">
        <f>AS!B110</f>
        <v>55</v>
      </c>
      <c r="D162" s="526">
        <f>AS!C110</f>
        <v>56</v>
      </c>
      <c r="E162" s="526">
        <f>AS!D110</f>
        <v>94</v>
      </c>
      <c r="F162" s="526">
        <f>AS!E110</f>
        <v>98</v>
      </c>
      <c r="G162" s="526">
        <f>AS!F110</f>
        <v>80</v>
      </c>
      <c r="H162" s="526">
        <f>AS!G110</f>
        <v>75</v>
      </c>
      <c r="I162" s="669">
        <f>AS!H110</f>
        <v>72</v>
      </c>
      <c r="J162" s="669">
        <f>AS!I110</f>
        <v>79</v>
      </c>
      <c r="K162" s="669">
        <f>AS!J110</f>
        <v>63</v>
      </c>
      <c r="L162" s="669">
        <f>AS!K110</f>
        <v>72</v>
      </c>
      <c r="M162" s="669">
        <f>AS!L110</f>
        <v>67</v>
      </c>
      <c r="N162" s="669">
        <f>AS!M110</f>
        <v>84</v>
      </c>
      <c r="O162" s="533"/>
      <c r="P162" s="553">
        <f t="shared" si="374"/>
        <v>895</v>
      </c>
      <c r="Q162" s="554">
        <f>P159/4</f>
        <v>0</v>
      </c>
      <c r="R162" s="554">
        <f>(P159/2) *(P162/P163)</f>
        <v>0</v>
      </c>
      <c r="S162" s="554">
        <f t="shared" si="375"/>
        <v>0</v>
      </c>
      <c r="T162" s="669">
        <f t="shared" si="376"/>
        <v>895</v>
      </c>
      <c r="U162" s="729">
        <f>T159/4</f>
        <v>0</v>
      </c>
      <c r="V162" s="554">
        <f>(T159/2) *(T162/T163)</f>
        <v>0</v>
      </c>
      <c r="W162" s="554">
        <f t="shared" si="377"/>
        <v>0</v>
      </c>
      <c r="X162" s="553">
        <f t="shared" si="378"/>
        <v>895</v>
      </c>
      <c r="Y162" s="651">
        <f>X159/4</f>
        <v>0</v>
      </c>
      <c r="Z162" s="731">
        <f>(X159/2) *(X162/X163)</f>
        <v>0</v>
      </c>
      <c r="AA162" s="651">
        <f t="shared" si="379"/>
        <v>0</v>
      </c>
      <c r="AB162" s="553">
        <f t="shared" si="380"/>
        <v>895</v>
      </c>
      <c r="AC162" s="554">
        <f>AB159/4</f>
        <v>0</v>
      </c>
      <c r="AD162" s="731">
        <f>(AB159/2) *(AB162/AB163)</f>
        <v>0</v>
      </c>
      <c r="AE162" s="651">
        <f t="shared" si="381"/>
        <v>0</v>
      </c>
      <c r="AF162" s="529">
        <f t="shared" si="382"/>
        <v>895</v>
      </c>
      <c r="AG162" s="530">
        <f>AF159/4</f>
        <v>0</v>
      </c>
      <c r="AH162" s="530">
        <f>(AF159/2)*(AF162/AF163)</f>
        <v>0</v>
      </c>
      <c r="AI162" s="530">
        <f t="shared" si="383"/>
        <v>0</v>
      </c>
      <c r="AJ162" s="529">
        <f t="shared" si="384"/>
        <v>895</v>
      </c>
      <c r="AK162" s="530">
        <f>AJ159/4</f>
        <v>0</v>
      </c>
      <c r="AL162" s="530">
        <f>(AJ159/2)*(AJ162/AJ163)</f>
        <v>0</v>
      </c>
      <c r="AM162" s="530">
        <f t="shared" si="385"/>
        <v>0</v>
      </c>
      <c r="AN162" s="529">
        <f t="shared" si="386"/>
        <v>895</v>
      </c>
      <c r="AO162" s="530">
        <f>AN159/4</f>
        <v>0</v>
      </c>
      <c r="AP162" s="530">
        <f>(AN159/2)*(AN162/AN163)</f>
        <v>0</v>
      </c>
      <c r="AQ162" s="530">
        <f t="shared" si="387"/>
        <v>0</v>
      </c>
      <c r="AR162" s="529">
        <f t="shared" si="388"/>
        <v>895</v>
      </c>
      <c r="AS162" s="530">
        <f>AR159/4</f>
        <v>0</v>
      </c>
      <c r="AT162" s="530">
        <f>(AR159/2)*(AR162/AR163)</f>
        <v>0</v>
      </c>
      <c r="AU162" s="530">
        <f t="shared" si="389"/>
        <v>0</v>
      </c>
      <c r="AV162" s="529">
        <f t="shared" si="390"/>
        <v>895</v>
      </c>
      <c r="AW162" s="530">
        <f>AV159/4</f>
        <v>0</v>
      </c>
      <c r="AX162" s="530">
        <f>(AV159/2)*(AV162/AV163)</f>
        <v>0</v>
      </c>
      <c r="AY162" s="530">
        <f t="shared" si="391"/>
        <v>0</v>
      </c>
      <c r="AZ162" s="529">
        <f t="shared" si="392"/>
        <v>895</v>
      </c>
      <c r="BA162" s="530">
        <f>AZ159/4</f>
        <v>0</v>
      </c>
      <c r="BB162" s="530">
        <f>(AZ159/2)*(AZ162/AZ163)</f>
        <v>0</v>
      </c>
      <c r="BC162" s="530">
        <f t="shared" si="393"/>
        <v>0</v>
      </c>
      <c r="BD162" s="529">
        <f t="shared" si="394"/>
        <v>895</v>
      </c>
      <c r="BE162" s="530">
        <f>BD159/4</f>
        <v>0</v>
      </c>
      <c r="BF162" s="530">
        <f>(BD159/2)*(BD162/BD163)</f>
        <v>0</v>
      </c>
      <c r="BG162" s="530">
        <f t="shared" si="395"/>
        <v>0</v>
      </c>
      <c r="BH162" s="529">
        <f t="shared" si="396"/>
        <v>895</v>
      </c>
      <c r="BI162" s="530">
        <f>BH159/4</f>
        <v>0</v>
      </c>
      <c r="BJ162" s="530">
        <f>(BH159/2)*(BH162/BH163)</f>
        <v>0</v>
      </c>
      <c r="BK162" s="530">
        <f t="shared" si="397"/>
        <v>0</v>
      </c>
      <c r="BL162" s="531"/>
      <c r="BM162" s="531"/>
    </row>
    <row r="163" ht="12.75" customHeight="1">
      <c r="A163" s="718"/>
      <c r="B163" s="521"/>
      <c r="C163" s="515"/>
      <c r="D163" s="515"/>
      <c r="E163" s="515"/>
      <c r="F163" s="515"/>
      <c r="G163" s="515"/>
      <c r="H163" s="515"/>
      <c r="I163" s="515"/>
      <c r="J163" s="515"/>
      <c r="K163" s="515"/>
      <c r="L163" s="515"/>
      <c r="M163" s="515"/>
      <c r="N163" s="515"/>
      <c r="O163" s="533"/>
      <c r="P163" s="552">
        <f>SUM(P160:P162)</f>
        <v>2506</v>
      </c>
      <c r="Q163" s="556">
        <f t="shared" ref="Q163:AA163" si="398">SUM(Q161:Q162)</f>
        <v>0</v>
      </c>
      <c r="R163" s="556">
        <f t="shared" si="398"/>
        <v>0</v>
      </c>
      <c r="S163" s="556">
        <f t="shared" si="398"/>
        <v>0</v>
      </c>
      <c r="T163" s="552">
        <f t="shared" si="398"/>
        <v>2506</v>
      </c>
      <c r="U163" s="556">
        <f t="shared" si="398"/>
        <v>0</v>
      </c>
      <c r="V163" s="556">
        <f t="shared" si="398"/>
        <v>0</v>
      </c>
      <c r="W163" s="556">
        <f t="shared" si="398"/>
        <v>0</v>
      </c>
      <c r="X163" s="552">
        <f t="shared" si="398"/>
        <v>2506</v>
      </c>
      <c r="Y163" s="556">
        <f t="shared" si="398"/>
        <v>0</v>
      </c>
      <c r="Z163" s="556">
        <f t="shared" si="398"/>
        <v>0</v>
      </c>
      <c r="AA163" s="556">
        <f t="shared" si="398"/>
        <v>0</v>
      </c>
      <c r="AB163" s="552">
        <f>SUM(AB160:AB162)</f>
        <v>2506</v>
      </c>
      <c r="AC163" s="556">
        <f t="shared" ref="AC163:AF163" si="399">SUM(AC161:AC162)</f>
        <v>0</v>
      </c>
      <c r="AD163" s="556">
        <f t="shared" si="399"/>
        <v>0</v>
      </c>
      <c r="AE163" s="556">
        <f t="shared" si="399"/>
        <v>0</v>
      </c>
      <c r="AF163" s="535">
        <f t="shared" si="399"/>
        <v>2506</v>
      </c>
      <c r="AG163" s="536">
        <f t="shared" ref="AG163:AI163" si="400">AG161+AG162</f>
        <v>0</v>
      </c>
      <c r="AH163" s="536">
        <f t="shared" si="400"/>
        <v>0</v>
      </c>
      <c r="AI163" s="536">
        <f t="shared" si="400"/>
        <v>0</v>
      </c>
      <c r="AJ163" s="535">
        <f>SUM(AJ161:AJ162)</f>
        <v>2506</v>
      </c>
      <c r="AK163" s="536">
        <f t="shared" ref="AK163:AM163" si="401">AK161+AK162</f>
        <v>0</v>
      </c>
      <c r="AL163" s="536">
        <f t="shared" si="401"/>
        <v>0</v>
      </c>
      <c r="AM163" s="536">
        <f t="shared" si="401"/>
        <v>0</v>
      </c>
      <c r="AN163" s="535">
        <f>SUM(AN161:AN162)</f>
        <v>2506</v>
      </c>
      <c r="AO163" s="536">
        <f t="shared" ref="AO163:AQ163" si="402">AO161+AO162</f>
        <v>0</v>
      </c>
      <c r="AP163" s="536">
        <f t="shared" si="402"/>
        <v>0</v>
      </c>
      <c r="AQ163" s="536">
        <f t="shared" si="402"/>
        <v>0</v>
      </c>
      <c r="AR163" s="535">
        <f>SUM(AR161:AR162)</f>
        <v>2506</v>
      </c>
      <c r="AS163" s="536">
        <f t="shared" ref="AS163:AU163" si="403">AS161+AS162</f>
        <v>0</v>
      </c>
      <c r="AT163" s="536">
        <f t="shared" si="403"/>
        <v>0</v>
      </c>
      <c r="AU163" s="536">
        <f t="shared" si="403"/>
        <v>0</v>
      </c>
      <c r="AV163" s="535">
        <f>SUM(AV161:AV162)</f>
        <v>2506</v>
      </c>
      <c r="AW163" s="536">
        <f t="shared" ref="AW163:AY163" si="404">AW161+AW162</f>
        <v>0</v>
      </c>
      <c r="AX163" s="536">
        <f t="shared" si="404"/>
        <v>0</v>
      </c>
      <c r="AY163" s="536">
        <f t="shared" si="404"/>
        <v>0</v>
      </c>
      <c r="AZ163" s="535">
        <f>SUM(AZ161:AZ162)</f>
        <v>2506</v>
      </c>
      <c r="BA163" s="536">
        <f t="shared" ref="BA163:BC163" si="405">BA161+BA162</f>
        <v>0</v>
      </c>
      <c r="BB163" s="536">
        <f t="shared" si="405"/>
        <v>0</v>
      </c>
      <c r="BC163" s="536">
        <f t="shared" si="405"/>
        <v>0</v>
      </c>
      <c r="BD163" s="535">
        <f>SUM(BD161:BD162)</f>
        <v>2506</v>
      </c>
      <c r="BE163" s="536">
        <f t="shared" ref="BE163:BG163" si="406">BE161+BE162</f>
        <v>0</v>
      </c>
      <c r="BF163" s="536">
        <f t="shared" si="406"/>
        <v>0</v>
      </c>
      <c r="BG163" s="536">
        <f t="shared" si="406"/>
        <v>0</v>
      </c>
      <c r="BH163" s="535">
        <f>SUM(BH161:BH162)</f>
        <v>2506</v>
      </c>
      <c r="BI163" s="536">
        <f t="shared" ref="BI163:BK163" si="407">BI161+BI162</f>
        <v>0</v>
      </c>
      <c r="BJ163" s="536">
        <f t="shared" si="407"/>
        <v>0</v>
      </c>
      <c r="BK163" s="536">
        <f t="shared" si="407"/>
        <v>0</v>
      </c>
      <c r="BL163" s="537"/>
      <c r="BM163" s="537"/>
    </row>
    <row r="164" ht="12.75" customHeight="1">
      <c r="A164" s="718"/>
      <c r="B164" s="521"/>
      <c r="C164" s="733"/>
      <c r="D164" s="733"/>
      <c r="E164" s="733"/>
      <c r="F164" s="733"/>
      <c r="G164" s="733"/>
      <c r="H164" s="733"/>
      <c r="I164" s="733"/>
      <c r="J164" s="733"/>
      <c r="K164" s="733"/>
      <c r="L164" s="733"/>
      <c r="M164" s="733"/>
      <c r="N164" s="733"/>
      <c r="O164" s="533"/>
      <c r="P164" s="734"/>
      <c r="Q164" s="490"/>
      <c r="R164" s="490"/>
      <c r="S164" s="491"/>
      <c r="T164" s="734"/>
      <c r="U164" s="490"/>
      <c r="V164" s="490"/>
      <c r="W164" s="491"/>
      <c r="X164" s="734"/>
      <c r="Y164" s="490"/>
      <c r="Z164" s="490"/>
      <c r="AA164" s="491"/>
      <c r="AB164" s="734"/>
      <c r="AC164" s="490"/>
      <c r="AD164" s="490"/>
      <c r="AE164" s="491"/>
      <c r="AF164" s="734"/>
      <c r="AG164" s="490"/>
      <c r="AH164" s="490"/>
      <c r="AI164" s="491"/>
      <c r="AJ164" s="734"/>
      <c r="AK164" s="490"/>
      <c r="AL164" s="490"/>
      <c r="AM164" s="491"/>
      <c r="AN164" s="734"/>
      <c r="AO164" s="490"/>
      <c r="AP164" s="490"/>
      <c r="AQ164" s="491"/>
      <c r="AR164" s="734"/>
      <c r="AS164" s="490"/>
      <c r="AT164" s="490"/>
      <c r="AU164" s="491"/>
      <c r="AV164" s="734"/>
      <c r="AW164" s="490"/>
      <c r="AX164" s="490"/>
      <c r="AY164" s="491"/>
      <c r="AZ164" s="734"/>
      <c r="BA164" s="490"/>
      <c r="BB164" s="490"/>
      <c r="BC164" s="491"/>
      <c r="BD164" s="734"/>
      <c r="BE164" s="490"/>
      <c r="BF164" s="490"/>
      <c r="BG164" s="491"/>
      <c r="BH164" s="734"/>
      <c r="BI164" s="490"/>
      <c r="BJ164" s="490"/>
      <c r="BK164" s="491"/>
      <c r="BL164" s="500"/>
      <c r="BM164" s="500"/>
    </row>
    <row r="165" ht="12.75" hidden="1" customHeight="1">
      <c r="A165" s="718"/>
      <c r="B165" s="521"/>
      <c r="C165" s="733"/>
      <c r="D165" s="733"/>
      <c r="E165" s="733"/>
      <c r="F165" s="733"/>
      <c r="G165" s="733"/>
      <c r="H165" s="733"/>
      <c r="I165" s="733"/>
      <c r="J165" s="733"/>
      <c r="K165" s="733"/>
      <c r="L165" s="733"/>
      <c r="M165" s="733"/>
      <c r="N165" s="733"/>
      <c r="O165" s="533"/>
      <c r="P165" s="735"/>
      <c r="Q165" s="735"/>
      <c r="R165" s="735"/>
      <c r="S165" s="735"/>
      <c r="T165" s="735"/>
      <c r="U165" s="735"/>
      <c r="V165" s="735"/>
      <c r="W165" s="735"/>
      <c r="X165" s="735"/>
      <c r="Y165" s="735"/>
      <c r="Z165" s="735"/>
      <c r="AA165" s="735"/>
      <c r="AB165" s="735"/>
      <c r="AC165" s="735"/>
      <c r="AD165" s="735"/>
      <c r="AE165" s="735"/>
      <c r="AF165" s="735"/>
      <c r="AG165" s="735"/>
      <c r="AH165" s="735"/>
      <c r="AI165" s="735"/>
      <c r="AJ165" s="735"/>
      <c r="AK165" s="735"/>
      <c r="AL165" s="735"/>
      <c r="AM165" s="735"/>
      <c r="AN165" s="735"/>
      <c r="AO165" s="735"/>
      <c r="AP165" s="735"/>
      <c r="AQ165" s="735"/>
      <c r="AR165" s="735"/>
      <c r="AS165" s="735"/>
      <c r="AT165" s="735"/>
      <c r="AU165" s="735"/>
      <c r="AV165" s="735"/>
      <c r="AW165" s="735"/>
      <c r="AX165" s="735"/>
      <c r="AY165" s="735"/>
      <c r="AZ165" s="735"/>
      <c r="BA165" s="735"/>
      <c r="BB165" s="735"/>
      <c r="BC165" s="735"/>
      <c r="BD165" s="735"/>
      <c r="BE165" s="735"/>
      <c r="BF165" s="735"/>
      <c r="BG165" s="735"/>
      <c r="BH165" s="735"/>
      <c r="BI165" s="735"/>
      <c r="BJ165" s="735"/>
      <c r="BK165" s="735"/>
      <c r="BL165" s="500"/>
      <c r="BM165" s="500"/>
    </row>
    <row r="166" ht="12.75" hidden="1" customHeight="1">
      <c r="A166" s="720"/>
      <c r="B166" s="488"/>
      <c r="C166" s="489" t="s">
        <v>410</v>
      </c>
      <c r="D166" s="490"/>
      <c r="E166" s="490"/>
      <c r="F166" s="490"/>
      <c r="G166" s="490"/>
      <c r="H166" s="490"/>
      <c r="I166" s="490"/>
      <c r="J166" s="490"/>
      <c r="K166" s="490"/>
      <c r="L166" s="490"/>
      <c r="M166" s="490"/>
      <c r="N166" s="491"/>
      <c r="O166" s="575"/>
      <c r="P166" s="736" t="s">
        <v>340</v>
      </c>
      <c r="Q166" s="722"/>
      <c r="R166" s="722"/>
      <c r="S166" s="723"/>
      <c r="T166" s="736" t="s">
        <v>341</v>
      </c>
      <c r="U166" s="722"/>
      <c r="V166" s="722"/>
      <c r="W166" s="723"/>
      <c r="X166" s="736" t="s">
        <v>342</v>
      </c>
      <c r="Y166" s="722"/>
      <c r="Z166" s="722"/>
      <c r="AA166" s="723"/>
      <c r="AB166" s="736" t="s">
        <v>343</v>
      </c>
      <c r="AC166" s="722"/>
      <c r="AD166" s="722"/>
      <c r="AE166" s="723"/>
      <c r="AF166" s="737" t="s">
        <v>344</v>
      </c>
      <c r="AG166" s="722"/>
      <c r="AH166" s="722"/>
      <c r="AI166" s="723"/>
      <c r="AJ166" s="737" t="s">
        <v>345</v>
      </c>
      <c r="AK166" s="722"/>
      <c r="AL166" s="722"/>
      <c r="AM166" s="723"/>
      <c r="AN166" s="737" t="s">
        <v>346</v>
      </c>
      <c r="AO166" s="722"/>
      <c r="AP166" s="722"/>
      <c r="AQ166" s="723"/>
      <c r="AR166" s="737" t="s">
        <v>347</v>
      </c>
      <c r="AS166" s="722"/>
      <c r="AT166" s="722"/>
      <c r="AU166" s="723"/>
      <c r="AV166" s="737" t="s">
        <v>348</v>
      </c>
      <c r="AW166" s="722"/>
      <c r="AX166" s="722"/>
      <c r="AY166" s="723"/>
      <c r="AZ166" s="737" t="s">
        <v>349</v>
      </c>
      <c r="BA166" s="722"/>
      <c r="BB166" s="722"/>
      <c r="BC166" s="723"/>
      <c r="BD166" s="737" t="s">
        <v>350</v>
      </c>
      <c r="BE166" s="722"/>
      <c r="BF166" s="722"/>
      <c r="BG166" s="723"/>
      <c r="BH166" s="737" t="s">
        <v>351</v>
      </c>
      <c r="BI166" s="722"/>
      <c r="BJ166" s="722"/>
      <c r="BK166" s="723"/>
      <c r="BL166" s="500"/>
      <c r="BM166" s="500"/>
    </row>
    <row r="167" ht="12.75" hidden="1" customHeight="1">
      <c r="A167" s="724"/>
      <c r="B167" s="488"/>
      <c r="C167" s="502"/>
      <c r="N167" s="503"/>
      <c r="O167" s="559"/>
      <c r="P167" s="508" t="s">
        <v>370</v>
      </c>
      <c r="Q167" s="506"/>
      <c r="R167" s="506"/>
      <c r="S167" s="507"/>
      <c r="T167" s="508" t="s">
        <v>370</v>
      </c>
      <c r="U167" s="506"/>
      <c r="V167" s="506"/>
      <c r="W167" s="507"/>
      <c r="X167" s="508" t="s">
        <v>370</v>
      </c>
      <c r="Y167" s="506"/>
      <c r="Z167" s="506"/>
      <c r="AA167" s="507"/>
      <c r="AB167" s="508" t="s">
        <v>370</v>
      </c>
      <c r="AC167" s="506"/>
      <c r="AD167" s="506"/>
      <c r="AE167" s="507"/>
      <c r="AF167" s="547" t="s">
        <v>370</v>
      </c>
      <c r="AG167" s="506"/>
      <c r="AH167" s="506"/>
      <c r="AI167" s="549"/>
      <c r="AJ167" s="547" t="s">
        <v>370</v>
      </c>
      <c r="AK167" s="506"/>
      <c r="AL167" s="506"/>
      <c r="AM167" s="507"/>
      <c r="AN167" s="547" t="s">
        <v>370</v>
      </c>
      <c r="AO167" s="506"/>
      <c r="AP167" s="506"/>
      <c r="AQ167" s="507"/>
      <c r="AR167" s="547" t="s">
        <v>370</v>
      </c>
      <c r="AS167" s="506"/>
      <c r="AT167" s="506"/>
      <c r="AU167" s="507"/>
      <c r="AV167" s="547" t="s">
        <v>370</v>
      </c>
      <c r="AW167" s="506"/>
      <c r="AX167" s="506"/>
      <c r="AY167" s="507"/>
      <c r="AZ167" s="547" t="s">
        <v>370</v>
      </c>
      <c r="BA167" s="506"/>
      <c r="BB167" s="506"/>
      <c r="BC167" s="507"/>
      <c r="BD167" s="547" t="s">
        <v>370</v>
      </c>
      <c r="BE167" s="506"/>
      <c r="BF167" s="506"/>
      <c r="BG167" s="507"/>
      <c r="BH167" s="547" t="s">
        <v>370</v>
      </c>
      <c r="BI167" s="506"/>
      <c r="BJ167" s="506"/>
      <c r="BK167" s="507"/>
      <c r="BL167" s="562"/>
      <c r="BM167" s="562"/>
    </row>
    <row r="168" ht="12.75" hidden="1" customHeight="1">
      <c r="A168" s="726"/>
      <c r="B168" s="521"/>
      <c r="C168" s="512"/>
      <c r="D168" s="513"/>
      <c r="E168" s="513"/>
      <c r="F168" s="513"/>
      <c r="G168" s="513"/>
      <c r="H168" s="513"/>
      <c r="I168" s="513"/>
      <c r="J168" s="513"/>
      <c r="K168" s="513"/>
      <c r="L168" s="513"/>
      <c r="M168" s="513"/>
      <c r="N168" s="514"/>
      <c r="O168" s="515"/>
      <c r="P168" s="517">
        <v>0.0</v>
      </c>
      <c r="Q168" s="498"/>
      <c r="R168" s="498"/>
      <c r="S168" s="498"/>
      <c r="T168" s="517">
        <v>0.0</v>
      </c>
      <c r="U168" s="498"/>
      <c r="V168" s="498"/>
      <c r="W168" s="498"/>
      <c r="X168" s="517">
        <v>0.0</v>
      </c>
      <c r="Y168" s="498"/>
      <c r="Z168" s="498"/>
      <c r="AA168" s="498"/>
      <c r="AB168" s="517">
        <v>0.0</v>
      </c>
      <c r="AC168" s="498"/>
      <c r="AD168" s="498"/>
      <c r="AE168" s="498"/>
      <c r="AF168" s="517">
        <v>0.0</v>
      </c>
      <c r="AG168" s="498"/>
      <c r="AH168" s="498"/>
      <c r="AI168" s="498"/>
      <c r="AJ168" s="517">
        <v>0.0</v>
      </c>
      <c r="AK168" s="498"/>
      <c r="AL168" s="498"/>
      <c r="AM168" s="498"/>
      <c r="AN168" s="517">
        <v>0.0</v>
      </c>
      <c r="AO168" s="498"/>
      <c r="AP168" s="498"/>
      <c r="AQ168" s="498"/>
      <c r="AR168" s="517">
        <v>0.0</v>
      </c>
      <c r="AS168" s="498"/>
      <c r="AT168" s="498"/>
      <c r="AU168" s="498"/>
      <c r="AV168" s="517">
        <v>0.0</v>
      </c>
      <c r="AW168" s="498"/>
      <c r="AX168" s="498"/>
      <c r="AY168" s="498"/>
      <c r="AZ168" s="517">
        <v>0.0</v>
      </c>
      <c r="BA168" s="498"/>
      <c r="BB168" s="498"/>
      <c r="BC168" s="498"/>
      <c r="BD168" s="517">
        <v>0.0</v>
      </c>
      <c r="BE168" s="498"/>
      <c r="BF168" s="498"/>
      <c r="BG168" s="498"/>
      <c r="BH168" s="517">
        <v>0.0</v>
      </c>
      <c r="BI168" s="498"/>
      <c r="BJ168" s="498"/>
      <c r="BK168" s="498"/>
      <c r="BL168" s="519"/>
      <c r="BM168" s="519"/>
    </row>
    <row r="169" ht="12.75" hidden="1" customHeight="1">
      <c r="A169" s="732" t="s">
        <v>411</v>
      </c>
      <c r="B169" s="521"/>
      <c r="C169" s="552" t="s">
        <v>354</v>
      </c>
      <c r="D169" s="552" t="s">
        <v>355</v>
      </c>
      <c r="E169" s="552" t="s">
        <v>356</v>
      </c>
      <c r="F169" s="552" t="s">
        <v>357</v>
      </c>
      <c r="G169" s="552" t="s">
        <v>5</v>
      </c>
      <c r="H169" s="552" t="s">
        <v>358</v>
      </c>
      <c r="I169" s="552" t="s">
        <v>359</v>
      </c>
      <c r="J169" s="552" t="s">
        <v>360</v>
      </c>
      <c r="K169" s="552" t="s">
        <v>361</v>
      </c>
      <c r="L169" s="552" t="s">
        <v>362</v>
      </c>
      <c r="M169" s="552" t="s">
        <v>363</v>
      </c>
      <c r="N169" s="552" t="s">
        <v>364</v>
      </c>
      <c r="O169" s="515"/>
      <c r="P169" s="667" t="s">
        <v>319</v>
      </c>
      <c r="Q169" s="667" t="s">
        <v>365</v>
      </c>
      <c r="R169" s="667" t="s">
        <v>366</v>
      </c>
      <c r="S169" s="667" t="s">
        <v>367</v>
      </c>
      <c r="T169" s="667" t="s">
        <v>319</v>
      </c>
      <c r="U169" s="667" t="s">
        <v>365</v>
      </c>
      <c r="V169" s="667" t="s">
        <v>366</v>
      </c>
      <c r="W169" s="667" t="s">
        <v>367</v>
      </c>
      <c r="X169" s="667" t="s">
        <v>319</v>
      </c>
      <c r="Y169" s="667" t="s">
        <v>365</v>
      </c>
      <c r="Z169" s="667" t="s">
        <v>366</v>
      </c>
      <c r="AA169" s="667" t="s">
        <v>367</v>
      </c>
      <c r="AB169" s="667" t="s">
        <v>319</v>
      </c>
      <c r="AC169" s="667" t="s">
        <v>365</v>
      </c>
      <c r="AD169" s="667" t="s">
        <v>366</v>
      </c>
      <c r="AE169" s="667" t="s">
        <v>367</v>
      </c>
      <c r="AF169" s="524" t="s">
        <v>319</v>
      </c>
      <c r="AG169" s="524" t="s">
        <v>365</v>
      </c>
      <c r="AH169" s="524" t="s">
        <v>366</v>
      </c>
      <c r="AI169" s="524" t="s">
        <v>367</v>
      </c>
      <c r="AJ169" s="524" t="s">
        <v>319</v>
      </c>
      <c r="AK169" s="524" t="s">
        <v>365</v>
      </c>
      <c r="AL169" s="524" t="s">
        <v>366</v>
      </c>
      <c r="AM169" s="524" t="s">
        <v>367</v>
      </c>
      <c r="AN169" s="524" t="s">
        <v>319</v>
      </c>
      <c r="AO169" s="524" t="s">
        <v>365</v>
      </c>
      <c r="AP169" s="524" t="s">
        <v>366</v>
      </c>
      <c r="AQ169" s="524" t="s">
        <v>367</v>
      </c>
      <c r="AR169" s="727" t="s">
        <v>319</v>
      </c>
      <c r="AS169" s="524" t="s">
        <v>365</v>
      </c>
      <c r="AT169" s="524" t="s">
        <v>366</v>
      </c>
      <c r="AU169" s="524" t="s">
        <v>367</v>
      </c>
      <c r="AV169" s="727" t="s">
        <v>319</v>
      </c>
      <c r="AW169" s="524" t="s">
        <v>365</v>
      </c>
      <c r="AX169" s="524" t="s">
        <v>366</v>
      </c>
      <c r="AY169" s="524" t="s">
        <v>367</v>
      </c>
      <c r="AZ169" s="524" t="s">
        <v>319</v>
      </c>
      <c r="BA169" s="524" t="s">
        <v>365</v>
      </c>
      <c r="BB169" s="524" t="s">
        <v>366</v>
      </c>
      <c r="BC169" s="524" t="s">
        <v>367</v>
      </c>
      <c r="BD169" s="524" t="s">
        <v>319</v>
      </c>
      <c r="BE169" s="524" t="s">
        <v>365</v>
      </c>
      <c r="BF169" s="524" t="s">
        <v>366</v>
      </c>
      <c r="BG169" s="524" t="s">
        <v>367</v>
      </c>
      <c r="BH169" s="524" t="s">
        <v>319</v>
      </c>
      <c r="BI169" s="524" t="s">
        <v>365</v>
      </c>
      <c r="BJ169" s="524" t="s">
        <v>366</v>
      </c>
      <c r="BK169" s="524" t="s">
        <v>367</v>
      </c>
      <c r="BL169" s="500"/>
      <c r="BM169" s="500"/>
    </row>
    <row r="170" ht="12.75" hidden="1" customHeight="1">
      <c r="A170" s="728" t="s">
        <v>404</v>
      </c>
      <c r="B170" s="511"/>
      <c r="C170" s="526">
        <f>AS!B110</f>
        <v>55</v>
      </c>
      <c r="D170" s="526">
        <f>AS!C110</f>
        <v>56</v>
      </c>
      <c r="E170" s="526">
        <f>AS!D110</f>
        <v>94</v>
      </c>
      <c r="F170" s="526">
        <f>AS!E110</f>
        <v>98</v>
      </c>
      <c r="G170" s="526">
        <f>AS!F110</f>
        <v>80</v>
      </c>
      <c r="H170" s="526">
        <f>AS!G110</f>
        <v>75</v>
      </c>
      <c r="I170" s="669">
        <f>AS!H110</f>
        <v>72</v>
      </c>
      <c r="J170" s="669">
        <f>AS!I110</f>
        <v>79</v>
      </c>
      <c r="K170" s="669">
        <f>AS!J110</f>
        <v>63</v>
      </c>
      <c r="L170" s="669">
        <f>AS!K110</f>
        <v>72</v>
      </c>
      <c r="M170" s="669">
        <f>AS!L110</f>
        <v>67</v>
      </c>
      <c r="N170" s="669">
        <f>AS!M110</f>
        <v>84</v>
      </c>
      <c r="O170" s="533"/>
      <c r="P170" s="553">
        <f>SUM(C170:N170)</f>
        <v>895</v>
      </c>
      <c r="Q170" s="554"/>
      <c r="R170" s="554"/>
      <c r="S170" s="554">
        <f>P168</f>
        <v>0</v>
      </c>
      <c r="T170" s="669">
        <f>SUM(C170:N170)</f>
        <v>895</v>
      </c>
      <c r="U170" s="651">
        <v>0.0</v>
      </c>
      <c r="V170" s="651">
        <v>0.0</v>
      </c>
      <c r="W170" s="651">
        <f>T168</f>
        <v>0</v>
      </c>
      <c r="X170" s="553">
        <f>SUM(C170:N170)</f>
        <v>895</v>
      </c>
      <c r="Y170" s="651"/>
      <c r="Z170" s="731"/>
      <c r="AA170" s="651">
        <f>X168</f>
        <v>0</v>
      </c>
      <c r="AB170" s="553">
        <f>SUM(C170:N170)</f>
        <v>895</v>
      </c>
      <c r="AC170" s="554"/>
      <c r="AD170" s="554"/>
      <c r="AE170" s="651">
        <f>AB168</f>
        <v>0</v>
      </c>
      <c r="AF170" s="529">
        <f>SUM(C170:N170)</f>
        <v>895</v>
      </c>
      <c r="AG170" s="530"/>
      <c r="AH170" s="530"/>
      <c r="AI170" s="651">
        <f>AF168</f>
        <v>0</v>
      </c>
      <c r="AJ170" s="529">
        <f>SUM(C170:N170)</f>
        <v>895</v>
      </c>
      <c r="AK170" s="530"/>
      <c r="AL170" s="530"/>
      <c r="AM170" s="651">
        <f>AJ168</f>
        <v>0</v>
      </c>
      <c r="AN170" s="529">
        <f>SUM(C170:N170)</f>
        <v>895</v>
      </c>
      <c r="AO170" s="530"/>
      <c r="AP170" s="530"/>
      <c r="AQ170" s="651">
        <f>AN168</f>
        <v>0</v>
      </c>
      <c r="AR170" s="529">
        <f>SUM(C170:N170)</f>
        <v>895</v>
      </c>
      <c r="AS170" s="530"/>
      <c r="AT170" s="530"/>
      <c r="AU170" s="651">
        <f>AR168</f>
        <v>0</v>
      </c>
      <c r="AV170" s="529">
        <f>SUM(C170:N170)</f>
        <v>895</v>
      </c>
      <c r="AW170" s="530"/>
      <c r="AX170" s="530"/>
      <c r="AY170" s="651">
        <f>AV168</f>
        <v>0</v>
      </c>
      <c r="AZ170" s="529">
        <f>SUM(C170:N170)</f>
        <v>895</v>
      </c>
      <c r="BA170" s="530"/>
      <c r="BB170" s="530"/>
      <c r="BC170" s="651">
        <f>AZ168</f>
        <v>0</v>
      </c>
      <c r="BD170" s="529">
        <f>SUM(C170:N170)</f>
        <v>895</v>
      </c>
      <c r="BE170" s="530"/>
      <c r="BF170" s="530"/>
      <c r="BG170" s="651">
        <f>BD168</f>
        <v>0</v>
      </c>
      <c r="BH170" s="529">
        <f>SUM(C170:N170)</f>
        <v>895</v>
      </c>
      <c r="BI170" s="530"/>
      <c r="BJ170" s="530"/>
      <c r="BK170" s="651">
        <f>BH168</f>
        <v>0</v>
      </c>
      <c r="BL170" s="738"/>
      <c r="BM170" s="738"/>
    </row>
    <row r="171" ht="12.75" hidden="1" customHeight="1">
      <c r="A171" s="718"/>
      <c r="B171" s="521"/>
      <c r="C171" s="515"/>
      <c r="D171" s="515"/>
      <c r="E171" s="515"/>
      <c r="F171" s="515"/>
      <c r="G171" s="515"/>
      <c r="H171" s="515"/>
      <c r="I171" s="515"/>
      <c r="J171" s="515"/>
      <c r="K171" s="515"/>
      <c r="L171" s="515"/>
      <c r="M171" s="515"/>
      <c r="N171" s="515"/>
      <c r="O171" s="533"/>
      <c r="P171" s="552">
        <f>SUM(P169:P170)</f>
        <v>895</v>
      </c>
      <c r="Q171" s="556">
        <f t="shared" ref="Q171:AA171" si="408">SUM(Q170)</f>
        <v>0</v>
      </c>
      <c r="R171" s="556">
        <f t="shared" si="408"/>
        <v>0</v>
      </c>
      <c r="S171" s="556">
        <f t="shared" si="408"/>
        <v>0</v>
      </c>
      <c r="T171" s="552">
        <f t="shared" si="408"/>
        <v>895</v>
      </c>
      <c r="U171" s="556">
        <f t="shared" si="408"/>
        <v>0</v>
      </c>
      <c r="V171" s="556">
        <f t="shared" si="408"/>
        <v>0</v>
      </c>
      <c r="W171" s="556">
        <f t="shared" si="408"/>
        <v>0</v>
      </c>
      <c r="X171" s="552">
        <f t="shared" si="408"/>
        <v>895</v>
      </c>
      <c r="Y171" s="556">
        <f t="shared" si="408"/>
        <v>0</v>
      </c>
      <c r="Z171" s="556">
        <f t="shared" si="408"/>
        <v>0</v>
      </c>
      <c r="AA171" s="556">
        <f t="shared" si="408"/>
        <v>0</v>
      </c>
      <c r="AB171" s="552">
        <f>SUM(AB169:AB170)</f>
        <v>895</v>
      </c>
      <c r="AC171" s="556"/>
      <c r="AD171" s="556"/>
      <c r="AE171" s="556"/>
      <c r="AF171" s="535">
        <f t="shared" ref="AF171:BK171" si="409">SUM(AF170)</f>
        <v>895</v>
      </c>
      <c r="AG171" s="556">
        <f t="shared" si="409"/>
        <v>0</v>
      </c>
      <c r="AH171" s="556">
        <f t="shared" si="409"/>
        <v>0</v>
      </c>
      <c r="AI171" s="556">
        <f t="shared" si="409"/>
        <v>0</v>
      </c>
      <c r="AJ171" s="535">
        <f t="shared" si="409"/>
        <v>895</v>
      </c>
      <c r="AK171" s="556">
        <f t="shared" si="409"/>
        <v>0</v>
      </c>
      <c r="AL171" s="556">
        <f t="shared" si="409"/>
        <v>0</v>
      </c>
      <c r="AM171" s="556">
        <f t="shared" si="409"/>
        <v>0</v>
      </c>
      <c r="AN171" s="535">
        <f t="shared" si="409"/>
        <v>895</v>
      </c>
      <c r="AO171" s="556">
        <f t="shared" si="409"/>
        <v>0</v>
      </c>
      <c r="AP171" s="556">
        <f t="shared" si="409"/>
        <v>0</v>
      </c>
      <c r="AQ171" s="556">
        <f t="shared" si="409"/>
        <v>0</v>
      </c>
      <c r="AR171" s="535">
        <f t="shared" si="409"/>
        <v>895</v>
      </c>
      <c r="AS171" s="556">
        <f t="shared" si="409"/>
        <v>0</v>
      </c>
      <c r="AT171" s="556">
        <f t="shared" si="409"/>
        <v>0</v>
      </c>
      <c r="AU171" s="556">
        <f t="shared" si="409"/>
        <v>0</v>
      </c>
      <c r="AV171" s="535">
        <f t="shared" si="409"/>
        <v>895</v>
      </c>
      <c r="AW171" s="556">
        <f t="shared" si="409"/>
        <v>0</v>
      </c>
      <c r="AX171" s="556">
        <f t="shared" si="409"/>
        <v>0</v>
      </c>
      <c r="AY171" s="556">
        <f t="shared" si="409"/>
        <v>0</v>
      </c>
      <c r="AZ171" s="535">
        <f t="shared" si="409"/>
        <v>895</v>
      </c>
      <c r="BA171" s="556">
        <f t="shared" si="409"/>
        <v>0</v>
      </c>
      <c r="BB171" s="556">
        <f t="shared" si="409"/>
        <v>0</v>
      </c>
      <c r="BC171" s="556">
        <f t="shared" si="409"/>
        <v>0</v>
      </c>
      <c r="BD171" s="535">
        <f t="shared" si="409"/>
        <v>895</v>
      </c>
      <c r="BE171" s="556">
        <f t="shared" si="409"/>
        <v>0</v>
      </c>
      <c r="BF171" s="556">
        <f t="shared" si="409"/>
        <v>0</v>
      </c>
      <c r="BG171" s="556">
        <f t="shared" si="409"/>
        <v>0</v>
      </c>
      <c r="BH171" s="535">
        <f t="shared" si="409"/>
        <v>895</v>
      </c>
      <c r="BI171" s="556">
        <f t="shared" si="409"/>
        <v>0</v>
      </c>
      <c r="BJ171" s="556">
        <f t="shared" si="409"/>
        <v>0</v>
      </c>
      <c r="BK171" s="556">
        <f t="shared" si="409"/>
        <v>0</v>
      </c>
      <c r="BL171" s="557"/>
      <c r="BM171" s="557"/>
    </row>
    <row r="172" ht="12.75" hidden="1" customHeight="1">
      <c r="A172" s="718"/>
      <c r="B172" s="521"/>
      <c r="C172" s="733"/>
      <c r="D172" s="733"/>
      <c r="E172" s="733"/>
      <c r="F172" s="733"/>
      <c r="G172" s="733"/>
      <c r="H172" s="733"/>
      <c r="I172" s="733"/>
      <c r="J172" s="733"/>
      <c r="K172" s="733"/>
      <c r="L172" s="733"/>
      <c r="M172" s="733"/>
      <c r="N172" s="733"/>
      <c r="O172" s="533"/>
      <c r="P172" s="500"/>
      <c r="Q172" s="500"/>
      <c r="R172" s="500"/>
      <c r="S172" s="500"/>
      <c r="T172" s="500"/>
      <c r="U172" s="500"/>
      <c r="V172" s="500"/>
      <c r="W172" s="500"/>
      <c r="X172" s="500"/>
      <c r="Y172" s="500"/>
      <c r="Z172" s="500"/>
      <c r="AA172" s="500"/>
      <c r="AB172" s="500"/>
      <c r="AC172" s="500"/>
      <c r="AD172" s="500"/>
      <c r="AE172" s="500"/>
      <c r="AF172" s="500"/>
      <c r="AG172" s="500"/>
      <c r="AH172" s="500"/>
      <c r="AI172" s="500"/>
      <c r="AJ172" s="500"/>
      <c r="AK172" s="500"/>
      <c r="AL172" s="500"/>
      <c r="AM172" s="500"/>
      <c r="AN172" s="500"/>
      <c r="AO172" s="500"/>
      <c r="AP172" s="500"/>
      <c r="AQ172" s="500"/>
      <c r="AR172" s="500"/>
      <c r="AS172" s="500"/>
      <c r="AT172" s="500"/>
      <c r="AU172" s="500"/>
      <c r="AV172" s="500"/>
      <c r="AW172" s="500"/>
      <c r="AX172" s="500"/>
      <c r="AY172" s="500"/>
      <c r="AZ172" s="500"/>
      <c r="BA172" s="500"/>
      <c r="BB172" s="500"/>
      <c r="BC172" s="500"/>
      <c r="BD172" s="500"/>
      <c r="BE172" s="500"/>
      <c r="BF172" s="500"/>
      <c r="BG172" s="500"/>
      <c r="BH172" s="500"/>
      <c r="BI172" s="500"/>
      <c r="BJ172" s="500"/>
      <c r="BK172" s="500"/>
      <c r="BL172" s="500"/>
      <c r="BM172" s="500"/>
    </row>
    <row r="173" ht="12.75" hidden="1" customHeight="1">
      <c r="A173" s="718"/>
      <c r="B173" s="521"/>
      <c r="C173" s="733"/>
      <c r="D173" s="733"/>
      <c r="E173" s="733"/>
      <c r="F173" s="733"/>
      <c r="G173" s="733"/>
      <c r="H173" s="733"/>
      <c r="I173" s="733"/>
      <c r="J173" s="733"/>
      <c r="K173" s="733"/>
      <c r="L173" s="733"/>
      <c r="M173" s="733"/>
      <c r="N173" s="733"/>
      <c r="O173" s="533"/>
      <c r="P173" s="500"/>
      <c r="Q173" s="500"/>
      <c r="R173" s="500"/>
      <c r="S173" s="500"/>
      <c r="T173" s="500"/>
      <c r="U173" s="500"/>
      <c r="V173" s="500"/>
      <c r="W173" s="500"/>
      <c r="X173" s="500"/>
      <c r="Y173" s="500"/>
      <c r="Z173" s="500"/>
      <c r="AA173" s="500"/>
      <c r="AB173" s="500"/>
      <c r="AC173" s="500"/>
      <c r="AD173" s="500"/>
      <c r="AE173" s="500"/>
      <c r="AF173" s="500"/>
      <c r="AG173" s="500"/>
      <c r="AH173" s="500"/>
      <c r="AI173" s="500"/>
      <c r="AJ173" s="500"/>
      <c r="AK173" s="500"/>
      <c r="AL173" s="500"/>
      <c r="AM173" s="500"/>
      <c r="AN173" s="500"/>
      <c r="AO173" s="500"/>
      <c r="AP173" s="500"/>
      <c r="AQ173" s="500"/>
      <c r="AR173" s="500"/>
      <c r="AS173" s="500"/>
      <c r="AT173" s="500"/>
      <c r="AU173" s="500"/>
      <c r="AV173" s="500"/>
      <c r="AW173" s="500"/>
      <c r="AX173" s="500"/>
      <c r="AY173" s="500"/>
      <c r="AZ173" s="500"/>
      <c r="BA173" s="500"/>
      <c r="BB173" s="500"/>
      <c r="BC173" s="500"/>
      <c r="BD173" s="500"/>
      <c r="BE173" s="500"/>
      <c r="BF173" s="500"/>
      <c r="BG173" s="500"/>
      <c r="BH173" s="500"/>
      <c r="BI173" s="500"/>
      <c r="BJ173" s="500"/>
      <c r="BK173" s="500"/>
      <c r="BL173" s="500"/>
      <c r="BM173" s="500"/>
    </row>
    <row r="174" ht="12.75" hidden="1" customHeight="1">
      <c r="A174" s="739"/>
      <c r="B174" s="488"/>
      <c r="C174" s="733"/>
      <c r="D174" s="733"/>
      <c r="E174" s="733"/>
      <c r="F174" s="733"/>
      <c r="G174" s="733"/>
      <c r="H174" s="733"/>
      <c r="I174" s="733"/>
      <c r="J174" s="733"/>
      <c r="K174" s="733"/>
      <c r="L174" s="733"/>
      <c r="M174" s="733"/>
      <c r="N174" s="733"/>
      <c r="O174" s="488"/>
      <c r="P174" s="533"/>
      <c r="Q174" s="533"/>
      <c r="R174" s="533"/>
      <c r="S174" s="533"/>
      <c r="T174" s="740"/>
      <c r="U174" s="740"/>
      <c r="V174" s="740"/>
      <c r="W174" s="740"/>
      <c r="X174" s="740"/>
      <c r="Y174" s="740"/>
      <c r="Z174" s="740"/>
      <c r="AA174" s="740"/>
      <c r="AB174" s="740"/>
      <c r="AC174" s="740"/>
      <c r="AD174" s="740"/>
      <c r="AE174" s="740"/>
      <c r="AF174" s="740"/>
      <c r="AG174" s="740"/>
      <c r="AH174" s="740"/>
      <c r="AI174" s="740"/>
      <c r="AJ174" s="740"/>
      <c r="AK174" s="740"/>
      <c r="AL174" s="740"/>
      <c r="AM174" s="740"/>
      <c r="AN174" s="740"/>
      <c r="AO174" s="740"/>
      <c r="AP174" s="740"/>
      <c r="AQ174" s="740"/>
      <c r="AR174" s="740"/>
      <c r="AS174" s="740"/>
      <c r="AT174" s="740"/>
      <c r="AU174" s="740"/>
      <c r="AV174" s="740"/>
      <c r="AW174" s="740"/>
      <c r="AX174" s="740"/>
      <c r="AY174" s="740"/>
      <c r="AZ174" s="740"/>
      <c r="BA174" s="740"/>
      <c r="BB174" s="740"/>
      <c r="BC174" s="740"/>
      <c r="BD174" s="740"/>
      <c r="BE174" s="740"/>
      <c r="BF174" s="740"/>
      <c r="BG174" s="740"/>
      <c r="BH174" s="740"/>
      <c r="BI174" s="740"/>
      <c r="BJ174" s="740"/>
      <c r="BK174" s="740"/>
      <c r="BL174" s="533"/>
      <c r="BM174" s="533"/>
    </row>
    <row r="175" ht="12.75" hidden="1" customHeight="1">
      <c r="A175" s="720"/>
      <c r="B175" s="488"/>
      <c r="C175" s="489" t="s">
        <v>412</v>
      </c>
      <c r="D175" s="490"/>
      <c r="E175" s="490"/>
      <c r="F175" s="490"/>
      <c r="G175" s="490"/>
      <c r="H175" s="490"/>
      <c r="I175" s="490"/>
      <c r="J175" s="490"/>
      <c r="K175" s="490"/>
      <c r="L175" s="490"/>
      <c r="M175" s="490"/>
      <c r="N175" s="491"/>
      <c r="O175" s="575"/>
      <c r="P175" s="546" t="s">
        <v>340</v>
      </c>
      <c r="Q175" s="494"/>
      <c r="R175" s="494"/>
      <c r="S175" s="495"/>
      <c r="T175" s="736" t="s">
        <v>341</v>
      </c>
      <c r="U175" s="722"/>
      <c r="V175" s="722"/>
      <c r="W175" s="723"/>
      <c r="X175" s="736" t="s">
        <v>342</v>
      </c>
      <c r="Y175" s="722"/>
      <c r="Z175" s="722"/>
      <c r="AA175" s="723"/>
      <c r="AB175" s="546" t="s">
        <v>343</v>
      </c>
      <c r="AC175" s="494"/>
      <c r="AD175" s="494"/>
      <c r="AE175" s="495"/>
      <c r="AF175" s="496" t="s">
        <v>344</v>
      </c>
      <c r="AG175" s="494"/>
      <c r="AH175" s="494"/>
      <c r="AI175" s="495"/>
      <c r="AJ175" s="496" t="s">
        <v>345</v>
      </c>
      <c r="AK175" s="494"/>
      <c r="AL175" s="494"/>
      <c r="AM175" s="495"/>
      <c r="AN175" s="496" t="s">
        <v>346</v>
      </c>
      <c r="AO175" s="494"/>
      <c r="AP175" s="494"/>
      <c r="AQ175" s="495"/>
      <c r="AR175" s="496" t="s">
        <v>347</v>
      </c>
      <c r="AS175" s="494"/>
      <c r="AT175" s="494"/>
      <c r="AU175" s="495"/>
      <c r="AV175" s="496" t="s">
        <v>348</v>
      </c>
      <c r="AW175" s="494"/>
      <c r="AX175" s="494"/>
      <c r="AY175" s="495"/>
      <c r="AZ175" s="496" t="s">
        <v>349</v>
      </c>
      <c r="BA175" s="494"/>
      <c r="BB175" s="494"/>
      <c r="BC175" s="495"/>
      <c r="BD175" s="496" t="s">
        <v>350</v>
      </c>
      <c r="BE175" s="494"/>
      <c r="BF175" s="494"/>
      <c r="BG175" s="495"/>
      <c r="BH175" s="496" t="s">
        <v>351</v>
      </c>
      <c r="BI175" s="494"/>
      <c r="BJ175" s="494"/>
      <c r="BK175" s="495"/>
      <c r="BL175" s="500"/>
      <c r="BM175" s="500"/>
    </row>
    <row r="176" ht="12.75" hidden="1" customHeight="1">
      <c r="A176" s="724"/>
      <c r="B176" s="488"/>
      <c r="C176" s="502"/>
      <c r="N176" s="503"/>
      <c r="O176" s="559"/>
      <c r="P176" s="508" t="s">
        <v>370</v>
      </c>
      <c r="Q176" s="506"/>
      <c r="R176" s="506"/>
      <c r="S176" s="507"/>
      <c r="T176" s="508" t="s">
        <v>370</v>
      </c>
      <c r="U176" s="506"/>
      <c r="V176" s="506"/>
      <c r="W176" s="507"/>
      <c r="X176" s="508" t="s">
        <v>370</v>
      </c>
      <c r="Y176" s="506"/>
      <c r="Z176" s="506"/>
      <c r="AA176" s="507"/>
      <c r="AB176" s="508" t="s">
        <v>370</v>
      </c>
      <c r="AC176" s="506"/>
      <c r="AD176" s="506"/>
      <c r="AE176" s="507"/>
      <c r="AF176" s="547" t="s">
        <v>370</v>
      </c>
      <c r="AG176" s="506"/>
      <c r="AH176" s="506"/>
      <c r="AI176" s="549"/>
      <c r="AJ176" s="547" t="s">
        <v>370</v>
      </c>
      <c r="AK176" s="506"/>
      <c r="AL176" s="506"/>
      <c r="AM176" s="507"/>
      <c r="AN176" s="547" t="s">
        <v>370</v>
      </c>
      <c r="AO176" s="506"/>
      <c r="AP176" s="506"/>
      <c r="AQ176" s="507"/>
      <c r="AR176" s="547" t="s">
        <v>370</v>
      </c>
      <c r="AS176" s="506"/>
      <c r="AT176" s="506"/>
      <c r="AU176" s="507"/>
      <c r="AV176" s="547" t="s">
        <v>370</v>
      </c>
      <c r="AW176" s="506"/>
      <c r="AX176" s="506"/>
      <c r="AY176" s="507"/>
      <c r="AZ176" s="547" t="s">
        <v>370</v>
      </c>
      <c r="BA176" s="506"/>
      <c r="BB176" s="506"/>
      <c r="BC176" s="507"/>
      <c r="BD176" s="547" t="s">
        <v>370</v>
      </c>
      <c r="BE176" s="506"/>
      <c r="BF176" s="506"/>
      <c r="BG176" s="507"/>
      <c r="BH176" s="547" t="s">
        <v>370</v>
      </c>
      <c r="BI176" s="506"/>
      <c r="BJ176" s="506"/>
      <c r="BK176" s="507"/>
      <c r="BL176" s="562"/>
      <c r="BM176" s="562"/>
    </row>
    <row r="177" ht="12.75" hidden="1" customHeight="1">
      <c r="A177" s="726"/>
      <c r="B177" s="521"/>
      <c r="C177" s="512"/>
      <c r="D177" s="513"/>
      <c r="E177" s="513"/>
      <c r="F177" s="513"/>
      <c r="G177" s="513"/>
      <c r="H177" s="513"/>
      <c r="I177" s="513"/>
      <c r="J177" s="513"/>
      <c r="K177" s="513"/>
      <c r="L177" s="513"/>
      <c r="M177" s="513"/>
      <c r="N177" s="514"/>
      <c r="O177" s="515"/>
      <c r="P177" s="517">
        <v>0.0</v>
      </c>
      <c r="Q177" s="498"/>
      <c r="R177" s="498"/>
      <c r="S177" s="498"/>
      <c r="T177" s="517">
        <v>0.0</v>
      </c>
      <c r="U177" s="498"/>
      <c r="V177" s="498"/>
      <c r="W177" s="498"/>
      <c r="X177" s="517">
        <v>0.0</v>
      </c>
      <c r="Y177" s="498"/>
      <c r="Z177" s="498"/>
      <c r="AA177" s="498"/>
      <c r="AB177" s="517"/>
      <c r="AC177" s="498"/>
      <c r="AD177" s="498"/>
      <c r="AE177" s="498"/>
      <c r="AF177" s="517">
        <v>0.0</v>
      </c>
      <c r="AG177" s="498"/>
      <c r="AH177" s="498"/>
      <c r="AI177" s="498"/>
      <c r="AJ177" s="517">
        <v>0.0</v>
      </c>
      <c r="AK177" s="498"/>
      <c r="AL177" s="498"/>
      <c r="AM177" s="498"/>
      <c r="AN177" s="517">
        <v>0.0</v>
      </c>
      <c r="AO177" s="498"/>
      <c r="AP177" s="498"/>
      <c r="AQ177" s="498"/>
      <c r="AR177" s="517">
        <v>0.0</v>
      </c>
      <c r="AS177" s="498"/>
      <c r="AT177" s="498"/>
      <c r="AU177" s="498"/>
      <c r="AV177" s="517">
        <v>0.0</v>
      </c>
      <c r="AW177" s="498"/>
      <c r="AX177" s="498"/>
      <c r="AY177" s="498"/>
      <c r="AZ177" s="517">
        <v>0.0</v>
      </c>
      <c r="BA177" s="498"/>
      <c r="BB177" s="498"/>
      <c r="BC177" s="498"/>
      <c r="BD177" s="517">
        <v>0.0</v>
      </c>
      <c r="BE177" s="498"/>
      <c r="BF177" s="498"/>
      <c r="BG177" s="498"/>
      <c r="BH177" s="517">
        <v>0.0</v>
      </c>
      <c r="BI177" s="498"/>
      <c r="BJ177" s="498"/>
      <c r="BK177" s="499"/>
      <c r="BL177" s="519"/>
      <c r="BM177" s="519"/>
    </row>
    <row r="178" ht="12.75" hidden="1" customHeight="1">
      <c r="A178" s="732" t="s">
        <v>371</v>
      </c>
      <c r="B178" s="521"/>
      <c r="C178" s="552" t="s">
        <v>354</v>
      </c>
      <c r="D178" s="552" t="s">
        <v>355</v>
      </c>
      <c r="E178" s="552" t="s">
        <v>356</v>
      </c>
      <c r="F178" s="552" t="s">
        <v>357</v>
      </c>
      <c r="G178" s="552" t="s">
        <v>5</v>
      </c>
      <c r="H178" s="552" t="s">
        <v>358</v>
      </c>
      <c r="I178" s="552" t="s">
        <v>359</v>
      </c>
      <c r="J178" s="552" t="s">
        <v>360</v>
      </c>
      <c r="K178" s="552" t="s">
        <v>361</v>
      </c>
      <c r="L178" s="552" t="s">
        <v>362</v>
      </c>
      <c r="M178" s="552" t="s">
        <v>363</v>
      </c>
      <c r="N178" s="552" t="s">
        <v>364</v>
      </c>
      <c r="O178" s="515"/>
      <c r="P178" s="667" t="s">
        <v>319</v>
      </c>
      <c r="Q178" s="667" t="s">
        <v>365</v>
      </c>
      <c r="R178" s="667" t="s">
        <v>366</v>
      </c>
      <c r="S178" s="667" t="s">
        <v>367</v>
      </c>
      <c r="T178" s="667" t="s">
        <v>319</v>
      </c>
      <c r="U178" s="667" t="s">
        <v>365</v>
      </c>
      <c r="V178" s="667" t="s">
        <v>366</v>
      </c>
      <c r="W178" s="667" t="s">
        <v>367</v>
      </c>
      <c r="X178" s="667" t="s">
        <v>319</v>
      </c>
      <c r="Y178" s="667" t="s">
        <v>365</v>
      </c>
      <c r="Z178" s="667" t="s">
        <v>366</v>
      </c>
      <c r="AA178" s="667" t="s">
        <v>367</v>
      </c>
      <c r="AB178" s="667" t="s">
        <v>319</v>
      </c>
      <c r="AC178" s="667" t="s">
        <v>365</v>
      </c>
      <c r="AD178" s="667" t="s">
        <v>366</v>
      </c>
      <c r="AE178" s="667" t="s">
        <v>367</v>
      </c>
      <c r="AF178" s="524" t="s">
        <v>319</v>
      </c>
      <c r="AG178" s="524" t="s">
        <v>365</v>
      </c>
      <c r="AH178" s="524" t="s">
        <v>366</v>
      </c>
      <c r="AI178" s="524" t="s">
        <v>367</v>
      </c>
      <c r="AJ178" s="524" t="s">
        <v>319</v>
      </c>
      <c r="AK178" s="524" t="s">
        <v>365</v>
      </c>
      <c r="AL178" s="524" t="s">
        <v>366</v>
      </c>
      <c r="AM178" s="524" t="s">
        <v>367</v>
      </c>
      <c r="AN178" s="524" t="s">
        <v>319</v>
      </c>
      <c r="AO178" s="524" t="s">
        <v>365</v>
      </c>
      <c r="AP178" s="524" t="s">
        <v>366</v>
      </c>
      <c r="AQ178" s="524" t="s">
        <v>367</v>
      </c>
      <c r="AR178" s="727" t="s">
        <v>319</v>
      </c>
      <c r="AS178" s="524" t="s">
        <v>365</v>
      </c>
      <c r="AT178" s="524" t="s">
        <v>366</v>
      </c>
      <c r="AU178" s="524" t="s">
        <v>367</v>
      </c>
      <c r="AV178" s="524" t="s">
        <v>319</v>
      </c>
      <c r="AW178" s="524" t="s">
        <v>365</v>
      </c>
      <c r="AX178" s="524" t="s">
        <v>366</v>
      </c>
      <c r="AY178" s="524" t="s">
        <v>367</v>
      </c>
      <c r="AZ178" s="524" t="s">
        <v>319</v>
      </c>
      <c r="BA178" s="524" t="s">
        <v>365</v>
      </c>
      <c r="BB178" s="524" t="s">
        <v>366</v>
      </c>
      <c r="BC178" s="524" t="s">
        <v>367</v>
      </c>
      <c r="BD178" s="524" t="s">
        <v>319</v>
      </c>
      <c r="BE178" s="524" t="s">
        <v>365</v>
      </c>
      <c r="BF178" s="524" t="s">
        <v>366</v>
      </c>
      <c r="BG178" s="524" t="s">
        <v>367</v>
      </c>
      <c r="BH178" s="524" t="s">
        <v>319</v>
      </c>
      <c r="BI178" s="524" t="s">
        <v>365</v>
      </c>
      <c r="BJ178" s="524" t="s">
        <v>366</v>
      </c>
      <c r="BK178" s="524" t="s">
        <v>367</v>
      </c>
      <c r="BL178" s="500"/>
      <c r="BM178" s="500"/>
    </row>
    <row r="179" ht="12.75" hidden="1" customHeight="1">
      <c r="A179" s="741" t="s">
        <v>405</v>
      </c>
      <c r="B179" s="511"/>
      <c r="C179" s="553" t="str">
        <f t="shared" ref="C179:N179" si="410">MV!B123</f>
        <v>#REF!</v>
      </c>
      <c r="D179" s="553" t="str">
        <f t="shared" si="410"/>
        <v>#REF!</v>
      </c>
      <c r="E179" s="553" t="str">
        <f t="shared" si="410"/>
        <v>#REF!</v>
      </c>
      <c r="F179" s="553" t="str">
        <f t="shared" si="410"/>
        <v>#REF!</v>
      </c>
      <c r="G179" s="553" t="str">
        <f t="shared" si="410"/>
        <v>#REF!</v>
      </c>
      <c r="H179" s="553" t="str">
        <f t="shared" si="410"/>
        <v>#REF!</v>
      </c>
      <c r="I179" s="553" t="str">
        <f t="shared" si="410"/>
        <v>#REF!</v>
      </c>
      <c r="J179" s="553" t="str">
        <f t="shared" si="410"/>
        <v>#REF!</v>
      </c>
      <c r="K179" s="553" t="str">
        <f t="shared" si="410"/>
        <v>#REF!</v>
      </c>
      <c r="L179" s="553" t="str">
        <f t="shared" si="410"/>
        <v>#REF!</v>
      </c>
      <c r="M179" s="553" t="str">
        <f t="shared" si="410"/>
        <v>#REF!</v>
      </c>
      <c r="N179" s="553" t="str">
        <f t="shared" si="410"/>
        <v>#REF!</v>
      </c>
      <c r="O179" s="533"/>
      <c r="P179" s="553" t="str">
        <f>SUM(C179:N179)</f>
        <v>#REF!</v>
      </c>
      <c r="Q179" s="554"/>
      <c r="R179" s="554"/>
      <c r="S179" s="554">
        <f>P177</f>
        <v>0</v>
      </c>
      <c r="T179" s="669" t="str">
        <f>SUM(C179:N179)</f>
        <v>#REF!</v>
      </c>
      <c r="U179" s="729"/>
      <c r="V179" s="554"/>
      <c r="W179" s="554">
        <f>T177</f>
        <v>0</v>
      </c>
      <c r="X179" s="553" t="str">
        <f>SUM(C179:N179)</f>
        <v>#REF!</v>
      </c>
      <c r="Y179" s="651"/>
      <c r="Z179" s="731"/>
      <c r="AA179" s="651">
        <f>X177</f>
        <v>0</v>
      </c>
      <c r="AB179" s="553" t="str">
        <f>SUM(C179:N179)</f>
        <v>#REF!</v>
      </c>
      <c r="AC179" s="554"/>
      <c r="AD179" s="554"/>
      <c r="AE179" s="651" t="str">
        <f>AB177</f>
        <v/>
      </c>
      <c r="AF179" s="529" t="str">
        <f>SUM(C179:N179)</f>
        <v>#REF!</v>
      </c>
      <c r="AG179" s="530"/>
      <c r="AH179" s="530"/>
      <c r="AI179" s="530">
        <f>AF177</f>
        <v>0</v>
      </c>
      <c r="AJ179" s="529" t="str">
        <f>SUM(C179:N179)</f>
        <v>#REF!</v>
      </c>
      <c r="AK179" s="530"/>
      <c r="AL179" s="530"/>
      <c r="AM179" s="530">
        <f>AJ177</f>
        <v>0</v>
      </c>
      <c r="AN179" s="529" t="str">
        <f>SUM(C179:N179)</f>
        <v>#REF!</v>
      </c>
      <c r="AO179" s="530"/>
      <c r="AP179" s="530"/>
      <c r="AQ179" s="730">
        <f>AN177</f>
        <v>0</v>
      </c>
      <c r="AR179" s="529" t="str">
        <f>SUM(C179:N179)</f>
        <v>#REF!</v>
      </c>
      <c r="AS179" s="530"/>
      <c r="AT179" s="530"/>
      <c r="AU179" s="530">
        <f>AR177</f>
        <v>0</v>
      </c>
      <c r="AV179" s="529" t="str">
        <f>SUM(C179:N179)</f>
        <v>#REF!</v>
      </c>
      <c r="AW179" s="530"/>
      <c r="AX179" s="530"/>
      <c r="AY179" s="530">
        <f>AV177</f>
        <v>0</v>
      </c>
      <c r="AZ179" s="529" t="str">
        <f>SUM(C179:N179)</f>
        <v>#REF!</v>
      </c>
      <c r="BA179" s="530"/>
      <c r="BB179" s="530"/>
      <c r="BC179" s="530">
        <f>AZ177</f>
        <v>0</v>
      </c>
      <c r="BD179" s="529" t="str">
        <f>SUM(C179:N179)</f>
        <v>#REF!</v>
      </c>
      <c r="BE179" s="530"/>
      <c r="BF179" s="530"/>
      <c r="BG179" s="530">
        <f>BD177</f>
        <v>0</v>
      </c>
      <c r="BH179" s="529" t="str">
        <f>SUM(C179:N179)</f>
        <v>#REF!</v>
      </c>
      <c r="BI179" s="530"/>
      <c r="BJ179" s="530"/>
      <c r="BK179" s="530">
        <f>BH177</f>
        <v>0</v>
      </c>
      <c r="BL179" s="531"/>
      <c r="BM179" s="531"/>
    </row>
    <row r="180" ht="12.75" hidden="1" customHeight="1">
      <c r="A180" s="742"/>
      <c r="B180" s="521"/>
      <c r="C180" s="515"/>
      <c r="D180" s="515"/>
      <c r="E180" s="515"/>
      <c r="F180" s="515"/>
      <c r="G180" s="515"/>
      <c r="H180" s="515"/>
      <c r="I180" s="515"/>
      <c r="J180" s="515"/>
      <c r="K180" s="515"/>
      <c r="L180" s="515"/>
      <c r="M180" s="515"/>
      <c r="N180" s="515"/>
      <c r="O180" s="533"/>
      <c r="P180" s="552" t="str">
        <f>SUM(P178:P179)</f>
        <v>#REF!</v>
      </c>
      <c r="Q180" s="556">
        <f t="shared" ref="Q180:AA180" si="411">SUM(Q179)</f>
        <v>0</v>
      </c>
      <c r="R180" s="556">
        <f t="shared" si="411"/>
        <v>0</v>
      </c>
      <c r="S180" s="556">
        <f t="shared" si="411"/>
        <v>0</v>
      </c>
      <c r="T180" s="552" t="str">
        <f t="shared" si="411"/>
        <v>#REF!</v>
      </c>
      <c r="U180" s="556">
        <f t="shared" si="411"/>
        <v>0</v>
      </c>
      <c r="V180" s="556">
        <f t="shared" si="411"/>
        <v>0</v>
      </c>
      <c r="W180" s="556">
        <f t="shared" si="411"/>
        <v>0</v>
      </c>
      <c r="X180" s="552" t="str">
        <f t="shared" si="411"/>
        <v>#REF!</v>
      </c>
      <c r="Y180" s="556">
        <f t="shared" si="411"/>
        <v>0</v>
      </c>
      <c r="Z180" s="556">
        <f t="shared" si="411"/>
        <v>0</v>
      </c>
      <c r="AA180" s="556">
        <f t="shared" si="411"/>
        <v>0</v>
      </c>
      <c r="AB180" s="552" t="str">
        <f>SUM(AB178:AB179)</f>
        <v>#REF!</v>
      </c>
      <c r="AC180" s="556"/>
      <c r="AD180" s="556"/>
      <c r="AE180" s="556"/>
      <c r="AF180" s="535" t="str">
        <f t="shared" ref="AF180:BK180" si="412">SUM(AF179)</f>
        <v>#REF!</v>
      </c>
      <c r="AG180" s="556">
        <f t="shared" si="412"/>
        <v>0</v>
      </c>
      <c r="AH180" s="556">
        <f t="shared" si="412"/>
        <v>0</v>
      </c>
      <c r="AI180" s="556">
        <f t="shared" si="412"/>
        <v>0</v>
      </c>
      <c r="AJ180" s="535" t="str">
        <f t="shared" si="412"/>
        <v>#REF!</v>
      </c>
      <c r="AK180" s="556">
        <f t="shared" si="412"/>
        <v>0</v>
      </c>
      <c r="AL180" s="556">
        <f t="shared" si="412"/>
        <v>0</v>
      </c>
      <c r="AM180" s="556">
        <f t="shared" si="412"/>
        <v>0</v>
      </c>
      <c r="AN180" s="535" t="str">
        <f t="shared" si="412"/>
        <v>#REF!</v>
      </c>
      <c r="AO180" s="556">
        <f t="shared" si="412"/>
        <v>0</v>
      </c>
      <c r="AP180" s="556">
        <f t="shared" si="412"/>
        <v>0</v>
      </c>
      <c r="AQ180" s="556">
        <f t="shared" si="412"/>
        <v>0</v>
      </c>
      <c r="AR180" s="535" t="str">
        <f t="shared" si="412"/>
        <v>#REF!</v>
      </c>
      <c r="AS180" s="556">
        <f t="shared" si="412"/>
        <v>0</v>
      </c>
      <c r="AT180" s="556">
        <f t="shared" si="412"/>
        <v>0</v>
      </c>
      <c r="AU180" s="556">
        <f t="shared" si="412"/>
        <v>0</v>
      </c>
      <c r="AV180" s="535" t="str">
        <f t="shared" si="412"/>
        <v>#REF!</v>
      </c>
      <c r="AW180" s="556">
        <f t="shared" si="412"/>
        <v>0</v>
      </c>
      <c r="AX180" s="556">
        <f t="shared" si="412"/>
        <v>0</v>
      </c>
      <c r="AY180" s="556">
        <f t="shared" si="412"/>
        <v>0</v>
      </c>
      <c r="AZ180" s="535" t="str">
        <f t="shared" si="412"/>
        <v>#REF!</v>
      </c>
      <c r="BA180" s="556">
        <f t="shared" si="412"/>
        <v>0</v>
      </c>
      <c r="BB180" s="556">
        <f t="shared" si="412"/>
        <v>0</v>
      </c>
      <c r="BC180" s="556">
        <f t="shared" si="412"/>
        <v>0</v>
      </c>
      <c r="BD180" s="535" t="str">
        <f t="shared" si="412"/>
        <v>#REF!</v>
      </c>
      <c r="BE180" s="556">
        <f t="shared" si="412"/>
        <v>0</v>
      </c>
      <c r="BF180" s="556">
        <f t="shared" si="412"/>
        <v>0</v>
      </c>
      <c r="BG180" s="556">
        <f t="shared" si="412"/>
        <v>0</v>
      </c>
      <c r="BH180" s="535" t="str">
        <f t="shared" si="412"/>
        <v>#REF!</v>
      </c>
      <c r="BI180" s="556">
        <f t="shared" si="412"/>
        <v>0</v>
      </c>
      <c r="BJ180" s="556">
        <f t="shared" si="412"/>
        <v>0</v>
      </c>
      <c r="BK180" s="556">
        <f t="shared" si="412"/>
        <v>0</v>
      </c>
      <c r="BL180" s="557"/>
      <c r="BM180" s="557"/>
    </row>
    <row r="181" ht="12.75" customHeight="1">
      <c r="A181" s="743"/>
      <c r="B181" s="521"/>
      <c r="C181" s="733"/>
      <c r="D181" s="733"/>
      <c r="E181" s="733"/>
      <c r="F181" s="733"/>
      <c r="G181" s="733"/>
      <c r="H181" s="733"/>
      <c r="I181" s="733"/>
      <c r="J181" s="733"/>
      <c r="K181" s="733"/>
      <c r="L181" s="733"/>
      <c r="M181" s="733"/>
      <c r="N181" s="733"/>
      <c r="O181" s="533"/>
      <c r="P181" s="500"/>
      <c r="Q181" s="500"/>
      <c r="R181" s="500"/>
      <c r="S181" s="500"/>
      <c r="T181" s="500"/>
      <c r="U181" s="500"/>
      <c r="V181" s="500"/>
      <c r="W181" s="500"/>
      <c r="X181" s="500"/>
      <c r="Y181" s="500"/>
      <c r="Z181" s="500"/>
      <c r="AA181" s="500"/>
      <c r="AB181" s="500"/>
      <c r="AC181" s="500"/>
      <c r="AD181" s="500"/>
      <c r="AE181" s="500"/>
      <c r="AF181" s="500"/>
      <c r="AG181" s="500"/>
      <c r="AH181" s="500"/>
      <c r="AI181" s="500"/>
      <c r="AJ181" s="500"/>
      <c r="AK181" s="500"/>
      <c r="AL181" s="500"/>
      <c r="AM181" s="500"/>
      <c r="AN181" s="500"/>
      <c r="AO181" s="500"/>
      <c r="AP181" s="500"/>
      <c r="AQ181" s="500"/>
      <c r="AR181" s="500"/>
      <c r="AS181" s="500"/>
      <c r="AT181" s="500"/>
      <c r="AU181" s="500"/>
      <c r="AV181" s="500"/>
      <c r="AW181" s="500"/>
      <c r="AX181" s="500"/>
      <c r="AY181" s="500"/>
      <c r="AZ181" s="500"/>
      <c r="BA181" s="500"/>
      <c r="BB181" s="500"/>
      <c r="BC181" s="500"/>
      <c r="BD181" s="500"/>
      <c r="BE181" s="500"/>
      <c r="BF181" s="500"/>
      <c r="BG181" s="500"/>
      <c r="BH181" s="500"/>
      <c r="BI181" s="500"/>
      <c r="BJ181" s="500"/>
      <c r="BK181" s="500"/>
      <c r="BL181" s="500"/>
      <c r="BM181" s="500"/>
    </row>
    <row r="182" ht="12.75" customHeight="1">
      <c r="A182" s="743"/>
      <c r="B182" s="521"/>
      <c r="C182" s="733"/>
      <c r="D182" s="733"/>
      <c r="E182" s="733"/>
      <c r="F182" s="733"/>
      <c r="G182" s="733"/>
      <c r="H182" s="733"/>
      <c r="I182" s="733"/>
      <c r="J182" s="733"/>
      <c r="K182" s="733"/>
      <c r="L182" s="733"/>
      <c r="M182" s="733"/>
      <c r="N182" s="733"/>
      <c r="O182" s="533"/>
      <c r="P182" s="500"/>
      <c r="Q182" s="500"/>
      <c r="R182" s="500"/>
      <c r="S182" s="500"/>
      <c r="T182" s="500"/>
      <c r="U182" s="500"/>
      <c r="V182" s="500"/>
      <c r="W182" s="500"/>
      <c r="X182" s="500"/>
      <c r="Y182" s="500"/>
      <c r="Z182" s="500"/>
      <c r="AA182" s="500"/>
      <c r="AB182" s="500"/>
      <c r="AC182" s="500"/>
      <c r="AD182" s="500"/>
      <c r="AE182" s="500"/>
      <c r="AF182" s="500"/>
      <c r="AG182" s="500"/>
      <c r="AH182" s="500"/>
      <c r="AI182" s="500"/>
      <c r="AJ182" s="500"/>
      <c r="AK182" s="500"/>
      <c r="AL182" s="500"/>
      <c r="AM182" s="500"/>
      <c r="AN182" s="500"/>
      <c r="AO182" s="500"/>
      <c r="AP182" s="500"/>
      <c r="AQ182" s="500"/>
      <c r="AR182" s="500"/>
      <c r="AS182" s="500"/>
      <c r="AT182" s="500"/>
      <c r="AU182" s="500"/>
      <c r="AV182" s="500"/>
      <c r="AW182" s="500"/>
      <c r="AX182" s="500"/>
      <c r="AY182" s="500"/>
      <c r="AZ182" s="500"/>
      <c r="BA182" s="500"/>
      <c r="BB182" s="500"/>
      <c r="BC182" s="500"/>
      <c r="BD182" s="500"/>
      <c r="BE182" s="500"/>
      <c r="BF182" s="500"/>
      <c r="BG182" s="500"/>
      <c r="BH182" s="500"/>
      <c r="BI182" s="500"/>
      <c r="BJ182" s="500"/>
      <c r="BK182" s="500"/>
      <c r="BL182" s="500"/>
      <c r="BM182" s="500"/>
    </row>
    <row r="183" ht="12.75" customHeight="1">
      <c r="A183" s="718"/>
      <c r="B183" s="521"/>
      <c r="C183" s="489" t="s">
        <v>413</v>
      </c>
      <c r="D183" s="490"/>
      <c r="E183" s="490"/>
      <c r="F183" s="490"/>
      <c r="G183" s="490"/>
      <c r="H183" s="490"/>
      <c r="I183" s="490"/>
      <c r="J183" s="490"/>
      <c r="K183" s="490"/>
      <c r="L183" s="490"/>
      <c r="M183" s="490"/>
      <c r="N183" s="491"/>
      <c r="O183" s="533"/>
      <c r="P183" s="576" t="s">
        <v>340</v>
      </c>
      <c r="Q183" s="494"/>
      <c r="R183" s="494"/>
      <c r="S183" s="495"/>
      <c r="T183" s="576" t="s">
        <v>341</v>
      </c>
      <c r="U183" s="494"/>
      <c r="V183" s="494"/>
      <c r="W183" s="495"/>
      <c r="X183" s="576" t="s">
        <v>342</v>
      </c>
      <c r="Y183" s="494"/>
      <c r="Z183" s="494"/>
      <c r="AA183" s="495"/>
      <c r="AB183" s="576" t="s">
        <v>343</v>
      </c>
      <c r="AC183" s="494"/>
      <c r="AD183" s="494"/>
      <c r="AE183" s="495"/>
      <c r="AF183" s="576" t="s">
        <v>344</v>
      </c>
      <c r="AG183" s="494"/>
      <c r="AH183" s="494"/>
      <c r="AI183" s="495"/>
      <c r="AJ183" s="576" t="s">
        <v>345</v>
      </c>
      <c r="AK183" s="494"/>
      <c r="AL183" s="494"/>
      <c r="AM183" s="495"/>
      <c r="AN183" s="576" t="s">
        <v>346</v>
      </c>
      <c r="AO183" s="494"/>
      <c r="AP183" s="494"/>
      <c r="AQ183" s="495"/>
      <c r="AR183" s="576" t="s">
        <v>347</v>
      </c>
      <c r="AS183" s="494"/>
      <c r="AT183" s="494"/>
      <c r="AU183" s="495"/>
      <c r="AV183" s="576" t="s">
        <v>348</v>
      </c>
      <c r="AW183" s="494"/>
      <c r="AX183" s="494"/>
      <c r="AY183" s="495"/>
      <c r="AZ183" s="576" t="s">
        <v>349</v>
      </c>
      <c r="BA183" s="494"/>
      <c r="BB183" s="494"/>
      <c r="BC183" s="495"/>
      <c r="BD183" s="576" t="s">
        <v>350</v>
      </c>
      <c r="BE183" s="494"/>
      <c r="BF183" s="494"/>
      <c r="BG183" s="495"/>
      <c r="BH183" s="576" t="s">
        <v>351</v>
      </c>
      <c r="BI183" s="494"/>
      <c r="BJ183" s="494"/>
      <c r="BK183" s="495"/>
      <c r="BL183" s="500"/>
      <c r="BM183" s="500"/>
    </row>
    <row r="184" ht="12.75" customHeight="1">
      <c r="A184" s="718"/>
      <c r="B184" s="521"/>
      <c r="C184" s="502"/>
      <c r="N184" s="503"/>
      <c r="O184" s="533"/>
      <c r="P184" s="508" t="s">
        <v>414</v>
      </c>
      <c r="Q184" s="506"/>
      <c r="R184" s="506"/>
      <c r="S184" s="549"/>
      <c r="T184" s="508" t="s">
        <v>414</v>
      </c>
      <c r="U184" s="506"/>
      <c r="V184" s="506"/>
      <c r="W184" s="549"/>
      <c r="X184" s="508" t="s">
        <v>414</v>
      </c>
      <c r="Y184" s="506"/>
      <c r="Z184" s="506"/>
      <c r="AA184" s="549"/>
      <c r="AB184" s="508" t="s">
        <v>414</v>
      </c>
      <c r="AC184" s="506"/>
      <c r="AD184" s="506"/>
      <c r="AE184" s="549"/>
      <c r="AF184" s="508" t="s">
        <v>414</v>
      </c>
      <c r="AG184" s="506"/>
      <c r="AH184" s="506"/>
      <c r="AI184" s="549"/>
      <c r="AJ184" s="508" t="s">
        <v>414</v>
      </c>
      <c r="AK184" s="506"/>
      <c r="AL184" s="506"/>
      <c r="AM184" s="549"/>
      <c r="AN184" s="508" t="s">
        <v>414</v>
      </c>
      <c r="AO184" s="506"/>
      <c r="AP184" s="506"/>
      <c r="AQ184" s="549"/>
      <c r="AR184" s="508" t="s">
        <v>414</v>
      </c>
      <c r="AS184" s="506"/>
      <c r="AT184" s="506"/>
      <c r="AU184" s="549"/>
      <c r="AV184" s="508" t="s">
        <v>414</v>
      </c>
      <c r="AW184" s="506"/>
      <c r="AX184" s="506"/>
      <c r="AY184" s="549"/>
      <c r="AZ184" s="508" t="s">
        <v>414</v>
      </c>
      <c r="BA184" s="506"/>
      <c r="BB184" s="506"/>
      <c r="BC184" s="549"/>
      <c r="BD184" s="508" t="s">
        <v>414</v>
      </c>
      <c r="BE184" s="506"/>
      <c r="BF184" s="506"/>
      <c r="BG184" s="549"/>
      <c r="BH184" s="508" t="s">
        <v>414</v>
      </c>
      <c r="BI184" s="506"/>
      <c r="BJ184" s="506"/>
      <c r="BK184" s="549"/>
      <c r="BL184" s="509"/>
      <c r="BM184" s="509"/>
    </row>
    <row r="185" ht="12.75" customHeight="1">
      <c r="A185" s="718"/>
      <c r="B185" s="521"/>
      <c r="C185" s="512"/>
      <c r="D185" s="513"/>
      <c r="E185" s="513"/>
      <c r="F185" s="513"/>
      <c r="G185" s="513"/>
      <c r="H185" s="513"/>
      <c r="I185" s="513"/>
      <c r="J185" s="513"/>
      <c r="K185" s="513"/>
      <c r="L185" s="513"/>
      <c r="M185" s="513"/>
      <c r="N185" s="514"/>
      <c r="O185" s="533"/>
      <c r="P185" s="579">
        <f>10400+3000</f>
        <v>13400</v>
      </c>
      <c r="Q185" s="498"/>
      <c r="R185" s="498"/>
      <c r="S185" s="498"/>
      <c r="T185" s="579">
        <f>10400+3000</f>
        <v>13400</v>
      </c>
      <c r="U185" s="498"/>
      <c r="V185" s="498"/>
      <c r="W185" s="498"/>
      <c r="X185" s="579">
        <f>20800+3000</f>
        <v>23800</v>
      </c>
      <c r="Y185" s="498"/>
      <c r="Z185" s="498"/>
      <c r="AA185" s="498"/>
      <c r="AB185" s="579">
        <f>20800+3000</f>
        <v>23800</v>
      </c>
      <c r="AC185" s="498"/>
      <c r="AD185" s="498"/>
      <c r="AE185" s="498"/>
      <c r="AF185" s="579">
        <f>24480+3000+1000</f>
        <v>28480</v>
      </c>
      <c r="AG185" s="498"/>
      <c r="AH185" s="498"/>
      <c r="AI185" s="498"/>
      <c r="AJ185" s="579">
        <f>24480+3000+1000</f>
        <v>28480</v>
      </c>
      <c r="AK185" s="498"/>
      <c r="AL185" s="498"/>
      <c r="AM185" s="498"/>
      <c r="AN185" s="579">
        <f>10400+3000</f>
        <v>13400</v>
      </c>
      <c r="AO185" s="498"/>
      <c r="AP185" s="498"/>
      <c r="AQ185" s="498"/>
      <c r="AR185" s="579">
        <f>10400+3000</f>
        <v>13400</v>
      </c>
      <c r="AS185" s="498"/>
      <c r="AT185" s="498"/>
      <c r="AU185" s="498"/>
      <c r="AV185" s="579">
        <f>20800+3000</f>
        <v>23800</v>
      </c>
      <c r="AW185" s="498"/>
      <c r="AX185" s="498"/>
      <c r="AY185" s="498"/>
      <c r="AZ185" s="579">
        <f>20800+3000</f>
        <v>23800</v>
      </c>
      <c r="BA185" s="498"/>
      <c r="BB185" s="498"/>
      <c r="BC185" s="498"/>
      <c r="BD185" s="579">
        <f>20800+3000+1000</f>
        <v>24800</v>
      </c>
      <c r="BE185" s="498"/>
      <c r="BF185" s="498"/>
      <c r="BG185" s="498"/>
      <c r="BH185" s="579">
        <f>24480+3000+1000</f>
        <v>28480</v>
      </c>
      <c r="BI185" s="498"/>
      <c r="BJ185" s="498"/>
      <c r="BK185" s="498"/>
      <c r="BL185" s="519"/>
      <c r="BM185" s="519">
        <f>SUM(P185:BH185)</f>
        <v>259040</v>
      </c>
    </row>
    <row r="186" ht="12.75" customHeight="1">
      <c r="A186" s="580" t="s">
        <v>411</v>
      </c>
      <c r="B186" s="521"/>
      <c r="C186" s="522" t="s">
        <v>354</v>
      </c>
      <c r="D186" s="552" t="s">
        <v>355</v>
      </c>
      <c r="E186" s="552" t="s">
        <v>356</v>
      </c>
      <c r="F186" s="552" t="s">
        <v>357</v>
      </c>
      <c r="G186" s="552" t="s">
        <v>5</v>
      </c>
      <c r="H186" s="552" t="s">
        <v>358</v>
      </c>
      <c r="I186" s="552" t="s">
        <v>359</v>
      </c>
      <c r="J186" s="552" t="s">
        <v>360</v>
      </c>
      <c r="K186" s="552" t="s">
        <v>361</v>
      </c>
      <c r="L186" s="552" t="s">
        <v>362</v>
      </c>
      <c r="M186" s="552" t="s">
        <v>363</v>
      </c>
      <c r="N186" s="522" t="s">
        <v>364</v>
      </c>
      <c r="O186" s="533"/>
      <c r="P186" s="552" t="s">
        <v>319</v>
      </c>
      <c r="Q186" s="552" t="s">
        <v>365</v>
      </c>
      <c r="R186" s="552" t="s">
        <v>366</v>
      </c>
      <c r="S186" s="552" t="s">
        <v>367</v>
      </c>
      <c r="T186" s="552" t="s">
        <v>319</v>
      </c>
      <c r="U186" s="552" t="s">
        <v>365</v>
      </c>
      <c r="V186" s="552" t="s">
        <v>366</v>
      </c>
      <c r="W186" s="552" t="s">
        <v>367</v>
      </c>
      <c r="X186" s="522" t="s">
        <v>319</v>
      </c>
      <c r="Y186" s="522" t="s">
        <v>365</v>
      </c>
      <c r="Z186" s="522" t="s">
        <v>366</v>
      </c>
      <c r="AA186" s="522" t="s">
        <v>367</v>
      </c>
      <c r="AB186" s="524" t="s">
        <v>319</v>
      </c>
      <c r="AC186" s="524" t="s">
        <v>365</v>
      </c>
      <c r="AD186" s="524" t="s">
        <v>366</v>
      </c>
      <c r="AE186" s="524" t="s">
        <v>367</v>
      </c>
      <c r="AF186" s="524" t="s">
        <v>319</v>
      </c>
      <c r="AG186" s="524" t="s">
        <v>365</v>
      </c>
      <c r="AH186" s="524" t="s">
        <v>366</v>
      </c>
      <c r="AI186" s="524" t="s">
        <v>367</v>
      </c>
      <c r="AJ186" s="524" t="s">
        <v>319</v>
      </c>
      <c r="AK186" s="524" t="s">
        <v>365</v>
      </c>
      <c r="AL186" s="524" t="s">
        <v>366</v>
      </c>
      <c r="AM186" s="524" t="s">
        <v>367</v>
      </c>
      <c r="AN186" s="524" t="s">
        <v>319</v>
      </c>
      <c r="AO186" s="524" t="s">
        <v>365</v>
      </c>
      <c r="AP186" s="524" t="s">
        <v>366</v>
      </c>
      <c r="AQ186" s="524" t="s">
        <v>367</v>
      </c>
      <c r="AR186" s="524" t="s">
        <v>319</v>
      </c>
      <c r="AS186" s="524" t="s">
        <v>365</v>
      </c>
      <c r="AT186" s="524" t="s">
        <v>366</v>
      </c>
      <c r="AU186" s="524" t="s">
        <v>367</v>
      </c>
      <c r="AV186" s="552" t="s">
        <v>319</v>
      </c>
      <c r="AW186" s="552" t="s">
        <v>365</v>
      </c>
      <c r="AX186" s="552" t="s">
        <v>366</v>
      </c>
      <c r="AY186" s="552" t="s">
        <v>367</v>
      </c>
      <c r="AZ186" s="552" t="s">
        <v>319</v>
      </c>
      <c r="BA186" s="552" t="s">
        <v>365</v>
      </c>
      <c r="BB186" s="552" t="s">
        <v>366</v>
      </c>
      <c r="BC186" s="552" t="s">
        <v>367</v>
      </c>
      <c r="BD186" s="552" t="s">
        <v>319</v>
      </c>
      <c r="BE186" s="552" t="s">
        <v>365</v>
      </c>
      <c r="BF186" s="552" t="s">
        <v>366</v>
      </c>
      <c r="BG186" s="552" t="s">
        <v>367</v>
      </c>
      <c r="BH186" s="552" t="s">
        <v>319</v>
      </c>
      <c r="BI186" s="552" t="s">
        <v>365</v>
      </c>
      <c r="BJ186" s="552" t="s">
        <v>366</v>
      </c>
      <c r="BK186" s="552" t="s">
        <v>367</v>
      </c>
      <c r="BL186" s="533"/>
      <c r="BM186" s="533"/>
    </row>
    <row r="187" ht="12.75" customHeight="1">
      <c r="A187" s="728" t="s">
        <v>403</v>
      </c>
      <c r="B187" s="521"/>
      <c r="C187" s="526">
        <f>RI!B110</f>
        <v>108</v>
      </c>
      <c r="D187" s="526">
        <f>RI!C110</f>
        <v>111</v>
      </c>
      <c r="E187" s="526">
        <f>RI!D110</f>
        <v>136</v>
      </c>
      <c r="F187" s="526">
        <f>RI!E110</f>
        <v>125</v>
      </c>
      <c r="G187" s="526">
        <f>RI!F110</f>
        <v>148</v>
      </c>
      <c r="H187" s="526">
        <f>RI!G110</f>
        <v>134</v>
      </c>
      <c r="I187" s="526">
        <f>RI!H110</f>
        <v>145</v>
      </c>
      <c r="J187" s="526">
        <f>RI!I110</f>
        <v>139</v>
      </c>
      <c r="K187" s="526">
        <f>RI!J110</f>
        <v>130</v>
      </c>
      <c r="L187" s="526">
        <f>RI!K110</f>
        <v>136</v>
      </c>
      <c r="M187" s="526">
        <f>RI!L110</f>
        <v>142</v>
      </c>
      <c r="N187" s="526">
        <f>RI!M110</f>
        <v>157</v>
      </c>
      <c r="O187" s="744"/>
      <c r="P187" s="553">
        <f t="shared" ref="P187:P188" si="413">SUM(C187:N187)</f>
        <v>1611</v>
      </c>
      <c r="Q187" s="554">
        <f>P185/4</f>
        <v>3350</v>
      </c>
      <c r="R187" s="554">
        <f>(P185/2) *(P187/P189)</f>
        <v>4307.142857</v>
      </c>
      <c r="S187" s="554">
        <f t="shared" ref="S187:S188" si="414">Q187+R187</f>
        <v>7657.142857</v>
      </c>
      <c r="T187" s="553">
        <f t="shared" ref="T187:T188" si="415">SUM(C187:N187)</f>
        <v>1611</v>
      </c>
      <c r="U187" s="554">
        <f>T185/4</f>
        <v>3350</v>
      </c>
      <c r="V187" s="554">
        <f>(T185/2) *(T187/T189)</f>
        <v>4307.142857</v>
      </c>
      <c r="W187" s="554">
        <f t="shared" ref="W187:W188" si="416">U187+V187</f>
        <v>7657.142857</v>
      </c>
      <c r="X187" s="553">
        <f t="shared" ref="X187:X188" si="417">SUM(C187:N187)</f>
        <v>1611</v>
      </c>
      <c r="Y187" s="554">
        <f>X185/4</f>
        <v>5950</v>
      </c>
      <c r="Z187" s="554">
        <f>(X185/2) *(X187/X189)</f>
        <v>7650</v>
      </c>
      <c r="AA187" s="554">
        <f t="shared" ref="AA187:AA188" si="418">Y187+Z187</f>
        <v>13600</v>
      </c>
      <c r="AB187" s="529">
        <f t="shared" ref="AB187:AB188" si="419">SUM(C187:N187)</f>
        <v>1611</v>
      </c>
      <c r="AC187" s="530">
        <f>AB185/4</f>
        <v>5950</v>
      </c>
      <c r="AD187" s="530">
        <f>(AB185/2) *(AB187/AB189)</f>
        <v>7650</v>
      </c>
      <c r="AE187" s="530">
        <f t="shared" ref="AE187:AE188" si="420">AC187+AD187</f>
        <v>13600</v>
      </c>
      <c r="AF187" s="529">
        <f t="shared" ref="AF187:AF188" si="421">SUM(C187:N187)</f>
        <v>1611</v>
      </c>
      <c r="AG187" s="530">
        <f>AF185/4</f>
        <v>7120</v>
      </c>
      <c r="AH187" s="530">
        <f>(AF185/2) *(AF187/AF189)</f>
        <v>9154.285714</v>
      </c>
      <c r="AI187" s="530">
        <f t="shared" ref="AI187:AI188" si="422">AG187+AH187</f>
        <v>16274.28571</v>
      </c>
      <c r="AJ187" s="529">
        <f t="shared" ref="AJ187:AJ188" si="423">SUM(C187:N187)</f>
        <v>1611</v>
      </c>
      <c r="AK187" s="530">
        <f>AJ185/4</f>
        <v>7120</v>
      </c>
      <c r="AL187" s="530">
        <f>(AJ185/2) *(AJ187/AJ189)</f>
        <v>9154.285714</v>
      </c>
      <c r="AM187" s="530">
        <f t="shared" ref="AM187:AM188" si="424">AK187+AL187</f>
        <v>16274.28571</v>
      </c>
      <c r="AN187" s="529">
        <f t="shared" ref="AN187:AN188" si="425">SUM(C187:N187)</f>
        <v>1611</v>
      </c>
      <c r="AO187" s="530">
        <f>AN185/4</f>
        <v>3350</v>
      </c>
      <c r="AP187" s="530">
        <f>(AN185/2) *(AN187/AN189)</f>
        <v>4307.142857</v>
      </c>
      <c r="AQ187" s="530">
        <f t="shared" ref="AQ187:AQ188" si="426">AO187+AP187</f>
        <v>7657.142857</v>
      </c>
      <c r="AR187" s="529">
        <f t="shared" ref="AR187:AR188" si="427">SUM(C187:N187)</f>
        <v>1611</v>
      </c>
      <c r="AS187" s="530">
        <f>AR185/4</f>
        <v>3350</v>
      </c>
      <c r="AT187" s="530">
        <f>(AR185/2) *(AR187/AR189)</f>
        <v>4307.142857</v>
      </c>
      <c r="AU187" s="530">
        <f t="shared" ref="AU187:AU188" si="428">AS187+AT187</f>
        <v>7657.142857</v>
      </c>
      <c r="AV187" s="553">
        <f t="shared" ref="AV187:AV188" si="429">SUM(C187:N187)</f>
        <v>1611</v>
      </c>
      <c r="AW187" s="554">
        <f>AV185/4</f>
        <v>5950</v>
      </c>
      <c r="AX187" s="554">
        <f>(AV185/2) *(AV187/AV189)</f>
        <v>7650</v>
      </c>
      <c r="AY187" s="554">
        <f t="shared" ref="AY187:AY188" si="430">AW187+AX187</f>
        <v>13600</v>
      </c>
      <c r="AZ187" s="553">
        <f t="shared" ref="AZ187:AZ188" si="431">SUM(C187:N187)</f>
        <v>1611</v>
      </c>
      <c r="BA187" s="554">
        <f>AZ185/4</f>
        <v>5950</v>
      </c>
      <c r="BB187" s="554">
        <f>(AZ185/2) *(AZ187/AZ189)</f>
        <v>7650</v>
      </c>
      <c r="BC187" s="554">
        <f t="shared" ref="BC187:BC188" si="432">BA187+BB187</f>
        <v>13600</v>
      </c>
      <c r="BD187" s="553">
        <f t="shared" ref="BD187:BD188" si="433">SUM(C187:N187)</f>
        <v>1611</v>
      </c>
      <c r="BE187" s="554">
        <f>BD185/4</f>
        <v>6200</v>
      </c>
      <c r="BF187" s="554">
        <f>(BD185/2) *(BD187/BD189)</f>
        <v>7971.428571</v>
      </c>
      <c r="BG187" s="554">
        <f t="shared" ref="BG187:BG188" si="434">BE187+BF187</f>
        <v>14171.42857</v>
      </c>
      <c r="BH187" s="553">
        <f t="shared" ref="BH187:BH188" si="435">SUM(C187:N187)</f>
        <v>1611</v>
      </c>
      <c r="BI187" s="554">
        <f>BH185/4</f>
        <v>7120</v>
      </c>
      <c r="BJ187" s="554">
        <f>(BH185/2) *(BH187/BH189)</f>
        <v>9154.285714</v>
      </c>
      <c r="BK187" s="554">
        <f t="shared" ref="BK187:BK188" si="436">BI187+BJ187</f>
        <v>16274.28571</v>
      </c>
      <c r="BL187" s="555"/>
      <c r="BM187" s="555"/>
    </row>
    <row r="188" ht="12.75" customHeight="1">
      <c r="A188" s="728" t="s">
        <v>404</v>
      </c>
      <c r="B188" s="521"/>
      <c r="C188" s="526">
        <f>AS!B110</f>
        <v>55</v>
      </c>
      <c r="D188" s="526">
        <f>AS!C110</f>
        <v>56</v>
      </c>
      <c r="E188" s="526">
        <f>AS!D110</f>
        <v>94</v>
      </c>
      <c r="F188" s="526">
        <f>AS!E110</f>
        <v>98</v>
      </c>
      <c r="G188" s="526">
        <f>AS!F110</f>
        <v>80</v>
      </c>
      <c r="H188" s="526">
        <f>AS!G110</f>
        <v>75</v>
      </c>
      <c r="I188" s="526">
        <f>AS!H110</f>
        <v>72</v>
      </c>
      <c r="J188" s="526">
        <f>AS!I110</f>
        <v>79</v>
      </c>
      <c r="K188" s="526">
        <f>AS!J110</f>
        <v>63</v>
      </c>
      <c r="L188" s="526">
        <f>AS!K110</f>
        <v>72</v>
      </c>
      <c r="M188" s="526">
        <f>AS!L110</f>
        <v>67</v>
      </c>
      <c r="N188" s="526">
        <f>AS!M110</f>
        <v>84</v>
      </c>
      <c r="O188" s="744"/>
      <c r="P188" s="553">
        <f t="shared" si="413"/>
        <v>895</v>
      </c>
      <c r="Q188" s="554">
        <f>P185/4</f>
        <v>3350</v>
      </c>
      <c r="R188" s="554">
        <f>(P185/2) *(P188/P189)</f>
        <v>2392.857143</v>
      </c>
      <c r="S188" s="554">
        <f t="shared" si="414"/>
        <v>5742.857143</v>
      </c>
      <c r="T188" s="553">
        <f t="shared" si="415"/>
        <v>895</v>
      </c>
      <c r="U188" s="554">
        <f>T185/4</f>
        <v>3350</v>
      </c>
      <c r="V188" s="554">
        <f>(T185/2) *(T188/T189)</f>
        <v>2392.857143</v>
      </c>
      <c r="W188" s="554">
        <f t="shared" si="416"/>
        <v>5742.857143</v>
      </c>
      <c r="X188" s="553">
        <f t="shared" si="417"/>
        <v>895</v>
      </c>
      <c r="Y188" s="554">
        <f>X185/4</f>
        <v>5950</v>
      </c>
      <c r="Z188" s="554">
        <f>(X185/2) *(X188/X189)</f>
        <v>4250</v>
      </c>
      <c r="AA188" s="554">
        <f t="shared" si="418"/>
        <v>10200</v>
      </c>
      <c r="AB188" s="529">
        <f t="shared" si="419"/>
        <v>895</v>
      </c>
      <c r="AC188" s="530">
        <f>AB185/4</f>
        <v>5950</v>
      </c>
      <c r="AD188" s="530">
        <f>(AB185/2) *(AB188/AB189)</f>
        <v>4250</v>
      </c>
      <c r="AE188" s="530">
        <f t="shared" si="420"/>
        <v>10200</v>
      </c>
      <c r="AF188" s="529">
        <f t="shared" si="421"/>
        <v>895</v>
      </c>
      <c r="AG188" s="530">
        <f>AF185/4</f>
        <v>7120</v>
      </c>
      <c r="AH188" s="530">
        <f>(AF185/2) *(AF188/AF189)</f>
        <v>5085.714286</v>
      </c>
      <c r="AI188" s="530">
        <f t="shared" si="422"/>
        <v>12205.71429</v>
      </c>
      <c r="AJ188" s="529">
        <f t="shared" si="423"/>
        <v>895</v>
      </c>
      <c r="AK188" s="530">
        <f>AJ185/4</f>
        <v>7120</v>
      </c>
      <c r="AL188" s="530">
        <f>(AJ185/2) *(AJ188/AJ189)</f>
        <v>5085.714286</v>
      </c>
      <c r="AM188" s="530">
        <f t="shared" si="424"/>
        <v>12205.71429</v>
      </c>
      <c r="AN188" s="529">
        <f t="shared" si="425"/>
        <v>895</v>
      </c>
      <c r="AO188" s="530">
        <f>AN185/4</f>
        <v>3350</v>
      </c>
      <c r="AP188" s="530">
        <f>(AN185/2) *(AN188/AN189)</f>
        <v>2392.857143</v>
      </c>
      <c r="AQ188" s="530">
        <f t="shared" si="426"/>
        <v>5742.857143</v>
      </c>
      <c r="AR188" s="529">
        <f t="shared" si="427"/>
        <v>895</v>
      </c>
      <c r="AS188" s="530">
        <f>AR185/4</f>
        <v>3350</v>
      </c>
      <c r="AT188" s="530">
        <f>(AR185/2) *(AR188/AR189)</f>
        <v>2392.857143</v>
      </c>
      <c r="AU188" s="530">
        <f t="shared" si="428"/>
        <v>5742.857143</v>
      </c>
      <c r="AV188" s="553">
        <f t="shared" si="429"/>
        <v>895</v>
      </c>
      <c r="AW188" s="554">
        <f>AV185/4</f>
        <v>5950</v>
      </c>
      <c r="AX188" s="554">
        <f>(AV185/2) *(AV188/AV189)</f>
        <v>4250</v>
      </c>
      <c r="AY188" s="554">
        <f t="shared" si="430"/>
        <v>10200</v>
      </c>
      <c r="AZ188" s="553">
        <f t="shared" si="431"/>
        <v>895</v>
      </c>
      <c r="BA188" s="554">
        <f>AZ185/4</f>
        <v>5950</v>
      </c>
      <c r="BB188" s="554">
        <f>(AZ185/2) *(AZ188/AZ189)</f>
        <v>4250</v>
      </c>
      <c r="BC188" s="554">
        <f t="shared" si="432"/>
        <v>10200</v>
      </c>
      <c r="BD188" s="553">
        <f t="shared" si="433"/>
        <v>895</v>
      </c>
      <c r="BE188" s="554">
        <f>BD185/4</f>
        <v>6200</v>
      </c>
      <c r="BF188" s="554">
        <f>(BD185/2) *(BD188/BD189)</f>
        <v>4428.571429</v>
      </c>
      <c r="BG188" s="554">
        <f t="shared" si="434"/>
        <v>10628.57143</v>
      </c>
      <c r="BH188" s="553">
        <f t="shared" si="435"/>
        <v>895</v>
      </c>
      <c r="BI188" s="554">
        <f>BH185/4</f>
        <v>7120</v>
      </c>
      <c r="BJ188" s="554">
        <f>(BH185/2) *(BH188/BH189)</f>
        <v>5085.714286</v>
      </c>
      <c r="BK188" s="554">
        <f t="shared" si="436"/>
        <v>12205.71429</v>
      </c>
      <c r="BL188" s="555"/>
      <c r="BM188" s="555"/>
    </row>
    <row r="189" ht="12.75" customHeight="1">
      <c r="A189" s="718"/>
      <c r="B189" s="521"/>
      <c r="C189" s="744"/>
      <c r="D189" s="744"/>
      <c r="E189" s="744"/>
      <c r="F189" s="744"/>
      <c r="G189" s="744"/>
      <c r="H189" s="744"/>
      <c r="I189" s="744"/>
      <c r="J189" s="744"/>
      <c r="K189" s="744"/>
      <c r="L189" s="744"/>
      <c r="M189" s="744"/>
      <c r="N189" s="744"/>
      <c r="O189" s="744"/>
      <c r="P189" s="552">
        <f t="shared" ref="P189:BK189" si="437">SUM(P187:P188)</f>
        <v>2506</v>
      </c>
      <c r="Q189" s="556">
        <f t="shared" si="437"/>
        <v>6700</v>
      </c>
      <c r="R189" s="556">
        <f t="shared" si="437"/>
        <v>6700</v>
      </c>
      <c r="S189" s="556">
        <f t="shared" si="437"/>
        <v>13400</v>
      </c>
      <c r="T189" s="552">
        <f t="shared" si="437"/>
        <v>2506</v>
      </c>
      <c r="U189" s="556">
        <f t="shared" si="437"/>
        <v>6700</v>
      </c>
      <c r="V189" s="556">
        <f t="shared" si="437"/>
        <v>6700</v>
      </c>
      <c r="W189" s="556">
        <f t="shared" si="437"/>
        <v>13400</v>
      </c>
      <c r="X189" s="552">
        <f t="shared" si="437"/>
        <v>2506</v>
      </c>
      <c r="Y189" s="556">
        <f t="shared" si="437"/>
        <v>11900</v>
      </c>
      <c r="Z189" s="556">
        <f t="shared" si="437"/>
        <v>11900</v>
      </c>
      <c r="AA189" s="556">
        <f t="shared" si="437"/>
        <v>23800</v>
      </c>
      <c r="AB189" s="535">
        <f t="shared" si="437"/>
        <v>2506</v>
      </c>
      <c r="AC189" s="536">
        <f t="shared" si="437"/>
        <v>11900</v>
      </c>
      <c r="AD189" s="536">
        <f t="shared" si="437"/>
        <v>11900</v>
      </c>
      <c r="AE189" s="536">
        <f t="shared" si="437"/>
        <v>23800</v>
      </c>
      <c r="AF189" s="535">
        <f t="shared" si="437"/>
        <v>2506</v>
      </c>
      <c r="AG189" s="536">
        <f t="shared" si="437"/>
        <v>14240</v>
      </c>
      <c r="AH189" s="536">
        <f t="shared" si="437"/>
        <v>14240</v>
      </c>
      <c r="AI189" s="536">
        <f t="shared" si="437"/>
        <v>28480</v>
      </c>
      <c r="AJ189" s="535">
        <f t="shared" si="437"/>
        <v>2506</v>
      </c>
      <c r="AK189" s="536">
        <f t="shared" si="437"/>
        <v>14240</v>
      </c>
      <c r="AL189" s="536">
        <f t="shared" si="437"/>
        <v>14240</v>
      </c>
      <c r="AM189" s="536">
        <f t="shared" si="437"/>
        <v>28480</v>
      </c>
      <c r="AN189" s="535">
        <f t="shared" si="437"/>
        <v>2506</v>
      </c>
      <c r="AO189" s="536">
        <f t="shared" si="437"/>
        <v>6700</v>
      </c>
      <c r="AP189" s="536">
        <f t="shared" si="437"/>
        <v>6700</v>
      </c>
      <c r="AQ189" s="536">
        <f t="shared" si="437"/>
        <v>13400</v>
      </c>
      <c r="AR189" s="535">
        <f t="shared" si="437"/>
        <v>2506</v>
      </c>
      <c r="AS189" s="536">
        <f t="shared" si="437"/>
        <v>6700</v>
      </c>
      <c r="AT189" s="536">
        <f t="shared" si="437"/>
        <v>6700</v>
      </c>
      <c r="AU189" s="536">
        <f t="shared" si="437"/>
        <v>13400</v>
      </c>
      <c r="AV189" s="552">
        <f t="shared" si="437"/>
        <v>2506</v>
      </c>
      <c r="AW189" s="556">
        <f t="shared" si="437"/>
        <v>11900</v>
      </c>
      <c r="AX189" s="556">
        <f t="shared" si="437"/>
        <v>11900</v>
      </c>
      <c r="AY189" s="556">
        <f t="shared" si="437"/>
        <v>23800</v>
      </c>
      <c r="AZ189" s="552">
        <f t="shared" si="437"/>
        <v>2506</v>
      </c>
      <c r="BA189" s="556">
        <f t="shared" si="437"/>
        <v>11900</v>
      </c>
      <c r="BB189" s="556">
        <f t="shared" si="437"/>
        <v>11900</v>
      </c>
      <c r="BC189" s="556">
        <f t="shared" si="437"/>
        <v>23800</v>
      </c>
      <c r="BD189" s="552">
        <f t="shared" si="437"/>
        <v>2506</v>
      </c>
      <c r="BE189" s="556">
        <f t="shared" si="437"/>
        <v>12400</v>
      </c>
      <c r="BF189" s="556">
        <f t="shared" si="437"/>
        <v>12400</v>
      </c>
      <c r="BG189" s="556">
        <f t="shared" si="437"/>
        <v>24800</v>
      </c>
      <c r="BH189" s="552">
        <f t="shared" si="437"/>
        <v>2506</v>
      </c>
      <c r="BI189" s="556">
        <f t="shared" si="437"/>
        <v>14240</v>
      </c>
      <c r="BJ189" s="556">
        <f t="shared" si="437"/>
        <v>14240</v>
      </c>
      <c r="BK189" s="556">
        <f t="shared" si="437"/>
        <v>28480</v>
      </c>
      <c r="BL189" s="557"/>
      <c r="BM189" s="557"/>
    </row>
    <row r="190" ht="14.25" customHeight="1">
      <c r="A190" s="718"/>
      <c r="B190" s="521"/>
      <c r="C190" s="544"/>
      <c r="D190" s="544"/>
      <c r="E190" s="544"/>
      <c r="F190" s="544"/>
      <c r="G190" s="544"/>
      <c r="H190" s="544"/>
      <c r="I190" s="544"/>
      <c r="J190" s="544"/>
      <c r="K190" s="544"/>
      <c r="L190" s="544"/>
      <c r="M190" s="544"/>
      <c r="N190" s="544"/>
      <c r="O190" s="744"/>
      <c r="P190" s="745"/>
      <c r="Q190" s="746"/>
      <c r="R190" s="746"/>
      <c r="S190" s="744"/>
      <c r="T190" s="747"/>
      <c r="U190" s="744"/>
      <c r="V190" s="744"/>
      <c r="W190" s="744"/>
      <c r="X190" s="747"/>
      <c r="Y190" s="744"/>
      <c r="Z190" s="744"/>
      <c r="AA190" s="744"/>
      <c r="AB190" s="541"/>
      <c r="AF190" s="541"/>
      <c r="AJ190" s="541"/>
      <c r="AN190" s="541"/>
      <c r="AR190" s="544"/>
      <c r="AS190" s="544"/>
      <c r="AT190" s="544"/>
      <c r="AU190" s="545"/>
      <c r="AV190" s="544"/>
      <c r="AW190" s="544"/>
      <c r="AX190" s="544"/>
      <c r="AY190" s="544"/>
      <c r="AZ190" s="544"/>
      <c r="BA190" s="544"/>
      <c r="BB190" s="544"/>
      <c r="BC190" s="544"/>
      <c r="BD190" s="544"/>
      <c r="BE190" s="544"/>
      <c r="BF190" s="544"/>
      <c r="BG190" s="544"/>
      <c r="BH190" s="544"/>
      <c r="BI190" s="544"/>
      <c r="BJ190" s="544"/>
      <c r="BK190" s="544"/>
      <c r="BL190" s="544"/>
      <c r="BM190" s="544"/>
    </row>
    <row r="191" ht="14.25" customHeight="1">
      <c r="A191" s="748"/>
      <c r="B191" s="521"/>
      <c r="C191" s="544"/>
      <c r="D191" s="544"/>
      <c r="E191" s="544"/>
      <c r="F191" s="544"/>
      <c r="G191" s="544"/>
      <c r="H191" s="544"/>
      <c r="I191" s="544"/>
      <c r="J191" s="544"/>
      <c r="K191" s="544"/>
      <c r="L191" s="544"/>
      <c r="M191" s="544"/>
      <c r="N191" s="544"/>
      <c r="O191" s="744"/>
      <c r="P191" s="745"/>
      <c r="Q191" s="746"/>
      <c r="R191" s="746"/>
      <c r="S191" s="744"/>
      <c r="T191" s="747"/>
      <c r="U191" s="744"/>
      <c r="V191" s="744"/>
      <c r="W191" s="744"/>
      <c r="X191" s="747"/>
      <c r="Y191" s="744"/>
      <c r="Z191" s="744"/>
      <c r="AA191" s="744"/>
      <c r="AB191" s="541"/>
      <c r="AC191" s="541"/>
      <c r="AD191" s="541"/>
      <c r="AE191" s="541"/>
      <c r="AF191" s="541"/>
      <c r="AG191" s="541"/>
      <c r="AH191" s="541"/>
      <c r="AI191" s="541"/>
      <c r="AJ191" s="541"/>
      <c r="AK191" s="541"/>
      <c r="AL191" s="541"/>
      <c r="AM191" s="541"/>
      <c r="AN191" s="541"/>
      <c r="AO191" s="541"/>
      <c r="AP191" s="541"/>
      <c r="AQ191" s="541"/>
      <c r="AR191" s="544"/>
      <c r="AS191" s="544"/>
      <c r="AT191" s="544"/>
      <c r="AU191" s="545"/>
      <c r="AV191" s="544"/>
      <c r="AW191" s="544"/>
      <c r="AX191" s="544"/>
      <c r="AY191" s="544"/>
      <c r="AZ191" s="544"/>
      <c r="BA191" s="544"/>
      <c r="BB191" s="544"/>
      <c r="BC191" s="544"/>
      <c r="BD191" s="544"/>
      <c r="BE191" s="544"/>
      <c r="BF191" s="544"/>
      <c r="BG191" s="544"/>
      <c r="BH191" s="544"/>
      <c r="BI191" s="544"/>
      <c r="BJ191" s="544"/>
      <c r="BK191" s="544"/>
      <c r="BL191" s="544"/>
      <c r="BM191" s="544"/>
    </row>
    <row r="192" ht="12.75" customHeight="1">
      <c r="A192" s="718"/>
      <c r="B192" s="521"/>
      <c r="C192" s="489" t="s">
        <v>415</v>
      </c>
      <c r="D192" s="490"/>
      <c r="E192" s="490"/>
      <c r="F192" s="490"/>
      <c r="G192" s="490"/>
      <c r="H192" s="490"/>
      <c r="I192" s="490"/>
      <c r="J192" s="490"/>
      <c r="K192" s="490"/>
      <c r="L192" s="490"/>
      <c r="M192" s="490"/>
      <c r="N192" s="491"/>
      <c r="O192" s="533"/>
      <c r="P192" s="576" t="s">
        <v>340</v>
      </c>
      <c r="Q192" s="494"/>
      <c r="R192" s="494"/>
      <c r="S192" s="495"/>
      <c r="T192" s="576" t="s">
        <v>341</v>
      </c>
      <c r="U192" s="494"/>
      <c r="V192" s="494"/>
      <c r="W192" s="495"/>
      <c r="X192" s="576" t="s">
        <v>342</v>
      </c>
      <c r="Y192" s="494"/>
      <c r="Z192" s="494"/>
      <c r="AA192" s="495"/>
      <c r="AB192" s="576" t="s">
        <v>343</v>
      </c>
      <c r="AC192" s="494"/>
      <c r="AD192" s="494"/>
      <c r="AE192" s="495"/>
      <c r="AF192" s="576" t="s">
        <v>344</v>
      </c>
      <c r="AG192" s="494"/>
      <c r="AH192" s="494"/>
      <c r="AI192" s="495"/>
      <c r="AJ192" s="576" t="s">
        <v>345</v>
      </c>
      <c r="AK192" s="494"/>
      <c r="AL192" s="494"/>
      <c r="AM192" s="495"/>
      <c r="AN192" s="576" t="s">
        <v>346</v>
      </c>
      <c r="AO192" s="494"/>
      <c r="AP192" s="494"/>
      <c r="AQ192" s="495"/>
      <c r="AR192" s="576" t="s">
        <v>347</v>
      </c>
      <c r="AS192" s="494"/>
      <c r="AT192" s="494"/>
      <c r="AU192" s="495"/>
      <c r="AV192" s="576" t="s">
        <v>348</v>
      </c>
      <c r="AW192" s="494"/>
      <c r="AX192" s="494"/>
      <c r="AY192" s="495"/>
      <c r="AZ192" s="576" t="s">
        <v>349</v>
      </c>
      <c r="BA192" s="494"/>
      <c r="BB192" s="494"/>
      <c r="BC192" s="495"/>
      <c r="BD192" s="576" t="s">
        <v>350</v>
      </c>
      <c r="BE192" s="494"/>
      <c r="BF192" s="494"/>
      <c r="BG192" s="495"/>
      <c r="BH192" s="576" t="s">
        <v>351</v>
      </c>
      <c r="BI192" s="494"/>
      <c r="BJ192" s="494"/>
      <c r="BK192" s="495"/>
      <c r="BL192" s="500"/>
      <c r="BM192" s="500"/>
    </row>
    <row r="193" ht="12.75" customHeight="1">
      <c r="A193" s="718"/>
      <c r="B193" s="521"/>
      <c r="C193" s="502"/>
      <c r="N193" s="503"/>
      <c r="O193" s="533"/>
      <c r="P193" s="508" t="s">
        <v>416</v>
      </c>
      <c r="Q193" s="506"/>
      <c r="R193" s="506"/>
      <c r="S193" s="507"/>
      <c r="T193" s="508" t="s">
        <v>416</v>
      </c>
      <c r="U193" s="506"/>
      <c r="V193" s="506"/>
      <c r="W193" s="507"/>
      <c r="X193" s="508" t="s">
        <v>416</v>
      </c>
      <c r="Y193" s="506"/>
      <c r="Z193" s="506"/>
      <c r="AA193" s="507"/>
      <c r="AB193" s="508" t="s">
        <v>416</v>
      </c>
      <c r="AC193" s="506"/>
      <c r="AD193" s="506"/>
      <c r="AE193" s="507"/>
      <c r="AF193" s="508" t="s">
        <v>416</v>
      </c>
      <c r="AG193" s="506"/>
      <c r="AH193" s="506"/>
      <c r="AI193" s="507"/>
      <c r="AJ193" s="508" t="s">
        <v>416</v>
      </c>
      <c r="AK193" s="506"/>
      <c r="AL193" s="506"/>
      <c r="AM193" s="507"/>
      <c r="AN193" s="508" t="s">
        <v>416</v>
      </c>
      <c r="AO193" s="506"/>
      <c r="AP193" s="506"/>
      <c r="AQ193" s="507"/>
      <c r="AR193" s="508" t="s">
        <v>416</v>
      </c>
      <c r="AS193" s="506"/>
      <c r="AT193" s="506"/>
      <c r="AU193" s="507"/>
      <c r="AV193" s="508" t="s">
        <v>416</v>
      </c>
      <c r="AW193" s="506"/>
      <c r="AX193" s="506"/>
      <c r="AY193" s="507"/>
      <c r="AZ193" s="508" t="s">
        <v>416</v>
      </c>
      <c r="BA193" s="506"/>
      <c r="BB193" s="506"/>
      <c r="BC193" s="507"/>
      <c r="BD193" s="508" t="s">
        <v>416</v>
      </c>
      <c r="BE193" s="506"/>
      <c r="BF193" s="506"/>
      <c r="BG193" s="507"/>
      <c r="BH193" s="508" t="s">
        <v>416</v>
      </c>
      <c r="BI193" s="506"/>
      <c r="BJ193" s="506"/>
      <c r="BK193" s="507"/>
      <c r="BL193" s="509"/>
      <c r="BM193" s="509"/>
    </row>
    <row r="194" ht="12.75" customHeight="1">
      <c r="A194" s="718"/>
      <c r="B194" s="521"/>
      <c r="C194" s="512"/>
      <c r="D194" s="513"/>
      <c r="E194" s="513"/>
      <c r="F194" s="513"/>
      <c r="G194" s="513"/>
      <c r="H194" s="513"/>
      <c r="I194" s="513"/>
      <c r="J194" s="513"/>
      <c r="K194" s="513"/>
      <c r="L194" s="513"/>
      <c r="M194" s="513"/>
      <c r="N194" s="514"/>
      <c r="O194" s="533"/>
      <c r="P194" s="579">
        <v>0.0</v>
      </c>
      <c r="Q194" s="498"/>
      <c r="R194" s="498"/>
      <c r="S194" s="498"/>
      <c r="T194" s="579">
        <v>0.0</v>
      </c>
      <c r="U194" s="498"/>
      <c r="V194" s="498"/>
      <c r="W194" s="498"/>
      <c r="X194" s="579">
        <v>0.0</v>
      </c>
      <c r="Y194" s="498"/>
      <c r="Z194" s="498"/>
      <c r="AA194" s="498"/>
      <c r="AB194" s="579">
        <v>0.0</v>
      </c>
      <c r="AC194" s="498"/>
      <c r="AD194" s="498"/>
      <c r="AE194" s="498"/>
      <c r="AF194" s="579">
        <v>0.0</v>
      </c>
      <c r="AG194" s="498"/>
      <c r="AH194" s="498"/>
      <c r="AI194" s="498"/>
      <c r="AJ194" s="579">
        <v>0.0</v>
      </c>
      <c r="AK194" s="498"/>
      <c r="AL194" s="498"/>
      <c r="AM194" s="498"/>
      <c r="AN194" s="579">
        <v>0.0</v>
      </c>
      <c r="AO194" s="498"/>
      <c r="AP194" s="498"/>
      <c r="AQ194" s="498"/>
      <c r="AR194" s="579">
        <v>0.0</v>
      </c>
      <c r="AS194" s="498"/>
      <c r="AT194" s="498"/>
      <c r="AU194" s="498"/>
      <c r="AV194" s="579">
        <v>0.0</v>
      </c>
      <c r="AW194" s="498"/>
      <c r="AX194" s="498"/>
      <c r="AY194" s="498"/>
      <c r="AZ194" s="579">
        <v>0.0</v>
      </c>
      <c r="BA194" s="498"/>
      <c r="BB194" s="498"/>
      <c r="BC194" s="498"/>
      <c r="BD194" s="579">
        <v>0.0</v>
      </c>
      <c r="BE194" s="498"/>
      <c r="BF194" s="498"/>
      <c r="BG194" s="498"/>
      <c r="BH194" s="579">
        <v>0.0</v>
      </c>
      <c r="BI194" s="498"/>
      <c r="BJ194" s="498"/>
      <c r="BK194" s="498"/>
      <c r="BL194" s="519"/>
      <c r="BM194" s="519">
        <f>SUM(P194:BH194)</f>
        <v>0</v>
      </c>
    </row>
    <row r="195" ht="12.75" customHeight="1">
      <c r="A195" s="580" t="s">
        <v>417</v>
      </c>
      <c r="B195" s="521"/>
      <c r="C195" s="522" t="s">
        <v>354</v>
      </c>
      <c r="D195" s="552" t="s">
        <v>355</v>
      </c>
      <c r="E195" s="552" t="s">
        <v>356</v>
      </c>
      <c r="F195" s="552" t="s">
        <v>357</v>
      </c>
      <c r="G195" s="552" t="s">
        <v>5</v>
      </c>
      <c r="H195" s="552" t="s">
        <v>358</v>
      </c>
      <c r="I195" s="552" t="s">
        <v>359</v>
      </c>
      <c r="J195" s="552" t="s">
        <v>360</v>
      </c>
      <c r="K195" s="552" t="s">
        <v>361</v>
      </c>
      <c r="L195" s="552" t="s">
        <v>362</v>
      </c>
      <c r="M195" s="552" t="s">
        <v>363</v>
      </c>
      <c r="N195" s="522" t="s">
        <v>364</v>
      </c>
      <c r="O195" s="533"/>
      <c r="P195" s="552" t="s">
        <v>319</v>
      </c>
      <c r="Q195" s="552" t="s">
        <v>365</v>
      </c>
      <c r="R195" s="552" t="s">
        <v>366</v>
      </c>
      <c r="S195" s="552" t="s">
        <v>367</v>
      </c>
      <c r="T195" s="552" t="s">
        <v>319</v>
      </c>
      <c r="U195" s="552" t="s">
        <v>365</v>
      </c>
      <c r="V195" s="552" t="s">
        <v>366</v>
      </c>
      <c r="W195" s="552" t="s">
        <v>367</v>
      </c>
      <c r="X195" s="522" t="s">
        <v>319</v>
      </c>
      <c r="Y195" s="522" t="s">
        <v>365</v>
      </c>
      <c r="Z195" s="522" t="s">
        <v>366</v>
      </c>
      <c r="AA195" s="522" t="s">
        <v>367</v>
      </c>
      <c r="AB195" s="524" t="s">
        <v>319</v>
      </c>
      <c r="AC195" s="524" t="s">
        <v>365</v>
      </c>
      <c r="AD195" s="524" t="s">
        <v>366</v>
      </c>
      <c r="AE195" s="524" t="s">
        <v>367</v>
      </c>
      <c r="AF195" s="524" t="s">
        <v>319</v>
      </c>
      <c r="AG195" s="524" t="s">
        <v>365</v>
      </c>
      <c r="AH195" s="524" t="s">
        <v>366</v>
      </c>
      <c r="AI195" s="524" t="s">
        <v>367</v>
      </c>
      <c r="AJ195" s="524" t="s">
        <v>319</v>
      </c>
      <c r="AK195" s="524" t="s">
        <v>365</v>
      </c>
      <c r="AL195" s="524" t="s">
        <v>366</v>
      </c>
      <c r="AM195" s="524" t="s">
        <v>367</v>
      </c>
      <c r="AN195" s="524" t="s">
        <v>319</v>
      </c>
      <c r="AO195" s="524" t="s">
        <v>365</v>
      </c>
      <c r="AP195" s="524" t="s">
        <v>366</v>
      </c>
      <c r="AQ195" s="524" t="s">
        <v>367</v>
      </c>
      <c r="AR195" s="524" t="s">
        <v>319</v>
      </c>
      <c r="AS195" s="524" t="s">
        <v>365</v>
      </c>
      <c r="AT195" s="524" t="s">
        <v>366</v>
      </c>
      <c r="AU195" s="524" t="s">
        <v>367</v>
      </c>
      <c r="AV195" s="552" t="s">
        <v>319</v>
      </c>
      <c r="AW195" s="552" t="s">
        <v>365</v>
      </c>
      <c r="AX195" s="552" t="s">
        <v>366</v>
      </c>
      <c r="AY195" s="552" t="s">
        <v>367</v>
      </c>
      <c r="AZ195" s="552" t="s">
        <v>319</v>
      </c>
      <c r="BA195" s="552" t="s">
        <v>365</v>
      </c>
      <c r="BB195" s="552" t="s">
        <v>366</v>
      </c>
      <c r="BC195" s="552" t="s">
        <v>367</v>
      </c>
      <c r="BD195" s="552" t="s">
        <v>319</v>
      </c>
      <c r="BE195" s="552" t="s">
        <v>365</v>
      </c>
      <c r="BF195" s="552" t="s">
        <v>366</v>
      </c>
      <c r="BG195" s="552" t="s">
        <v>367</v>
      </c>
      <c r="BH195" s="552" t="s">
        <v>319</v>
      </c>
      <c r="BI195" s="552" t="s">
        <v>365</v>
      </c>
      <c r="BJ195" s="552" t="s">
        <v>366</v>
      </c>
      <c r="BK195" s="552" t="s">
        <v>367</v>
      </c>
      <c r="BL195" s="533"/>
      <c r="BM195" s="533"/>
    </row>
    <row r="196" ht="12.75" customHeight="1">
      <c r="A196" s="728" t="s">
        <v>403</v>
      </c>
      <c r="B196" s="521"/>
      <c r="C196" s="526">
        <f>RI!B110</f>
        <v>108</v>
      </c>
      <c r="D196" s="526">
        <f>RI!C110</f>
        <v>111</v>
      </c>
      <c r="E196" s="526">
        <f>RI!D110</f>
        <v>136</v>
      </c>
      <c r="F196" s="526">
        <f>RI!E110</f>
        <v>125</v>
      </c>
      <c r="G196" s="526">
        <f>RI!F110</f>
        <v>148</v>
      </c>
      <c r="H196" s="526">
        <f>RI!G110</f>
        <v>134</v>
      </c>
      <c r="I196" s="526">
        <f>RI!H110</f>
        <v>145</v>
      </c>
      <c r="J196" s="526">
        <f>RI!I110</f>
        <v>139</v>
      </c>
      <c r="K196" s="526">
        <f>RI!J110</f>
        <v>130</v>
      </c>
      <c r="L196" s="526">
        <f>RI!K110</f>
        <v>136</v>
      </c>
      <c r="M196" s="526">
        <f>RI!L110</f>
        <v>142</v>
      </c>
      <c r="N196" s="526">
        <f>RI!M110</f>
        <v>157</v>
      </c>
      <c r="O196" s="744"/>
      <c r="P196" s="553">
        <f t="shared" ref="P196:P197" si="438">SUM(C196:N196)</f>
        <v>1611</v>
      </c>
      <c r="Q196" s="554">
        <f>P194/4</f>
        <v>0</v>
      </c>
      <c r="R196" s="554">
        <f>(P194/2) *(P196/P198)</f>
        <v>0</v>
      </c>
      <c r="S196" s="554">
        <f t="shared" ref="S196:S197" si="439">Q196+R196</f>
        <v>0</v>
      </c>
      <c r="T196" s="553">
        <f t="shared" ref="T196:T197" si="440">SUM(C196:N196)</f>
        <v>1611</v>
      </c>
      <c r="U196" s="554">
        <f>T194/4</f>
        <v>0</v>
      </c>
      <c r="V196" s="554">
        <f>(T194/2) *(T196/T198)</f>
        <v>0</v>
      </c>
      <c r="W196" s="554">
        <f t="shared" ref="W196:W197" si="441">U196+V196</f>
        <v>0</v>
      </c>
      <c r="X196" s="553">
        <f t="shared" ref="X196:X197" si="442">SUM(C196:N196)</f>
        <v>1611</v>
      </c>
      <c r="Y196" s="554">
        <f>X194/4</f>
        <v>0</v>
      </c>
      <c r="Z196" s="554">
        <f>(X194/2) *(X196/X198)</f>
        <v>0</v>
      </c>
      <c r="AA196" s="554">
        <f t="shared" ref="AA196:AA197" si="443">Y196+Z196</f>
        <v>0</v>
      </c>
      <c r="AB196" s="529">
        <f t="shared" ref="AB196:AB197" si="444">SUM(C196:N196)</f>
        <v>1611</v>
      </c>
      <c r="AC196" s="530">
        <f>AB194/4</f>
        <v>0</v>
      </c>
      <c r="AD196" s="530">
        <f>(AB194/2) *(AB196/AB198)</f>
        <v>0</v>
      </c>
      <c r="AE196" s="530">
        <f t="shared" ref="AE196:AE197" si="445">AC196+AD196</f>
        <v>0</v>
      </c>
      <c r="AF196" s="529">
        <f t="shared" ref="AF196:AF197" si="446">SUM(C196:N196)</f>
        <v>1611</v>
      </c>
      <c r="AG196" s="530">
        <f>AF194/4</f>
        <v>0</v>
      </c>
      <c r="AH196" s="530">
        <f>(AF194/2) *(AF196/AF198)</f>
        <v>0</v>
      </c>
      <c r="AI196" s="530">
        <f t="shared" ref="AI196:AI197" si="447">AG196+AH196</f>
        <v>0</v>
      </c>
      <c r="AJ196" s="529">
        <f t="shared" ref="AJ196:AJ197" si="448">SUM(C196:N196)</f>
        <v>1611</v>
      </c>
      <c r="AK196" s="530">
        <f>AJ194/4</f>
        <v>0</v>
      </c>
      <c r="AL196" s="530">
        <f>(AJ194/2) *(AJ196/AJ198)</f>
        <v>0</v>
      </c>
      <c r="AM196" s="530">
        <f t="shared" ref="AM196:AM197" si="449">AK196+AL196</f>
        <v>0</v>
      </c>
      <c r="AN196" s="529">
        <f t="shared" ref="AN196:AN197" si="450">SUM(C196:N196)</f>
        <v>1611</v>
      </c>
      <c r="AO196" s="530">
        <f>AN194/4</f>
        <v>0</v>
      </c>
      <c r="AP196" s="530">
        <f>(AN194/2) *(AN196/AN198)</f>
        <v>0</v>
      </c>
      <c r="AQ196" s="530">
        <f t="shared" ref="AQ196:AQ197" si="451">AO196+AP196</f>
        <v>0</v>
      </c>
      <c r="AR196" s="529">
        <f t="shared" ref="AR196:AR197" si="452">SUM(C196:N196)</f>
        <v>1611</v>
      </c>
      <c r="AS196" s="530">
        <f>AR194/4</f>
        <v>0</v>
      </c>
      <c r="AT196" s="530">
        <f>(AR194/2) *(AR196/AR198)</f>
        <v>0</v>
      </c>
      <c r="AU196" s="530">
        <f t="shared" ref="AU196:AU197" si="453">AS196+AT196</f>
        <v>0</v>
      </c>
      <c r="AV196" s="553">
        <f t="shared" ref="AV196:AV197" si="454">SUM(C196:N196)</f>
        <v>1611</v>
      </c>
      <c r="AW196" s="554">
        <f>AV194/4</f>
        <v>0</v>
      </c>
      <c r="AX196" s="554">
        <f>(AV194/2) *(AV196/AV198)</f>
        <v>0</v>
      </c>
      <c r="AY196" s="554">
        <f t="shared" ref="AY196:AY197" si="455">AW196+AX196</f>
        <v>0</v>
      </c>
      <c r="AZ196" s="553">
        <f t="shared" ref="AZ196:AZ197" si="456">SUM(C196:N196)</f>
        <v>1611</v>
      </c>
      <c r="BA196" s="554">
        <f>AZ194/4</f>
        <v>0</v>
      </c>
      <c r="BB196" s="554">
        <f>(AZ194/2) *(AZ196/AZ198)</f>
        <v>0</v>
      </c>
      <c r="BC196" s="554">
        <f t="shared" ref="BC196:BC197" si="457">BA196+BB196</f>
        <v>0</v>
      </c>
      <c r="BD196" s="553">
        <f t="shared" ref="BD196:BD197" si="458">SUM(C196:N196)</f>
        <v>1611</v>
      </c>
      <c r="BE196" s="554">
        <f>BD194/4</f>
        <v>0</v>
      </c>
      <c r="BF196" s="554">
        <f>(BD194/2) *(BD196/BD198)</f>
        <v>0</v>
      </c>
      <c r="BG196" s="554">
        <f t="shared" ref="BG196:BG197" si="459">BE196+BF196</f>
        <v>0</v>
      </c>
      <c r="BH196" s="553">
        <f t="shared" ref="BH196:BH197" si="460">SUM(C196:N196)</f>
        <v>1611</v>
      </c>
      <c r="BI196" s="554">
        <f>BH194/4</f>
        <v>0</v>
      </c>
      <c r="BJ196" s="554">
        <f>(BH194/2) *(BH196/BH198)</f>
        <v>0</v>
      </c>
      <c r="BK196" s="554">
        <f t="shared" ref="BK196:BK197" si="461">BI196+BJ196</f>
        <v>0</v>
      </c>
      <c r="BL196" s="555"/>
      <c r="BM196" s="555"/>
    </row>
    <row r="197" ht="12.75" customHeight="1">
      <c r="A197" s="728" t="s">
        <v>404</v>
      </c>
      <c r="B197" s="521"/>
      <c r="C197" s="526">
        <f>AS!B110</f>
        <v>55</v>
      </c>
      <c r="D197" s="526">
        <f>AS!C110</f>
        <v>56</v>
      </c>
      <c r="E197" s="526">
        <f>AS!D110</f>
        <v>94</v>
      </c>
      <c r="F197" s="526">
        <f>AS!E110</f>
        <v>98</v>
      </c>
      <c r="G197" s="526">
        <f>AS!F110</f>
        <v>80</v>
      </c>
      <c r="H197" s="526">
        <f>AS!G110</f>
        <v>75</v>
      </c>
      <c r="I197" s="526">
        <f>AS!H110</f>
        <v>72</v>
      </c>
      <c r="J197" s="526">
        <f>AS!I110</f>
        <v>79</v>
      </c>
      <c r="K197" s="526">
        <f>AS!J110</f>
        <v>63</v>
      </c>
      <c r="L197" s="526">
        <f>AS!K110</f>
        <v>72</v>
      </c>
      <c r="M197" s="526">
        <f>AS!L110</f>
        <v>67</v>
      </c>
      <c r="N197" s="526">
        <f>AS!M110</f>
        <v>84</v>
      </c>
      <c r="O197" s="744"/>
      <c r="P197" s="553">
        <f t="shared" si="438"/>
        <v>895</v>
      </c>
      <c r="Q197" s="554">
        <f>P194/4</f>
        <v>0</v>
      </c>
      <c r="R197" s="554">
        <f>(P194/2) *(P197/P198)</f>
        <v>0</v>
      </c>
      <c r="S197" s="554">
        <f t="shared" si="439"/>
        <v>0</v>
      </c>
      <c r="T197" s="553">
        <f t="shared" si="440"/>
        <v>895</v>
      </c>
      <c r="U197" s="554">
        <f>T194/4</f>
        <v>0</v>
      </c>
      <c r="V197" s="554">
        <f>(T194/2) *(T197/T198)</f>
        <v>0</v>
      </c>
      <c r="W197" s="554">
        <f t="shared" si="441"/>
        <v>0</v>
      </c>
      <c r="X197" s="553">
        <f t="shared" si="442"/>
        <v>895</v>
      </c>
      <c r="Y197" s="554">
        <f>X194/4</f>
        <v>0</v>
      </c>
      <c r="Z197" s="554">
        <f>(X194/2) *(X197/X198)</f>
        <v>0</v>
      </c>
      <c r="AA197" s="554">
        <f t="shared" si="443"/>
        <v>0</v>
      </c>
      <c r="AB197" s="529">
        <f t="shared" si="444"/>
        <v>895</v>
      </c>
      <c r="AC197" s="530">
        <f>AB194/4</f>
        <v>0</v>
      </c>
      <c r="AD197" s="530">
        <f>(AB194/2) *(AB197/AB198)</f>
        <v>0</v>
      </c>
      <c r="AE197" s="530">
        <f t="shared" si="445"/>
        <v>0</v>
      </c>
      <c r="AF197" s="529">
        <f t="shared" si="446"/>
        <v>895</v>
      </c>
      <c r="AG197" s="530">
        <f>AF194/4</f>
        <v>0</v>
      </c>
      <c r="AH197" s="530">
        <f>(AF194/2) *(AF197/AF198)</f>
        <v>0</v>
      </c>
      <c r="AI197" s="530">
        <f t="shared" si="447"/>
        <v>0</v>
      </c>
      <c r="AJ197" s="529">
        <f t="shared" si="448"/>
        <v>895</v>
      </c>
      <c r="AK197" s="530">
        <f>AJ194/4</f>
        <v>0</v>
      </c>
      <c r="AL197" s="530">
        <f>(AJ194/2) *(AJ197/AJ198)</f>
        <v>0</v>
      </c>
      <c r="AM197" s="530">
        <f t="shared" si="449"/>
        <v>0</v>
      </c>
      <c r="AN197" s="529">
        <f t="shared" si="450"/>
        <v>895</v>
      </c>
      <c r="AO197" s="530">
        <f>AN194/4</f>
        <v>0</v>
      </c>
      <c r="AP197" s="530">
        <f>(AN194/2) *(AN197/AN198)</f>
        <v>0</v>
      </c>
      <c r="AQ197" s="530">
        <f t="shared" si="451"/>
        <v>0</v>
      </c>
      <c r="AR197" s="529">
        <f t="shared" si="452"/>
        <v>895</v>
      </c>
      <c r="AS197" s="530">
        <f>AR194/4</f>
        <v>0</v>
      </c>
      <c r="AT197" s="530">
        <f>(AR194/2) *(AR197/AR198)</f>
        <v>0</v>
      </c>
      <c r="AU197" s="530">
        <f t="shared" si="453"/>
        <v>0</v>
      </c>
      <c r="AV197" s="553">
        <f t="shared" si="454"/>
        <v>895</v>
      </c>
      <c r="AW197" s="554">
        <f>AV194/4</f>
        <v>0</v>
      </c>
      <c r="AX197" s="554">
        <f>(AV194/2) *(AV197/AV198)</f>
        <v>0</v>
      </c>
      <c r="AY197" s="554">
        <f t="shared" si="455"/>
        <v>0</v>
      </c>
      <c r="AZ197" s="553">
        <f t="shared" si="456"/>
        <v>895</v>
      </c>
      <c r="BA197" s="554">
        <f>AZ194/4</f>
        <v>0</v>
      </c>
      <c r="BB197" s="554">
        <f>(AZ194/2) *(AZ197/AZ198)</f>
        <v>0</v>
      </c>
      <c r="BC197" s="554">
        <f t="shared" si="457"/>
        <v>0</v>
      </c>
      <c r="BD197" s="553">
        <f t="shared" si="458"/>
        <v>895</v>
      </c>
      <c r="BE197" s="554">
        <f>BD194/4</f>
        <v>0</v>
      </c>
      <c r="BF197" s="554">
        <f>(BD194/2) *(BD197/BD198)</f>
        <v>0</v>
      </c>
      <c r="BG197" s="554">
        <f t="shared" si="459"/>
        <v>0</v>
      </c>
      <c r="BH197" s="553">
        <f t="shared" si="460"/>
        <v>895</v>
      </c>
      <c r="BI197" s="554">
        <f>BH194/4</f>
        <v>0</v>
      </c>
      <c r="BJ197" s="554">
        <f>(BH194/2) *(BH197/BH198)</f>
        <v>0</v>
      </c>
      <c r="BK197" s="554">
        <f t="shared" si="461"/>
        <v>0</v>
      </c>
      <c r="BL197" s="555"/>
      <c r="BM197" s="555"/>
    </row>
    <row r="198" ht="12.75" customHeight="1">
      <c r="A198" s="718"/>
      <c r="B198" s="521"/>
      <c r="C198" s="744"/>
      <c r="D198" s="744"/>
      <c r="E198" s="744"/>
      <c r="F198" s="744"/>
      <c r="G198" s="744"/>
      <c r="H198" s="744"/>
      <c r="I198" s="744"/>
      <c r="J198" s="744"/>
      <c r="K198" s="744"/>
      <c r="L198" s="744"/>
      <c r="M198" s="744"/>
      <c r="N198" s="744"/>
      <c r="O198" s="744"/>
      <c r="P198" s="552">
        <f t="shared" ref="P198:BK198" si="462">SUM(P196:P197)</f>
        <v>2506</v>
      </c>
      <c r="Q198" s="556">
        <f t="shared" si="462"/>
        <v>0</v>
      </c>
      <c r="R198" s="556">
        <f t="shared" si="462"/>
        <v>0</v>
      </c>
      <c r="S198" s="556">
        <f t="shared" si="462"/>
        <v>0</v>
      </c>
      <c r="T198" s="552">
        <f t="shared" si="462"/>
        <v>2506</v>
      </c>
      <c r="U198" s="556">
        <f t="shared" si="462"/>
        <v>0</v>
      </c>
      <c r="V198" s="556">
        <f t="shared" si="462"/>
        <v>0</v>
      </c>
      <c r="W198" s="556">
        <f t="shared" si="462"/>
        <v>0</v>
      </c>
      <c r="X198" s="552">
        <f t="shared" si="462"/>
        <v>2506</v>
      </c>
      <c r="Y198" s="556">
        <f t="shared" si="462"/>
        <v>0</v>
      </c>
      <c r="Z198" s="556">
        <f t="shared" si="462"/>
        <v>0</v>
      </c>
      <c r="AA198" s="556">
        <f t="shared" si="462"/>
        <v>0</v>
      </c>
      <c r="AB198" s="535">
        <f t="shared" si="462"/>
        <v>2506</v>
      </c>
      <c r="AC198" s="536">
        <f t="shared" si="462"/>
        <v>0</v>
      </c>
      <c r="AD198" s="536">
        <f t="shared" si="462"/>
        <v>0</v>
      </c>
      <c r="AE198" s="536">
        <f t="shared" si="462"/>
        <v>0</v>
      </c>
      <c r="AF198" s="535">
        <f t="shared" si="462"/>
        <v>2506</v>
      </c>
      <c r="AG198" s="536">
        <f t="shared" si="462"/>
        <v>0</v>
      </c>
      <c r="AH198" s="536">
        <f t="shared" si="462"/>
        <v>0</v>
      </c>
      <c r="AI198" s="536">
        <f t="shared" si="462"/>
        <v>0</v>
      </c>
      <c r="AJ198" s="535">
        <f t="shared" si="462"/>
        <v>2506</v>
      </c>
      <c r="AK198" s="536">
        <f t="shared" si="462"/>
        <v>0</v>
      </c>
      <c r="AL198" s="536">
        <f t="shared" si="462"/>
        <v>0</v>
      </c>
      <c r="AM198" s="536">
        <f t="shared" si="462"/>
        <v>0</v>
      </c>
      <c r="AN198" s="535">
        <f t="shared" si="462"/>
        <v>2506</v>
      </c>
      <c r="AO198" s="536">
        <f t="shared" si="462"/>
        <v>0</v>
      </c>
      <c r="AP198" s="536">
        <f t="shared" si="462"/>
        <v>0</v>
      </c>
      <c r="AQ198" s="536">
        <f t="shared" si="462"/>
        <v>0</v>
      </c>
      <c r="AR198" s="535">
        <f t="shared" si="462"/>
        <v>2506</v>
      </c>
      <c r="AS198" s="536">
        <f t="shared" si="462"/>
        <v>0</v>
      </c>
      <c r="AT198" s="536">
        <f t="shared" si="462"/>
        <v>0</v>
      </c>
      <c r="AU198" s="536">
        <f t="shared" si="462"/>
        <v>0</v>
      </c>
      <c r="AV198" s="552">
        <f t="shared" si="462"/>
        <v>2506</v>
      </c>
      <c r="AW198" s="556">
        <f t="shared" si="462"/>
        <v>0</v>
      </c>
      <c r="AX198" s="556">
        <f t="shared" si="462"/>
        <v>0</v>
      </c>
      <c r="AY198" s="556">
        <f t="shared" si="462"/>
        <v>0</v>
      </c>
      <c r="AZ198" s="552">
        <f t="shared" si="462"/>
        <v>2506</v>
      </c>
      <c r="BA198" s="556">
        <f t="shared" si="462"/>
        <v>0</v>
      </c>
      <c r="BB198" s="556">
        <f t="shared" si="462"/>
        <v>0</v>
      </c>
      <c r="BC198" s="556">
        <f t="shared" si="462"/>
        <v>0</v>
      </c>
      <c r="BD198" s="552">
        <f t="shared" si="462"/>
        <v>2506</v>
      </c>
      <c r="BE198" s="556">
        <f t="shared" si="462"/>
        <v>0</v>
      </c>
      <c r="BF198" s="556">
        <f t="shared" si="462"/>
        <v>0</v>
      </c>
      <c r="BG198" s="556">
        <f t="shared" si="462"/>
        <v>0</v>
      </c>
      <c r="BH198" s="552">
        <f t="shared" si="462"/>
        <v>2506</v>
      </c>
      <c r="BI198" s="556">
        <f t="shared" si="462"/>
        <v>0</v>
      </c>
      <c r="BJ198" s="556">
        <f t="shared" si="462"/>
        <v>0</v>
      </c>
      <c r="BK198" s="556">
        <f t="shared" si="462"/>
        <v>0</v>
      </c>
      <c r="BL198" s="557"/>
      <c r="BM198" s="557"/>
    </row>
    <row r="199" ht="14.25" customHeight="1">
      <c r="A199" s="748"/>
      <c r="B199" s="521"/>
      <c r="C199" s="544"/>
      <c r="D199" s="544"/>
      <c r="E199" s="544"/>
      <c r="F199" s="544"/>
      <c r="G199" s="544"/>
      <c r="H199" s="544"/>
      <c r="I199" s="544"/>
      <c r="J199" s="544"/>
      <c r="K199" s="544"/>
      <c r="L199" s="544"/>
      <c r="M199" s="544"/>
      <c r="N199" s="544"/>
      <c r="O199" s="744"/>
      <c r="P199" s="745"/>
      <c r="Q199" s="746"/>
      <c r="R199" s="746"/>
      <c r="S199" s="744"/>
      <c r="T199" s="747"/>
      <c r="U199" s="744"/>
      <c r="V199" s="744"/>
      <c r="W199" s="744"/>
      <c r="X199" s="747"/>
      <c r="Y199" s="744"/>
      <c r="Z199" s="744"/>
      <c r="AA199" s="744"/>
      <c r="AB199" s="541"/>
      <c r="AC199" s="541"/>
      <c r="AD199" s="541"/>
      <c r="AE199" s="541"/>
      <c r="AF199" s="541"/>
      <c r="AG199" s="541"/>
      <c r="AH199" s="541"/>
      <c r="AI199" s="541"/>
      <c r="AJ199" s="541"/>
      <c r="AK199" s="541"/>
      <c r="AL199" s="541"/>
      <c r="AM199" s="541"/>
      <c r="AN199" s="541"/>
      <c r="AO199" s="541"/>
      <c r="AP199" s="541"/>
      <c r="AQ199" s="541"/>
      <c r="AR199" s="544"/>
      <c r="AS199" s="544"/>
      <c r="AT199" s="544"/>
      <c r="AU199" s="545"/>
      <c r="AV199" s="544"/>
      <c r="AW199" s="544"/>
      <c r="AX199" s="544"/>
      <c r="AY199" s="544"/>
      <c r="AZ199" s="544"/>
      <c r="BA199" s="544"/>
      <c r="BB199" s="544"/>
      <c r="BC199" s="544"/>
      <c r="BD199" s="544"/>
      <c r="BE199" s="544"/>
      <c r="BF199" s="544"/>
      <c r="BG199" s="544"/>
      <c r="BH199" s="544"/>
      <c r="BI199" s="544"/>
      <c r="BJ199" s="544"/>
      <c r="BK199" s="544"/>
      <c r="BL199" s="749" t="s">
        <v>418</v>
      </c>
      <c r="BM199" s="750">
        <f>SUM(BM135,BM144,BM159,BM185,BM194)</f>
        <v>773437</v>
      </c>
    </row>
    <row r="200" ht="14.25" customHeight="1">
      <c r="A200" s="748"/>
      <c r="B200" s="521"/>
      <c r="C200" s="544"/>
      <c r="D200" s="544"/>
      <c r="E200" s="544"/>
      <c r="F200" s="544"/>
      <c r="G200" s="544"/>
      <c r="H200" s="544"/>
      <c r="I200" s="544"/>
      <c r="J200" s="544"/>
      <c r="K200" s="544"/>
      <c r="L200" s="544"/>
      <c r="M200" s="544"/>
      <c r="N200" s="544"/>
      <c r="O200" s="744"/>
      <c r="P200" s="745"/>
      <c r="Q200" s="746"/>
      <c r="R200" s="746"/>
      <c r="S200" s="744"/>
      <c r="T200" s="747"/>
      <c r="U200" s="744"/>
      <c r="V200" s="744"/>
      <c r="W200" s="744"/>
      <c r="X200" s="747"/>
      <c r="Y200" s="744"/>
      <c r="Z200" s="744"/>
      <c r="AA200" s="744"/>
      <c r="AB200" s="541"/>
      <c r="AC200" s="541"/>
      <c r="AD200" s="541"/>
      <c r="AE200" s="541"/>
      <c r="AF200" s="541"/>
      <c r="AG200" s="541"/>
      <c r="AH200" s="541"/>
      <c r="AI200" s="541"/>
      <c r="AJ200" s="541"/>
      <c r="AK200" s="541"/>
      <c r="AL200" s="541"/>
      <c r="AM200" s="541"/>
      <c r="AN200" s="541"/>
      <c r="AO200" s="541"/>
      <c r="AP200" s="541"/>
      <c r="AQ200" s="541"/>
      <c r="AR200" s="544"/>
      <c r="AS200" s="544"/>
      <c r="AT200" s="544"/>
      <c r="AU200" s="545"/>
      <c r="AV200" s="544"/>
      <c r="AW200" s="544"/>
      <c r="AX200" s="544"/>
      <c r="AY200" s="544"/>
      <c r="AZ200" s="544"/>
      <c r="BA200" s="544"/>
      <c r="BB200" s="544"/>
      <c r="BC200" s="544"/>
      <c r="BD200" s="544"/>
      <c r="BE200" s="544"/>
      <c r="BF200" s="544"/>
      <c r="BG200" s="544"/>
      <c r="BH200" s="544"/>
      <c r="BI200" s="544"/>
      <c r="BJ200" s="544"/>
      <c r="BK200" s="544"/>
      <c r="BL200" s="544"/>
      <c r="BM200" s="544"/>
    </row>
    <row r="201" ht="12.75" hidden="1" customHeight="1">
      <c r="A201" s="532"/>
      <c r="B201" s="521"/>
      <c r="C201" s="489" t="s">
        <v>412</v>
      </c>
      <c r="D201" s="490"/>
      <c r="E201" s="490"/>
      <c r="F201" s="490"/>
      <c r="G201" s="490"/>
      <c r="H201" s="490"/>
      <c r="I201" s="490"/>
      <c r="J201" s="490"/>
      <c r="K201" s="490"/>
      <c r="L201" s="490"/>
      <c r="M201" s="490"/>
      <c r="N201" s="491"/>
      <c r="O201" s="533"/>
      <c r="P201" s="546" t="s">
        <v>340</v>
      </c>
      <c r="Q201" s="494"/>
      <c r="R201" s="494"/>
      <c r="S201" s="495"/>
      <c r="T201" s="546" t="s">
        <v>341</v>
      </c>
      <c r="U201" s="494"/>
      <c r="V201" s="494"/>
      <c r="W201" s="495"/>
      <c r="X201" s="546" t="s">
        <v>342</v>
      </c>
      <c r="Y201" s="494"/>
      <c r="Z201" s="494"/>
      <c r="AA201" s="495"/>
      <c r="AB201" s="546" t="s">
        <v>343</v>
      </c>
      <c r="AC201" s="494"/>
      <c r="AD201" s="494"/>
      <c r="AE201" s="495"/>
      <c r="AF201" s="496" t="s">
        <v>344</v>
      </c>
      <c r="AG201" s="494"/>
      <c r="AH201" s="494"/>
      <c r="AI201" s="495"/>
      <c r="AJ201" s="496" t="s">
        <v>345</v>
      </c>
      <c r="AK201" s="494"/>
      <c r="AL201" s="494"/>
      <c r="AM201" s="495"/>
      <c r="AN201" s="496" t="s">
        <v>346</v>
      </c>
      <c r="AO201" s="494"/>
      <c r="AP201" s="494"/>
      <c r="AQ201" s="495"/>
      <c r="AR201" s="496" t="s">
        <v>347</v>
      </c>
      <c r="AS201" s="494"/>
      <c r="AT201" s="494"/>
      <c r="AU201" s="495"/>
      <c r="AV201" s="496" t="s">
        <v>348</v>
      </c>
      <c r="AW201" s="494"/>
      <c r="AX201" s="494"/>
      <c r="AY201" s="495"/>
      <c r="AZ201" s="496" t="s">
        <v>349</v>
      </c>
      <c r="BA201" s="494"/>
      <c r="BB201" s="494"/>
      <c r="BC201" s="495"/>
      <c r="BD201" s="496" t="s">
        <v>350</v>
      </c>
      <c r="BE201" s="494"/>
      <c r="BF201" s="494"/>
      <c r="BG201" s="495"/>
      <c r="BH201" s="496" t="s">
        <v>351</v>
      </c>
      <c r="BI201" s="494"/>
      <c r="BJ201" s="494"/>
      <c r="BK201" s="495"/>
      <c r="BL201" s="500"/>
      <c r="BM201" s="500"/>
    </row>
    <row r="202" ht="12.75" hidden="1" customHeight="1">
      <c r="A202" s="532"/>
      <c r="B202" s="521"/>
      <c r="C202" s="502"/>
      <c r="N202" s="503"/>
      <c r="O202" s="533"/>
      <c r="P202" s="508" t="s">
        <v>370</v>
      </c>
      <c r="Q202" s="506"/>
      <c r="R202" s="506"/>
      <c r="S202" s="507"/>
      <c r="T202" s="508" t="s">
        <v>370</v>
      </c>
      <c r="U202" s="506"/>
      <c r="V202" s="506"/>
      <c r="W202" s="507"/>
      <c r="X202" s="508" t="s">
        <v>370</v>
      </c>
      <c r="Y202" s="506"/>
      <c r="Z202" s="506"/>
      <c r="AA202" s="507"/>
      <c r="AB202" s="547" t="s">
        <v>370</v>
      </c>
      <c r="AC202" s="506"/>
      <c r="AD202" s="506"/>
      <c r="AE202" s="507"/>
      <c r="AF202" s="547" t="s">
        <v>370</v>
      </c>
      <c r="AG202" s="506"/>
      <c r="AH202" s="506"/>
      <c r="AI202" s="507"/>
      <c r="AJ202" s="547" t="s">
        <v>370</v>
      </c>
      <c r="AK202" s="506"/>
      <c r="AL202" s="506"/>
      <c r="AM202" s="507"/>
      <c r="AN202" s="548" t="s">
        <v>370</v>
      </c>
      <c r="AO202" s="506"/>
      <c r="AP202" s="506"/>
      <c r="AQ202" s="549"/>
      <c r="AR202" s="550" t="s">
        <v>370</v>
      </c>
      <c r="AS202" s="506"/>
      <c r="AT202" s="506"/>
      <c r="AU202" s="507"/>
      <c r="AV202" s="508" t="s">
        <v>370</v>
      </c>
      <c r="AW202" s="506"/>
      <c r="AX202" s="506"/>
      <c r="AY202" s="507"/>
      <c r="AZ202" s="508" t="s">
        <v>370</v>
      </c>
      <c r="BA202" s="506"/>
      <c r="BB202" s="506"/>
      <c r="BC202" s="507"/>
      <c r="BD202" s="508" t="s">
        <v>370</v>
      </c>
      <c r="BE202" s="506"/>
      <c r="BF202" s="506"/>
      <c r="BG202" s="507"/>
      <c r="BH202" s="508" t="s">
        <v>370</v>
      </c>
      <c r="BI202" s="506"/>
      <c r="BJ202" s="506"/>
      <c r="BK202" s="549"/>
      <c r="BL202" s="509"/>
      <c r="BM202" s="509"/>
    </row>
    <row r="203" ht="12.75" hidden="1" customHeight="1">
      <c r="A203" s="532"/>
      <c r="B203" s="521"/>
      <c r="C203" s="512"/>
      <c r="D203" s="513"/>
      <c r="E203" s="513"/>
      <c r="F203" s="513"/>
      <c r="G203" s="513"/>
      <c r="H203" s="513"/>
      <c r="I203" s="513"/>
      <c r="J203" s="513"/>
      <c r="K203" s="513"/>
      <c r="L203" s="513"/>
      <c r="M203" s="513"/>
      <c r="N203" s="514"/>
      <c r="O203" s="533"/>
      <c r="P203" s="517">
        <f>637.5+425+212.5</f>
        <v>1275</v>
      </c>
      <c r="Q203" s="498"/>
      <c r="R203" s="498"/>
      <c r="S203" s="498"/>
      <c r="T203" s="517">
        <f>1275</f>
        <v>1275</v>
      </c>
      <c r="U203" s="498"/>
      <c r="V203" s="498"/>
      <c r="W203" s="498"/>
      <c r="X203" s="517">
        <f>1275</f>
        <v>1275</v>
      </c>
      <c r="Y203" s="498"/>
      <c r="Z203" s="498"/>
      <c r="AA203" s="498"/>
      <c r="AB203" s="517">
        <f>1428.02</f>
        <v>1428.02</v>
      </c>
      <c r="AC203" s="498"/>
      <c r="AD203" s="498"/>
      <c r="AE203" s="498"/>
      <c r="AF203" s="517">
        <v>0.0</v>
      </c>
      <c r="AG203" s="498"/>
      <c r="AH203" s="498"/>
      <c r="AI203" s="498"/>
      <c r="AJ203" s="517">
        <v>0.0</v>
      </c>
      <c r="AK203" s="498"/>
      <c r="AL203" s="498"/>
      <c r="AM203" s="498"/>
      <c r="AN203" s="517">
        <v>0.0</v>
      </c>
      <c r="AO203" s="498"/>
      <c r="AP203" s="498"/>
      <c r="AQ203" s="498"/>
      <c r="AR203" s="517">
        <v>0.0</v>
      </c>
      <c r="AS203" s="498"/>
      <c r="AT203" s="498"/>
      <c r="AU203" s="498"/>
      <c r="AV203" s="517">
        <v>0.0</v>
      </c>
      <c r="AW203" s="498"/>
      <c r="AX203" s="498"/>
      <c r="AY203" s="498"/>
      <c r="AZ203" s="517">
        <v>0.0</v>
      </c>
      <c r="BA203" s="498"/>
      <c r="BB203" s="498"/>
      <c r="BC203" s="498"/>
      <c r="BD203" s="517">
        <v>0.0</v>
      </c>
      <c r="BE203" s="498"/>
      <c r="BF203" s="498"/>
      <c r="BG203" s="498"/>
      <c r="BH203" s="517">
        <v>0.0</v>
      </c>
      <c r="BI203" s="498"/>
      <c r="BJ203" s="498"/>
      <c r="BK203" s="498"/>
      <c r="BL203" s="519"/>
      <c r="BM203" s="519"/>
    </row>
    <row r="204" ht="12.75" hidden="1" customHeight="1">
      <c r="A204" s="580" t="s">
        <v>417</v>
      </c>
      <c r="B204" s="521"/>
      <c r="C204" s="522" t="s">
        <v>354</v>
      </c>
      <c r="D204" s="552" t="s">
        <v>355</v>
      </c>
      <c r="E204" s="552" t="s">
        <v>356</v>
      </c>
      <c r="F204" s="552" t="s">
        <v>357</v>
      </c>
      <c r="G204" s="552" t="s">
        <v>5</v>
      </c>
      <c r="H204" s="552" t="s">
        <v>358</v>
      </c>
      <c r="I204" s="552" t="s">
        <v>359</v>
      </c>
      <c r="J204" s="552" t="s">
        <v>360</v>
      </c>
      <c r="K204" s="552" t="s">
        <v>361</v>
      </c>
      <c r="L204" s="552" t="s">
        <v>362</v>
      </c>
      <c r="M204" s="552" t="s">
        <v>363</v>
      </c>
      <c r="N204" s="522" t="s">
        <v>364</v>
      </c>
      <c r="O204" s="533"/>
      <c r="P204" s="552" t="s">
        <v>319</v>
      </c>
      <c r="Q204" s="552" t="s">
        <v>365</v>
      </c>
      <c r="R204" s="552" t="s">
        <v>366</v>
      </c>
      <c r="S204" s="552" t="s">
        <v>367</v>
      </c>
      <c r="T204" s="552" t="s">
        <v>319</v>
      </c>
      <c r="U204" s="552" t="s">
        <v>365</v>
      </c>
      <c r="V204" s="552" t="s">
        <v>366</v>
      </c>
      <c r="W204" s="552" t="s">
        <v>367</v>
      </c>
      <c r="X204" s="522" t="s">
        <v>319</v>
      </c>
      <c r="Y204" s="522" t="s">
        <v>365</v>
      </c>
      <c r="Z204" s="522" t="s">
        <v>366</v>
      </c>
      <c r="AA204" s="522" t="s">
        <v>367</v>
      </c>
      <c r="AB204" s="524" t="s">
        <v>319</v>
      </c>
      <c r="AC204" s="524" t="s">
        <v>365</v>
      </c>
      <c r="AD204" s="524" t="s">
        <v>366</v>
      </c>
      <c r="AE204" s="524" t="s">
        <v>367</v>
      </c>
      <c r="AF204" s="524" t="s">
        <v>319</v>
      </c>
      <c r="AG204" s="524" t="s">
        <v>365</v>
      </c>
      <c r="AH204" s="524" t="s">
        <v>366</v>
      </c>
      <c r="AI204" s="524" t="s">
        <v>367</v>
      </c>
      <c r="AJ204" s="524" t="s">
        <v>319</v>
      </c>
      <c r="AK204" s="524" t="s">
        <v>365</v>
      </c>
      <c r="AL204" s="524" t="s">
        <v>366</v>
      </c>
      <c r="AM204" s="524" t="s">
        <v>367</v>
      </c>
      <c r="AN204" s="524" t="s">
        <v>319</v>
      </c>
      <c r="AO204" s="524" t="s">
        <v>365</v>
      </c>
      <c r="AP204" s="524" t="s">
        <v>366</v>
      </c>
      <c r="AQ204" s="524" t="s">
        <v>367</v>
      </c>
      <c r="AR204" s="524" t="s">
        <v>319</v>
      </c>
      <c r="AS204" s="524" t="s">
        <v>365</v>
      </c>
      <c r="AT204" s="524" t="s">
        <v>366</v>
      </c>
      <c r="AU204" s="524" t="s">
        <v>367</v>
      </c>
      <c r="AV204" s="552" t="s">
        <v>319</v>
      </c>
      <c r="AW204" s="552" t="s">
        <v>365</v>
      </c>
      <c r="AX204" s="552" t="s">
        <v>366</v>
      </c>
      <c r="AY204" s="552" t="s">
        <v>367</v>
      </c>
      <c r="AZ204" s="552" t="s">
        <v>319</v>
      </c>
      <c r="BA204" s="552" t="s">
        <v>365</v>
      </c>
      <c r="BB204" s="552" t="s">
        <v>366</v>
      </c>
      <c r="BC204" s="552" t="s">
        <v>367</v>
      </c>
      <c r="BD204" s="552" t="s">
        <v>319</v>
      </c>
      <c r="BE204" s="552" t="s">
        <v>365</v>
      </c>
      <c r="BF204" s="552" t="s">
        <v>366</v>
      </c>
      <c r="BG204" s="552" t="s">
        <v>367</v>
      </c>
      <c r="BH204" s="552" t="s">
        <v>319</v>
      </c>
      <c r="BI204" s="552" t="s">
        <v>365</v>
      </c>
      <c r="BJ204" s="552" t="s">
        <v>366</v>
      </c>
      <c r="BK204" s="552" t="s">
        <v>367</v>
      </c>
      <c r="BL204" s="533"/>
      <c r="BM204" s="533"/>
    </row>
    <row r="205" ht="12.75" hidden="1" customHeight="1">
      <c r="A205" s="751" t="s">
        <v>419</v>
      </c>
      <c r="B205" s="521"/>
      <c r="C205" s="553" t="str">
        <f t="shared" ref="C205:N205" si="463">MV!B123</f>
        <v>#REF!</v>
      </c>
      <c r="D205" s="553" t="str">
        <f t="shared" si="463"/>
        <v>#REF!</v>
      </c>
      <c r="E205" s="553" t="str">
        <f t="shared" si="463"/>
        <v>#REF!</v>
      </c>
      <c r="F205" s="553" t="str">
        <f t="shared" si="463"/>
        <v>#REF!</v>
      </c>
      <c r="G205" s="553" t="str">
        <f t="shared" si="463"/>
        <v>#REF!</v>
      </c>
      <c r="H205" s="553" t="str">
        <f t="shared" si="463"/>
        <v>#REF!</v>
      </c>
      <c r="I205" s="553" t="str">
        <f t="shared" si="463"/>
        <v>#REF!</v>
      </c>
      <c r="J205" s="553" t="str">
        <f t="shared" si="463"/>
        <v>#REF!</v>
      </c>
      <c r="K205" s="553" t="str">
        <f t="shared" si="463"/>
        <v>#REF!</v>
      </c>
      <c r="L205" s="553" t="str">
        <f t="shared" si="463"/>
        <v>#REF!</v>
      </c>
      <c r="M205" s="553" t="str">
        <f t="shared" si="463"/>
        <v>#REF!</v>
      </c>
      <c r="N205" s="553" t="str">
        <f t="shared" si="463"/>
        <v>#REF!</v>
      </c>
      <c r="O205" s="744"/>
      <c r="P205" s="553" t="str">
        <f>SUM(C205:N205)</f>
        <v>#REF!</v>
      </c>
      <c r="Q205" s="554"/>
      <c r="R205" s="554"/>
      <c r="S205" s="554">
        <f>P203</f>
        <v>1275</v>
      </c>
      <c r="T205" s="553" t="str">
        <f>SUM(C205:N205)</f>
        <v>#REF!</v>
      </c>
      <c r="U205" s="554"/>
      <c r="V205" s="554"/>
      <c r="W205" s="554">
        <f>T203</f>
        <v>1275</v>
      </c>
      <c r="X205" s="553" t="str">
        <f>SUM(C205:N205)</f>
        <v>#REF!</v>
      </c>
      <c r="Y205" s="554"/>
      <c r="Z205" s="554"/>
      <c r="AA205" s="554">
        <f>X203</f>
        <v>1275</v>
      </c>
      <c r="AB205" s="529" t="str">
        <f>SUM(C205:N205)</f>
        <v>#REF!</v>
      </c>
      <c r="AC205" s="530"/>
      <c r="AD205" s="530"/>
      <c r="AE205" s="554">
        <f>AB203</f>
        <v>1428.02</v>
      </c>
      <c r="AF205" s="529" t="str">
        <f>SUM(C205:N205)</f>
        <v>#REF!</v>
      </c>
      <c r="AG205" s="530"/>
      <c r="AH205" s="530"/>
      <c r="AI205" s="554">
        <f>AF203</f>
        <v>0</v>
      </c>
      <c r="AJ205" s="529" t="str">
        <f>SUM(C205:N205)</f>
        <v>#REF!</v>
      </c>
      <c r="AK205" s="530"/>
      <c r="AL205" s="530"/>
      <c r="AM205" s="554">
        <f>AJ203</f>
        <v>0</v>
      </c>
      <c r="AN205" s="529" t="str">
        <f>SUM(C205:N205)</f>
        <v>#REF!</v>
      </c>
      <c r="AO205" s="530"/>
      <c r="AP205" s="530"/>
      <c r="AQ205" s="554">
        <f>AN203</f>
        <v>0</v>
      </c>
      <c r="AR205" s="529" t="str">
        <f>SUM(C205:N205)</f>
        <v>#REF!</v>
      </c>
      <c r="AS205" s="530"/>
      <c r="AT205" s="530"/>
      <c r="AU205" s="554">
        <f>AR203</f>
        <v>0</v>
      </c>
      <c r="AV205" s="553" t="str">
        <f>SUM(C205:N205)</f>
        <v>#REF!</v>
      </c>
      <c r="AW205" s="554"/>
      <c r="AX205" s="554"/>
      <c r="AY205" s="554">
        <f>AV203</f>
        <v>0</v>
      </c>
      <c r="AZ205" s="553" t="str">
        <f>SUM(C205:N205)</f>
        <v>#REF!</v>
      </c>
      <c r="BA205" s="554"/>
      <c r="BB205" s="554"/>
      <c r="BC205" s="554">
        <f>AZ203</f>
        <v>0</v>
      </c>
      <c r="BD205" s="553" t="str">
        <f>SUM(C205:N205)</f>
        <v>#REF!</v>
      </c>
      <c r="BE205" s="554"/>
      <c r="BF205" s="554"/>
      <c r="BG205" s="554">
        <f>BD203</f>
        <v>0</v>
      </c>
      <c r="BH205" s="553" t="str">
        <f>SUM(C205:N205)</f>
        <v>#REF!</v>
      </c>
      <c r="BI205" s="554"/>
      <c r="BJ205" s="554"/>
      <c r="BK205" s="554">
        <f>BH203</f>
        <v>0</v>
      </c>
      <c r="BL205" s="555"/>
      <c r="BM205" s="555"/>
    </row>
    <row r="206" ht="12.75" hidden="1" customHeight="1">
      <c r="A206" s="532"/>
      <c r="B206" s="521"/>
      <c r="C206" s="744"/>
      <c r="D206" s="744"/>
      <c r="E206" s="744"/>
      <c r="F206" s="744"/>
      <c r="G206" s="744"/>
      <c r="H206" s="744"/>
      <c r="I206" s="744"/>
      <c r="J206" s="744"/>
      <c r="K206" s="744"/>
      <c r="L206" s="744"/>
      <c r="M206" s="744"/>
      <c r="N206" s="744"/>
      <c r="O206" s="744"/>
      <c r="P206" s="552" t="str">
        <f t="shared" ref="P206:BK206" si="464">SUM(P205)</f>
        <v>#REF!</v>
      </c>
      <c r="Q206" s="556">
        <f t="shared" si="464"/>
        <v>0</v>
      </c>
      <c r="R206" s="556">
        <f t="shared" si="464"/>
        <v>0</v>
      </c>
      <c r="S206" s="556">
        <f t="shared" si="464"/>
        <v>1275</v>
      </c>
      <c r="T206" s="552" t="str">
        <f t="shared" si="464"/>
        <v>#REF!</v>
      </c>
      <c r="U206" s="556">
        <f t="shared" si="464"/>
        <v>0</v>
      </c>
      <c r="V206" s="556">
        <f t="shared" si="464"/>
        <v>0</v>
      </c>
      <c r="W206" s="556">
        <f t="shared" si="464"/>
        <v>1275</v>
      </c>
      <c r="X206" s="552" t="str">
        <f t="shared" si="464"/>
        <v>#REF!</v>
      </c>
      <c r="Y206" s="556">
        <f t="shared" si="464"/>
        <v>0</v>
      </c>
      <c r="Z206" s="556">
        <f t="shared" si="464"/>
        <v>0</v>
      </c>
      <c r="AA206" s="556">
        <f t="shared" si="464"/>
        <v>1275</v>
      </c>
      <c r="AB206" s="535" t="str">
        <f t="shared" si="464"/>
        <v>#REF!</v>
      </c>
      <c r="AC206" s="536">
        <f t="shared" si="464"/>
        <v>0</v>
      </c>
      <c r="AD206" s="536">
        <f t="shared" si="464"/>
        <v>0</v>
      </c>
      <c r="AE206" s="536">
        <f t="shared" si="464"/>
        <v>1428.02</v>
      </c>
      <c r="AF206" s="535" t="str">
        <f t="shared" si="464"/>
        <v>#REF!</v>
      </c>
      <c r="AG206" s="536">
        <f t="shared" si="464"/>
        <v>0</v>
      </c>
      <c r="AH206" s="536">
        <f t="shared" si="464"/>
        <v>0</v>
      </c>
      <c r="AI206" s="536">
        <f t="shared" si="464"/>
        <v>0</v>
      </c>
      <c r="AJ206" s="535" t="str">
        <f t="shared" si="464"/>
        <v>#REF!</v>
      </c>
      <c r="AK206" s="536">
        <f t="shared" si="464"/>
        <v>0</v>
      </c>
      <c r="AL206" s="536">
        <f t="shared" si="464"/>
        <v>0</v>
      </c>
      <c r="AM206" s="536">
        <f t="shared" si="464"/>
        <v>0</v>
      </c>
      <c r="AN206" s="535" t="str">
        <f t="shared" si="464"/>
        <v>#REF!</v>
      </c>
      <c r="AO206" s="536">
        <f t="shared" si="464"/>
        <v>0</v>
      </c>
      <c r="AP206" s="536">
        <f t="shared" si="464"/>
        <v>0</v>
      </c>
      <c r="AQ206" s="536">
        <f t="shared" si="464"/>
        <v>0</v>
      </c>
      <c r="AR206" s="535" t="str">
        <f t="shared" si="464"/>
        <v>#REF!</v>
      </c>
      <c r="AS206" s="536">
        <f t="shared" si="464"/>
        <v>0</v>
      </c>
      <c r="AT206" s="536">
        <f t="shared" si="464"/>
        <v>0</v>
      </c>
      <c r="AU206" s="536">
        <f t="shared" si="464"/>
        <v>0</v>
      </c>
      <c r="AV206" s="552" t="str">
        <f t="shared" si="464"/>
        <v>#REF!</v>
      </c>
      <c r="AW206" s="556">
        <f t="shared" si="464"/>
        <v>0</v>
      </c>
      <c r="AX206" s="556">
        <f t="shared" si="464"/>
        <v>0</v>
      </c>
      <c r="AY206" s="556">
        <f t="shared" si="464"/>
        <v>0</v>
      </c>
      <c r="AZ206" s="552" t="str">
        <f t="shared" si="464"/>
        <v>#REF!</v>
      </c>
      <c r="BA206" s="556">
        <f t="shared" si="464"/>
        <v>0</v>
      </c>
      <c r="BB206" s="556">
        <f t="shared" si="464"/>
        <v>0</v>
      </c>
      <c r="BC206" s="556">
        <f t="shared" si="464"/>
        <v>0</v>
      </c>
      <c r="BD206" s="552" t="str">
        <f t="shared" si="464"/>
        <v>#REF!</v>
      </c>
      <c r="BE206" s="556">
        <f t="shared" si="464"/>
        <v>0</v>
      </c>
      <c r="BF206" s="556">
        <f t="shared" si="464"/>
        <v>0</v>
      </c>
      <c r="BG206" s="556">
        <f t="shared" si="464"/>
        <v>0</v>
      </c>
      <c r="BH206" s="552" t="str">
        <f t="shared" si="464"/>
        <v>#REF!</v>
      </c>
      <c r="BI206" s="556">
        <f t="shared" si="464"/>
        <v>0</v>
      </c>
      <c r="BJ206" s="556">
        <f t="shared" si="464"/>
        <v>0</v>
      </c>
      <c r="BK206" s="556">
        <f t="shared" si="464"/>
        <v>0</v>
      </c>
      <c r="BL206" s="557"/>
      <c r="BM206" s="557"/>
    </row>
    <row r="207" ht="14.25" customHeight="1">
      <c r="A207" s="567"/>
      <c r="B207" s="521"/>
      <c r="C207" s="544"/>
      <c r="D207" s="544"/>
      <c r="E207" s="544"/>
      <c r="F207" s="544"/>
      <c r="G207" s="544"/>
      <c r="H207" s="544"/>
      <c r="I207" s="544"/>
      <c r="J207" s="544"/>
      <c r="K207" s="544"/>
      <c r="L207" s="544"/>
      <c r="M207" s="544"/>
      <c r="N207" s="544"/>
      <c r="O207" s="744"/>
      <c r="P207" s="745"/>
      <c r="Q207" s="746"/>
      <c r="R207" s="746"/>
      <c r="S207" s="744"/>
      <c r="T207" s="747"/>
      <c r="U207" s="744"/>
      <c r="V207" s="744"/>
      <c r="W207" s="744"/>
      <c r="X207" s="747"/>
      <c r="Y207" s="744"/>
      <c r="Z207" s="744"/>
      <c r="AA207" s="744"/>
      <c r="AB207" s="541"/>
      <c r="AC207" s="541"/>
      <c r="AD207" s="541"/>
      <c r="AE207" s="541"/>
      <c r="AF207" s="541"/>
      <c r="AG207" s="541"/>
      <c r="AH207" s="541"/>
      <c r="AI207" s="541"/>
      <c r="AJ207" s="541"/>
      <c r="AK207" s="541"/>
      <c r="AL207" s="541"/>
      <c r="AM207" s="541"/>
      <c r="AN207" s="541"/>
      <c r="AO207" s="541"/>
      <c r="AP207" s="541"/>
      <c r="AQ207" s="541"/>
      <c r="AR207" s="544"/>
      <c r="AS207" s="544"/>
      <c r="AT207" s="544"/>
      <c r="AU207" s="545"/>
      <c r="AV207" s="544"/>
      <c r="AW207" s="544"/>
      <c r="AX207" s="544"/>
      <c r="AY207" s="544"/>
      <c r="AZ207" s="544"/>
      <c r="BA207" s="544"/>
      <c r="BB207" s="544"/>
      <c r="BC207" s="544"/>
      <c r="BD207" s="544"/>
      <c r="BE207" s="544"/>
      <c r="BF207" s="544"/>
      <c r="BG207" s="544"/>
      <c r="BH207" s="544"/>
      <c r="BI207" s="544"/>
      <c r="BJ207" s="544"/>
      <c r="BK207" s="544"/>
      <c r="BL207" s="544"/>
      <c r="BM207" s="544"/>
    </row>
    <row r="208" ht="12.75" customHeight="1">
      <c r="A208" s="752"/>
      <c r="B208" s="488"/>
      <c r="C208" s="489" t="s">
        <v>420</v>
      </c>
      <c r="D208" s="490"/>
      <c r="E208" s="490"/>
      <c r="F208" s="490"/>
      <c r="G208" s="490"/>
      <c r="H208" s="490"/>
      <c r="I208" s="490"/>
      <c r="J208" s="490"/>
      <c r="K208" s="490"/>
      <c r="L208" s="490"/>
      <c r="M208" s="490"/>
      <c r="N208" s="491"/>
      <c r="O208" s="575"/>
      <c r="P208" s="576" t="s">
        <v>340</v>
      </c>
      <c r="Q208" s="494"/>
      <c r="R208" s="494"/>
      <c r="S208" s="495"/>
      <c r="T208" s="576" t="s">
        <v>341</v>
      </c>
      <c r="U208" s="494"/>
      <c r="V208" s="494"/>
      <c r="W208" s="495"/>
      <c r="X208" s="576" t="s">
        <v>342</v>
      </c>
      <c r="Y208" s="494"/>
      <c r="Z208" s="494"/>
      <c r="AA208" s="495"/>
      <c r="AB208" s="576" t="s">
        <v>343</v>
      </c>
      <c r="AC208" s="494"/>
      <c r="AD208" s="494"/>
      <c r="AE208" s="495"/>
      <c r="AF208" s="576" t="s">
        <v>344</v>
      </c>
      <c r="AG208" s="494"/>
      <c r="AH208" s="494"/>
      <c r="AI208" s="495"/>
      <c r="AJ208" s="576" t="s">
        <v>345</v>
      </c>
      <c r="AK208" s="494"/>
      <c r="AL208" s="494"/>
      <c r="AM208" s="495"/>
      <c r="AN208" s="576" t="s">
        <v>346</v>
      </c>
      <c r="AO208" s="494"/>
      <c r="AP208" s="494"/>
      <c r="AQ208" s="495"/>
      <c r="AR208" s="576" t="s">
        <v>347</v>
      </c>
      <c r="AS208" s="494"/>
      <c r="AT208" s="494"/>
      <c r="AU208" s="495"/>
      <c r="AV208" s="576" t="s">
        <v>348</v>
      </c>
      <c r="AW208" s="494"/>
      <c r="AX208" s="494"/>
      <c r="AY208" s="495"/>
      <c r="AZ208" s="576" t="s">
        <v>349</v>
      </c>
      <c r="BA208" s="494"/>
      <c r="BB208" s="494"/>
      <c r="BC208" s="495"/>
      <c r="BD208" s="576" t="s">
        <v>350</v>
      </c>
      <c r="BE208" s="494"/>
      <c r="BF208" s="494"/>
      <c r="BG208" s="495"/>
      <c r="BH208" s="753" t="s">
        <v>351</v>
      </c>
      <c r="BI208" s="490"/>
      <c r="BJ208" s="490"/>
      <c r="BK208" s="491"/>
      <c r="BL208" s="500"/>
      <c r="BM208" s="754" t="s">
        <v>421</v>
      </c>
    </row>
    <row r="209" ht="12.75" customHeight="1">
      <c r="A209" s="755"/>
      <c r="B209" s="488"/>
      <c r="C209" s="502"/>
      <c r="N209" s="503"/>
      <c r="O209" s="559"/>
      <c r="P209" s="547" t="s">
        <v>422</v>
      </c>
      <c r="Q209" s="506"/>
      <c r="R209" s="506"/>
      <c r="S209" s="507"/>
      <c r="T209" s="547" t="s">
        <v>422</v>
      </c>
      <c r="U209" s="506"/>
      <c r="V209" s="506"/>
      <c r="W209" s="507"/>
      <c r="X209" s="547" t="s">
        <v>422</v>
      </c>
      <c r="Y209" s="506"/>
      <c r="Z209" s="506"/>
      <c r="AA209" s="507"/>
      <c r="AB209" s="547" t="s">
        <v>422</v>
      </c>
      <c r="AC209" s="506"/>
      <c r="AD209" s="506"/>
      <c r="AE209" s="507"/>
      <c r="AF209" s="547" t="s">
        <v>422</v>
      </c>
      <c r="AG209" s="506"/>
      <c r="AH209" s="506"/>
      <c r="AI209" s="507"/>
      <c r="AJ209" s="547" t="s">
        <v>422</v>
      </c>
      <c r="AK209" s="506"/>
      <c r="AL209" s="506"/>
      <c r="AM209" s="507"/>
      <c r="AN209" s="547" t="s">
        <v>422</v>
      </c>
      <c r="AO209" s="506"/>
      <c r="AP209" s="506"/>
      <c r="AQ209" s="507"/>
      <c r="AR209" s="547" t="s">
        <v>422</v>
      </c>
      <c r="AS209" s="506"/>
      <c r="AT209" s="506"/>
      <c r="AU209" s="507"/>
      <c r="AV209" s="547" t="s">
        <v>422</v>
      </c>
      <c r="AW209" s="506"/>
      <c r="AX209" s="506"/>
      <c r="AY209" s="507"/>
      <c r="AZ209" s="547" t="s">
        <v>422</v>
      </c>
      <c r="BA209" s="506"/>
      <c r="BB209" s="506"/>
      <c r="BC209" s="507"/>
      <c r="BD209" s="547" t="s">
        <v>422</v>
      </c>
      <c r="BE209" s="506"/>
      <c r="BF209" s="506"/>
      <c r="BG209" s="507"/>
      <c r="BH209" s="547" t="s">
        <v>422</v>
      </c>
      <c r="BI209" s="506"/>
      <c r="BJ209" s="506"/>
      <c r="BK209" s="507"/>
      <c r="BL209" s="562"/>
      <c r="BM209" s="562"/>
    </row>
    <row r="210" ht="12.75" customHeight="1">
      <c r="A210" s="756"/>
      <c r="B210" s="521"/>
      <c r="C210" s="512"/>
      <c r="D210" s="513"/>
      <c r="E210" s="513"/>
      <c r="F210" s="513"/>
      <c r="G210" s="513"/>
      <c r="H210" s="513"/>
      <c r="I210" s="513"/>
      <c r="J210" s="513"/>
      <c r="K210" s="513"/>
      <c r="L210" s="513"/>
      <c r="M210" s="513"/>
      <c r="N210" s="514"/>
      <c r="O210" s="515"/>
      <c r="P210" s="579">
        <v>0.0</v>
      </c>
      <c r="Q210" s="498"/>
      <c r="R210" s="498"/>
      <c r="S210" s="498"/>
      <c r="T210" s="579">
        <v>0.0</v>
      </c>
      <c r="U210" s="498"/>
      <c r="V210" s="498"/>
      <c r="W210" s="498"/>
      <c r="X210" s="579">
        <v>0.0</v>
      </c>
      <c r="Y210" s="498"/>
      <c r="Z210" s="498"/>
      <c r="AA210" s="498"/>
      <c r="AB210" s="579">
        <v>0.0</v>
      </c>
      <c r="AC210" s="498"/>
      <c r="AD210" s="498"/>
      <c r="AE210" s="498"/>
      <c r="AF210" s="579">
        <v>0.0</v>
      </c>
      <c r="AG210" s="498"/>
      <c r="AH210" s="498"/>
      <c r="AI210" s="498"/>
      <c r="AJ210" s="579">
        <v>0.0</v>
      </c>
      <c r="AK210" s="498"/>
      <c r="AL210" s="498"/>
      <c r="AM210" s="498"/>
      <c r="AN210" s="579">
        <v>0.0</v>
      </c>
      <c r="AO210" s="498"/>
      <c r="AP210" s="498"/>
      <c r="AQ210" s="498"/>
      <c r="AR210" s="579">
        <v>0.0</v>
      </c>
      <c r="AS210" s="498"/>
      <c r="AT210" s="498"/>
      <c r="AU210" s="498"/>
      <c r="AV210" s="579">
        <v>0.0</v>
      </c>
      <c r="AW210" s="498"/>
      <c r="AX210" s="498"/>
      <c r="AY210" s="498"/>
      <c r="AZ210" s="579">
        <v>0.0</v>
      </c>
      <c r="BA210" s="498"/>
      <c r="BB210" s="498"/>
      <c r="BC210" s="498"/>
      <c r="BD210" s="579">
        <v>0.0</v>
      </c>
      <c r="BE210" s="498"/>
      <c r="BF210" s="498"/>
      <c r="BG210" s="498"/>
      <c r="BH210" s="579">
        <v>0.0</v>
      </c>
      <c r="BI210" s="498"/>
      <c r="BJ210" s="498"/>
      <c r="BK210" s="498"/>
      <c r="BL210" s="519"/>
      <c r="BM210" s="519">
        <f>SUM(P210:BK210)</f>
        <v>0</v>
      </c>
    </row>
    <row r="211" ht="12.75" customHeight="1">
      <c r="A211" s="520" t="s">
        <v>374</v>
      </c>
      <c r="B211" s="521"/>
      <c r="C211" s="552" t="s">
        <v>354</v>
      </c>
      <c r="D211" s="552" t="s">
        <v>355</v>
      </c>
      <c r="E211" s="552" t="s">
        <v>356</v>
      </c>
      <c r="F211" s="552" t="s">
        <v>357</v>
      </c>
      <c r="G211" s="552" t="s">
        <v>5</v>
      </c>
      <c r="H211" s="552" t="s">
        <v>358</v>
      </c>
      <c r="I211" s="552" t="s">
        <v>359</v>
      </c>
      <c r="J211" s="552" t="s">
        <v>360</v>
      </c>
      <c r="K211" s="552" t="s">
        <v>361</v>
      </c>
      <c r="L211" s="552" t="s">
        <v>362</v>
      </c>
      <c r="M211" s="552" t="s">
        <v>363</v>
      </c>
      <c r="N211" s="552" t="s">
        <v>364</v>
      </c>
      <c r="O211" s="515"/>
      <c r="P211" s="522" t="s">
        <v>319</v>
      </c>
      <c r="Q211" s="522" t="s">
        <v>365</v>
      </c>
      <c r="R211" s="522" t="s">
        <v>366</v>
      </c>
      <c r="S211" s="522" t="s">
        <v>367</v>
      </c>
      <c r="T211" s="524" t="s">
        <v>319</v>
      </c>
      <c r="U211" s="524" t="s">
        <v>365</v>
      </c>
      <c r="V211" s="524" t="s">
        <v>366</v>
      </c>
      <c r="W211" s="524" t="s">
        <v>367</v>
      </c>
      <c r="X211" s="524" t="s">
        <v>319</v>
      </c>
      <c r="Y211" s="524" t="s">
        <v>365</v>
      </c>
      <c r="Z211" s="524" t="s">
        <v>366</v>
      </c>
      <c r="AA211" s="524" t="s">
        <v>367</v>
      </c>
      <c r="AB211" s="522" t="s">
        <v>319</v>
      </c>
      <c r="AC211" s="522" t="s">
        <v>365</v>
      </c>
      <c r="AD211" s="522" t="s">
        <v>366</v>
      </c>
      <c r="AE211" s="522" t="s">
        <v>367</v>
      </c>
      <c r="AF211" s="524" t="s">
        <v>319</v>
      </c>
      <c r="AG211" s="524" t="s">
        <v>365</v>
      </c>
      <c r="AH211" s="524" t="s">
        <v>366</v>
      </c>
      <c r="AI211" s="524" t="s">
        <v>367</v>
      </c>
      <c r="AJ211" s="524" t="s">
        <v>319</v>
      </c>
      <c r="AK211" s="524" t="s">
        <v>365</v>
      </c>
      <c r="AL211" s="524" t="s">
        <v>366</v>
      </c>
      <c r="AM211" s="524" t="s">
        <v>367</v>
      </c>
      <c r="AN211" s="522" t="s">
        <v>319</v>
      </c>
      <c r="AO211" s="522" t="s">
        <v>365</v>
      </c>
      <c r="AP211" s="522" t="s">
        <v>366</v>
      </c>
      <c r="AQ211" s="522" t="s">
        <v>367</v>
      </c>
      <c r="AR211" s="524" t="s">
        <v>319</v>
      </c>
      <c r="AS211" s="524" t="s">
        <v>365</v>
      </c>
      <c r="AT211" s="524" t="s">
        <v>366</v>
      </c>
      <c r="AU211" s="524" t="s">
        <v>367</v>
      </c>
      <c r="AV211" s="524" t="s">
        <v>319</v>
      </c>
      <c r="AW211" s="524" t="s">
        <v>365</v>
      </c>
      <c r="AX211" s="524" t="s">
        <v>366</v>
      </c>
      <c r="AY211" s="524" t="s">
        <v>367</v>
      </c>
      <c r="AZ211" s="524" t="s">
        <v>319</v>
      </c>
      <c r="BA211" s="524" t="s">
        <v>365</v>
      </c>
      <c r="BB211" s="524" t="s">
        <v>366</v>
      </c>
      <c r="BC211" s="524" t="s">
        <v>367</v>
      </c>
      <c r="BD211" s="524" t="s">
        <v>319</v>
      </c>
      <c r="BE211" s="524" t="s">
        <v>365</v>
      </c>
      <c r="BF211" s="524" t="s">
        <v>366</v>
      </c>
      <c r="BG211" s="524" t="s">
        <v>367</v>
      </c>
      <c r="BH211" s="524" t="s">
        <v>319</v>
      </c>
      <c r="BI211" s="524" t="s">
        <v>365</v>
      </c>
      <c r="BJ211" s="524" t="s">
        <v>366</v>
      </c>
      <c r="BK211" s="524" t="s">
        <v>367</v>
      </c>
      <c r="BL211" s="500"/>
      <c r="BM211" s="500"/>
    </row>
    <row r="212" ht="12.75" customHeight="1">
      <c r="A212" s="757" t="s">
        <v>423</v>
      </c>
      <c r="B212" s="511"/>
      <c r="C212" s="526">
        <f>GB!B110</f>
        <v>40</v>
      </c>
      <c r="D212" s="526">
        <f>GB!C110</f>
        <v>45</v>
      </c>
      <c r="E212" s="526">
        <f>GB!D110</f>
        <v>60</v>
      </c>
      <c r="F212" s="526">
        <f>GB!E110</f>
        <v>80</v>
      </c>
      <c r="G212" s="526">
        <f>GB!F110</f>
        <v>100</v>
      </c>
      <c r="H212" s="526">
        <f>GB!G110</f>
        <v>95</v>
      </c>
      <c r="I212" s="526">
        <f>GB!H110</f>
        <v>105</v>
      </c>
      <c r="J212" s="526">
        <f>GB!I110</f>
        <v>100</v>
      </c>
      <c r="K212" s="526">
        <f>GB!J110</f>
        <v>90</v>
      </c>
      <c r="L212" s="526">
        <f>GB!K110</f>
        <v>85</v>
      </c>
      <c r="M212" s="526">
        <f>GB!L110</f>
        <v>75</v>
      </c>
      <c r="N212" s="526">
        <f>GB!M110</f>
        <v>85</v>
      </c>
      <c r="O212" s="533"/>
      <c r="P212" s="553">
        <f t="shared" ref="P212:P213" si="465">SUM(C212:N212)</f>
        <v>960</v>
      </c>
      <c r="Q212" s="554">
        <f>P210/4</f>
        <v>0</v>
      </c>
      <c r="R212" s="554">
        <f>(P210/2)*(P212/P214)</f>
        <v>0</v>
      </c>
      <c r="S212" s="530">
        <f t="shared" ref="S212:S213" si="466">Q212+R212</f>
        <v>0</v>
      </c>
      <c r="T212" s="553">
        <f t="shared" ref="T212:T213" si="467">SUM(C212:N212)</f>
        <v>960</v>
      </c>
      <c r="U212" s="530">
        <f>T210/4</f>
        <v>0</v>
      </c>
      <c r="V212" s="530">
        <f>(T210/2)*(T212/T214)</f>
        <v>0</v>
      </c>
      <c r="W212" s="530">
        <f t="shared" ref="W212:W213" si="468">U212+V212</f>
        <v>0</v>
      </c>
      <c r="X212" s="553">
        <f t="shared" ref="X212:X213" si="469">SUM(C212:N212)</f>
        <v>960</v>
      </c>
      <c r="Y212" s="530">
        <f>X210/4</f>
        <v>0</v>
      </c>
      <c r="Z212" s="530">
        <f>(X210/2)*(X212/X214)</f>
        <v>0</v>
      </c>
      <c r="AA212" s="530">
        <f t="shared" ref="AA212:AA213" si="470">Y212+Z212</f>
        <v>0</v>
      </c>
      <c r="AB212" s="553">
        <f t="shared" ref="AB212:AB213" si="471">SUM(C212:N212)</f>
        <v>960</v>
      </c>
      <c r="AC212" s="554">
        <f>AB210/4</f>
        <v>0</v>
      </c>
      <c r="AD212" s="554">
        <f>(AB210/2)*(AB212/AB214)</f>
        <v>0</v>
      </c>
      <c r="AE212" s="554">
        <f t="shared" ref="AE212:AE213" si="472">AC212+AD212</f>
        <v>0</v>
      </c>
      <c r="AF212" s="529">
        <f t="shared" ref="AF212:AF213" si="473">SUM(C212:N212)</f>
        <v>960</v>
      </c>
      <c r="AG212" s="530">
        <f>AF210/4</f>
        <v>0</v>
      </c>
      <c r="AH212" s="530">
        <f>(AF210/2)*(AF212/AF214)</f>
        <v>0</v>
      </c>
      <c r="AI212" s="530">
        <f t="shared" ref="AI212:AI213" si="474">AG212+AH212</f>
        <v>0</v>
      </c>
      <c r="AJ212" s="529">
        <f t="shared" ref="AJ212:AJ213" si="475">SUM(C212:N212)</f>
        <v>960</v>
      </c>
      <c r="AK212" s="530">
        <f>AJ210/4</f>
        <v>0</v>
      </c>
      <c r="AL212" s="530">
        <f>(AJ210/2)*(AJ212/AJ214)</f>
        <v>0</v>
      </c>
      <c r="AM212" s="730">
        <f t="shared" ref="AM212:AM213" si="476">AK212+AL212</f>
        <v>0</v>
      </c>
      <c r="AN212" s="553">
        <f t="shared" ref="AN212:AN213" si="477">SUM(C212:N212)</f>
        <v>960</v>
      </c>
      <c r="AO212" s="554">
        <f>AN210/4</f>
        <v>0</v>
      </c>
      <c r="AP212" s="554">
        <f>(AN210/2)*(AN212/AN214)</f>
        <v>0</v>
      </c>
      <c r="AQ212" s="554">
        <f t="shared" ref="AQ212:AQ213" si="478">AO212+AP212</f>
        <v>0</v>
      </c>
      <c r="AR212" s="529">
        <f t="shared" ref="AR212:AR213" si="479">SUM(C212:N212)</f>
        <v>960</v>
      </c>
      <c r="AS212" s="530">
        <f>AR210/4</f>
        <v>0</v>
      </c>
      <c r="AT212" s="530">
        <f>(AR210/2)*(AR212/AR214)</f>
        <v>0</v>
      </c>
      <c r="AU212" s="530">
        <f t="shared" ref="AU212:AU213" si="480">AS212+AT212</f>
        <v>0</v>
      </c>
      <c r="AV212" s="529">
        <f t="shared" ref="AV212:AV213" si="481">SUM(C212:N212)</f>
        <v>960</v>
      </c>
      <c r="AW212" s="530">
        <f>AV210/4</f>
        <v>0</v>
      </c>
      <c r="AX212" s="530">
        <f>(AV210/2)*(AV212/AV214)</f>
        <v>0</v>
      </c>
      <c r="AY212" s="530">
        <f t="shared" ref="AY212:AY213" si="482">AW212+AX212</f>
        <v>0</v>
      </c>
      <c r="AZ212" s="529">
        <f t="shared" ref="AZ212:AZ213" si="483">SUM(C212:N212)</f>
        <v>960</v>
      </c>
      <c r="BA212" s="530">
        <f>AZ210/4</f>
        <v>0</v>
      </c>
      <c r="BB212" s="530">
        <f>(AZ210/2)*(AZ212/AZ214)</f>
        <v>0</v>
      </c>
      <c r="BC212" s="530">
        <f t="shared" ref="BC212:BC213" si="484">BA212+BB212</f>
        <v>0</v>
      </c>
      <c r="BD212" s="529">
        <f t="shared" ref="BD212:BD213" si="485">SUM(C212:N212)</f>
        <v>960</v>
      </c>
      <c r="BE212" s="530">
        <f>BD210/4</f>
        <v>0</v>
      </c>
      <c r="BF212" s="530">
        <f>(BD210/2)*(BD212/BD214)</f>
        <v>0</v>
      </c>
      <c r="BG212" s="530">
        <f t="shared" ref="BG212:BG213" si="486">BE212+BF212</f>
        <v>0</v>
      </c>
      <c r="BH212" s="529">
        <f t="shared" ref="BH212:BH213" si="487">SUM(C212:N212)</f>
        <v>960</v>
      </c>
      <c r="BI212" s="530">
        <f>BH210/4</f>
        <v>0</v>
      </c>
      <c r="BJ212" s="530">
        <f>(BH210/2)*(BH212/BH214)</f>
        <v>0</v>
      </c>
      <c r="BK212" s="530">
        <f t="shared" ref="BK212:BK213" si="488">BI212+BJ212</f>
        <v>0</v>
      </c>
      <c r="BL212" s="531"/>
      <c r="BM212" s="531"/>
    </row>
    <row r="213" ht="12.75" customHeight="1">
      <c r="A213" s="757" t="s">
        <v>424</v>
      </c>
      <c r="B213" s="511"/>
      <c r="C213" s="526">
        <f>WM!B110</f>
        <v>37</v>
      </c>
      <c r="D213" s="526">
        <f>WM!C110</f>
        <v>40</v>
      </c>
      <c r="E213" s="526">
        <f>WM!D110</f>
        <v>45</v>
      </c>
      <c r="F213" s="526">
        <f>WM!E110</f>
        <v>65</v>
      </c>
      <c r="G213" s="526">
        <f>WM!F110</f>
        <v>70</v>
      </c>
      <c r="H213" s="526">
        <f>WM!G110</f>
        <v>65</v>
      </c>
      <c r="I213" s="526">
        <f>WM!H110</f>
        <v>68</v>
      </c>
      <c r="J213" s="526">
        <f>WM!I110</f>
        <v>85</v>
      </c>
      <c r="K213" s="526">
        <f>WM!J110</f>
        <v>70</v>
      </c>
      <c r="L213" s="526">
        <f>WM!K110</f>
        <v>65</v>
      </c>
      <c r="M213" s="526">
        <f>WM!L110</f>
        <v>70</v>
      </c>
      <c r="N213" s="526">
        <f>WM!M110</f>
        <v>70</v>
      </c>
      <c r="O213" s="533"/>
      <c r="P213" s="553">
        <f t="shared" si="465"/>
        <v>750</v>
      </c>
      <c r="Q213" s="554">
        <f>P210/4</f>
        <v>0</v>
      </c>
      <c r="R213" s="554">
        <f>(P210/2)*(P213/P214)</f>
        <v>0</v>
      </c>
      <c r="S213" s="530">
        <f t="shared" si="466"/>
        <v>0</v>
      </c>
      <c r="T213" s="553">
        <f t="shared" si="467"/>
        <v>750</v>
      </c>
      <c r="U213" s="530">
        <f>T210/4</f>
        <v>0</v>
      </c>
      <c r="V213" s="530">
        <f>(T210/2)*(T213/T214)</f>
        <v>0</v>
      </c>
      <c r="W213" s="530">
        <f t="shared" si="468"/>
        <v>0</v>
      </c>
      <c r="X213" s="553">
        <f t="shared" si="469"/>
        <v>750</v>
      </c>
      <c r="Y213" s="530">
        <f>X210/4</f>
        <v>0</v>
      </c>
      <c r="Z213" s="530">
        <f>(X210/2)*(X213/X214)</f>
        <v>0</v>
      </c>
      <c r="AA213" s="530">
        <f t="shared" si="470"/>
        <v>0</v>
      </c>
      <c r="AB213" s="553">
        <f t="shared" si="471"/>
        <v>750</v>
      </c>
      <c r="AC213" s="554">
        <f>AB210/4</f>
        <v>0</v>
      </c>
      <c r="AD213" s="554">
        <f>(AB210/2)*(AB213/AB214)</f>
        <v>0</v>
      </c>
      <c r="AE213" s="554">
        <f t="shared" si="472"/>
        <v>0</v>
      </c>
      <c r="AF213" s="529">
        <f t="shared" si="473"/>
        <v>750</v>
      </c>
      <c r="AG213" s="530">
        <f>AF210/4</f>
        <v>0</v>
      </c>
      <c r="AH213" s="530">
        <f>(AF210/2)*(AF213/AF214)</f>
        <v>0</v>
      </c>
      <c r="AI213" s="530">
        <f t="shared" si="474"/>
        <v>0</v>
      </c>
      <c r="AJ213" s="529">
        <f t="shared" si="475"/>
        <v>750</v>
      </c>
      <c r="AK213" s="530">
        <f>AJ210/4</f>
        <v>0</v>
      </c>
      <c r="AL213" s="530">
        <f>(AJ210/2)*(AJ213/AJ214)</f>
        <v>0</v>
      </c>
      <c r="AM213" s="730">
        <f t="shared" si="476"/>
        <v>0</v>
      </c>
      <c r="AN213" s="553">
        <f t="shared" si="477"/>
        <v>750</v>
      </c>
      <c r="AO213" s="554">
        <f>AN210/4</f>
        <v>0</v>
      </c>
      <c r="AP213" s="554">
        <f>(AN210/2)*(AN213/AN214)</f>
        <v>0</v>
      </c>
      <c r="AQ213" s="554">
        <f t="shared" si="478"/>
        <v>0</v>
      </c>
      <c r="AR213" s="529">
        <f t="shared" si="479"/>
        <v>750</v>
      </c>
      <c r="AS213" s="530">
        <f>AR210/4</f>
        <v>0</v>
      </c>
      <c r="AT213" s="530">
        <f>(AR210/2)*(AR213/AR214)</f>
        <v>0</v>
      </c>
      <c r="AU213" s="530">
        <f t="shared" si="480"/>
        <v>0</v>
      </c>
      <c r="AV213" s="529">
        <f t="shared" si="481"/>
        <v>750</v>
      </c>
      <c r="AW213" s="530">
        <f>AV210/4</f>
        <v>0</v>
      </c>
      <c r="AX213" s="530">
        <f>(AV210/2)*(AV213/AV214)</f>
        <v>0</v>
      </c>
      <c r="AY213" s="530">
        <f t="shared" si="482"/>
        <v>0</v>
      </c>
      <c r="AZ213" s="529">
        <f t="shared" si="483"/>
        <v>750</v>
      </c>
      <c r="BA213" s="530">
        <f>AZ210/4</f>
        <v>0</v>
      </c>
      <c r="BB213" s="530">
        <f>(AZ210/2)*(AZ213/AZ214)</f>
        <v>0</v>
      </c>
      <c r="BC213" s="530">
        <f t="shared" si="484"/>
        <v>0</v>
      </c>
      <c r="BD213" s="529">
        <f t="shared" si="485"/>
        <v>750</v>
      </c>
      <c r="BE213" s="530">
        <f>BD210/4</f>
        <v>0</v>
      </c>
      <c r="BF213" s="530">
        <f>(BD210/2)*(BD213/BD214)</f>
        <v>0</v>
      </c>
      <c r="BG213" s="530">
        <f t="shared" si="486"/>
        <v>0</v>
      </c>
      <c r="BH213" s="529">
        <f t="shared" si="487"/>
        <v>750</v>
      </c>
      <c r="BI213" s="530">
        <f>BH210/4</f>
        <v>0</v>
      </c>
      <c r="BJ213" s="530">
        <f>(BH210/2)*(BH213/BH214)</f>
        <v>0</v>
      </c>
      <c r="BK213" s="530">
        <f t="shared" si="488"/>
        <v>0</v>
      </c>
      <c r="BL213" s="531"/>
      <c r="BM213" s="531"/>
    </row>
    <row r="214" ht="12.75" customHeight="1">
      <c r="A214" s="758"/>
      <c r="B214" s="521"/>
      <c r="C214" s="515"/>
      <c r="D214" s="515"/>
      <c r="E214" s="515"/>
      <c r="F214" s="515"/>
      <c r="G214" s="515"/>
      <c r="H214" s="515"/>
      <c r="I214" s="515"/>
      <c r="J214" s="515"/>
      <c r="K214" s="515"/>
      <c r="L214" s="515"/>
      <c r="M214" s="515"/>
      <c r="N214" s="515"/>
      <c r="O214" s="533"/>
      <c r="P214" s="552">
        <f t="shared" ref="P214:BK214" si="489">P212+P213</f>
        <v>1710</v>
      </c>
      <c r="Q214" s="556">
        <f t="shared" si="489"/>
        <v>0</v>
      </c>
      <c r="R214" s="556">
        <f t="shared" si="489"/>
        <v>0</v>
      </c>
      <c r="S214" s="536">
        <f t="shared" si="489"/>
        <v>0</v>
      </c>
      <c r="T214" s="552">
        <f t="shared" si="489"/>
        <v>1710</v>
      </c>
      <c r="U214" s="536">
        <f t="shared" si="489"/>
        <v>0</v>
      </c>
      <c r="V214" s="536">
        <f t="shared" si="489"/>
        <v>0</v>
      </c>
      <c r="W214" s="536">
        <f t="shared" si="489"/>
        <v>0</v>
      </c>
      <c r="X214" s="552">
        <f t="shared" si="489"/>
        <v>1710</v>
      </c>
      <c r="Y214" s="536">
        <f t="shared" si="489"/>
        <v>0</v>
      </c>
      <c r="Z214" s="536">
        <f t="shared" si="489"/>
        <v>0</v>
      </c>
      <c r="AA214" s="536">
        <f t="shared" si="489"/>
        <v>0</v>
      </c>
      <c r="AB214" s="552">
        <f t="shared" si="489"/>
        <v>1710</v>
      </c>
      <c r="AC214" s="556">
        <f t="shared" si="489"/>
        <v>0</v>
      </c>
      <c r="AD214" s="556">
        <f t="shared" si="489"/>
        <v>0</v>
      </c>
      <c r="AE214" s="556">
        <f t="shared" si="489"/>
        <v>0</v>
      </c>
      <c r="AF214" s="552">
        <f t="shared" si="489"/>
        <v>1710</v>
      </c>
      <c r="AG214" s="536">
        <f t="shared" si="489"/>
        <v>0</v>
      </c>
      <c r="AH214" s="536">
        <f t="shared" si="489"/>
        <v>0</v>
      </c>
      <c r="AI214" s="536">
        <f t="shared" si="489"/>
        <v>0</v>
      </c>
      <c r="AJ214" s="552">
        <f t="shared" si="489"/>
        <v>1710</v>
      </c>
      <c r="AK214" s="536">
        <f t="shared" si="489"/>
        <v>0</v>
      </c>
      <c r="AL214" s="536">
        <f t="shared" si="489"/>
        <v>0</v>
      </c>
      <c r="AM214" s="536">
        <f t="shared" si="489"/>
        <v>0</v>
      </c>
      <c r="AN214" s="552">
        <f t="shared" si="489"/>
        <v>1710</v>
      </c>
      <c r="AO214" s="556">
        <f t="shared" si="489"/>
        <v>0</v>
      </c>
      <c r="AP214" s="556">
        <f t="shared" si="489"/>
        <v>0</v>
      </c>
      <c r="AQ214" s="556">
        <f t="shared" si="489"/>
        <v>0</v>
      </c>
      <c r="AR214" s="535">
        <f t="shared" si="489"/>
        <v>1710</v>
      </c>
      <c r="AS214" s="536">
        <f t="shared" si="489"/>
        <v>0</v>
      </c>
      <c r="AT214" s="536">
        <f t="shared" si="489"/>
        <v>0</v>
      </c>
      <c r="AU214" s="536">
        <f t="shared" si="489"/>
        <v>0</v>
      </c>
      <c r="AV214" s="535">
        <f t="shared" si="489"/>
        <v>1710</v>
      </c>
      <c r="AW214" s="536">
        <f t="shared" si="489"/>
        <v>0</v>
      </c>
      <c r="AX214" s="536">
        <f t="shared" si="489"/>
        <v>0</v>
      </c>
      <c r="AY214" s="536">
        <f t="shared" si="489"/>
        <v>0</v>
      </c>
      <c r="AZ214" s="535">
        <f t="shared" si="489"/>
        <v>1710</v>
      </c>
      <c r="BA214" s="536">
        <f t="shared" si="489"/>
        <v>0</v>
      </c>
      <c r="BB214" s="536">
        <f t="shared" si="489"/>
        <v>0</v>
      </c>
      <c r="BC214" s="536">
        <f t="shared" si="489"/>
        <v>0</v>
      </c>
      <c r="BD214" s="535">
        <f t="shared" si="489"/>
        <v>1710</v>
      </c>
      <c r="BE214" s="536">
        <f t="shared" si="489"/>
        <v>0</v>
      </c>
      <c r="BF214" s="536">
        <f t="shared" si="489"/>
        <v>0</v>
      </c>
      <c r="BG214" s="536">
        <f t="shared" si="489"/>
        <v>0</v>
      </c>
      <c r="BH214" s="535">
        <f t="shared" si="489"/>
        <v>1710</v>
      </c>
      <c r="BI214" s="536">
        <f t="shared" si="489"/>
        <v>0</v>
      </c>
      <c r="BJ214" s="536">
        <f t="shared" si="489"/>
        <v>0</v>
      </c>
      <c r="BK214" s="556">
        <f t="shared" si="489"/>
        <v>0</v>
      </c>
      <c r="BL214" s="557"/>
      <c r="BM214" s="557"/>
    </row>
    <row r="215" ht="12.75" customHeight="1">
      <c r="A215" s="759"/>
      <c r="B215" s="521"/>
      <c r="C215" s="515"/>
      <c r="D215" s="515"/>
      <c r="E215" s="515"/>
      <c r="F215" s="515"/>
      <c r="G215" s="515"/>
      <c r="H215" s="515"/>
      <c r="I215" s="515"/>
      <c r="J215" s="515"/>
      <c r="K215" s="515"/>
      <c r="L215" s="515"/>
      <c r="M215" s="515"/>
      <c r="N215" s="515"/>
      <c r="O215" s="533"/>
      <c r="P215" s="541"/>
      <c r="T215" s="541"/>
      <c r="X215" s="541"/>
      <c r="AB215" s="541"/>
      <c r="AF215" s="541"/>
      <c r="AJ215" s="541"/>
      <c r="AN215" s="533"/>
      <c r="AO215" s="557"/>
      <c r="AP215" s="557"/>
      <c r="AQ215" s="557"/>
      <c r="AR215" s="500"/>
      <c r="AS215" s="537"/>
      <c r="AT215" s="537"/>
      <c r="AU215" s="537"/>
      <c r="AV215" s="500"/>
      <c r="AW215" s="537"/>
      <c r="AX215" s="537"/>
      <c r="AY215" s="537"/>
      <c r="AZ215" s="533"/>
      <c r="BA215" s="557"/>
      <c r="BB215" s="557"/>
      <c r="BC215" s="557"/>
      <c r="BD215" s="500"/>
      <c r="BE215" s="537"/>
      <c r="BF215" s="537"/>
      <c r="BG215" s="537"/>
      <c r="BH215" s="500"/>
      <c r="BI215" s="537"/>
      <c r="BJ215" s="537"/>
      <c r="BK215" s="537"/>
      <c r="BL215" s="537"/>
      <c r="BM215" s="537"/>
    </row>
    <row r="216" ht="12.75" customHeight="1">
      <c r="A216" s="760"/>
      <c r="B216" s="521"/>
      <c r="C216" s="515"/>
      <c r="D216" s="515"/>
      <c r="E216" s="515"/>
      <c r="F216" s="515"/>
      <c r="G216" s="515"/>
      <c r="H216" s="515"/>
      <c r="I216" s="515"/>
      <c r="J216" s="515"/>
      <c r="K216" s="515"/>
      <c r="L216" s="515"/>
      <c r="M216" s="515"/>
      <c r="N216" s="515"/>
      <c r="O216" s="533"/>
      <c r="P216" s="576" t="s">
        <v>340</v>
      </c>
      <c r="Q216" s="494"/>
      <c r="R216" s="494"/>
      <c r="S216" s="495"/>
      <c r="T216" s="576" t="s">
        <v>341</v>
      </c>
      <c r="U216" s="494"/>
      <c r="V216" s="494"/>
      <c r="W216" s="495"/>
      <c r="X216" s="576" t="s">
        <v>342</v>
      </c>
      <c r="Y216" s="494"/>
      <c r="Z216" s="494"/>
      <c r="AA216" s="495"/>
      <c r="AB216" s="576" t="s">
        <v>343</v>
      </c>
      <c r="AC216" s="494"/>
      <c r="AD216" s="494"/>
      <c r="AE216" s="495"/>
      <c r="AF216" s="576" t="s">
        <v>344</v>
      </c>
      <c r="AG216" s="494"/>
      <c r="AH216" s="494"/>
      <c r="AI216" s="495"/>
      <c r="AJ216" s="576" t="s">
        <v>345</v>
      </c>
      <c r="AK216" s="494"/>
      <c r="AL216" s="494"/>
      <c r="AM216" s="495"/>
      <c r="AN216" s="576" t="s">
        <v>346</v>
      </c>
      <c r="AO216" s="494"/>
      <c r="AP216" s="494"/>
      <c r="AQ216" s="495"/>
      <c r="AR216" s="576" t="s">
        <v>347</v>
      </c>
      <c r="AS216" s="494"/>
      <c r="AT216" s="494"/>
      <c r="AU216" s="495"/>
      <c r="AV216" s="576" t="s">
        <v>348</v>
      </c>
      <c r="AW216" s="494"/>
      <c r="AX216" s="494"/>
      <c r="AY216" s="495"/>
      <c r="AZ216" s="576" t="s">
        <v>349</v>
      </c>
      <c r="BA216" s="494"/>
      <c r="BB216" s="494"/>
      <c r="BC216" s="495"/>
      <c r="BD216" s="576" t="s">
        <v>350</v>
      </c>
      <c r="BE216" s="494"/>
      <c r="BF216" s="494"/>
      <c r="BG216" s="495"/>
      <c r="BH216" s="753" t="s">
        <v>351</v>
      </c>
      <c r="BI216" s="490"/>
      <c r="BJ216" s="490"/>
      <c r="BK216" s="491"/>
      <c r="BL216" s="500"/>
      <c r="BM216" s="500"/>
    </row>
    <row r="217" ht="12.75" customHeight="1">
      <c r="A217" s="760"/>
      <c r="B217" s="521"/>
      <c r="C217" s="515"/>
      <c r="D217" s="515"/>
      <c r="E217" s="515"/>
      <c r="F217" s="515"/>
      <c r="G217" s="515"/>
      <c r="H217" s="515"/>
      <c r="I217" s="515"/>
      <c r="J217" s="515"/>
      <c r="K217" s="515"/>
      <c r="L217" s="515"/>
      <c r="M217" s="515"/>
      <c r="N217" s="515"/>
      <c r="O217" s="533"/>
      <c r="P217" s="547" t="s">
        <v>425</v>
      </c>
      <c r="Q217" s="506"/>
      <c r="R217" s="506"/>
      <c r="S217" s="506"/>
      <c r="T217" s="547" t="s">
        <v>425</v>
      </c>
      <c r="U217" s="506"/>
      <c r="V217" s="506"/>
      <c r="W217" s="506"/>
      <c r="X217" s="547" t="s">
        <v>425</v>
      </c>
      <c r="Y217" s="506"/>
      <c r="Z217" s="506"/>
      <c r="AA217" s="506"/>
      <c r="AB217" s="547" t="s">
        <v>425</v>
      </c>
      <c r="AC217" s="506"/>
      <c r="AD217" s="506"/>
      <c r="AE217" s="506"/>
      <c r="AF217" s="547" t="s">
        <v>425</v>
      </c>
      <c r="AG217" s="506"/>
      <c r="AH217" s="506"/>
      <c r="AI217" s="506"/>
      <c r="AJ217" s="547" t="s">
        <v>425</v>
      </c>
      <c r="AK217" s="506"/>
      <c r="AL217" s="506"/>
      <c r="AM217" s="506"/>
      <c r="AN217" s="547" t="s">
        <v>425</v>
      </c>
      <c r="AO217" s="506"/>
      <c r="AP217" s="506"/>
      <c r="AQ217" s="506"/>
      <c r="AR217" s="547" t="s">
        <v>425</v>
      </c>
      <c r="AS217" s="506"/>
      <c r="AT217" s="506"/>
      <c r="AU217" s="506"/>
      <c r="AV217" s="547" t="s">
        <v>425</v>
      </c>
      <c r="AW217" s="506"/>
      <c r="AX217" s="506"/>
      <c r="AY217" s="506"/>
      <c r="AZ217" s="547" t="s">
        <v>425</v>
      </c>
      <c r="BA217" s="506"/>
      <c r="BB217" s="506"/>
      <c r="BC217" s="506"/>
      <c r="BD217" s="547" t="s">
        <v>425</v>
      </c>
      <c r="BE217" s="506"/>
      <c r="BF217" s="506"/>
      <c r="BG217" s="506"/>
      <c r="BH217" s="547" t="s">
        <v>425</v>
      </c>
      <c r="BI217" s="506"/>
      <c r="BJ217" s="506"/>
      <c r="BK217" s="506"/>
      <c r="BL217" s="562"/>
      <c r="BM217" s="562"/>
    </row>
    <row r="218" ht="12.75" customHeight="1">
      <c r="A218" s="761"/>
      <c r="B218" s="521"/>
      <c r="C218" s="515"/>
      <c r="D218" s="515"/>
      <c r="E218" s="515"/>
      <c r="F218" s="515"/>
      <c r="G218" s="515"/>
      <c r="H218" s="515"/>
      <c r="I218" s="515"/>
      <c r="J218" s="515"/>
      <c r="K218" s="515"/>
      <c r="L218" s="515"/>
      <c r="M218" s="515"/>
      <c r="N218" s="515"/>
      <c r="O218" s="533"/>
      <c r="P218" s="579">
        <f>7500</f>
        <v>7500</v>
      </c>
      <c r="Q218" s="498"/>
      <c r="R218" s="498"/>
      <c r="S218" s="498"/>
      <c r="T218" s="579">
        <f>7500</f>
        <v>7500</v>
      </c>
      <c r="U218" s="498"/>
      <c r="V218" s="498"/>
      <c r="W218" s="498"/>
      <c r="X218" s="579">
        <v>15000.0</v>
      </c>
      <c r="Y218" s="498"/>
      <c r="Z218" s="498"/>
      <c r="AA218" s="498"/>
      <c r="AB218" s="579">
        <v>15000.0</v>
      </c>
      <c r="AC218" s="498"/>
      <c r="AD218" s="498"/>
      <c r="AE218" s="498"/>
      <c r="AF218" s="579">
        <v>21544.0</v>
      </c>
      <c r="AG218" s="498"/>
      <c r="AH218" s="498"/>
      <c r="AI218" s="498"/>
      <c r="AJ218" s="579">
        <v>21544.0</v>
      </c>
      <c r="AK218" s="498"/>
      <c r="AL218" s="498"/>
      <c r="AM218" s="498"/>
      <c r="AN218" s="579">
        <v>15000.0</v>
      </c>
      <c r="AO218" s="498"/>
      <c r="AP218" s="498"/>
      <c r="AQ218" s="498"/>
      <c r="AR218" s="579">
        <v>15000.0</v>
      </c>
      <c r="AS218" s="498"/>
      <c r="AT218" s="498"/>
      <c r="AU218" s="498"/>
      <c r="AV218" s="579">
        <v>18545.0</v>
      </c>
      <c r="AW218" s="498"/>
      <c r="AX218" s="498"/>
      <c r="AY218" s="498"/>
      <c r="AZ218" s="579">
        <v>18545.0</v>
      </c>
      <c r="BA218" s="498"/>
      <c r="BB218" s="498"/>
      <c r="BC218" s="498"/>
      <c r="BD218" s="579">
        <v>21544.0</v>
      </c>
      <c r="BE218" s="498"/>
      <c r="BF218" s="498"/>
      <c r="BG218" s="498"/>
      <c r="BH218" s="579">
        <v>21544.0</v>
      </c>
      <c r="BI218" s="498"/>
      <c r="BJ218" s="498"/>
      <c r="BK218" s="498"/>
      <c r="BL218" s="519"/>
      <c r="BM218" s="519">
        <f>SUM(P218:BK218)</f>
        <v>198266</v>
      </c>
    </row>
    <row r="219" ht="12.75" customHeight="1">
      <c r="A219" s="520" t="s">
        <v>353</v>
      </c>
      <c r="B219" s="521"/>
      <c r="C219" s="515"/>
      <c r="D219" s="515"/>
      <c r="E219" s="515"/>
      <c r="F219" s="515"/>
      <c r="G219" s="515"/>
      <c r="H219" s="515"/>
      <c r="I219" s="515"/>
      <c r="J219" s="515"/>
      <c r="K219" s="515"/>
      <c r="L219" s="515"/>
      <c r="M219" s="515"/>
      <c r="N219" s="515"/>
      <c r="O219" s="533"/>
      <c r="P219" s="522" t="s">
        <v>319</v>
      </c>
      <c r="Q219" s="522" t="s">
        <v>365</v>
      </c>
      <c r="R219" s="522" t="s">
        <v>366</v>
      </c>
      <c r="S219" s="522" t="s">
        <v>367</v>
      </c>
      <c r="T219" s="524" t="s">
        <v>319</v>
      </c>
      <c r="U219" s="524" t="s">
        <v>365</v>
      </c>
      <c r="V219" s="524" t="s">
        <v>366</v>
      </c>
      <c r="W219" s="524" t="s">
        <v>367</v>
      </c>
      <c r="X219" s="524" t="s">
        <v>319</v>
      </c>
      <c r="Y219" s="524" t="s">
        <v>365</v>
      </c>
      <c r="Z219" s="524" t="s">
        <v>366</v>
      </c>
      <c r="AA219" s="524" t="s">
        <v>367</v>
      </c>
      <c r="AB219" s="522" t="s">
        <v>319</v>
      </c>
      <c r="AC219" s="522" t="s">
        <v>365</v>
      </c>
      <c r="AD219" s="522" t="s">
        <v>366</v>
      </c>
      <c r="AE219" s="522" t="s">
        <v>367</v>
      </c>
      <c r="AF219" s="524" t="s">
        <v>319</v>
      </c>
      <c r="AG219" s="524" t="s">
        <v>365</v>
      </c>
      <c r="AH219" s="524" t="s">
        <v>366</v>
      </c>
      <c r="AI219" s="524" t="s">
        <v>367</v>
      </c>
      <c r="AJ219" s="524" t="s">
        <v>319</v>
      </c>
      <c r="AK219" s="524" t="s">
        <v>365</v>
      </c>
      <c r="AL219" s="524" t="s">
        <v>366</v>
      </c>
      <c r="AM219" s="524" t="s">
        <v>367</v>
      </c>
      <c r="AN219" s="522" t="s">
        <v>319</v>
      </c>
      <c r="AO219" s="522" t="s">
        <v>365</v>
      </c>
      <c r="AP219" s="522" t="s">
        <v>366</v>
      </c>
      <c r="AQ219" s="522" t="s">
        <v>367</v>
      </c>
      <c r="AR219" s="524" t="s">
        <v>319</v>
      </c>
      <c r="AS219" s="524" t="s">
        <v>365</v>
      </c>
      <c r="AT219" s="524" t="s">
        <v>366</v>
      </c>
      <c r="AU219" s="524" t="s">
        <v>367</v>
      </c>
      <c r="AV219" s="524" t="s">
        <v>319</v>
      </c>
      <c r="AW219" s="524" t="s">
        <v>365</v>
      </c>
      <c r="AX219" s="524" t="s">
        <v>366</v>
      </c>
      <c r="AY219" s="524" t="s">
        <v>367</v>
      </c>
      <c r="AZ219" s="524" t="s">
        <v>319</v>
      </c>
      <c r="BA219" s="524" t="s">
        <v>365</v>
      </c>
      <c r="BB219" s="524" t="s">
        <v>366</v>
      </c>
      <c r="BC219" s="524" t="s">
        <v>367</v>
      </c>
      <c r="BD219" s="524" t="s">
        <v>319</v>
      </c>
      <c r="BE219" s="524" t="s">
        <v>365</v>
      </c>
      <c r="BF219" s="524" t="s">
        <v>366</v>
      </c>
      <c r="BG219" s="524" t="s">
        <v>367</v>
      </c>
      <c r="BH219" s="524" t="s">
        <v>319</v>
      </c>
      <c r="BI219" s="524" t="s">
        <v>365</v>
      </c>
      <c r="BJ219" s="524" t="s">
        <v>366</v>
      </c>
      <c r="BK219" s="524" t="s">
        <v>367</v>
      </c>
      <c r="BL219" s="500"/>
      <c r="BM219" s="500"/>
    </row>
    <row r="220" ht="12.75" customHeight="1">
      <c r="A220" s="757" t="s">
        <v>423</v>
      </c>
      <c r="B220" s="521"/>
      <c r="C220" s="515"/>
      <c r="D220" s="515"/>
      <c r="E220" s="515"/>
      <c r="F220" s="515"/>
      <c r="G220" s="515"/>
      <c r="H220" s="515"/>
      <c r="I220" s="515"/>
      <c r="J220" s="515"/>
      <c r="K220" s="515"/>
      <c r="L220" s="515"/>
      <c r="M220" s="515"/>
      <c r="N220" s="515"/>
      <c r="O220" s="533"/>
      <c r="P220" s="669">
        <f t="shared" ref="P220:P221" si="490">SUM(C212:N212)</f>
        <v>960</v>
      </c>
      <c r="Q220" s="554">
        <f>P218/4</f>
        <v>1875</v>
      </c>
      <c r="R220" s="554">
        <f>(P218/2)*(P220/P222)</f>
        <v>2105.263158</v>
      </c>
      <c r="S220" s="530">
        <f t="shared" ref="S220:S221" si="491">Q220+R220</f>
        <v>3980.263158</v>
      </c>
      <c r="T220" s="553">
        <f t="shared" ref="T220:T221" si="492">SUM(C212:N212)</f>
        <v>960</v>
      </c>
      <c r="U220" s="530">
        <f>T218/4</f>
        <v>1875</v>
      </c>
      <c r="V220" s="530">
        <f>(T218/2)*(T220/T222)</f>
        <v>2105.263158</v>
      </c>
      <c r="W220" s="530">
        <f t="shared" ref="W220:W221" si="493">U220+V220</f>
        <v>3980.263158</v>
      </c>
      <c r="X220" s="553">
        <f t="shared" ref="X220:X221" si="494">SUM(C212:N212)</f>
        <v>960</v>
      </c>
      <c r="Y220" s="530">
        <f>X218/4</f>
        <v>3750</v>
      </c>
      <c r="Z220" s="530">
        <f>(X218/2)*(X220/X222)</f>
        <v>4210.526316</v>
      </c>
      <c r="AA220" s="530">
        <f t="shared" ref="AA220:AA221" si="495">Y220+Z220</f>
        <v>7960.526316</v>
      </c>
      <c r="AB220" s="553">
        <f t="shared" ref="AB220:AB221" si="496">SUM(C212:N212)</f>
        <v>960</v>
      </c>
      <c r="AC220" s="554">
        <f>AB218/4</f>
        <v>3750</v>
      </c>
      <c r="AD220" s="554">
        <f>(AB218/2)*(AB220/AB222)</f>
        <v>4210.526316</v>
      </c>
      <c r="AE220" s="554">
        <f t="shared" ref="AE220:AE221" si="497">AC220+AD220</f>
        <v>7960.526316</v>
      </c>
      <c r="AF220" s="529">
        <f t="shared" ref="AF220:AF221" si="498">SUM(C212:N212)</f>
        <v>960</v>
      </c>
      <c r="AG220" s="530">
        <f>AF218/4</f>
        <v>5386</v>
      </c>
      <c r="AH220" s="530">
        <f>(AF218/2)*(AF220/AF222)</f>
        <v>6047.438596</v>
      </c>
      <c r="AI220" s="530">
        <f t="shared" ref="AI220:AI221" si="499">AG220+AH220</f>
        <v>11433.4386</v>
      </c>
      <c r="AJ220" s="529">
        <f t="shared" ref="AJ220:AJ221" si="500">SUM(C212:N212)</f>
        <v>960</v>
      </c>
      <c r="AK220" s="530">
        <f>AJ218/4</f>
        <v>5386</v>
      </c>
      <c r="AL220" s="530">
        <f>(AJ218/2)*(AJ220/AJ222)</f>
        <v>6047.438596</v>
      </c>
      <c r="AM220" s="730">
        <f t="shared" ref="AM220:AM221" si="501">AK220+AL220</f>
        <v>11433.4386</v>
      </c>
      <c r="AN220" s="553">
        <f t="shared" ref="AN220:AN221" si="502">SUM(C212:N212)</f>
        <v>960</v>
      </c>
      <c r="AO220" s="554">
        <f>AN218/4</f>
        <v>3750</v>
      </c>
      <c r="AP220" s="554">
        <f>(AN218/2)*(AN220/AN222)</f>
        <v>4210.526316</v>
      </c>
      <c r="AQ220" s="554">
        <f t="shared" ref="AQ220:AQ221" si="503">AO220+AP220</f>
        <v>7960.526316</v>
      </c>
      <c r="AR220" s="529">
        <f t="shared" ref="AR220:AR221" si="504">SUM(C212:N212)</f>
        <v>960</v>
      </c>
      <c r="AS220" s="530">
        <f>AR218/4</f>
        <v>3750</v>
      </c>
      <c r="AT220" s="530">
        <f>(AR218/2)*(AR220/AR222)</f>
        <v>4210.526316</v>
      </c>
      <c r="AU220" s="530">
        <f t="shared" ref="AU220:AU221" si="505">AS220+AT220</f>
        <v>7960.526316</v>
      </c>
      <c r="AV220" s="529">
        <f t="shared" ref="AV220:AV221" si="506">SUM(C212:N212)</f>
        <v>960</v>
      </c>
      <c r="AW220" s="530">
        <f>AV218/4</f>
        <v>4636.25</v>
      </c>
      <c r="AX220" s="530">
        <f>(AV218/2)*(AV220/AV222)</f>
        <v>5205.614035</v>
      </c>
      <c r="AY220" s="530">
        <f t="shared" ref="AY220:AY221" si="507">AW220+AX220</f>
        <v>9841.864035</v>
      </c>
      <c r="AZ220" s="529">
        <f t="shared" ref="AZ220:AZ221" si="508">SUM(C212:N212)</f>
        <v>960</v>
      </c>
      <c r="BA220" s="530">
        <f>AZ218/4</f>
        <v>4636.25</v>
      </c>
      <c r="BB220" s="530">
        <f>(AZ218/2)*(AZ220/AZ222)</f>
        <v>5205.614035</v>
      </c>
      <c r="BC220" s="530">
        <f t="shared" ref="BC220:BC221" si="509">BA220+BB220</f>
        <v>9841.864035</v>
      </c>
      <c r="BD220" s="529">
        <f t="shared" ref="BD220:BD221" si="510">SUM(C212:N212)</f>
        <v>960</v>
      </c>
      <c r="BE220" s="530">
        <f>BD218/4</f>
        <v>5386</v>
      </c>
      <c r="BF220" s="530">
        <f>(BD218/2)*(BD220/BD222)</f>
        <v>6047.438596</v>
      </c>
      <c r="BG220" s="530">
        <f t="shared" ref="BG220:BG221" si="511">BE220+BF220</f>
        <v>11433.4386</v>
      </c>
      <c r="BH220" s="529">
        <f t="shared" ref="BH220:BH221" si="512">SUM(C212:N212)</f>
        <v>960</v>
      </c>
      <c r="BI220" s="530">
        <f>BH218/4</f>
        <v>5386</v>
      </c>
      <c r="BJ220" s="530">
        <f>(BH218/2)*(BH220/BH222)</f>
        <v>6047.438596</v>
      </c>
      <c r="BK220" s="530">
        <f t="shared" ref="BK220:BK221" si="513">BI220+BJ220</f>
        <v>11433.4386</v>
      </c>
      <c r="BL220" s="531"/>
      <c r="BM220" s="531"/>
    </row>
    <row r="221" ht="12.75" customHeight="1">
      <c r="A221" s="757" t="s">
        <v>424</v>
      </c>
      <c r="B221" s="521"/>
      <c r="C221" s="515"/>
      <c r="D221" s="515"/>
      <c r="E221" s="515"/>
      <c r="F221" s="515"/>
      <c r="G221" s="515"/>
      <c r="H221" s="515"/>
      <c r="I221" s="515"/>
      <c r="J221" s="515"/>
      <c r="K221" s="515"/>
      <c r="L221" s="515"/>
      <c r="M221" s="515"/>
      <c r="N221" s="515"/>
      <c r="O221" s="533"/>
      <c r="P221" s="669">
        <f t="shared" si="490"/>
        <v>750</v>
      </c>
      <c r="Q221" s="554">
        <f>P218/4</f>
        <v>1875</v>
      </c>
      <c r="R221" s="554">
        <f>(P218/2)*(P221/P222)</f>
        <v>1644.736842</v>
      </c>
      <c r="S221" s="530">
        <f t="shared" si="491"/>
        <v>3519.736842</v>
      </c>
      <c r="T221" s="669">
        <f t="shared" si="492"/>
        <v>750</v>
      </c>
      <c r="U221" s="530">
        <f>T218/4</f>
        <v>1875</v>
      </c>
      <c r="V221" s="530">
        <f>(T218/2)*(T221/T222)</f>
        <v>1644.736842</v>
      </c>
      <c r="W221" s="530">
        <f t="shared" si="493"/>
        <v>3519.736842</v>
      </c>
      <c r="X221" s="669">
        <f t="shared" si="494"/>
        <v>750</v>
      </c>
      <c r="Y221" s="530">
        <f>X218/4</f>
        <v>3750</v>
      </c>
      <c r="Z221" s="530">
        <f>(X218/2)*(X221/X222)</f>
        <v>3289.473684</v>
      </c>
      <c r="AA221" s="530">
        <f t="shared" si="495"/>
        <v>7039.473684</v>
      </c>
      <c r="AB221" s="669">
        <f t="shared" si="496"/>
        <v>750</v>
      </c>
      <c r="AC221" s="554">
        <f>AB218/4</f>
        <v>3750</v>
      </c>
      <c r="AD221" s="554">
        <f>(AB218/2)*(AB221/AB222)</f>
        <v>3289.473684</v>
      </c>
      <c r="AE221" s="554">
        <f t="shared" si="497"/>
        <v>7039.473684</v>
      </c>
      <c r="AF221" s="669">
        <f t="shared" si="498"/>
        <v>750</v>
      </c>
      <c r="AG221" s="530">
        <f>AF218/4</f>
        <v>5386</v>
      </c>
      <c r="AH221" s="530">
        <f>(AF218/2)*(AF221/AF222)</f>
        <v>4724.561404</v>
      </c>
      <c r="AI221" s="530">
        <f t="shared" si="499"/>
        <v>10110.5614</v>
      </c>
      <c r="AJ221" s="669">
        <f t="shared" si="500"/>
        <v>750</v>
      </c>
      <c r="AK221" s="530">
        <f>AJ218/4</f>
        <v>5386</v>
      </c>
      <c r="AL221" s="530">
        <f>(AJ218/2)*(AJ221/AJ222)</f>
        <v>4724.561404</v>
      </c>
      <c r="AM221" s="730">
        <f t="shared" si="501"/>
        <v>10110.5614</v>
      </c>
      <c r="AN221" s="669">
        <f t="shared" si="502"/>
        <v>750</v>
      </c>
      <c r="AO221" s="554">
        <f>AN218/4</f>
        <v>3750</v>
      </c>
      <c r="AP221" s="554">
        <f>(AN218/2)*(AN221/AN222)</f>
        <v>3289.473684</v>
      </c>
      <c r="AQ221" s="554">
        <f t="shared" si="503"/>
        <v>7039.473684</v>
      </c>
      <c r="AR221" s="669">
        <f t="shared" si="504"/>
        <v>750</v>
      </c>
      <c r="AS221" s="530">
        <f>AR218/4</f>
        <v>3750</v>
      </c>
      <c r="AT221" s="530">
        <f>(AR218/2)*(AR221/AR222)</f>
        <v>3289.473684</v>
      </c>
      <c r="AU221" s="530">
        <f t="shared" si="505"/>
        <v>7039.473684</v>
      </c>
      <c r="AV221" s="669">
        <f t="shared" si="506"/>
        <v>750</v>
      </c>
      <c r="AW221" s="530">
        <f>AV218/4</f>
        <v>4636.25</v>
      </c>
      <c r="AX221" s="530">
        <f>(AV218/2)*(AV221/AV222)</f>
        <v>4066.885965</v>
      </c>
      <c r="AY221" s="530">
        <f t="shared" si="507"/>
        <v>8703.135965</v>
      </c>
      <c r="AZ221" s="669">
        <f t="shared" si="508"/>
        <v>750</v>
      </c>
      <c r="BA221" s="530">
        <f>AZ218/4</f>
        <v>4636.25</v>
      </c>
      <c r="BB221" s="530">
        <f>(AZ218/2)*(AZ221/AZ222)</f>
        <v>4066.885965</v>
      </c>
      <c r="BC221" s="530">
        <f t="shared" si="509"/>
        <v>8703.135965</v>
      </c>
      <c r="BD221" s="669">
        <f t="shared" si="510"/>
        <v>750</v>
      </c>
      <c r="BE221" s="530">
        <f>BD218/4</f>
        <v>5386</v>
      </c>
      <c r="BF221" s="530">
        <f>(BD218/2)*(BD221/BD222)</f>
        <v>4724.561404</v>
      </c>
      <c r="BG221" s="530">
        <f t="shared" si="511"/>
        <v>10110.5614</v>
      </c>
      <c r="BH221" s="669">
        <f t="shared" si="512"/>
        <v>750</v>
      </c>
      <c r="BI221" s="530">
        <f>BH218/4</f>
        <v>5386</v>
      </c>
      <c r="BJ221" s="530">
        <f>(BH218/2)*(BH221/BH222)</f>
        <v>4724.561404</v>
      </c>
      <c r="BK221" s="530">
        <f t="shared" si="513"/>
        <v>10110.5614</v>
      </c>
      <c r="BL221" s="531"/>
      <c r="BM221" s="531"/>
    </row>
    <row r="222" ht="12.75" customHeight="1">
      <c r="A222" s="762"/>
      <c r="B222" s="521"/>
      <c r="C222" s="515"/>
      <c r="D222" s="515"/>
      <c r="E222" s="515"/>
      <c r="F222" s="515"/>
      <c r="G222" s="515"/>
      <c r="H222" s="515"/>
      <c r="I222" s="515"/>
      <c r="J222" s="515"/>
      <c r="K222" s="515"/>
      <c r="L222" s="515"/>
      <c r="M222" s="515"/>
      <c r="N222" s="515"/>
      <c r="O222" s="533"/>
      <c r="P222" s="552">
        <f t="shared" ref="P222:BK222" si="514">P220+P221</f>
        <v>1710</v>
      </c>
      <c r="Q222" s="556">
        <f t="shared" si="514"/>
        <v>3750</v>
      </c>
      <c r="R222" s="556">
        <f t="shared" si="514"/>
        <v>3750</v>
      </c>
      <c r="S222" s="536">
        <f t="shared" si="514"/>
        <v>7500</v>
      </c>
      <c r="T222" s="552">
        <f t="shared" si="514"/>
        <v>1710</v>
      </c>
      <c r="U222" s="536">
        <f t="shared" si="514"/>
        <v>3750</v>
      </c>
      <c r="V222" s="536">
        <f t="shared" si="514"/>
        <v>3750</v>
      </c>
      <c r="W222" s="536">
        <f t="shared" si="514"/>
        <v>7500</v>
      </c>
      <c r="X222" s="552">
        <f t="shared" si="514"/>
        <v>1710</v>
      </c>
      <c r="Y222" s="536">
        <f t="shared" si="514"/>
        <v>7500</v>
      </c>
      <c r="Z222" s="536">
        <f t="shared" si="514"/>
        <v>7500</v>
      </c>
      <c r="AA222" s="536">
        <f t="shared" si="514"/>
        <v>15000</v>
      </c>
      <c r="AB222" s="552">
        <f t="shared" si="514"/>
        <v>1710</v>
      </c>
      <c r="AC222" s="556">
        <f t="shared" si="514"/>
        <v>7500</v>
      </c>
      <c r="AD222" s="556">
        <f t="shared" si="514"/>
        <v>7500</v>
      </c>
      <c r="AE222" s="556">
        <f t="shared" si="514"/>
        <v>15000</v>
      </c>
      <c r="AF222" s="552">
        <f t="shared" si="514"/>
        <v>1710</v>
      </c>
      <c r="AG222" s="536">
        <f t="shared" si="514"/>
        <v>10772</v>
      </c>
      <c r="AH222" s="536">
        <f t="shared" si="514"/>
        <v>10772</v>
      </c>
      <c r="AI222" s="536">
        <f t="shared" si="514"/>
        <v>21544</v>
      </c>
      <c r="AJ222" s="552">
        <f t="shared" si="514"/>
        <v>1710</v>
      </c>
      <c r="AK222" s="536">
        <f t="shared" si="514"/>
        <v>10772</v>
      </c>
      <c r="AL222" s="536">
        <f t="shared" si="514"/>
        <v>10772</v>
      </c>
      <c r="AM222" s="536">
        <f t="shared" si="514"/>
        <v>21544</v>
      </c>
      <c r="AN222" s="552">
        <f t="shared" si="514"/>
        <v>1710</v>
      </c>
      <c r="AO222" s="556">
        <f t="shared" si="514"/>
        <v>7500</v>
      </c>
      <c r="AP222" s="556">
        <f t="shared" si="514"/>
        <v>7500</v>
      </c>
      <c r="AQ222" s="556">
        <f t="shared" si="514"/>
        <v>15000</v>
      </c>
      <c r="AR222" s="535">
        <f t="shared" si="514"/>
        <v>1710</v>
      </c>
      <c r="AS222" s="536">
        <f t="shared" si="514"/>
        <v>7500</v>
      </c>
      <c r="AT222" s="536">
        <f t="shared" si="514"/>
        <v>7500</v>
      </c>
      <c r="AU222" s="536">
        <f t="shared" si="514"/>
        <v>15000</v>
      </c>
      <c r="AV222" s="535">
        <f t="shared" si="514"/>
        <v>1710</v>
      </c>
      <c r="AW222" s="536">
        <f t="shared" si="514"/>
        <v>9272.5</v>
      </c>
      <c r="AX222" s="536">
        <f t="shared" si="514"/>
        <v>9272.5</v>
      </c>
      <c r="AY222" s="536">
        <f t="shared" si="514"/>
        <v>18545</v>
      </c>
      <c r="AZ222" s="535">
        <f t="shared" si="514"/>
        <v>1710</v>
      </c>
      <c r="BA222" s="536">
        <f t="shared" si="514"/>
        <v>9272.5</v>
      </c>
      <c r="BB222" s="536">
        <f t="shared" si="514"/>
        <v>9272.5</v>
      </c>
      <c r="BC222" s="536">
        <f t="shared" si="514"/>
        <v>18545</v>
      </c>
      <c r="BD222" s="535">
        <f t="shared" si="514"/>
        <v>1710</v>
      </c>
      <c r="BE222" s="536">
        <f t="shared" si="514"/>
        <v>10772</v>
      </c>
      <c r="BF222" s="536">
        <f t="shared" si="514"/>
        <v>10772</v>
      </c>
      <c r="BG222" s="536">
        <f t="shared" si="514"/>
        <v>21544</v>
      </c>
      <c r="BH222" s="535">
        <f t="shared" si="514"/>
        <v>1710</v>
      </c>
      <c r="BI222" s="536">
        <f t="shared" si="514"/>
        <v>10772</v>
      </c>
      <c r="BJ222" s="536">
        <f t="shared" si="514"/>
        <v>10772</v>
      </c>
      <c r="BK222" s="556">
        <f t="shared" si="514"/>
        <v>21544</v>
      </c>
      <c r="BL222" s="557"/>
      <c r="BM222" s="557"/>
    </row>
    <row r="223" ht="12.75" customHeight="1">
      <c r="A223" s="762"/>
      <c r="B223" s="521"/>
      <c r="C223" s="515"/>
      <c r="D223" s="515"/>
      <c r="E223" s="515"/>
      <c r="F223" s="515"/>
      <c r="G223" s="515"/>
      <c r="H223" s="515"/>
      <c r="I223" s="515"/>
      <c r="J223" s="515"/>
      <c r="K223" s="515"/>
      <c r="L223" s="515"/>
      <c r="M223" s="515"/>
      <c r="N223" s="515"/>
      <c r="O223" s="533"/>
      <c r="P223" s="541"/>
      <c r="Q223" s="541"/>
      <c r="R223" s="541"/>
      <c r="S223" s="541"/>
      <c r="T223" s="541"/>
      <c r="U223" s="541"/>
      <c r="V223" s="541"/>
      <c r="W223" s="541"/>
      <c r="X223" s="541"/>
      <c r="Y223" s="541"/>
      <c r="Z223" s="541"/>
      <c r="AA223" s="541"/>
      <c r="AB223" s="541"/>
      <c r="AC223" s="541"/>
      <c r="AD223" s="541"/>
      <c r="AE223" s="541"/>
      <c r="AF223" s="541"/>
      <c r="AG223" s="541"/>
      <c r="AH223" s="541"/>
      <c r="AI223" s="541"/>
      <c r="AJ223" s="541"/>
      <c r="AK223" s="541"/>
      <c r="AL223" s="541"/>
      <c r="AM223" s="541"/>
      <c r="AN223" s="533"/>
      <c r="AO223" s="557"/>
      <c r="AP223" s="557"/>
      <c r="AQ223" s="557"/>
      <c r="AR223" s="500"/>
      <c r="AS223" s="537"/>
      <c r="AT223" s="537"/>
      <c r="AU223" s="537"/>
      <c r="AV223" s="500"/>
      <c r="AW223" s="537"/>
      <c r="AX223" s="537"/>
      <c r="AY223" s="537"/>
      <c r="AZ223" s="533"/>
      <c r="BA223" s="557"/>
      <c r="BB223" s="557"/>
      <c r="BC223" s="557"/>
      <c r="BD223" s="500"/>
      <c r="BE223" s="537"/>
      <c r="BF223" s="537"/>
      <c r="BG223" s="537"/>
      <c r="BH223" s="500"/>
      <c r="BI223" s="537"/>
      <c r="BJ223" s="537"/>
      <c r="BK223" s="537"/>
      <c r="BL223" s="537"/>
      <c r="BM223" s="537"/>
    </row>
    <row r="224" ht="12.75" customHeight="1">
      <c r="A224" s="762"/>
      <c r="B224" s="521"/>
      <c r="C224" s="515"/>
      <c r="D224" s="515"/>
      <c r="E224" s="515"/>
      <c r="F224" s="515"/>
      <c r="G224" s="515"/>
      <c r="H224" s="515"/>
      <c r="I224" s="515"/>
      <c r="J224" s="515"/>
      <c r="K224" s="515"/>
      <c r="L224" s="515"/>
      <c r="M224" s="515"/>
      <c r="N224" s="515"/>
      <c r="O224" s="533"/>
      <c r="P224" s="576" t="s">
        <v>340</v>
      </c>
      <c r="Q224" s="494"/>
      <c r="R224" s="494"/>
      <c r="S224" s="495"/>
      <c r="T224" s="576" t="s">
        <v>341</v>
      </c>
      <c r="U224" s="494"/>
      <c r="V224" s="494"/>
      <c r="W224" s="495"/>
      <c r="X224" s="576" t="s">
        <v>342</v>
      </c>
      <c r="Y224" s="494"/>
      <c r="Z224" s="494"/>
      <c r="AA224" s="495"/>
      <c r="AB224" s="576" t="s">
        <v>343</v>
      </c>
      <c r="AC224" s="494"/>
      <c r="AD224" s="494"/>
      <c r="AE224" s="495"/>
      <c r="AF224" s="576" t="s">
        <v>344</v>
      </c>
      <c r="AG224" s="494"/>
      <c r="AH224" s="494"/>
      <c r="AI224" s="495"/>
      <c r="AJ224" s="576" t="s">
        <v>345</v>
      </c>
      <c r="AK224" s="494"/>
      <c r="AL224" s="494"/>
      <c r="AM224" s="495"/>
      <c r="AN224" s="576" t="s">
        <v>346</v>
      </c>
      <c r="AO224" s="494"/>
      <c r="AP224" s="494"/>
      <c r="AQ224" s="495"/>
      <c r="AR224" s="576" t="s">
        <v>347</v>
      </c>
      <c r="AS224" s="494"/>
      <c r="AT224" s="494"/>
      <c r="AU224" s="495"/>
      <c r="AV224" s="576" t="s">
        <v>348</v>
      </c>
      <c r="AW224" s="494"/>
      <c r="AX224" s="494"/>
      <c r="AY224" s="495"/>
      <c r="AZ224" s="576" t="s">
        <v>349</v>
      </c>
      <c r="BA224" s="494"/>
      <c r="BB224" s="494"/>
      <c r="BC224" s="495"/>
      <c r="BD224" s="576" t="s">
        <v>350</v>
      </c>
      <c r="BE224" s="494"/>
      <c r="BF224" s="494"/>
      <c r="BG224" s="495"/>
      <c r="BH224" s="753" t="s">
        <v>351</v>
      </c>
      <c r="BI224" s="490"/>
      <c r="BJ224" s="490"/>
      <c r="BK224" s="491"/>
      <c r="BL224" s="500"/>
      <c r="BM224" s="500"/>
    </row>
    <row r="225" ht="12.75" customHeight="1">
      <c r="A225" s="762"/>
      <c r="B225" s="521"/>
      <c r="C225" s="515"/>
      <c r="D225" s="515"/>
      <c r="E225" s="515"/>
      <c r="F225" s="515"/>
      <c r="G225" s="515"/>
      <c r="H225" s="515"/>
      <c r="I225" s="515"/>
      <c r="J225" s="515"/>
      <c r="K225" s="515"/>
      <c r="L225" s="515"/>
      <c r="M225" s="515"/>
      <c r="N225" s="515"/>
      <c r="O225" s="533"/>
      <c r="P225" s="547" t="s">
        <v>426</v>
      </c>
      <c r="Q225" s="506"/>
      <c r="R225" s="506"/>
      <c r="S225" s="506"/>
      <c r="T225" s="547" t="s">
        <v>426</v>
      </c>
      <c r="U225" s="506"/>
      <c r="V225" s="506"/>
      <c r="W225" s="506"/>
      <c r="X225" s="547" t="s">
        <v>426</v>
      </c>
      <c r="Y225" s="506"/>
      <c r="Z225" s="506"/>
      <c r="AA225" s="506"/>
      <c r="AB225" s="547" t="s">
        <v>426</v>
      </c>
      <c r="AC225" s="506"/>
      <c r="AD225" s="506"/>
      <c r="AE225" s="506"/>
      <c r="AF225" s="547" t="s">
        <v>426</v>
      </c>
      <c r="AG225" s="506"/>
      <c r="AH225" s="506"/>
      <c r="AI225" s="506"/>
      <c r="AJ225" s="547" t="s">
        <v>426</v>
      </c>
      <c r="AK225" s="506"/>
      <c r="AL225" s="506"/>
      <c r="AM225" s="506"/>
      <c r="AN225" s="547" t="s">
        <v>426</v>
      </c>
      <c r="AO225" s="506"/>
      <c r="AP225" s="506"/>
      <c r="AQ225" s="506"/>
      <c r="AR225" s="547" t="s">
        <v>426</v>
      </c>
      <c r="AS225" s="506"/>
      <c r="AT225" s="506"/>
      <c r="AU225" s="506"/>
      <c r="AV225" s="547" t="s">
        <v>426</v>
      </c>
      <c r="AW225" s="506"/>
      <c r="AX225" s="506"/>
      <c r="AY225" s="506"/>
      <c r="AZ225" s="547" t="s">
        <v>426</v>
      </c>
      <c r="BA225" s="506"/>
      <c r="BB225" s="506"/>
      <c r="BC225" s="506"/>
      <c r="BD225" s="547" t="s">
        <v>426</v>
      </c>
      <c r="BE225" s="506"/>
      <c r="BF225" s="506"/>
      <c r="BG225" s="506"/>
      <c r="BH225" s="547" t="s">
        <v>426</v>
      </c>
      <c r="BI225" s="506"/>
      <c r="BJ225" s="506"/>
      <c r="BK225" s="506"/>
      <c r="BL225" s="562"/>
      <c r="BM225" s="562"/>
    </row>
    <row r="226" ht="12.75" customHeight="1">
      <c r="A226" s="762"/>
      <c r="B226" s="521"/>
      <c r="C226" s="515"/>
      <c r="D226" s="515"/>
      <c r="E226" s="515"/>
      <c r="F226" s="515"/>
      <c r="G226" s="515"/>
      <c r="H226" s="515"/>
      <c r="I226" s="515"/>
      <c r="J226" s="515"/>
      <c r="K226" s="515"/>
      <c r="L226" s="515"/>
      <c r="M226" s="515"/>
      <c r="N226" s="515"/>
      <c r="O226" s="533"/>
      <c r="P226" s="579">
        <v>2000.0</v>
      </c>
      <c r="Q226" s="498"/>
      <c r="R226" s="498"/>
      <c r="S226" s="498"/>
      <c r="T226" s="579">
        <v>2000.0</v>
      </c>
      <c r="U226" s="498"/>
      <c r="V226" s="498"/>
      <c r="W226" s="498"/>
      <c r="X226" s="579">
        <v>4000.0</v>
      </c>
      <c r="Y226" s="498"/>
      <c r="Z226" s="498"/>
      <c r="AA226" s="498"/>
      <c r="AB226" s="579">
        <v>4000.0</v>
      </c>
      <c r="AC226" s="498"/>
      <c r="AD226" s="498"/>
      <c r="AE226" s="498"/>
      <c r="AF226" s="579">
        <f>12000+2000</f>
        <v>14000</v>
      </c>
      <c r="AG226" s="498"/>
      <c r="AH226" s="498"/>
      <c r="AI226" s="498"/>
      <c r="AJ226" s="579">
        <f>12000+2000</f>
        <v>14000</v>
      </c>
      <c r="AK226" s="498"/>
      <c r="AL226" s="498"/>
      <c r="AM226" s="498"/>
      <c r="AN226" s="579">
        <v>4000.0</v>
      </c>
      <c r="AO226" s="498"/>
      <c r="AP226" s="498"/>
      <c r="AQ226" s="498"/>
      <c r="AR226" s="579">
        <v>4000.0</v>
      </c>
      <c r="AS226" s="498"/>
      <c r="AT226" s="498"/>
      <c r="AU226" s="498"/>
      <c r="AV226" s="579">
        <f>8000+1000</f>
        <v>9000</v>
      </c>
      <c r="AW226" s="498"/>
      <c r="AX226" s="498"/>
      <c r="AY226" s="498"/>
      <c r="AZ226" s="579">
        <f>8000+1000</f>
        <v>9000</v>
      </c>
      <c r="BA226" s="498"/>
      <c r="BB226" s="498"/>
      <c r="BC226" s="498"/>
      <c r="BD226" s="579">
        <f>12000+2000</f>
        <v>14000</v>
      </c>
      <c r="BE226" s="498"/>
      <c r="BF226" s="498"/>
      <c r="BG226" s="498"/>
      <c r="BH226" s="579">
        <f>12000+2000</f>
        <v>14000</v>
      </c>
      <c r="BI226" s="498"/>
      <c r="BJ226" s="498"/>
      <c r="BK226" s="498"/>
      <c r="BL226" s="519"/>
      <c r="BM226" s="519">
        <f>SUM(P226:BK226)</f>
        <v>94000</v>
      </c>
    </row>
    <row r="227" ht="12.75" customHeight="1">
      <c r="A227" s="520" t="s">
        <v>427</v>
      </c>
      <c r="B227" s="521"/>
      <c r="C227" s="515"/>
      <c r="D227" s="515"/>
      <c r="E227" s="515"/>
      <c r="F227" s="515"/>
      <c r="G227" s="515"/>
      <c r="H227" s="515"/>
      <c r="I227" s="515"/>
      <c r="J227" s="515"/>
      <c r="K227" s="515"/>
      <c r="L227" s="515"/>
      <c r="M227" s="515"/>
      <c r="N227" s="515"/>
      <c r="O227" s="533"/>
      <c r="P227" s="522" t="s">
        <v>319</v>
      </c>
      <c r="Q227" s="522" t="s">
        <v>365</v>
      </c>
      <c r="R227" s="522" t="s">
        <v>366</v>
      </c>
      <c r="S227" s="522" t="s">
        <v>367</v>
      </c>
      <c r="T227" s="524" t="s">
        <v>319</v>
      </c>
      <c r="U227" s="524" t="s">
        <v>365</v>
      </c>
      <c r="V227" s="524" t="s">
        <v>366</v>
      </c>
      <c r="W227" s="524" t="s">
        <v>367</v>
      </c>
      <c r="X227" s="524" t="s">
        <v>319</v>
      </c>
      <c r="Y227" s="524" t="s">
        <v>365</v>
      </c>
      <c r="Z227" s="524" t="s">
        <v>366</v>
      </c>
      <c r="AA227" s="524" t="s">
        <v>367</v>
      </c>
      <c r="AB227" s="522" t="s">
        <v>319</v>
      </c>
      <c r="AC227" s="522" t="s">
        <v>365</v>
      </c>
      <c r="AD227" s="522" t="s">
        <v>366</v>
      </c>
      <c r="AE227" s="522" t="s">
        <v>367</v>
      </c>
      <c r="AF227" s="524" t="s">
        <v>319</v>
      </c>
      <c r="AG227" s="524" t="s">
        <v>365</v>
      </c>
      <c r="AH227" s="524" t="s">
        <v>366</v>
      </c>
      <c r="AI227" s="524" t="s">
        <v>367</v>
      </c>
      <c r="AJ227" s="524" t="s">
        <v>319</v>
      </c>
      <c r="AK227" s="524" t="s">
        <v>365</v>
      </c>
      <c r="AL227" s="524" t="s">
        <v>366</v>
      </c>
      <c r="AM227" s="524" t="s">
        <v>367</v>
      </c>
      <c r="AN227" s="522" t="s">
        <v>319</v>
      </c>
      <c r="AO227" s="522" t="s">
        <v>365</v>
      </c>
      <c r="AP227" s="522" t="s">
        <v>366</v>
      </c>
      <c r="AQ227" s="522" t="s">
        <v>367</v>
      </c>
      <c r="AR227" s="524" t="s">
        <v>319</v>
      </c>
      <c r="AS227" s="524" t="s">
        <v>365</v>
      </c>
      <c r="AT227" s="524" t="s">
        <v>366</v>
      </c>
      <c r="AU227" s="524" t="s">
        <v>367</v>
      </c>
      <c r="AV227" s="524" t="s">
        <v>319</v>
      </c>
      <c r="AW227" s="524" t="s">
        <v>365</v>
      </c>
      <c r="AX227" s="524" t="s">
        <v>366</v>
      </c>
      <c r="AY227" s="524" t="s">
        <v>367</v>
      </c>
      <c r="AZ227" s="524" t="s">
        <v>319</v>
      </c>
      <c r="BA227" s="524" t="s">
        <v>365</v>
      </c>
      <c r="BB227" s="524" t="s">
        <v>366</v>
      </c>
      <c r="BC227" s="524" t="s">
        <v>367</v>
      </c>
      <c r="BD227" s="524" t="s">
        <v>319</v>
      </c>
      <c r="BE227" s="524" t="s">
        <v>365</v>
      </c>
      <c r="BF227" s="524" t="s">
        <v>366</v>
      </c>
      <c r="BG227" s="524" t="s">
        <v>367</v>
      </c>
      <c r="BH227" s="524" t="s">
        <v>319</v>
      </c>
      <c r="BI227" s="524" t="s">
        <v>365</v>
      </c>
      <c r="BJ227" s="524" t="s">
        <v>366</v>
      </c>
      <c r="BK227" s="524" t="s">
        <v>367</v>
      </c>
      <c r="BL227" s="500"/>
      <c r="BM227" s="500"/>
    </row>
    <row r="228" ht="12.75" customHeight="1">
      <c r="A228" s="757" t="s">
        <v>423</v>
      </c>
      <c r="B228" s="521"/>
      <c r="C228" s="515"/>
      <c r="D228" s="515"/>
      <c r="E228" s="515"/>
      <c r="F228" s="515"/>
      <c r="G228" s="515"/>
      <c r="H228" s="515"/>
      <c r="I228" s="515"/>
      <c r="J228" s="515"/>
      <c r="K228" s="515"/>
      <c r="L228" s="515"/>
      <c r="M228" s="515"/>
      <c r="N228" s="515"/>
      <c r="O228" s="533"/>
      <c r="P228" s="669">
        <f t="shared" ref="P228:P229" si="515">SUM(C212:N212)</f>
        <v>960</v>
      </c>
      <c r="Q228" s="554">
        <f>P226/4</f>
        <v>500</v>
      </c>
      <c r="R228" s="554">
        <f>(P226/2)*(P228/P230)</f>
        <v>561.4035088</v>
      </c>
      <c r="S228" s="530">
        <f t="shared" ref="S228:S229" si="516">Q228+R228</f>
        <v>1061.403509</v>
      </c>
      <c r="T228" s="669">
        <f t="shared" ref="T228:T229" si="517">SUM(C212:N212)</f>
        <v>960</v>
      </c>
      <c r="U228" s="530">
        <f>T226/4</f>
        <v>500</v>
      </c>
      <c r="V228" s="530">
        <f>(T226/2)*(T228/T230)</f>
        <v>561.4035088</v>
      </c>
      <c r="W228" s="530">
        <f t="shared" ref="W228:W229" si="518">U228+V228</f>
        <v>1061.403509</v>
      </c>
      <c r="X228" s="669">
        <f t="shared" ref="X228:X229" si="519">SUM(C212:N212)</f>
        <v>960</v>
      </c>
      <c r="Y228" s="530">
        <f>X226/4</f>
        <v>1000</v>
      </c>
      <c r="Z228" s="530">
        <f>(X226/2)*(X228/X230)</f>
        <v>1122.807018</v>
      </c>
      <c r="AA228" s="530">
        <f t="shared" ref="AA228:AA229" si="520">Y228+Z228</f>
        <v>2122.807018</v>
      </c>
      <c r="AB228" s="669">
        <f t="shared" ref="AB228:AB229" si="521">SUM(C212:N212)</f>
        <v>960</v>
      </c>
      <c r="AC228" s="554">
        <f>AB226/4</f>
        <v>1000</v>
      </c>
      <c r="AD228" s="554">
        <f>(AB226/2)*(AB228/AB230)</f>
        <v>1122.807018</v>
      </c>
      <c r="AE228" s="554">
        <f t="shared" ref="AE228:AE229" si="522">AC228+AD228</f>
        <v>2122.807018</v>
      </c>
      <c r="AF228" s="669">
        <f t="shared" ref="AF228:AF229" si="523">SUM(C212:N212)</f>
        <v>960</v>
      </c>
      <c r="AG228" s="530">
        <f>AF226/4</f>
        <v>3500</v>
      </c>
      <c r="AH228" s="530">
        <f>(AF226/2)*(AF228/AF230)</f>
        <v>3929.824561</v>
      </c>
      <c r="AI228" s="530">
        <f t="shared" ref="AI228:AI229" si="524">AG228+AH228</f>
        <v>7429.824561</v>
      </c>
      <c r="AJ228" s="669">
        <f t="shared" ref="AJ228:AJ229" si="525">SUM(C212:N212)</f>
        <v>960</v>
      </c>
      <c r="AK228" s="530">
        <f>AJ226/4</f>
        <v>3500</v>
      </c>
      <c r="AL228" s="530">
        <f>(AJ226/2)*(AJ228/AJ230)</f>
        <v>3929.824561</v>
      </c>
      <c r="AM228" s="730">
        <f t="shared" ref="AM228:AM229" si="526">AK228+AL228</f>
        <v>7429.824561</v>
      </c>
      <c r="AN228" s="669">
        <f t="shared" ref="AN228:AN229" si="527">SUM(C212:N212)</f>
        <v>960</v>
      </c>
      <c r="AO228" s="554">
        <f>AN226/4</f>
        <v>1000</v>
      </c>
      <c r="AP228" s="554">
        <f>(AN226/2)*(AN228/AN230)</f>
        <v>1122.807018</v>
      </c>
      <c r="AQ228" s="554">
        <f t="shared" ref="AQ228:AQ229" si="528">AO228+AP228</f>
        <v>2122.807018</v>
      </c>
      <c r="AR228" s="669">
        <f t="shared" ref="AR228:AR229" si="529">SUM(C212:N212)</f>
        <v>960</v>
      </c>
      <c r="AS228" s="530">
        <f>AR226/4</f>
        <v>1000</v>
      </c>
      <c r="AT228" s="530">
        <f>(AR226/2)*(AR228/AR230)</f>
        <v>1122.807018</v>
      </c>
      <c r="AU228" s="530">
        <f t="shared" ref="AU228:AU229" si="530">AS228+AT228</f>
        <v>2122.807018</v>
      </c>
      <c r="AV228" s="669">
        <f t="shared" ref="AV228:AV229" si="531">SUM(C212:N212)</f>
        <v>960</v>
      </c>
      <c r="AW228" s="530">
        <f>AV226/4</f>
        <v>2250</v>
      </c>
      <c r="AX228" s="530">
        <f>(AV226/2)*(AV228/AV230)</f>
        <v>2526.315789</v>
      </c>
      <c r="AY228" s="530">
        <f t="shared" ref="AY228:AY229" si="532">AW228+AX228</f>
        <v>4776.315789</v>
      </c>
      <c r="AZ228" s="669">
        <f t="shared" ref="AZ228:AZ229" si="533">SUM(C212:N212)</f>
        <v>960</v>
      </c>
      <c r="BA228" s="530">
        <f>AZ226/4</f>
        <v>2250</v>
      </c>
      <c r="BB228" s="530">
        <f>(AZ226/2)*(AZ228/AZ230)</f>
        <v>2526.315789</v>
      </c>
      <c r="BC228" s="530">
        <f t="shared" ref="BC228:BC229" si="534">BA228+BB228</f>
        <v>4776.315789</v>
      </c>
      <c r="BD228" s="669">
        <f t="shared" ref="BD228:BD229" si="535">SUM(C212:N212)</f>
        <v>960</v>
      </c>
      <c r="BE228" s="530">
        <f>BD226/4</f>
        <v>3500</v>
      </c>
      <c r="BF228" s="530">
        <f>(BD226/2)*(BD228/BD230)</f>
        <v>3929.824561</v>
      </c>
      <c r="BG228" s="530">
        <f t="shared" ref="BG228:BG229" si="536">BE228+BF228</f>
        <v>7429.824561</v>
      </c>
      <c r="BH228" s="669">
        <f t="shared" ref="BH228:BH229" si="537">SUM(C212:N212)</f>
        <v>960</v>
      </c>
      <c r="BI228" s="530">
        <f>BH226/4</f>
        <v>3500</v>
      </c>
      <c r="BJ228" s="530">
        <f>(BH226/2)*(BH228/BH230)</f>
        <v>3929.824561</v>
      </c>
      <c r="BK228" s="530">
        <f t="shared" ref="BK228:BK229" si="538">BI228+BJ228</f>
        <v>7429.824561</v>
      </c>
      <c r="BL228" s="531"/>
      <c r="BM228" s="531"/>
    </row>
    <row r="229" ht="12.75" customHeight="1">
      <c r="A229" s="757" t="s">
        <v>424</v>
      </c>
      <c r="B229" s="521"/>
      <c r="C229" s="515"/>
      <c r="D229" s="515"/>
      <c r="E229" s="515"/>
      <c r="F229" s="515"/>
      <c r="G229" s="515"/>
      <c r="H229" s="515"/>
      <c r="I229" s="515"/>
      <c r="J229" s="515"/>
      <c r="K229" s="515"/>
      <c r="L229" s="515"/>
      <c r="M229" s="515"/>
      <c r="N229" s="515"/>
      <c r="O229" s="533"/>
      <c r="P229" s="669">
        <f t="shared" si="515"/>
        <v>750</v>
      </c>
      <c r="Q229" s="554">
        <f>P226/4</f>
        <v>500</v>
      </c>
      <c r="R229" s="554">
        <f>(P226/2)*(P229/P230)</f>
        <v>438.5964912</v>
      </c>
      <c r="S229" s="530">
        <f t="shared" si="516"/>
        <v>938.5964912</v>
      </c>
      <c r="T229" s="669">
        <f t="shared" si="517"/>
        <v>750</v>
      </c>
      <c r="U229" s="530">
        <f>T226/4</f>
        <v>500</v>
      </c>
      <c r="V229" s="530">
        <f>(T226/2)*(T229/T230)</f>
        <v>438.5964912</v>
      </c>
      <c r="W229" s="530">
        <f t="shared" si="518"/>
        <v>938.5964912</v>
      </c>
      <c r="X229" s="669">
        <f t="shared" si="519"/>
        <v>750</v>
      </c>
      <c r="Y229" s="530">
        <f>X226/4</f>
        <v>1000</v>
      </c>
      <c r="Z229" s="530">
        <f>(X226/2)*(X229/X230)</f>
        <v>877.1929825</v>
      </c>
      <c r="AA229" s="530">
        <f t="shared" si="520"/>
        <v>1877.192982</v>
      </c>
      <c r="AB229" s="669">
        <f t="shared" si="521"/>
        <v>750</v>
      </c>
      <c r="AC229" s="554">
        <f>AB226/4</f>
        <v>1000</v>
      </c>
      <c r="AD229" s="554">
        <f>(AB226/2)*(AB229/AB230)</f>
        <v>877.1929825</v>
      </c>
      <c r="AE229" s="554">
        <f t="shared" si="522"/>
        <v>1877.192982</v>
      </c>
      <c r="AF229" s="669">
        <f t="shared" si="523"/>
        <v>750</v>
      </c>
      <c r="AG229" s="530">
        <f>AF226/4</f>
        <v>3500</v>
      </c>
      <c r="AH229" s="530">
        <f>(AF226/2)*(AF229/AF230)</f>
        <v>3070.175439</v>
      </c>
      <c r="AI229" s="530">
        <f t="shared" si="524"/>
        <v>6570.175439</v>
      </c>
      <c r="AJ229" s="669">
        <f t="shared" si="525"/>
        <v>750</v>
      </c>
      <c r="AK229" s="530">
        <f>AJ226/4</f>
        <v>3500</v>
      </c>
      <c r="AL229" s="530">
        <f>(AJ226/2)*(AJ229/AJ230)</f>
        <v>3070.175439</v>
      </c>
      <c r="AM229" s="730">
        <f t="shared" si="526"/>
        <v>6570.175439</v>
      </c>
      <c r="AN229" s="669">
        <f t="shared" si="527"/>
        <v>750</v>
      </c>
      <c r="AO229" s="554">
        <f>AN226/4</f>
        <v>1000</v>
      </c>
      <c r="AP229" s="554">
        <f>(AN226/2)*(AN229/AN230)</f>
        <v>877.1929825</v>
      </c>
      <c r="AQ229" s="554">
        <f t="shared" si="528"/>
        <v>1877.192982</v>
      </c>
      <c r="AR229" s="669">
        <f t="shared" si="529"/>
        <v>750</v>
      </c>
      <c r="AS229" s="530">
        <f>AR226/4</f>
        <v>1000</v>
      </c>
      <c r="AT229" s="530">
        <f>(AR226/2)*(AR229/AR230)</f>
        <v>877.1929825</v>
      </c>
      <c r="AU229" s="530">
        <f t="shared" si="530"/>
        <v>1877.192982</v>
      </c>
      <c r="AV229" s="669">
        <f t="shared" si="531"/>
        <v>750</v>
      </c>
      <c r="AW229" s="530">
        <f>AV226/4</f>
        <v>2250</v>
      </c>
      <c r="AX229" s="530">
        <f>(AV226/2)*(AV229/AV230)</f>
        <v>1973.684211</v>
      </c>
      <c r="AY229" s="530">
        <f t="shared" si="532"/>
        <v>4223.684211</v>
      </c>
      <c r="AZ229" s="669">
        <f t="shared" si="533"/>
        <v>750</v>
      </c>
      <c r="BA229" s="530">
        <f>AZ226/4</f>
        <v>2250</v>
      </c>
      <c r="BB229" s="530">
        <f>(AZ226/2)*(AZ229/AZ230)</f>
        <v>1973.684211</v>
      </c>
      <c r="BC229" s="530">
        <f t="shared" si="534"/>
        <v>4223.684211</v>
      </c>
      <c r="BD229" s="669">
        <f t="shared" si="535"/>
        <v>750</v>
      </c>
      <c r="BE229" s="530">
        <f>BD226/4</f>
        <v>3500</v>
      </c>
      <c r="BF229" s="530">
        <f>(BD226/2)*(BD229/BD230)</f>
        <v>3070.175439</v>
      </c>
      <c r="BG229" s="530">
        <f t="shared" si="536"/>
        <v>6570.175439</v>
      </c>
      <c r="BH229" s="669">
        <f t="shared" si="537"/>
        <v>750</v>
      </c>
      <c r="BI229" s="530">
        <f>BH226/4</f>
        <v>3500</v>
      </c>
      <c r="BJ229" s="530">
        <f>(BH226/2)*(BH229/BH230)</f>
        <v>3070.175439</v>
      </c>
      <c r="BK229" s="530">
        <f t="shared" si="538"/>
        <v>6570.175439</v>
      </c>
      <c r="BL229" s="531"/>
      <c r="BM229" s="531"/>
    </row>
    <row r="230" ht="12.75" customHeight="1">
      <c r="A230" s="762"/>
      <c r="B230" s="521"/>
      <c r="C230" s="515"/>
      <c r="D230" s="515"/>
      <c r="E230" s="515"/>
      <c r="F230" s="515"/>
      <c r="G230" s="515"/>
      <c r="H230" s="515"/>
      <c r="I230" s="515"/>
      <c r="J230" s="515"/>
      <c r="K230" s="515"/>
      <c r="L230" s="515"/>
      <c r="M230" s="515"/>
      <c r="N230" s="515"/>
      <c r="O230" s="533"/>
      <c r="P230" s="552">
        <f t="shared" ref="P230:BK230" si="539">P228+P229</f>
        <v>1710</v>
      </c>
      <c r="Q230" s="556">
        <f t="shared" si="539"/>
        <v>1000</v>
      </c>
      <c r="R230" s="556">
        <f t="shared" si="539"/>
        <v>1000</v>
      </c>
      <c r="S230" s="536">
        <f t="shared" si="539"/>
        <v>2000</v>
      </c>
      <c r="T230" s="552">
        <f t="shared" si="539"/>
        <v>1710</v>
      </c>
      <c r="U230" s="536">
        <f t="shared" si="539"/>
        <v>1000</v>
      </c>
      <c r="V230" s="536">
        <f t="shared" si="539"/>
        <v>1000</v>
      </c>
      <c r="W230" s="536">
        <f t="shared" si="539"/>
        <v>2000</v>
      </c>
      <c r="X230" s="552">
        <f t="shared" si="539"/>
        <v>1710</v>
      </c>
      <c r="Y230" s="536">
        <f t="shared" si="539"/>
        <v>2000</v>
      </c>
      <c r="Z230" s="536">
        <f t="shared" si="539"/>
        <v>2000</v>
      </c>
      <c r="AA230" s="536">
        <f t="shared" si="539"/>
        <v>4000</v>
      </c>
      <c r="AB230" s="552">
        <f t="shared" si="539"/>
        <v>1710</v>
      </c>
      <c r="AC230" s="556">
        <f t="shared" si="539"/>
        <v>2000</v>
      </c>
      <c r="AD230" s="556">
        <f t="shared" si="539"/>
        <v>2000</v>
      </c>
      <c r="AE230" s="556">
        <f t="shared" si="539"/>
        <v>4000</v>
      </c>
      <c r="AF230" s="552">
        <f t="shared" si="539"/>
        <v>1710</v>
      </c>
      <c r="AG230" s="536">
        <f t="shared" si="539"/>
        <v>7000</v>
      </c>
      <c r="AH230" s="536">
        <f t="shared" si="539"/>
        <v>7000</v>
      </c>
      <c r="AI230" s="536">
        <f t="shared" si="539"/>
        <v>14000</v>
      </c>
      <c r="AJ230" s="552">
        <f t="shared" si="539"/>
        <v>1710</v>
      </c>
      <c r="AK230" s="536">
        <f t="shared" si="539"/>
        <v>7000</v>
      </c>
      <c r="AL230" s="536">
        <f t="shared" si="539"/>
        <v>7000</v>
      </c>
      <c r="AM230" s="536">
        <f t="shared" si="539"/>
        <v>14000</v>
      </c>
      <c r="AN230" s="552">
        <f t="shared" si="539"/>
        <v>1710</v>
      </c>
      <c r="AO230" s="556">
        <f t="shared" si="539"/>
        <v>2000</v>
      </c>
      <c r="AP230" s="556">
        <f t="shared" si="539"/>
        <v>2000</v>
      </c>
      <c r="AQ230" s="556">
        <f t="shared" si="539"/>
        <v>4000</v>
      </c>
      <c r="AR230" s="535">
        <f t="shared" si="539"/>
        <v>1710</v>
      </c>
      <c r="AS230" s="536">
        <f t="shared" si="539"/>
        <v>2000</v>
      </c>
      <c r="AT230" s="536">
        <f t="shared" si="539"/>
        <v>2000</v>
      </c>
      <c r="AU230" s="536">
        <f t="shared" si="539"/>
        <v>4000</v>
      </c>
      <c r="AV230" s="535">
        <f t="shared" si="539"/>
        <v>1710</v>
      </c>
      <c r="AW230" s="536">
        <f t="shared" si="539"/>
        <v>4500</v>
      </c>
      <c r="AX230" s="536">
        <f t="shared" si="539"/>
        <v>4500</v>
      </c>
      <c r="AY230" s="536">
        <f t="shared" si="539"/>
        <v>9000</v>
      </c>
      <c r="AZ230" s="535">
        <f t="shared" si="539"/>
        <v>1710</v>
      </c>
      <c r="BA230" s="536">
        <f t="shared" si="539"/>
        <v>4500</v>
      </c>
      <c r="BB230" s="536">
        <f t="shared" si="539"/>
        <v>4500</v>
      </c>
      <c r="BC230" s="536">
        <f t="shared" si="539"/>
        <v>9000</v>
      </c>
      <c r="BD230" s="535">
        <f t="shared" si="539"/>
        <v>1710</v>
      </c>
      <c r="BE230" s="536">
        <f t="shared" si="539"/>
        <v>7000</v>
      </c>
      <c r="BF230" s="536">
        <f t="shared" si="539"/>
        <v>7000</v>
      </c>
      <c r="BG230" s="536">
        <f t="shared" si="539"/>
        <v>14000</v>
      </c>
      <c r="BH230" s="535">
        <f t="shared" si="539"/>
        <v>1710</v>
      </c>
      <c r="BI230" s="536">
        <f t="shared" si="539"/>
        <v>7000</v>
      </c>
      <c r="BJ230" s="536">
        <f t="shared" si="539"/>
        <v>7000</v>
      </c>
      <c r="BK230" s="556">
        <f t="shared" si="539"/>
        <v>14000</v>
      </c>
      <c r="BL230" s="557"/>
      <c r="BM230" s="557"/>
    </row>
    <row r="231" ht="12.75" customHeight="1">
      <c r="A231" s="762"/>
      <c r="B231" s="521"/>
      <c r="C231" s="515"/>
      <c r="D231" s="515"/>
      <c r="E231" s="515"/>
      <c r="F231" s="515"/>
      <c r="G231" s="515"/>
      <c r="H231" s="515"/>
      <c r="I231" s="515"/>
      <c r="J231" s="515"/>
      <c r="K231" s="515"/>
      <c r="L231" s="515"/>
      <c r="M231" s="515"/>
      <c r="N231" s="515"/>
      <c r="O231" s="533"/>
      <c r="P231" s="541"/>
      <c r="Q231" s="541"/>
      <c r="R231" s="541"/>
      <c r="S231" s="541"/>
      <c r="T231" s="541"/>
      <c r="U231" s="541"/>
      <c r="V231" s="541"/>
      <c r="W231" s="541"/>
      <c r="X231" s="541"/>
      <c r="Y231" s="541"/>
      <c r="Z231" s="541"/>
      <c r="AA231" s="541"/>
      <c r="AB231" s="541"/>
      <c r="AC231" s="541"/>
      <c r="AD231" s="541"/>
      <c r="AE231" s="541"/>
      <c r="AF231" s="541"/>
      <c r="AG231" s="541"/>
      <c r="AH231" s="541"/>
      <c r="AI231" s="541"/>
      <c r="AJ231" s="541"/>
      <c r="AK231" s="541"/>
      <c r="AL231" s="541"/>
      <c r="AM231" s="541"/>
      <c r="AN231" s="533"/>
      <c r="AO231" s="557"/>
      <c r="AP231" s="557"/>
      <c r="AQ231" s="557"/>
      <c r="AR231" s="500"/>
      <c r="AS231" s="537"/>
      <c r="AT231" s="537"/>
      <c r="AU231" s="537"/>
      <c r="AV231" s="500"/>
      <c r="AW231" s="537"/>
      <c r="AX231" s="537"/>
      <c r="AY231" s="537"/>
      <c r="AZ231" s="533"/>
      <c r="BA231" s="557"/>
      <c r="BB231" s="557"/>
      <c r="BC231" s="557"/>
      <c r="BD231" s="500"/>
      <c r="BE231" s="537"/>
      <c r="BF231" s="537"/>
      <c r="BG231" s="537"/>
      <c r="BH231" s="500"/>
      <c r="BI231" s="537"/>
      <c r="BJ231" s="537"/>
      <c r="BK231" s="537"/>
      <c r="BL231" s="537"/>
      <c r="BM231" s="537"/>
    </row>
    <row r="232">
      <c r="A232" s="763"/>
      <c r="C232" s="489" t="s">
        <v>420</v>
      </c>
      <c r="D232" s="490"/>
      <c r="E232" s="490"/>
      <c r="F232" s="490"/>
      <c r="G232" s="490"/>
      <c r="H232" s="490"/>
      <c r="I232" s="490"/>
      <c r="J232" s="490"/>
      <c r="K232" s="490"/>
      <c r="L232" s="490"/>
      <c r="M232" s="490"/>
      <c r="N232" s="491"/>
      <c r="P232" s="576" t="s">
        <v>340</v>
      </c>
      <c r="Q232" s="494"/>
      <c r="R232" s="494"/>
      <c r="S232" s="495"/>
      <c r="T232" s="576" t="s">
        <v>341</v>
      </c>
      <c r="U232" s="494"/>
      <c r="V232" s="494"/>
      <c r="W232" s="495"/>
      <c r="X232" s="576" t="s">
        <v>342</v>
      </c>
      <c r="Y232" s="494"/>
      <c r="Z232" s="494"/>
      <c r="AA232" s="495"/>
      <c r="AB232" s="576" t="s">
        <v>343</v>
      </c>
      <c r="AC232" s="494"/>
      <c r="AD232" s="494"/>
      <c r="AE232" s="495"/>
      <c r="AF232" s="576" t="s">
        <v>344</v>
      </c>
      <c r="AG232" s="494"/>
      <c r="AH232" s="494"/>
      <c r="AI232" s="495"/>
      <c r="AJ232" s="576" t="s">
        <v>345</v>
      </c>
      <c r="AK232" s="494"/>
      <c r="AL232" s="494"/>
      <c r="AM232" s="495"/>
      <c r="AN232" s="576" t="s">
        <v>346</v>
      </c>
      <c r="AO232" s="494"/>
      <c r="AP232" s="494"/>
      <c r="AQ232" s="495"/>
      <c r="AR232" s="576" t="s">
        <v>347</v>
      </c>
      <c r="AS232" s="494"/>
      <c r="AT232" s="494"/>
      <c r="AU232" s="495"/>
      <c r="AV232" s="576" t="s">
        <v>348</v>
      </c>
      <c r="AW232" s="494"/>
      <c r="AX232" s="494"/>
      <c r="AY232" s="495"/>
      <c r="AZ232" s="576" t="s">
        <v>349</v>
      </c>
      <c r="BA232" s="494"/>
      <c r="BB232" s="494"/>
      <c r="BC232" s="495"/>
      <c r="BD232" s="576" t="s">
        <v>350</v>
      </c>
      <c r="BE232" s="494"/>
      <c r="BF232" s="494"/>
      <c r="BG232" s="495"/>
      <c r="BH232" s="576" t="s">
        <v>351</v>
      </c>
      <c r="BI232" s="494"/>
      <c r="BJ232" s="494"/>
      <c r="BK232" s="495"/>
      <c r="BL232" s="533"/>
      <c r="BM232" s="533"/>
    </row>
    <row r="233">
      <c r="A233" s="763"/>
      <c r="C233" s="502"/>
      <c r="N233" s="503"/>
      <c r="P233" s="547" t="s">
        <v>370</v>
      </c>
      <c r="Q233" s="506"/>
      <c r="R233" s="506"/>
      <c r="S233" s="507"/>
      <c r="T233" s="547" t="s">
        <v>370</v>
      </c>
      <c r="U233" s="506"/>
      <c r="V233" s="506"/>
      <c r="W233" s="507"/>
      <c r="X233" s="547" t="s">
        <v>370</v>
      </c>
      <c r="Y233" s="506"/>
      <c r="Z233" s="506"/>
      <c r="AA233" s="507"/>
      <c r="AB233" s="547" t="s">
        <v>370</v>
      </c>
      <c r="AC233" s="506"/>
      <c r="AD233" s="506"/>
      <c r="AE233" s="507"/>
      <c r="AF233" s="548" t="s">
        <v>370</v>
      </c>
      <c r="AG233" s="506"/>
      <c r="AH233" s="506"/>
      <c r="AI233" s="549"/>
      <c r="AJ233" s="764" t="s">
        <v>370</v>
      </c>
      <c r="AK233" s="506"/>
      <c r="AL233" s="506"/>
      <c r="AM233" s="549"/>
      <c r="AN233" s="764" t="s">
        <v>370</v>
      </c>
      <c r="AO233" s="506"/>
      <c r="AP233" s="506"/>
      <c r="AQ233" s="549"/>
      <c r="AR233" s="765" t="s">
        <v>370</v>
      </c>
      <c r="AS233" s="506"/>
      <c r="AT233" s="506"/>
      <c r="AU233" s="549"/>
      <c r="AV233" s="766" t="s">
        <v>370</v>
      </c>
      <c r="AW233" s="506"/>
      <c r="AX233" s="506"/>
      <c r="AY233" s="507"/>
      <c r="AZ233" s="767" t="s">
        <v>370</v>
      </c>
      <c r="BA233" s="506"/>
      <c r="BB233" s="506"/>
      <c r="BC233" s="507"/>
      <c r="BD233" s="767" t="s">
        <v>370</v>
      </c>
      <c r="BE233" s="506"/>
      <c r="BF233" s="506"/>
      <c r="BG233" s="507"/>
      <c r="BH233" s="767" t="s">
        <v>370</v>
      </c>
      <c r="BI233" s="506"/>
      <c r="BJ233" s="506"/>
      <c r="BK233" s="549"/>
      <c r="BL233" s="557"/>
      <c r="BM233" s="557"/>
    </row>
    <row r="234">
      <c r="A234" s="763"/>
      <c r="C234" s="512"/>
      <c r="D234" s="513"/>
      <c r="E234" s="513"/>
      <c r="F234" s="513"/>
      <c r="G234" s="513"/>
      <c r="H234" s="513"/>
      <c r="I234" s="513"/>
      <c r="J234" s="513"/>
      <c r="K234" s="513"/>
      <c r="L234" s="513"/>
      <c r="M234" s="513"/>
      <c r="N234" s="514"/>
      <c r="P234" s="579">
        <v>0.0</v>
      </c>
      <c r="Q234" s="498"/>
      <c r="R234" s="498"/>
      <c r="S234" s="498"/>
      <c r="T234" s="579">
        <v>0.0</v>
      </c>
      <c r="U234" s="498"/>
      <c r="V234" s="498"/>
      <c r="W234" s="498"/>
      <c r="X234" s="579">
        <v>0.0</v>
      </c>
      <c r="Y234" s="498"/>
      <c r="Z234" s="498"/>
      <c r="AA234" s="498"/>
      <c r="AB234" s="579">
        <v>0.0</v>
      </c>
      <c r="AC234" s="498"/>
      <c r="AD234" s="498"/>
      <c r="AE234" s="498"/>
      <c r="AF234" s="579">
        <v>0.0</v>
      </c>
      <c r="AG234" s="498"/>
      <c r="AH234" s="498"/>
      <c r="AI234" s="498"/>
      <c r="AJ234" s="579">
        <v>0.0</v>
      </c>
      <c r="AK234" s="498"/>
      <c r="AL234" s="498"/>
      <c r="AM234" s="498"/>
      <c r="AN234" s="579">
        <v>0.0</v>
      </c>
      <c r="AO234" s="498"/>
      <c r="AP234" s="498"/>
      <c r="AQ234" s="498"/>
      <c r="AR234" s="579">
        <v>0.0</v>
      </c>
      <c r="AS234" s="498"/>
      <c r="AT234" s="498"/>
      <c r="AU234" s="498"/>
      <c r="AV234" s="579">
        <v>0.0</v>
      </c>
      <c r="AW234" s="498"/>
      <c r="AX234" s="498"/>
      <c r="AY234" s="498"/>
      <c r="AZ234" s="579">
        <v>0.0</v>
      </c>
      <c r="BA234" s="498"/>
      <c r="BB234" s="498"/>
      <c r="BC234" s="498"/>
      <c r="BD234" s="579">
        <v>0.0</v>
      </c>
      <c r="BE234" s="498"/>
      <c r="BF234" s="498"/>
      <c r="BG234" s="498"/>
      <c r="BH234" s="579">
        <v>0.0</v>
      </c>
      <c r="BI234" s="498"/>
      <c r="BJ234" s="498"/>
      <c r="BK234" s="498"/>
      <c r="BL234" s="519"/>
      <c r="BM234" s="519">
        <f>SUM(P234:BK234)</f>
        <v>0</v>
      </c>
    </row>
    <row r="235">
      <c r="A235" s="768" t="s">
        <v>409</v>
      </c>
      <c r="C235" s="552" t="s">
        <v>354</v>
      </c>
      <c r="D235" s="552" t="s">
        <v>355</v>
      </c>
      <c r="E235" s="552" t="s">
        <v>356</v>
      </c>
      <c r="F235" s="552" t="s">
        <v>357</v>
      </c>
      <c r="G235" s="552" t="s">
        <v>5</v>
      </c>
      <c r="H235" s="552" t="s">
        <v>358</v>
      </c>
      <c r="I235" s="552" t="s">
        <v>359</v>
      </c>
      <c r="J235" s="552" t="s">
        <v>360</v>
      </c>
      <c r="K235" s="552" t="s">
        <v>361</v>
      </c>
      <c r="L235" s="552" t="s">
        <v>362</v>
      </c>
      <c r="M235" s="552" t="s">
        <v>363</v>
      </c>
      <c r="N235" s="552" t="s">
        <v>364</v>
      </c>
      <c r="P235" s="535" t="s">
        <v>319</v>
      </c>
      <c r="Q235" s="535" t="s">
        <v>365</v>
      </c>
      <c r="R235" s="535" t="s">
        <v>366</v>
      </c>
      <c r="S235" s="535" t="s">
        <v>367</v>
      </c>
      <c r="T235" s="535" t="s">
        <v>319</v>
      </c>
      <c r="U235" s="535" t="s">
        <v>365</v>
      </c>
      <c r="V235" s="535" t="s">
        <v>366</v>
      </c>
      <c r="W235" s="535" t="s">
        <v>367</v>
      </c>
      <c r="X235" s="535" t="s">
        <v>319</v>
      </c>
      <c r="Y235" s="535" t="s">
        <v>365</v>
      </c>
      <c r="Z235" s="535" t="s">
        <v>366</v>
      </c>
      <c r="AA235" s="535" t="s">
        <v>367</v>
      </c>
      <c r="AB235" s="535" t="s">
        <v>319</v>
      </c>
      <c r="AC235" s="535" t="s">
        <v>365</v>
      </c>
      <c r="AD235" s="535" t="s">
        <v>366</v>
      </c>
      <c r="AE235" s="535" t="s">
        <v>367</v>
      </c>
      <c r="AF235" s="535" t="s">
        <v>319</v>
      </c>
      <c r="AG235" s="535" t="s">
        <v>365</v>
      </c>
      <c r="AH235" s="535" t="s">
        <v>366</v>
      </c>
      <c r="AI235" s="535" t="s">
        <v>367</v>
      </c>
      <c r="AJ235" s="535" t="s">
        <v>319</v>
      </c>
      <c r="AK235" s="535" t="s">
        <v>365</v>
      </c>
      <c r="AL235" s="535" t="s">
        <v>366</v>
      </c>
      <c r="AM235" s="535" t="s">
        <v>367</v>
      </c>
      <c r="AN235" s="535" t="s">
        <v>319</v>
      </c>
      <c r="AO235" s="535" t="s">
        <v>365</v>
      </c>
      <c r="AP235" s="535" t="s">
        <v>366</v>
      </c>
      <c r="AQ235" s="535" t="s">
        <v>367</v>
      </c>
      <c r="AR235" s="535" t="s">
        <v>319</v>
      </c>
      <c r="AS235" s="535" t="s">
        <v>365</v>
      </c>
      <c r="AT235" s="535" t="s">
        <v>366</v>
      </c>
      <c r="AU235" s="535" t="s">
        <v>367</v>
      </c>
      <c r="AV235" s="535" t="s">
        <v>319</v>
      </c>
      <c r="AW235" s="535" t="s">
        <v>365</v>
      </c>
      <c r="AX235" s="535" t="s">
        <v>366</v>
      </c>
      <c r="AY235" s="535" t="s">
        <v>367</v>
      </c>
      <c r="AZ235" s="552" t="s">
        <v>319</v>
      </c>
      <c r="BA235" s="552" t="s">
        <v>365</v>
      </c>
      <c r="BB235" s="552" t="s">
        <v>366</v>
      </c>
      <c r="BC235" s="552" t="s">
        <v>367</v>
      </c>
      <c r="BD235" s="552" t="s">
        <v>319</v>
      </c>
      <c r="BE235" s="552" t="s">
        <v>365</v>
      </c>
      <c r="BF235" s="552" t="s">
        <v>366</v>
      </c>
      <c r="BG235" s="552" t="s">
        <v>367</v>
      </c>
      <c r="BH235" s="552" t="s">
        <v>319</v>
      </c>
      <c r="BI235" s="552" t="s">
        <v>365</v>
      </c>
      <c r="BJ235" s="552" t="s">
        <v>366</v>
      </c>
      <c r="BK235" s="552" t="s">
        <v>367</v>
      </c>
      <c r="BL235" s="533"/>
      <c r="BM235" s="533"/>
    </row>
    <row r="236">
      <c r="A236" s="769" t="s">
        <v>423</v>
      </c>
      <c r="C236" s="526">
        <f>GB!B110</f>
        <v>40</v>
      </c>
      <c r="D236" s="526">
        <f>GB!C110</f>
        <v>45</v>
      </c>
      <c r="E236" s="526">
        <f>GB!D110</f>
        <v>60</v>
      </c>
      <c r="F236" s="526">
        <f>GB!E110</f>
        <v>80</v>
      </c>
      <c r="G236" s="526">
        <f>GB!F110</f>
        <v>100</v>
      </c>
      <c r="H236" s="526">
        <f>GB!G110</f>
        <v>95</v>
      </c>
      <c r="I236" s="526">
        <f>GB!H110</f>
        <v>105</v>
      </c>
      <c r="J236" s="526">
        <f>GB!I110</f>
        <v>100</v>
      </c>
      <c r="K236" s="526">
        <f>GB!J110</f>
        <v>90</v>
      </c>
      <c r="L236" s="526">
        <f>GB!K110</f>
        <v>85</v>
      </c>
      <c r="M236" s="526">
        <f>GB!L110</f>
        <v>75</v>
      </c>
      <c r="N236" s="526">
        <f>GB!M110</f>
        <v>85</v>
      </c>
      <c r="P236" s="553">
        <f t="shared" ref="P236:P237" si="540">SUM(C236:N236)</f>
        <v>960</v>
      </c>
      <c r="Q236" s="530">
        <f>P234/4</f>
        <v>0</v>
      </c>
      <c r="R236" s="530">
        <f>(P234/2)*(P236/P238)</f>
        <v>0</v>
      </c>
      <c r="S236" s="530">
        <f t="shared" ref="S236:S237" si="541">Q236+R236</f>
        <v>0</v>
      </c>
      <c r="T236" s="553">
        <f t="shared" ref="T236:T237" si="542">SUM(C236:N236)</f>
        <v>960</v>
      </c>
      <c r="U236" s="530">
        <f>T234/4</f>
        <v>0</v>
      </c>
      <c r="V236" s="530">
        <f>(T234/2)*(T236/T238)</f>
        <v>0</v>
      </c>
      <c r="W236" s="530">
        <f t="shared" ref="W236:W237" si="543">U236+V236</f>
        <v>0</v>
      </c>
      <c r="X236" s="553">
        <f t="shared" ref="X236:X237" si="544">SUM(C236:N236)</f>
        <v>960</v>
      </c>
      <c r="Y236" s="530">
        <f>X234/4</f>
        <v>0</v>
      </c>
      <c r="Z236" s="530">
        <f>(X234/2)*(X236/X238)</f>
        <v>0</v>
      </c>
      <c r="AA236" s="530">
        <f t="shared" ref="AA236:AA237" si="545">Y236+Z236</f>
        <v>0</v>
      </c>
      <c r="AB236" s="553">
        <f t="shared" ref="AB236:AB237" si="546">SUM(C236:N236)</f>
        <v>960</v>
      </c>
      <c r="AC236" s="530">
        <f>AB234/4</f>
        <v>0</v>
      </c>
      <c r="AD236" s="530">
        <f>(AB234/2)*(AB236/AB238)</f>
        <v>0</v>
      </c>
      <c r="AE236" s="530">
        <f t="shared" ref="AE236:AE237" si="547">AC236+AD236</f>
        <v>0</v>
      </c>
      <c r="AF236" s="529">
        <f t="shared" ref="AF236:AF237" si="548">SUM(C236:N236)</f>
        <v>960</v>
      </c>
      <c r="AG236" s="530">
        <f>AF234/4</f>
        <v>0</v>
      </c>
      <c r="AH236" s="530">
        <f>(AF234/2)*(AF236/AF238)</f>
        <v>0</v>
      </c>
      <c r="AI236" s="530">
        <f t="shared" ref="AI236:AI237" si="549">AG236+AH236</f>
        <v>0</v>
      </c>
      <c r="AJ236" s="529">
        <f t="shared" ref="AJ236:AJ237" si="550">SUM(C236:N236)</f>
        <v>960</v>
      </c>
      <c r="AK236" s="530">
        <f>AJ234/4</f>
        <v>0</v>
      </c>
      <c r="AL236" s="530">
        <f>(AJ234/2)*(AJ236/AJ238)</f>
        <v>0</v>
      </c>
      <c r="AM236" s="730">
        <f t="shared" ref="AM236:AM237" si="551">AK236+AL236</f>
        <v>0</v>
      </c>
      <c r="AN236" s="553">
        <f t="shared" ref="AN236:AN237" si="552">SUM(C236:N236)</f>
        <v>960</v>
      </c>
      <c r="AO236" s="530">
        <f>AN234/4</f>
        <v>0</v>
      </c>
      <c r="AP236" s="530">
        <f>(AN234/2)*(AN236/AN238)</f>
        <v>0</v>
      </c>
      <c r="AQ236" s="530">
        <f t="shared" ref="AQ236:AQ237" si="553">AO236+AP236</f>
        <v>0</v>
      </c>
      <c r="AR236" s="529">
        <f t="shared" ref="AR236:AR237" si="554">SUM(C236:N236)</f>
        <v>960</v>
      </c>
      <c r="AS236" s="530">
        <f>AR234/4</f>
        <v>0</v>
      </c>
      <c r="AT236" s="530">
        <f>(AR234/2)*(AR236/AR238)</f>
        <v>0</v>
      </c>
      <c r="AU236" s="530">
        <f t="shared" ref="AU236:AU237" si="555">AS236+AT236</f>
        <v>0</v>
      </c>
      <c r="AV236" s="529">
        <f t="shared" ref="AV236:AV237" si="556">SUM(C236:N236)</f>
        <v>960</v>
      </c>
      <c r="AW236" s="530">
        <f>AV234/4</f>
        <v>0</v>
      </c>
      <c r="AX236" s="530">
        <f>(AV234/2)*(AV236/AV238)</f>
        <v>0</v>
      </c>
      <c r="AY236" s="530">
        <f t="shared" ref="AY236:AY237" si="557">AW236+AX236</f>
        <v>0</v>
      </c>
      <c r="AZ236" s="529">
        <f t="shared" ref="AZ236:AZ237" si="558">SUM(C236:N236)</f>
        <v>960</v>
      </c>
      <c r="BA236" s="554">
        <f>AZ234/4</f>
        <v>0</v>
      </c>
      <c r="BB236" s="554">
        <f>(AZ234/2)*(AZ236/AZ238)</f>
        <v>0</v>
      </c>
      <c r="BC236" s="554">
        <f t="shared" ref="BC236:BC237" si="559">BA236+BB236</f>
        <v>0</v>
      </c>
      <c r="BD236" s="529">
        <f t="shared" ref="BD236:BD237" si="560">SUM(C236:N236)</f>
        <v>960</v>
      </c>
      <c r="BE236" s="554">
        <f>BD234/4</f>
        <v>0</v>
      </c>
      <c r="BF236" s="554">
        <f>(BD234/2)*(BD236/BD238)</f>
        <v>0</v>
      </c>
      <c r="BG236" s="554">
        <f t="shared" ref="BG236:BG237" si="561">BE236+BF236</f>
        <v>0</v>
      </c>
      <c r="BH236" s="529">
        <f t="shared" ref="BH236:BH237" si="562">SUM(C236:N236)</f>
        <v>960</v>
      </c>
      <c r="BI236" s="554">
        <f>BH234/4</f>
        <v>0</v>
      </c>
      <c r="BJ236" s="554">
        <f>(BH234/2)*(BH236/BH238)</f>
        <v>0</v>
      </c>
      <c r="BK236" s="554">
        <f t="shared" ref="BK236:BK237" si="563">BI236+BJ236</f>
        <v>0</v>
      </c>
      <c r="BL236" s="555"/>
      <c r="BM236" s="555"/>
    </row>
    <row r="237">
      <c r="A237" s="769" t="s">
        <v>424</v>
      </c>
      <c r="C237" s="526">
        <f>WM!B110</f>
        <v>37</v>
      </c>
      <c r="D237" s="526">
        <f>WM!C110</f>
        <v>40</v>
      </c>
      <c r="E237" s="526">
        <f>WM!D110</f>
        <v>45</v>
      </c>
      <c r="F237" s="526">
        <f>WM!E110</f>
        <v>65</v>
      </c>
      <c r="G237" s="526">
        <f>WM!F110</f>
        <v>70</v>
      </c>
      <c r="H237" s="526">
        <f>WM!G110</f>
        <v>65</v>
      </c>
      <c r="I237" s="526">
        <f>WM!H110</f>
        <v>68</v>
      </c>
      <c r="J237" s="526">
        <f>WM!I110</f>
        <v>85</v>
      </c>
      <c r="K237" s="526">
        <f>WM!J110</f>
        <v>70</v>
      </c>
      <c r="L237" s="526">
        <f>WM!K110</f>
        <v>65</v>
      </c>
      <c r="M237" s="526">
        <f>WM!L110</f>
        <v>70</v>
      </c>
      <c r="N237" s="526">
        <f>WM!M110</f>
        <v>70</v>
      </c>
      <c r="P237" s="553">
        <f t="shared" si="540"/>
        <v>750</v>
      </c>
      <c r="Q237" s="530">
        <f>P234/4</f>
        <v>0</v>
      </c>
      <c r="R237" s="530">
        <f>(P234/2)*(P237/P238)</f>
        <v>0</v>
      </c>
      <c r="S237" s="530">
        <f t="shared" si="541"/>
        <v>0</v>
      </c>
      <c r="T237" s="553">
        <f t="shared" si="542"/>
        <v>750</v>
      </c>
      <c r="U237" s="530">
        <f>T234/4</f>
        <v>0</v>
      </c>
      <c r="V237" s="530">
        <f>(T234/2)*(T237/T238)</f>
        <v>0</v>
      </c>
      <c r="W237" s="530">
        <f t="shared" si="543"/>
        <v>0</v>
      </c>
      <c r="X237" s="553">
        <f t="shared" si="544"/>
        <v>750</v>
      </c>
      <c r="Y237" s="530">
        <f>X234/4</f>
        <v>0</v>
      </c>
      <c r="Z237" s="530">
        <f>(X234/2)*(X237/X238)</f>
        <v>0</v>
      </c>
      <c r="AA237" s="530">
        <f t="shared" si="545"/>
        <v>0</v>
      </c>
      <c r="AB237" s="553">
        <f t="shared" si="546"/>
        <v>750</v>
      </c>
      <c r="AC237" s="530">
        <f>AB234/4</f>
        <v>0</v>
      </c>
      <c r="AD237" s="530">
        <f>(AB234/2)*(AB237/AB238)</f>
        <v>0</v>
      </c>
      <c r="AE237" s="530">
        <f t="shared" si="547"/>
        <v>0</v>
      </c>
      <c r="AF237" s="529">
        <f t="shared" si="548"/>
        <v>750</v>
      </c>
      <c r="AG237" s="530">
        <f>AF234/4</f>
        <v>0</v>
      </c>
      <c r="AH237" s="530">
        <f>(AF234/2)*(AF237/AF238)</f>
        <v>0</v>
      </c>
      <c r="AI237" s="530">
        <f t="shared" si="549"/>
        <v>0</v>
      </c>
      <c r="AJ237" s="529">
        <f t="shared" si="550"/>
        <v>750</v>
      </c>
      <c r="AK237" s="530">
        <f>AJ234/4</f>
        <v>0</v>
      </c>
      <c r="AL237" s="530">
        <f>(AJ234/2)*(AJ237/AJ238)</f>
        <v>0</v>
      </c>
      <c r="AM237" s="730">
        <f t="shared" si="551"/>
        <v>0</v>
      </c>
      <c r="AN237" s="553">
        <f t="shared" si="552"/>
        <v>750</v>
      </c>
      <c r="AO237" s="530">
        <f>AN234/4</f>
        <v>0</v>
      </c>
      <c r="AP237" s="530">
        <f>(AN234/2)*(AN237/AN238)</f>
        <v>0</v>
      </c>
      <c r="AQ237" s="530">
        <f t="shared" si="553"/>
        <v>0</v>
      </c>
      <c r="AR237" s="529">
        <f t="shared" si="554"/>
        <v>750</v>
      </c>
      <c r="AS237" s="530">
        <f>AR234/4</f>
        <v>0</v>
      </c>
      <c r="AT237" s="530">
        <f>(AR234/2)*(AR237/AR238)</f>
        <v>0</v>
      </c>
      <c r="AU237" s="530">
        <f t="shared" si="555"/>
        <v>0</v>
      </c>
      <c r="AV237" s="529">
        <f t="shared" si="556"/>
        <v>750</v>
      </c>
      <c r="AW237" s="530">
        <f>AV234/4</f>
        <v>0</v>
      </c>
      <c r="AX237" s="530">
        <f>(AV234/2)*(AV237/AV238)</f>
        <v>0</v>
      </c>
      <c r="AY237" s="530">
        <f t="shared" si="557"/>
        <v>0</v>
      </c>
      <c r="AZ237" s="529">
        <f t="shared" si="558"/>
        <v>750</v>
      </c>
      <c r="BA237" s="554">
        <f>AZ234/4</f>
        <v>0</v>
      </c>
      <c r="BB237" s="554">
        <f>(AZ234/2)*(AZ237/AZ238)</f>
        <v>0</v>
      </c>
      <c r="BC237" s="554">
        <f t="shared" si="559"/>
        <v>0</v>
      </c>
      <c r="BD237" s="529">
        <f t="shared" si="560"/>
        <v>750</v>
      </c>
      <c r="BE237" s="554">
        <f>BD234/4</f>
        <v>0</v>
      </c>
      <c r="BF237" s="554">
        <f>(BD234/2)*(BD237/BD238)</f>
        <v>0</v>
      </c>
      <c r="BG237" s="554">
        <f t="shared" si="561"/>
        <v>0</v>
      </c>
      <c r="BH237" s="529">
        <f t="shared" si="562"/>
        <v>750</v>
      </c>
      <c r="BI237" s="554">
        <f>BH234/4</f>
        <v>0</v>
      </c>
      <c r="BJ237" s="554">
        <f>(BH234/2)*(BH237/BH238)</f>
        <v>0</v>
      </c>
      <c r="BK237" s="554">
        <f t="shared" si="563"/>
        <v>0</v>
      </c>
      <c r="BL237" s="555"/>
      <c r="BM237" s="555"/>
    </row>
    <row r="238">
      <c r="A238" s="763"/>
      <c r="P238" s="535">
        <f>P214</f>
        <v>1710</v>
      </c>
      <c r="Q238" s="536">
        <f t="shared" ref="Q238:S238" si="564">Q236+Q237</f>
        <v>0</v>
      </c>
      <c r="R238" s="536">
        <f t="shared" si="564"/>
        <v>0</v>
      </c>
      <c r="S238" s="536">
        <f t="shared" si="564"/>
        <v>0</v>
      </c>
      <c r="T238" s="535">
        <f>T214</f>
        <v>1710</v>
      </c>
      <c r="U238" s="536">
        <f t="shared" ref="U238:W238" si="565">U236+U237</f>
        <v>0</v>
      </c>
      <c r="V238" s="536">
        <f t="shared" si="565"/>
        <v>0</v>
      </c>
      <c r="W238" s="536">
        <f t="shared" si="565"/>
        <v>0</v>
      </c>
      <c r="X238" s="535">
        <f>X214</f>
        <v>1710</v>
      </c>
      <c r="Y238" s="536">
        <f t="shared" ref="Y238:AA238" si="566">Y236+Y237</f>
        <v>0</v>
      </c>
      <c r="Z238" s="536">
        <f t="shared" si="566"/>
        <v>0</v>
      </c>
      <c r="AA238" s="536">
        <f t="shared" si="566"/>
        <v>0</v>
      </c>
      <c r="AB238" s="535">
        <f>AB214</f>
        <v>1710</v>
      </c>
      <c r="AC238" s="536">
        <f t="shared" ref="AC238:AE238" si="567">AC236+AC237</f>
        <v>0</v>
      </c>
      <c r="AD238" s="536">
        <f t="shared" si="567"/>
        <v>0</v>
      </c>
      <c r="AE238" s="536">
        <f t="shared" si="567"/>
        <v>0</v>
      </c>
      <c r="AF238" s="535">
        <f>AF214</f>
        <v>1710</v>
      </c>
      <c r="AG238" s="536">
        <f t="shared" ref="AG238:AI238" si="568">AG236+AG237</f>
        <v>0</v>
      </c>
      <c r="AH238" s="536">
        <f t="shared" si="568"/>
        <v>0</v>
      </c>
      <c r="AI238" s="536">
        <f t="shared" si="568"/>
        <v>0</v>
      </c>
      <c r="AJ238" s="535">
        <f>AJ214</f>
        <v>1710</v>
      </c>
      <c r="AK238" s="536">
        <f t="shared" ref="AK238:AM238" si="569">AK236+AK237</f>
        <v>0</v>
      </c>
      <c r="AL238" s="536">
        <f t="shared" si="569"/>
        <v>0</v>
      </c>
      <c r="AM238" s="536">
        <f t="shared" si="569"/>
        <v>0</v>
      </c>
      <c r="AN238" s="535">
        <f>AN214</f>
        <v>1710</v>
      </c>
      <c r="AO238" s="536">
        <f t="shared" ref="AO238:AQ238" si="570">AO236+AO237</f>
        <v>0</v>
      </c>
      <c r="AP238" s="536">
        <f t="shared" si="570"/>
        <v>0</v>
      </c>
      <c r="AQ238" s="536">
        <f t="shared" si="570"/>
        <v>0</v>
      </c>
      <c r="AR238" s="535">
        <f>AR214</f>
        <v>1710</v>
      </c>
      <c r="AS238" s="536">
        <f t="shared" ref="AS238:AU238" si="571">AS236+AS237</f>
        <v>0</v>
      </c>
      <c r="AT238" s="536">
        <f t="shared" si="571"/>
        <v>0</v>
      </c>
      <c r="AU238" s="536">
        <f t="shared" si="571"/>
        <v>0</v>
      </c>
      <c r="AV238" s="535">
        <f>AV214</f>
        <v>1710</v>
      </c>
      <c r="AW238" s="536">
        <f t="shared" ref="AW238:AY238" si="572">AW236+AW237</f>
        <v>0</v>
      </c>
      <c r="AX238" s="536">
        <f t="shared" si="572"/>
        <v>0</v>
      </c>
      <c r="AY238" s="536">
        <f t="shared" si="572"/>
        <v>0</v>
      </c>
      <c r="AZ238" s="552">
        <f>AZ214</f>
        <v>1710</v>
      </c>
      <c r="BA238" s="556">
        <f t="shared" ref="BA238:BC238" si="573">BA236+BA237</f>
        <v>0</v>
      </c>
      <c r="BB238" s="556">
        <f t="shared" si="573"/>
        <v>0</v>
      </c>
      <c r="BC238" s="556">
        <f t="shared" si="573"/>
        <v>0</v>
      </c>
      <c r="BD238" s="552">
        <f>BD214</f>
        <v>1710</v>
      </c>
      <c r="BE238" s="556">
        <f t="shared" ref="BE238:BG238" si="574">BE236+BE237</f>
        <v>0</v>
      </c>
      <c r="BF238" s="556">
        <f t="shared" si="574"/>
        <v>0</v>
      </c>
      <c r="BG238" s="556">
        <f t="shared" si="574"/>
        <v>0</v>
      </c>
      <c r="BH238" s="552">
        <f>BH214</f>
        <v>1710</v>
      </c>
      <c r="BI238" s="556">
        <f t="shared" ref="BI238:BK238" si="575">BI236+BI237</f>
        <v>0</v>
      </c>
      <c r="BJ238" s="556">
        <f t="shared" si="575"/>
        <v>0</v>
      </c>
      <c r="BK238" s="556">
        <f t="shared" si="575"/>
        <v>0</v>
      </c>
      <c r="BL238" s="557"/>
      <c r="BM238" s="557"/>
    </row>
    <row r="239" ht="12.75" customHeight="1">
      <c r="A239" s="759"/>
      <c r="B239" s="521"/>
      <c r="C239" s="515"/>
      <c r="D239" s="515"/>
      <c r="E239" s="515"/>
      <c r="F239" s="515"/>
      <c r="G239" s="515"/>
      <c r="H239" s="515"/>
      <c r="I239" s="515"/>
      <c r="J239" s="515"/>
      <c r="K239" s="515"/>
      <c r="L239" s="515"/>
      <c r="M239" s="515"/>
      <c r="N239" s="515"/>
      <c r="O239" s="533"/>
      <c r="P239" s="541"/>
      <c r="T239" s="541"/>
      <c r="X239" s="541"/>
      <c r="AB239" s="541"/>
      <c r="AF239" s="541"/>
      <c r="AJ239" s="541"/>
      <c r="AN239" s="541"/>
      <c r="AR239" s="500"/>
      <c r="AS239" s="537"/>
      <c r="AT239" s="537"/>
      <c r="AU239" s="537"/>
      <c r="AV239" s="500"/>
      <c r="AW239" s="537"/>
      <c r="AX239" s="537"/>
      <c r="AY239" s="537"/>
      <c r="AZ239" s="533"/>
      <c r="BA239" s="557"/>
      <c r="BB239" s="557"/>
      <c r="BC239" s="557"/>
      <c r="BD239" s="500"/>
      <c r="BE239" s="537"/>
      <c r="BF239" s="537"/>
      <c r="BG239" s="537"/>
      <c r="BH239" s="500"/>
      <c r="BI239" s="537"/>
      <c r="BJ239" s="537"/>
      <c r="BK239" s="537"/>
      <c r="BL239" s="537"/>
      <c r="BM239" s="537"/>
    </row>
    <row r="240" ht="12.75" customHeight="1">
      <c r="A240" s="752"/>
      <c r="B240" s="488"/>
      <c r="C240" s="733"/>
      <c r="O240" s="575"/>
      <c r="P240" s="576" t="s">
        <v>340</v>
      </c>
      <c r="Q240" s="494"/>
      <c r="R240" s="494"/>
      <c r="S240" s="495"/>
      <c r="T240" s="576" t="s">
        <v>341</v>
      </c>
      <c r="U240" s="494"/>
      <c r="V240" s="494"/>
      <c r="W240" s="495"/>
      <c r="X240" s="576" t="s">
        <v>342</v>
      </c>
      <c r="Y240" s="494"/>
      <c r="Z240" s="494"/>
      <c r="AA240" s="495"/>
      <c r="AB240" s="576" t="s">
        <v>343</v>
      </c>
      <c r="AC240" s="494"/>
      <c r="AD240" s="494"/>
      <c r="AE240" s="495"/>
      <c r="AF240" s="576" t="s">
        <v>344</v>
      </c>
      <c r="AG240" s="494"/>
      <c r="AH240" s="494"/>
      <c r="AI240" s="495"/>
      <c r="AJ240" s="576" t="s">
        <v>345</v>
      </c>
      <c r="AK240" s="494"/>
      <c r="AL240" s="494"/>
      <c r="AM240" s="495"/>
      <c r="AN240" s="576" t="s">
        <v>346</v>
      </c>
      <c r="AO240" s="494"/>
      <c r="AP240" s="494"/>
      <c r="AQ240" s="495"/>
      <c r="AR240" s="576" t="s">
        <v>347</v>
      </c>
      <c r="AS240" s="494"/>
      <c r="AT240" s="494"/>
      <c r="AU240" s="495"/>
      <c r="AV240" s="576" t="s">
        <v>348</v>
      </c>
      <c r="AW240" s="494"/>
      <c r="AX240" s="494"/>
      <c r="AY240" s="495"/>
      <c r="AZ240" s="576" t="s">
        <v>349</v>
      </c>
      <c r="BA240" s="494"/>
      <c r="BB240" s="494"/>
      <c r="BC240" s="495"/>
      <c r="BD240" s="576" t="s">
        <v>350</v>
      </c>
      <c r="BE240" s="494"/>
      <c r="BF240" s="494"/>
      <c r="BG240" s="495"/>
      <c r="BH240" s="576" t="s">
        <v>351</v>
      </c>
      <c r="BI240" s="494"/>
      <c r="BJ240" s="494"/>
      <c r="BK240" s="495"/>
      <c r="BL240" s="533"/>
      <c r="BM240" s="533"/>
    </row>
    <row r="241" ht="12.75" customHeight="1">
      <c r="A241" s="755"/>
      <c r="B241" s="488"/>
      <c r="O241" s="559"/>
      <c r="P241" s="547" t="s">
        <v>428</v>
      </c>
      <c r="Q241" s="506"/>
      <c r="R241" s="506"/>
      <c r="S241" s="507"/>
      <c r="T241" s="547" t="s">
        <v>428</v>
      </c>
      <c r="U241" s="506"/>
      <c r="V241" s="506"/>
      <c r="W241" s="507"/>
      <c r="X241" s="547" t="s">
        <v>428</v>
      </c>
      <c r="Y241" s="506"/>
      <c r="Z241" s="506"/>
      <c r="AA241" s="507"/>
      <c r="AB241" s="547" t="s">
        <v>428</v>
      </c>
      <c r="AC241" s="506"/>
      <c r="AD241" s="506"/>
      <c r="AE241" s="507"/>
      <c r="AF241" s="547" t="s">
        <v>428</v>
      </c>
      <c r="AG241" s="506"/>
      <c r="AH241" s="506"/>
      <c r="AI241" s="507"/>
      <c r="AJ241" s="547" t="s">
        <v>428</v>
      </c>
      <c r="AK241" s="506"/>
      <c r="AL241" s="506"/>
      <c r="AM241" s="507"/>
      <c r="AN241" s="547" t="s">
        <v>428</v>
      </c>
      <c r="AO241" s="506"/>
      <c r="AP241" s="506"/>
      <c r="AQ241" s="507"/>
      <c r="AR241" s="547" t="s">
        <v>428</v>
      </c>
      <c r="AS241" s="506"/>
      <c r="AT241" s="506"/>
      <c r="AU241" s="507"/>
      <c r="AV241" s="547" t="s">
        <v>428</v>
      </c>
      <c r="AW241" s="506"/>
      <c r="AX241" s="506"/>
      <c r="AY241" s="507"/>
      <c r="AZ241" s="547" t="s">
        <v>428</v>
      </c>
      <c r="BA241" s="506"/>
      <c r="BB241" s="506"/>
      <c r="BC241" s="507"/>
      <c r="BD241" s="547" t="s">
        <v>428</v>
      </c>
      <c r="BE241" s="506"/>
      <c r="BF241" s="506"/>
      <c r="BG241" s="507"/>
      <c r="BH241" s="547" t="s">
        <v>428</v>
      </c>
      <c r="BI241" s="506"/>
      <c r="BJ241" s="506"/>
      <c r="BK241" s="507"/>
      <c r="BL241" s="562"/>
      <c r="BM241" s="562"/>
    </row>
    <row r="242" ht="12.75" customHeight="1">
      <c r="A242" s="756"/>
      <c r="B242" s="521"/>
      <c r="O242" s="515"/>
      <c r="P242" s="579">
        <v>0.0</v>
      </c>
      <c r="Q242" s="498"/>
      <c r="R242" s="498"/>
      <c r="S242" s="498"/>
      <c r="T242" s="579">
        <v>0.0</v>
      </c>
      <c r="U242" s="498"/>
      <c r="V242" s="498"/>
      <c r="W242" s="498"/>
      <c r="X242" s="579">
        <v>0.0</v>
      </c>
      <c r="Y242" s="498"/>
      <c r="Z242" s="498"/>
      <c r="AA242" s="498"/>
      <c r="AB242" s="579">
        <v>0.0</v>
      </c>
      <c r="AC242" s="498"/>
      <c r="AD242" s="498"/>
      <c r="AE242" s="498"/>
      <c r="AF242" s="579">
        <v>0.0</v>
      </c>
      <c r="AG242" s="498"/>
      <c r="AH242" s="498"/>
      <c r="AI242" s="498"/>
      <c r="AJ242" s="579">
        <v>0.0</v>
      </c>
      <c r="AK242" s="498"/>
      <c r="AL242" s="498"/>
      <c r="AM242" s="498"/>
      <c r="AN242" s="579">
        <v>0.0</v>
      </c>
      <c r="AO242" s="498"/>
      <c r="AP242" s="498"/>
      <c r="AQ242" s="498"/>
      <c r="AR242" s="579">
        <v>0.0</v>
      </c>
      <c r="AS242" s="498"/>
      <c r="AT242" s="498"/>
      <c r="AU242" s="498"/>
      <c r="AV242" s="579">
        <v>0.0</v>
      </c>
      <c r="AW242" s="498"/>
      <c r="AX242" s="498"/>
      <c r="AY242" s="498"/>
      <c r="AZ242" s="579">
        <v>0.0</v>
      </c>
      <c r="BA242" s="498"/>
      <c r="BB242" s="498"/>
      <c r="BC242" s="498"/>
      <c r="BD242" s="579">
        <v>0.0</v>
      </c>
      <c r="BE242" s="498"/>
      <c r="BF242" s="498"/>
      <c r="BG242" s="498"/>
      <c r="BH242" s="579">
        <v>0.0</v>
      </c>
      <c r="BI242" s="498"/>
      <c r="BJ242" s="498"/>
      <c r="BK242" s="498"/>
      <c r="BL242" s="519"/>
      <c r="BM242" s="519">
        <f>SUM(P242:BK242)</f>
        <v>0</v>
      </c>
    </row>
    <row r="243" ht="12.75" customHeight="1">
      <c r="A243" s="768" t="s">
        <v>417</v>
      </c>
      <c r="B243" s="521"/>
      <c r="C243" s="533"/>
      <c r="D243" s="533"/>
      <c r="E243" s="533"/>
      <c r="F243" s="533"/>
      <c r="G243" s="533"/>
      <c r="H243" s="533"/>
      <c r="I243" s="533"/>
      <c r="J243" s="533"/>
      <c r="K243" s="533"/>
      <c r="L243" s="533"/>
      <c r="M243" s="533"/>
      <c r="N243" s="533"/>
      <c r="O243" s="515"/>
      <c r="P243" s="535" t="s">
        <v>319</v>
      </c>
      <c r="Q243" s="535" t="s">
        <v>365</v>
      </c>
      <c r="R243" s="535" t="s">
        <v>366</v>
      </c>
      <c r="S243" s="535" t="s">
        <v>367</v>
      </c>
      <c r="T243" s="552" t="s">
        <v>319</v>
      </c>
      <c r="U243" s="552" t="s">
        <v>365</v>
      </c>
      <c r="V243" s="552" t="s">
        <v>366</v>
      </c>
      <c r="W243" s="552" t="s">
        <v>367</v>
      </c>
      <c r="X243" s="552" t="s">
        <v>319</v>
      </c>
      <c r="Y243" s="552" t="s">
        <v>365</v>
      </c>
      <c r="Z243" s="552" t="s">
        <v>366</v>
      </c>
      <c r="AA243" s="552" t="s">
        <v>367</v>
      </c>
      <c r="AB243" s="552" t="s">
        <v>319</v>
      </c>
      <c r="AC243" s="552" t="s">
        <v>365</v>
      </c>
      <c r="AD243" s="552" t="s">
        <v>366</v>
      </c>
      <c r="AE243" s="552" t="s">
        <v>367</v>
      </c>
      <c r="AF243" s="552" t="s">
        <v>319</v>
      </c>
      <c r="AG243" s="552" t="s">
        <v>365</v>
      </c>
      <c r="AH243" s="552" t="s">
        <v>366</v>
      </c>
      <c r="AI243" s="552" t="s">
        <v>367</v>
      </c>
      <c r="AJ243" s="552" t="s">
        <v>319</v>
      </c>
      <c r="AK243" s="552" t="s">
        <v>365</v>
      </c>
      <c r="AL243" s="552" t="s">
        <v>366</v>
      </c>
      <c r="AM243" s="552" t="s">
        <v>367</v>
      </c>
      <c r="AN243" s="552" t="s">
        <v>319</v>
      </c>
      <c r="AO243" s="552" t="s">
        <v>365</v>
      </c>
      <c r="AP243" s="552" t="s">
        <v>366</v>
      </c>
      <c r="AQ243" s="552" t="s">
        <v>367</v>
      </c>
      <c r="AR243" s="552" t="s">
        <v>319</v>
      </c>
      <c r="AS243" s="552" t="s">
        <v>365</v>
      </c>
      <c r="AT243" s="552" t="s">
        <v>366</v>
      </c>
      <c r="AU243" s="552" t="s">
        <v>367</v>
      </c>
      <c r="AV243" s="552" t="s">
        <v>319</v>
      </c>
      <c r="AW243" s="552" t="s">
        <v>365</v>
      </c>
      <c r="AX243" s="552" t="s">
        <v>366</v>
      </c>
      <c r="AY243" s="552" t="s">
        <v>367</v>
      </c>
      <c r="AZ243" s="552" t="s">
        <v>319</v>
      </c>
      <c r="BA243" s="552" t="s">
        <v>365</v>
      </c>
      <c r="BB243" s="552" t="s">
        <v>366</v>
      </c>
      <c r="BC243" s="552" t="s">
        <v>367</v>
      </c>
      <c r="BD243" s="552" t="s">
        <v>319</v>
      </c>
      <c r="BE243" s="552" t="s">
        <v>365</v>
      </c>
      <c r="BF243" s="552" t="s">
        <v>366</v>
      </c>
      <c r="BG243" s="552" t="s">
        <v>367</v>
      </c>
      <c r="BH243" s="552" t="s">
        <v>319</v>
      </c>
      <c r="BI243" s="552" t="s">
        <v>365</v>
      </c>
      <c r="BJ243" s="552" t="s">
        <v>366</v>
      </c>
      <c r="BK243" s="552" t="s">
        <v>367</v>
      </c>
      <c r="BL243" s="533"/>
      <c r="BM243" s="533"/>
    </row>
    <row r="244" ht="12.75" customHeight="1">
      <c r="A244" s="769" t="s">
        <v>423</v>
      </c>
      <c r="B244" s="511"/>
      <c r="C244" s="770"/>
      <c r="D244" s="770"/>
      <c r="E244" s="770"/>
      <c r="F244" s="770"/>
      <c r="G244" s="770"/>
      <c r="H244" s="770"/>
      <c r="I244" s="770"/>
      <c r="J244" s="770"/>
      <c r="K244" s="770"/>
      <c r="L244" s="770"/>
      <c r="M244" s="770"/>
      <c r="N244" s="770"/>
      <c r="O244" s="533"/>
      <c r="P244" s="553">
        <f t="shared" ref="P244:P245" si="576">SUM(C236:N236)</f>
        <v>960</v>
      </c>
      <c r="Q244" s="530">
        <f>P242/4</f>
        <v>0</v>
      </c>
      <c r="R244" s="530">
        <f>(P242/2)*(P244/P246)</f>
        <v>0</v>
      </c>
      <c r="S244" s="530">
        <f t="shared" ref="S244:S245" si="577">Q244+R244</f>
        <v>0</v>
      </c>
      <c r="T244" s="553">
        <f t="shared" ref="T244:T245" si="578">SUM(C236:N236)</f>
        <v>960</v>
      </c>
      <c r="U244" s="554">
        <f>T242/4</f>
        <v>0</v>
      </c>
      <c r="V244" s="554">
        <f>(T242/2)*(T244/T246)</f>
        <v>0</v>
      </c>
      <c r="W244" s="554">
        <f t="shared" ref="W244:W245" si="579">U244+V244</f>
        <v>0</v>
      </c>
      <c r="X244" s="771">
        <f t="shared" ref="X244:X245" si="580">SUM(C236:N236)</f>
        <v>960</v>
      </c>
      <c r="Y244" s="554">
        <f>X242/4</f>
        <v>0</v>
      </c>
      <c r="Z244" s="554">
        <f>(X242/2)*(X244/X246)</f>
        <v>0</v>
      </c>
      <c r="AA244" s="554">
        <f t="shared" ref="AA244:AA245" si="581">Y244+Z244</f>
        <v>0</v>
      </c>
      <c r="AB244" s="771">
        <f t="shared" ref="AB244:AB245" si="582">SUM(C236:N236)</f>
        <v>960</v>
      </c>
      <c r="AC244" s="554">
        <f>AB242/4</f>
        <v>0</v>
      </c>
      <c r="AD244" s="554">
        <f>(AB242/2)*(AB244/AB246)</f>
        <v>0</v>
      </c>
      <c r="AE244" s="554">
        <f t="shared" ref="AE244:AE245" si="583">AC244+AD244</f>
        <v>0</v>
      </c>
      <c r="AF244" s="772">
        <f t="shared" ref="AF244:AF245" si="584">SUM(C236:N236)</f>
        <v>960</v>
      </c>
      <c r="AG244" s="554">
        <f>AF242/4</f>
        <v>0</v>
      </c>
      <c r="AH244" s="554">
        <f>(AF242/2)*(AF244/AF246)</f>
        <v>0</v>
      </c>
      <c r="AI244" s="651">
        <f t="shared" ref="AI244:AI245" si="585">SUM(AG244:AH244)</f>
        <v>0</v>
      </c>
      <c r="AJ244" s="772">
        <f t="shared" ref="AJ244:AJ245" si="586">SUM(C236:N236)</f>
        <v>960</v>
      </c>
      <c r="AK244" s="554">
        <f>AJ242/4</f>
        <v>0</v>
      </c>
      <c r="AL244" s="554">
        <f>(AJ242/2)*(AJ244/AJ246)</f>
        <v>0</v>
      </c>
      <c r="AM244" s="651">
        <f t="shared" ref="AM244:AM245" si="587">SUM(AK244:AL244)</f>
        <v>0</v>
      </c>
      <c r="AN244" s="772">
        <f t="shared" ref="AN244:AN245" si="588">SUM(C236:N236)</f>
        <v>960</v>
      </c>
      <c r="AO244" s="554">
        <f>AN242/4</f>
        <v>0</v>
      </c>
      <c r="AP244" s="554">
        <f>(AN242/2)*(AN244/AN246)</f>
        <v>0</v>
      </c>
      <c r="AQ244" s="554">
        <f t="shared" ref="AQ244:AQ245" si="589">AO244+AP244</f>
        <v>0</v>
      </c>
      <c r="AR244" s="772">
        <f t="shared" ref="AR244:AR245" si="590">SUM(C236:N236)</f>
        <v>960</v>
      </c>
      <c r="AS244" s="554">
        <f>AR242/4</f>
        <v>0</v>
      </c>
      <c r="AT244" s="554">
        <f>(AR242/2)*(AR244/AR246)</f>
        <v>0</v>
      </c>
      <c r="AU244" s="554">
        <f t="shared" ref="AU244:AU245" si="591">AS244+AT244</f>
        <v>0</v>
      </c>
      <c r="AV244" s="772">
        <f t="shared" ref="AV244:AV245" si="592">SUM(C236:N236)</f>
        <v>960</v>
      </c>
      <c r="AW244" s="554">
        <f>AV242/4</f>
        <v>0</v>
      </c>
      <c r="AX244" s="554">
        <f>(AV242/2)*(AV244/AV246)</f>
        <v>0</v>
      </c>
      <c r="AY244" s="554">
        <f t="shared" ref="AY244:AY245" si="593">AW244+AX244</f>
        <v>0</v>
      </c>
      <c r="AZ244" s="772">
        <f t="shared" ref="AZ244:AZ245" si="594">SUM(C236:N236)</f>
        <v>960</v>
      </c>
      <c r="BA244" s="554">
        <f>AZ242/4</f>
        <v>0</v>
      </c>
      <c r="BB244" s="554">
        <f>(AZ242/2)*(AZ244/AZ246)</f>
        <v>0</v>
      </c>
      <c r="BC244" s="554">
        <f t="shared" ref="BC244:BC245" si="595">BA244+BB244</f>
        <v>0</v>
      </c>
      <c r="BD244" s="772">
        <f t="shared" ref="BD244:BD245" si="596">SUM(C236:N236)</f>
        <v>960</v>
      </c>
      <c r="BE244" s="554">
        <f>BD242/4</f>
        <v>0</v>
      </c>
      <c r="BF244" s="554">
        <f>(BD242/2)*(BD244/BD246)</f>
        <v>0</v>
      </c>
      <c r="BG244" s="554">
        <f t="shared" ref="BG244:BG245" si="597">BE244+BF244</f>
        <v>0</v>
      </c>
      <c r="BH244" s="772">
        <f t="shared" ref="BH244:BH245" si="598">SUM(C236:N236)</f>
        <v>960</v>
      </c>
      <c r="BI244" s="554">
        <f>BH242/4</f>
        <v>0</v>
      </c>
      <c r="BJ244" s="554">
        <f>(BH242/2)*(BH244/BH246)</f>
        <v>0</v>
      </c>
      <c r="BK244" s="554">
        <f t="shared" ref="BK244:BK245" si="599">BI244+BJ244</f>
        <v>0</v>
      </c>
      <c r="BL244" s="555"/>
      <c r="BM244" s="555"/>
    </row>
    <row r="245" ht="12.0" customHeight="1">
      <c r="A245" s="769" t="s">
        <v>424</v>
      </c>
      <c r="B245" s="511"/>
      <c r="C245" s="770"/>
      <c r="D245" s="770"/>
      <c r="E245" s="770"/>
      <c r="F245" s="770"/>
      <c r="G245" s="770"/>
      <c r="H245" s="770"/>
      <c r="I245" s="770"/>
      <c r="J245" s="770"/>
      <c r="K245" s="770"/>
      <c r="L245" s="770"/>
      <c r="M245" s="770"/>
      <c r="N245" s="770"/>
      <c r="O245" s="533"/>
      <c r="P245" s="553">
        <f t="shared" si="576"/>
        <v>750</v>
      </c>
      <c r="Q245" s="530">
        <f>P242/4</f>
        <v>0</v>
      </c>
      <c r="R245" s="530">
        <f>(P242/2)*(P245/P246)</f>
        <v>0</v>
      </c>
      <c r="S245" s="530">
        <f t="shared" si="577"/>
        <v>0</v>
      </c>
      <c r="T245" s="772">
        <f t="shared" si="578"/>
        <v>750</v>
      </c>
      <c r="U245" s="554">
        <f>T242/4</f>
        <v>0</v>
      </c>
      <c r="V245" s="554">
        <f>(T242/2)*(T245/T246)</f>
        <v>0</v>
      </c>
      <c r="W245" s="554">
        <f t="shared" si="579"/>
        <v>0</v>
      </c>
      <c r="X245" s="772">
        <f t="shared" si="580"/>
        <v>750</v>
      </c>
      <c r="Y245" s="554">
        <f>X242/4</f>
        <v>0</v>
      </c>
      <c r="Z245" s="554">
        <f>(X242/2)*(X245/X246)</f>
        <v>0</v>
      </c>
      <c r="AA245" s="554">
        <f t="shared" si="581"/>
        <v>0</v>
      </c>
      <c r="AB245" s="772">
        <f t="shared" si="582"/>
        <v>750</v>
      </c>
      <c r="AC245" s="554">
        <f>AB242/4</f>
        <v>0</v>
      </c>
      <c r="AD245" s="554">
        <f>(AB242/2)*(AB245/AB246)</f>
        <v>0</v>
      </c>
      <c r="AE245" s="554">
        <f t="shared" si="583"/>
        <v>0</v>
      </c>
      <c r="AF245" s="772">
        <f t="shared" si="584"/>
        <v>750</v>
      </c>
      <c r="AG245" s="554">
        <f>AF242/4</f>
        <v>0</v>
      </c>
      <c r="AH245" s="554">
        <f>(AF242/2)*(AF245/AF246)</f>
        <v>0</v>
      </c>
      <c r="AI245" s="651">
        <f t="shared" si="585"/>
        <v>0</v>
      </c>
      <c r="AJ245" s="772">
        <f t="shared" si="586"/>
        <v>750</v>
      </c>
      <c r="AK245" s="554">
        <f>AJ242/4</f>
        <v>0</v>
      </c>
      <c r="AL245" s="554">
        <f>(AJ242/2)*(AJ245/AJ246)</f>
        <v>0</v>
      </c>
      <c r="AM245" s="651">
        <f t="shared" si="587"/>
        <v>0</v>
      </c>
      <c r="AN245" s="772">
        <f t="shared" si="588"/>
        <v>750</v>
      </c>
      <c r="AO245" s="554">
        <f>AN242/4</f>
        <v>0</v>
      </c>
      <c r="AP245" s="554">
        <f>(AN242/2)*(AN245/AN246)</f>
        <v>0</v>
      </c>
      <c r="AQ245" s="554">
        <f t="shared" si="589"/>
        <v>0</v>
      </c>
      <c r="AR245" s="772">
        <f t="shared" si="590"/>
        <v>750</v>
      </c>
      <c r="AS245" s="554">
        <f>AR242/4</f>
        <v>0</v>
      </c>
      <c r="AT245" s="554">
        <f>(AR242/2)*(AR245/AR246)</f>
        <v>0</v>
      </c>
      <c r="AU245" s="554">
        <f t="shared" si="591"/>
        <v>0</v>
      </c>
      <c r="AV245" s="772">
        <f t="shared" si="592"/>
        <v>750</v>
      </c>
      <c r="AW245" s="554">
        <f>AV242/4</f>
        <v>0</v>
      </c>
      <c r="AX245" s="554">
        <f>(AV242/2)*(AV245/AV246)</f>
        <v>0</v>
      </c>
      <c r="AY245" s="554">
        <f t="shared" si="593"/>
        <v>0</v>
      </c>
      <c r="AZ245" s="772">
        <f t="shared" si="594"/>
        <v>750</v>
      </c>
      <c r="BA245" s="554">
        <f>AZ242/4</f>
        <v>0</v>
      </c>
      <c r="BB245" s="554">
        <f>(AZ242/2)*(AZ245/AZ246)</f>
        <v>0</v>
      </c>
      <c r="BC245" s="554">
        <f t="shared" si="595"/>
        <v>0</v>
      </c>
      <c r="BD245" s="772">
        <f t="shared" si="596"/>
        <v>750</v>
      </c>
      <c r="BE245" s="554">
        <f>BD242/4</f>
        <v>0</v>
      </c>
      <c r="BF245" s="554">
        <f>(BD242/2)*(BD245/BD246)</f>
        <v>0</v>
      </c>
      <c r="BG245" s="554">
        <f t="shared" si="597"/>
        <v>0</v>
      </c>
      <c r="BH245" s="772">
        <f t="shared" si="598"/>
        <v>750</v>
      </c>
      <c r="BI245" s="554">
        <f>BH242/4</f>
        <v>0</v>
      </c>
      <c r="BJ245" s="554">
        <f>(BH242/2)*(BH245/BH246)</f>
        <v>0</v>
      </c>
      <c r="BK245" s="554">
        <f t="shared" si="599"/>
        <v>0</v>
      </c>
      <c r="BL245" s="555"/>
      <c r="BM245" s="555"/>
    </row>
    <row r="246" ht="12.75" customHeight="1">
      <c r="A246" s="758"/>
      <c r="B246" s="521"/>
      <c r="C246" s="515"/>
      <c r="D246" s="515"/>
      <c r="E246" s="515"/>
      <c r="F246" s="515"/>
      <c r="G246" s="515"/>
      <c r="H246" s="515"/>
      <c r="I246" s="515"/>
      <c r="J246" s="515"/>
      <c r="K246" s="515"/>
      <c r="L246" s="515"/>
      <c r="M246" s="515"/>
      <c r="N246" s="515"/>
      <c r="O246" s="533"/>
      <c r="P246" s="535">
        <f>P238</f>
        <v>1710</v>
      </c>
      <c r="Q246" s="536">
        <f t="shared" ref="Q246:S246" si="600">Q244+Q245</f>
        <v>0</v>
      </c>
      <c r="R246" s="536">
        <f t="shared" si="600"/>
        <v>0</v>
      </c>
      <c r="S246" s="536">
        <f t="shared" si="600"/>
        <v>0</v>
      </c>
      <c r="T246" s="552">
        <f>T238</f>
        <v>1710</v>
      </c>
      <c r="U246" s="556">
        <f t="shared" ref="U246:BK246" si="601">U244+U245</f>
        <v>0</v>
      </c>
      <c r="V246" s="556">
        <f t="shared" si="601"/>
        <v>0</v>
      </c>
      <c r="W246" s="556">
        <f t="shared" si="601"/>
        <v>0</v>
      </c>
      <c r="X246" s="552">
        <f t="shared" si="601"/>
        <v>1710</v>
      </c>
      <c r="Y246" s="556">
        <f t="shared" si="601"/>
        <v>0</v>
      </c>
      <c r="Z246" s="556">
        <f t="shared" si="601"/>
        <v>0</v>
      </c>
      <c r="AA246" s="556">
        <f t="shared" si="601"/>
        <v>0</v>
      </c>
      <c r="AB246" s="552">
        <f t="shared" si="601"/>
        <v>1710</v>
      </c>
      <c r="AC246" s="556">
        <f t="shared" si="601"/>
        <v>0</v>
      </c>
      <c r="AD246" s="556">
        <f t="shared" si="601"/>
        <v>0</v>
      </c>
      <c r="AE246" s="556">
        <f t="shared" si="601"/>
        <v>0</v>
      </c>
      <c r="AF246" s="552">
        <f t="shared" si="601"/>
        <v>1710</v>
      </c>
      <c r="AG246" s="556">
        <f t="shared" si="601"/>
        <v>0</v>
      </c>
      <c r="AH246" s="556">
        <f t="shared" si="601"/>
        <v>0</v>
      </c>
      <c r="AI246" s="556">
        <f t="shared" si="601"/>
        <v>0</v>
      </c>
      <c r="AJ246" s="552">
        <f t="shared" si="601"/>
        <v>1710</v>
      </c>
      <c r="AK246" s="556">
        <f t="shared" si="601"/>
        <v>0</v>
      </c>
      <c r="AL246" s="556">
        <f t="shared" si="601"/>
        <v>0</v>
      </c>
      <c r="AM246" s="556">
        <f t="shared" si="601"/>
        <v>0</v>
      </c>
      <c r="AN246" s="552">
        <f t="shared" si="601"/>
        <v>1710</v>
      </c>
      <c r="AO246" s="556">
        <f t="shared" si="601"/>
        <v>0</v>
      </c>
      <c r="AP246" s="556">
        <f t="shared" si="601"/>
        <v>0</v>
      </c>
      <c r="AQ246" s="556">
        <f t="shared" si="601"/>
        <v>0</v>
      </c>
      <c r="AR246" s="552">
        <f t="shared" si="601"/>
        <v>1710</v>
      </c>
      <c r="AS246" s="556">
        <f t="shared" si="601"/>
        <v>0</v>
      </c>
      <c r="AT246" s="556">
        <f t="shared" si="601"/>
        <v>0</v>
      </c>
      <c r="AU246" s="556">
        <f t="shared" si="601"/>
        <v>0</v>
      </c>
      <c r="AV246" s="552">
        <f t="shared" si="601"/>
        <v>1710</v>
      </c>
      <c r="AW246" s="556">
        <f t="shared" si="601"/>
        <v>0</v>
      </c>
      <c r="AX246" s="556">
        <f t="shared" si="601"/>
        <v>0</v>
      </c>
      <c r="AY246" s="556">
        <f t="shared" si="601"/>
        <v>0</v>
      </c>
      <c r="AZ246" s="552">
        <f t="shared" si="601"/>
        <v>1710</v>
      </c>
      <c r="BA246" s="556">
        <f t="shared" si="601"/>
        <v>0</v>
      </c>
      <c r="BB246" s="556">
        <f t="shared" si="601"/>
        <v>0</v>
      </c>
      <c r="BC246" s="556">
        <f t="shared" si="601"/>
        <v>0</v>
      </c>
      <c r="BD246" s="552">
        <f t="shared" si="601"/>
        <v>1710</v>
      </c>
      <c r="BE246" s="556">
        <f t="shared" si="601"/>
        <v>0</v>
      </c>
      <c r="BF246" s="556">
        <f t="shared" si="601"/>
        <v>0</v>
      </c>
      <c r="BG246" s="556">
        <f t="shared" si="601"/>
        <v>0</v>
      </c>
      <c r="BH246" s="552">
        <f t="shared" si="601"/>
        <v>1710</v>
      </c>
      <c r="BI246" s="556">
        <f t="shared" si="601"/>
        <v>0</v>
      </c>
      <c r="BJ246" s="556">
        <f t="shared" si="601"/>
        <v>0</v>
      </c>
      <c r="BK246" s="556">
        <f t="shared" si="601"/>
        <v>0</v>
      </c>
      <c r="BL246" s="557"/>
      <c r="BM246" s="557"/>
    </row>
    <row r="247" ht="12.75" customHeight="1">
      <c r="A247" s="521"/>
      <c r="B247" s="773"/>
      <c r="C247" s="540"/>
      <c r="D247" s="540"/>
      <c r="E247" s="540"/>
      <c r="F247" s="540"/>
      <c r="G247" s="540"/>
      <c r="H247" s="540"/>
      <c r="I247" s="540"/>
      <c r="J247" s="540"/>
      <c r="K247" s="540"/>
      <c r="L247" s="540"/>
      <c r="M247" s="540"/>
      <c r="N247" s="540"/>
      <c r="O247" s="500"/>
      <c r="P247" s="500"/>
      <c r="Q247" s="537"/>
      <c r="R247" s="537"/>
      <c r="S247" s="537"/>
      <c r="T247" s="500"/>
      <c r="U247" s="537"/>
      <c r="V247" s="537"/>
      <c r="W247" s="537"/>
      <c r="X247" s="500"/>
      <c r="Y247" s="537"/>
      <c r="Z247" s="537"/>
      <c r="AA247" s="537"/>
      <c r="AB247" s="500"/>
      <c r="AC247" s="537"/>
      <c r="AD247" s="537"/>
      <c r="AE247" s="537"/>
      <c r="AF247" s="500"/>
      <c r="AG247" s="537"/>
      <c r="AH247" s="537"/>
      <c r="AI247" s="537"/>
      <c r="AJ247" s="500"/>
      <c r="AK247" s="537"/>
      <c r="AL247" s="537"/>
      <c r="AM247" s="537"/>
      <c r="AN247" s="500"/>
      <c r="AO247" s="537"/>
      <c r="AP247" s="537"/>
      <c r="AQ247" s="537"/>
      <c r="AR247" s="500"/>
      <c r="AS247" s="537"/>
      <c r="AT247" s="537"/>
      <c r="AU247" s="537"/>
      <c r="AV247" s="500"/>
      <c r="AW247" s="537"/>
      <c r="AX247" s="537"/>
      <c r="AY247" s="537"/>
      <c r="AZ247" s="500"/>
      <c r="BA247" s="537"/>
      <c r="BB247" s="537"/>
      <c r="BC247" s="537"/>
      <c r="BD247" s="500"/>
      <c r="BE247" s="537"/>
      <c r="BF247" s="537"/>
      <c r="BG247" s="537"/>
      <c r="BH247" s="500"/>
      <c r="BI247" s="537"/>
      <c r="BJ247" s="537"/>
      <c r="BK247" s="537"/>
      <c r="BL247" s="562" t="s">
        <v>429</v>
      </c>
      <c r="BM247" s="537">
        <f>SUM(BM210,BM218,BM226,BM234,BM242)</f>
        <v>292266</v>
      </c>
    </row>
    <row r="248" ht="12.75" customHeight="1">
      <c r="A248" s="774"/>
      <c r="B248" s="488"/>
      <c r="C248" s="489" t="s">
        <v>430</v>
      </c>
      <c r="D248" s="490"/>
      <c r="E248" s="490"/>
      <c r="F248" s="490"/>
      <c r="G248" s="490"/>
      <c r="H248" s="490"/>
      <c r="I248" s="490"/>
      <c r="J248" s="490"/>
      <c r="K248" s="490"/>
      <c r="L248" s="490"/>
      <c r="M248" s="490"/>
      <c r="N248" s="491"/>
      <c r="O248" s="575"/>
      <c r="P248" s="576" t="s">
        <v>340</v>
      </c>
      <c r="Q248" s="494"/>
      <c r="R248" s="494"/>
      <c r="S248" s="495"/>
      <c r="T248" s="576" t="s">
        <v>341</v>
      </c>
      <c r="U248" s="494"/>
      <c r="V248" s="494"/>
      <c r="W248" s="495"/>
      <c r="X248" s="576" t="s">
        <v>342</v>
      </c>
      <c r="Y248" s="494"/>
      <c r="Z248" s="494"/>
      <c r="AA248" s="495"/>
      <c r="AB248" s="576" t="s">
        <v>343</v>
      </c>
      <c r="AC248" s="494"/>
      <c r="AD248" s="494"/>
      <c r="AE248" s="495"/>
      <c r="AF248" s="576" t="s">
        <v>344</v>
      </c>
      <c r="AG248" s="494"/>
      <c r="AH248" s="494"/>
      <c r="AI248" s="495"/>
      <c r="AJ248" s="576" t="s">
        <v>345</v>
      </c>
      <c r="AK248" s="494"/>
      <c r="AL248" s="494"/>
      <c r="AM248" s="495"/>
      <c r="AN248" s="576" t="s">
        <v>346</v>
      </c>
      <c r="AO248" s="494"/>
      <c r="AP248" s="494"/>
      <c r="AQ248" s="495"/>
      <c r="AR248" s="576" t="s">
        <v>347</v>
      </c>
      <c r="AS248" s="494"/>
      <c r="AT248" s="494"/>
      <c r="AU248" s="495"/>
      <c r="AV248" s="576" t="s">
        <v>348</v>
      </c>
      <c r="AW248" s="494"/>
      <c r="AX248" s="494"/>
      <c r="AY248" s="495"/>
      <c r="AZ248" s="576" t="s">
        <v>349</v>
      </c>
      <c r="BA248" s="494"/>
      <c r="BB248" s="494"/>
      <c r="BC248" s="495"/>
      <c r="BD248" s="576" t="s">
        <v>350</v>
      </c>
      <c r="BE248" s="494"/>
      <c r="BF248" s="494"/>
      <c r="BG248" s="495"/>
      <c r="BH248" s="576" t="s">
        <v>351</v>
      </c>
      <c r="BI248" s="494"/>
      <c r="BJ248" s="494"/>
      <c r="BK248" s="495"/>
      <c r="BL248" s="500"/>
      <c r="BM248" s="500"/>
    </row>
    <row r="249" ht="12.75" customHeight="1">
      <c r="A249" s="775"/>
      <c r="B249" s="488"/>
      <c r="C249" s="502"/>
      <c r="N249" s="503"/>
      <c r="O249" s="559"/>
      <c r="P249" s="508" t="s">
        <v>352</v>
      </c>
      <c r="Q249" s="506"/>
      <c r="R249" s="506"/>
      <c r="S249" s="507"/>
      <c r="T249" s="508" t="s">
        <v>352</v>
      </c>
      <c r="U249" s="506"/>
      <c r="V249" s="506"/>
      <c r="W249" s="507"/>
      <c r="X249" s="508" t="s">
        <v>352</v>
      </c>
      <c r="Y249" s="506"/>
      <c r="Z249" s="506"/>
      <c r="AA249" s="507"/>
      <c r="AB249" s="508" t="s">
        <v>352</v>
      </c>
      <c r="AC249" s="506"/>
      <c r="AD249" s="506"/>
      <c r="AE249" s="507"/>
      <c r="AF249" s="508" t="s">
        <v>352</v>
      </c>
      <c r="AG249" s="506"/>
      <c r="AH249" s="506"/>
      <c r="AI249" s="507"/>
      <c r="AJ249" s="508" t="s">
        <v>352</v>
      </c>
      <c r="AK249" s="506"/>
      <c r="AL249" s="506"/>
      <c r="AM249" s="507"/>
      <c r="AN249" s="508" t="s">
        <v>352</v>
      </c>
      <c r="AO249" s="506"/>
      <c r="AP249" s="506"/>
      <c r="AQ249" s="507"/>
      <c r="AR249" s="508" t="s">
        <v>352</v>
      </c>
      <c r="AS249" s="506"/>
      <c r="AT249" s="506"/>
      <c r="AU249" s="507"/>
      <c r="AV249" s="508" t="s">
        <v>352</v>
      </c>
      <c r="AW249" s="506"/>
      <c r="AX249" s="506"/>
      <c r="AY249" s="507"/>
      <c r="AZ249" s="508" t="s">
        <v>352</v>
      </c>
      <c r="BA249" s="506"/>
      <c r="BB249" s="506"/>
      <c r="BC249" s="507"/>
      <c r="BD249" s="508" t="s">
        <v>352</v>
      </c>
      <c r="BE249" s="506"/>
      <c r="BF249" s="506"/>
      <c r="BG249" s="507"/>
      <c r="BH249" s="508" t="s">
        <v>352</v>
      </c>
      <c r="BI249" s="506"/>
      <c r="BJ249" s="506"/>
      <c r="BK249" s="507"/>
      <c r="BL249" s="509"/>
      <c r="BM249" s="509"/>
    </row>
    <row r="250" ht="12.75" customHeight="1">
      <c r="A250" s="776"/>
      <c r="B250" s="521"/>
      <c r="C250" s="512"/>
      <c r="D250" s="513"/>
      <c r="E250" s="513"/>
      <c r="F250" s="513"/>
      <c r="G250" s="513"/>
      <c r="H250" s="513"/>
      <c r="I250" s="513"/>
      <c r="J250" s="513"/>
      <c r="K250" s="513"/>
      <c r="L250" s="513"/>
      <c r="M250" s="513"/>
      <c r="N250" s="514"/>
      <c r="O250" s="515"/>
      <c r="P250" s="579">
        <v>10000.0</v>
      </c>
      <c r="Q250" s="498"/>
      <c r="R250" s="498"/>
      <c r="S250" s="498"/>
      <c r="T250" s="579">
        <v>10000.0</v>
      </c>
      <c r="U250" s="498"/>
      <c r="V250" s="498"/>
      <c r="W250" s="498"/>
      <c r="X250" s="579">
        <v>12850.0</v>
      </c>
      <c r="Y250" s="498"/>
      <c r="Z250" s="498"/>
      <c r="AA250" s="498"/>
      <c r="AB250" s="579">
        <v>15750.0</v>
      </c>
      <c r="AC250" s="498"/>
      <c r="AD250" s="498"/>
      <c r="AE250" s="498"/>
      <c r="AF250" s="579">
        <v>22500.0</v>
      </c>
      <c r="AG250" s="498"/>
      <c r="AH250" s="498"/>
      <c r="AI250" s="498"/>
      <c r="AJ250" s="579">
        <v>22500.0</v>
      </c>
      <c r="AK250" s="498"/>
      <c r="AL250" s="498"/>
      <c r="AM250" s="498"/>
      <c r="AN250" s="579">
        <v>12850.0</v>
      </c>
      <c r="AO250" s="498"/>
      <c r="AP250" s="498"/>
      <c r="AQ250" s="498"/>
      <c r="AR250" s="579">
        <v>12850.0</v>
      </c>
      <c r="AS250" s="498"/>
      <c r="AT250" s="498"/>
      <c r="AU250" s="498"/>
      <c r="AV250" s="579">
        <v>15750.0</v>
      </c>
      <c r="AW250" s="498"/>
      <c r="AX250" s="498"/>
      <c r="AY250" s="498"/>
      <c r="AZ250" s="579">
        <v>15750.0</v>
      </c>
      <c r="BA250" s="498"/>
      <c r="BB250" s="498"/>
      <c r="BC250" s="498"/>
      <c r="BD250" s="579">
        <v>22500.0</v>
      </c>
      <c r="BE250" s="498"/>
      <c r="BF250" s="498"/>
      <c r="BG250" s="498"/>
      <c r="BH250" s="579">
        <v>22500.0</v>
      </c>
      <c r="BI250" s="498"/>
      <c r="BJ250" s="498"/>
      <c r="BK250" s="498"/>
      <c r="BL250" s="519"/>
      <c r="BM250" s="519">
        <f>SUM(P250:BK250)</f>
        <v>195800</v>
      </c>
    </row>
    <row r="251" ht="12.75" customHeight="1">
      <c r="A251" s="520" t="s">
        <v>353</v>
      </c>
      <c r="B251" s="521"/>
      <c r="C251" s="552" t="s">
        <v>354</v>
      </c>
      <c r="D251" s="552" t="s">
        <v>355</v>
      </c>
      <c r="E251" s="552" t="s">
        <v>356</v>
      </c>
      <c r="F251" s="552" t="s">
        <v>357</v>
      </c>
      <c r="G251" s="552" t="s">
        <v>5</v>
      </c>
      <c r="H251" s="552" t="s">
        <v>358</v>
      </c>
      <c r="I251" s="552" t="s">
        <v>359</v>
      </c>
      <c r="J251" s="552" t="s">
        <v>360</v>
      </c>
      <c r="K251" s="552" t="s">
        <v>361</v>
      </c>
      <c r="L251" s="552" t="s">
        <v>362</v>
      </c>
      <c r="M251" s="552" t="s">
        <v>363</v>
      </c>
      <c r="N251" s="552" t="s">
        <v>364</v>
      </c>
      <c r="O251" s="515"/>
      <c r="P251" s="522" t="s">
        <v>319</v>
      </c>
      <c r="Q251" s="522" t="s">
        <v>365</v>
      </c>
      <c r="R251" s="522" t="s">
        <v>366</v>
      </c>
      <c r="S251" s="522" t="s">
        <v>367</v>
      </c>
      <c r="T251" s="522" t="s">
        <v>319</v>
      </c>
      <c r="U251" s="522" t="s">
        <v>365</v>
      </c>
      <c r="V251" s="522" t="s">
        <v>366</v>
      </c>
      <c r="W251" s="522" t="s">
        <v>367</v>
      </c>
      <c r="X251" s="522" t="s">
        <v>319</v>
      </c>
      <c r="Y251" s="522" t="s">
        <v>365</v>
      </c>
      <c r="Z251" s="522" t="s">
        <v>366</v>
      </c>
      <c r="AA251" s="522" t="s">
        <v>367</v>
      </c>
      <c r="AB251" s="522" t="s">
        <v>319</v>
      </c>
      <c r="AC251" s="522" t="s">
        <v>365</v>
      </c>
      <c r="AD251" s="522" t="s">
        <v>366</v>
      </c>
      <c r="AE251" s="522" t="s">
        <v>367</v>
      </c>
      <c r="AF251" s="522" t="s">
        <v>319</v>
      </c>
      <c r="AG251" s="522" t="s">
        <v>365</v>
      </c>
      <c r="AH251" s="522" t="s">
        <v>366</v>
      </c>
      <c r="AI251" s="522" t="s">
        <v>367</v>
      </c>
      <c r="AJ251" s="522" t="s">
        <v>319</v>
      </c>
      <c r="AK251" s="522" t="s">
        <v>365</v>
      </c>
      <c r="AL251" s="522" t="s">
        <v>366</v>
      </c>
      <c r="AM251" s="522" t="s">
        <v>367</v>
      </c>
      <c r="AN251" s="522" t="s">
        <v>319</v>
      </c>
      <c r="AO251" s="522" t="s">
        <v>365</v>
      </c>
      <c r="AP251" s="522" t="s">
        <v>366</v>
      </c>
      <c r="AQ251" s="522" t="s">
        <v>367</v>
      </c>
      <c r="AR251" s="522" t="s">
        <v>319</v>
      </c>
      <c r="AS251" s="522" t="s">
        <v>365</v>
      </c>
      <c r="AT251" s="522" t="s">
        <v>366</v>
      </c>
      <c r="AU251" s="522" t="s">
        <v>367</v>
      </c>
      <c r="AV251" s="522" t="s">
        <v>319</v>
      </c>
      <c r="AW251" s="522" t="s">
        <v>365</v>
      </c>
      <c r="AX251" s="522" t="s">
        <v>366</v>
      </c>
      <c r="AY251" s="522" t="s">
        <v>367</v>
      </c>
      <c r="AZ251" s="522" t="s">
        <v>319</v>
      </c>
      <c r="BA251" s="522" t="s">
        <v>365</v>
      </c>
      <c r="BB251" s="522" t="s">
        <v>366</v>
      </c>
      <c r="BC251" s="522" t="s">
        <v>367</v>
      </c>
      <c r="BD251" s="524" t="s">
        <v>319</v>
      </c>
      <c r="BE251" s="524" t="s">
        <v>365</v>
      </c>
      <c r="BF251" s="524" t="s">
        <v>366</v>
      </c>
      <c r="BG251" s="524" t="s">
        <v>367</v>
      </c>
      <c r="BH251" s="524" t="s">
        <v>319</v>
      </c>
      <c r="BI251" s="524" t="s">
        <v>365</v>
      </c>
      <c r="BJ251" s="524" t="s">
        <v>366</v>
      </c>
      <c r="BK251" s="524" t="s">
        <v>367</v>
      </c>
      <c r="BL251" s="500"/>
      <c r="BM251" s="500"/>
    </row>
    <row r="252" ht="12.75" customHeight="1">
      <c r="A252" s="777" t="s">
        <v>390</v>
      </c>
      <c r="B252" s="511"/>
      <c r="C252" s="526">
        <f>ST!B110</f>
        <v>75</v>
      </c>
      <c r="D252" s="526">
        <f>ST!C110</f>
        <v>75</v>
      </c>
      <c r="E252" s="526">
        <f>ST!D110</f>
        <v>80</v>
      </c>
      <c r="F252" s="526">
        <f>ST!E110</f>
        <v>80</v>
      </c>
      <c r="G252" s="526">
        <f>ST!F110</f>
        <v>85</v>
      </c>
      <c r="H252" s="526">
        <f>ST!G110</f>
        <v>90</v>
      </c>
      <c r="I252" s="526">
        <f>ST!H110</f>
        <v>120</v>
      </c>
      <c r="J252" s="526">
        <f>ST!I110</f>
        <v>135</v>
      </c>
      <c r="K252" s="526">
        <f>ST!J110</f>
        <v>130</v>
      </c>
      <c r="L252" s="526">
        <f>ST!K110</f>
        <v>130</v>
      </c>
      <c r="M252" s="526">
        <f>ST!L110</f>
        <v>115</v>
      </c>
      <c r="N252" s="526">
        <f>ST!M110</f>
        <v>130</v>
      </c>
      <c r="O252" s="533"/>
      <c r="P252" s="553">
        <f t="shared" ref="P252:P253" si="602">SUM(C252:N252)</f>
        <v>1245</v>
      </c>
      <c r="Q252" s="554">
        <f>P250/4</f>
        <v>2500</v>
      </c>
      <c r="R252" s="554">
        <f>(P250/2)*(P252/P254)</f>
        <v>1982.484076</v>
      </c>
      <c r="S252" s="554">
        <f t="shared" ref="S252:S253" si="603">Q252+R252</f>
        <v>4482.484076</v>
      </c>
      <c r="T252" s="553">
        <f t="shared" ref="T252:T253" si="604">SUM(C252:N252)</f>
        <v>1245</v>
      </c>
      <c r="U252" s="554">
        <f>T250/4</f>
        <v>2500</v>
      </c>
      <c r="V252" s="554">
        <f>(T250/2)*(T252/T254)</f>
        <v>1982.484076</v>
      </c>
      <c r="W252" s="554">
        <f t="shared" ref="W252:W253" si="605">U252+V252</f>
        <v>4482.484076</v>
      </c>
      <c r="X252" s="553">
        <f t="shared" ref="X252:X253" si="606">SUM(C252:N252)</f>
        <v>1245</v>
      </c>
      <c r="Y252" s="554">
        <f>X250/4</f>
        <v>3212.5</v>
      </c>
      <c r="Z252" s="554">
        <f>(X250/2)*(X252/X254)</f>
        <v>2547.492038</v>
      </c>
      <c r="AA252" s="554">
        <f t="shared" ref="AA252:AA253" si="607">Y252+Z252</f>
        <v>5759.992038</v>
      </c>
      <c r="AB252" s="553">
        <f t="shared" ref="AB252:AB253" si="608">SUM(C252:N252)</f>
        <v>1245</v>
      </c>
      <c r="AC252" s="554">
        <f>AB250/4</f>
        <v>3937.5</v>
      </c>
      <c r="AD252" s="554">
        <f>(AB250/2)*(AB252/AB254)</f>
        <v>3122.41242</v>
      </c>
      <c r="AE252" s="554">
        <f t="shared" ref="AE252:AE253" si="609">AC252+AD252</f>
        <v>7059.91242</v>
      </c>
      <c r="AF252" s="553">
        <f t="shared" ref="AF252:AF253" si="610">SUM(C252:N252)</f>
        <v>1245</v>
      </c>
      <c r="AG252" s="554">
        <f>AF250/4</f>
        <v>5625</v>
      </c>
      <c r="AH252" s="554">
        <f>(AF250/2)*(AF252/AF254)</f>
        <v>4460.589172</v>
      </c>
      <c r="AI252" s="554">
        <f t="shared" ref="AI252:AI253" si="611">AG252+AH252</f>
        <v>10085.58917</v>
      </c>
      <c r="AJ252" s="553">
        <f t="shared" ref="AJ252:AJ253" si="612">SUM(C252:N252)</f>
        <v>1245</v>
      </c>
      <c r="AK252" s="554">
        <f>AJ250/4</f>
        <v>5625</v>
      </c>
      <c r="AL252" s="554">
        <f>(AJ250/2)*(AJ252/AJ254)</f>
        <v>4460.589172</v>
      </c>
      <c r="AM252" s="651">
        <f t="shared" ref="AM252:AM253" si="613">AK252+AL252</f>
        <v>10085.58917</v>
      </c>
      <c r="AN252" s="553">
        <f t="shared" ref="AN252:AN253" si="614">SUM(C252:N252)</f>
        <v>1245</v>
      </c>
      <c r="AO252" s="554">
        <f>AN250/4</f>
        <v>3212.5</v>
      </c>
      <c r="AP252" s="554">
        <f>(AN250/2)*(AN252/AN254)</f>
        <v>2547.492038</v>
      </c>
      <c r="AQ252" s="554">
        <f t="shared" ref="AQ252:AQ253" si="615">AO252+AP252</f>
        <v>5759.992038</v>
      </c>
      <c r="AR252" s="553">
        <f t="shared" ref="AR252:AR253" si="616">SUM(C252:N252)</f>
        <v>1245</v>
      </c>
      <c r="AS252" s="554">
        <f>AR250/4</f>
        <v>3212.5</v>
      </c>
      <c r="AT252" s="554">
        <f>(AR250/2)*(AR252/AR254)</f>
        <v>2547.492038</v>
      </c>
      <c r="AU252" s="554">
        <f t="shared" ref="AU252:AU253" si="617">AS252+AT252</f>
        <v>5759.992038</v>
      </c>
      <c r="AV252" s="553">
        <f t="shared" ref="AV252:AV253" si="618">SUM(C252:N252)</f>
        <v>1245</v>
      </c>
      <c r="AW252" s="554">
        <f>AV250/4</f>
        <v>3937.5</v>
      </c>
      <c r="AX252" s="554">
        <f>(AV250/2)*(AV252/AV254)</f>
        <v>3122.41242</v>
      </c>
      <c r="AY252" s="554">
        <f t="shared" ref="AY252:AY253" si="619">AW252+AX252</f>
        <v>7059.91242</v>
      </c>
      <c r="AZ252" s="553">
        <f t="shared" ref="AZ252:AZ253" si="620">SUM(C252:N252)</f>
        <v>1245</v>
      </c>
      <c r="BA252" s="554">
        <f>AZ250/4</f>
        <v>3937.5</v>
      </c>
      <c r="BB252" s="554">
        <f>(AZ250/2)*(AZ252/AZ254)</f>
        <v>3122.41242</v>
      </c>
      <c r="BC252" s="554">
        <f t="shared" ref="BC252:BC253" si="621">BA252+BB252</f>
        <v>7059.91242</v>
      </c>
      <c r="BD252" s="529">
        <f t="shared" ref="BD252:BD253" si="622">SUM(C252:N252)</f>
        <v>1245</v>
      </c>
      <c r="BE252" s="530">
        <f>BD250/4</f>
        <v>5625</v>
      </c>
      <c r="BF252" s="530">
        <f>(BD250/2)*(BD252/BD254)</f>
        <v>4460.589172</v>
      </c>
      <c r="BG252" s="554">
        <f t="shared" ref="BG252:BG253" si="623">BE252+BF252</f>
        <v>10085.58917</v>
      </c>
      <c r="BH252" s="529">
        <f t="shared" ref="BH252:BH253" si="624">SUM(C252:N252)</f>
        <v>1245</v>
      </c>
      <c r="BI252" s="530">
        <f>BH250/4</f>
        <v>5625</v>
      </c>
      <c r="BJ252" s="530">
        <f>(BH250/2)*(BH252/BH254)</f>
        <v>4460.589172</v>
      </c>
      <c r="BK252" s="554">
        <f t="shared" ref="BK252:BK253" si="625">BI252+BJ252</f>
        <v>10085.58917</v>
      </c>
      <c r="BL252" s="555"/>
      <c r="BM252" s="555"/>
    </row>
    <row r="253" ht="12.75" customHeight="1">
      <c r="A253" s="777" t="s">
        <v>389</v>
      </c>
      <c r="B253" s="511"/>
      <c r="C253" s="526">
        <f>FR!B110</f>
        <v>140</v>
      </c>
      <c r="D253" s="526">
        <f>FR!C110</f>
        <v>140</v>
      </c>
      <c r="E253" s="526">
        <f>FR!D110</f>
        <v>150</v>
      </c>
      <c r="F253" s="526">
        <f>FR!E110</f>
        <v>145</v>
      </c>
      <c r="G253" s="526">
        <f>FR!F110</f>
        <v>160</v>
      </c>
      <c r="H253" s="526">
        <f>FR!G110</f>
        <v>140</v>
      </c>
      <c r="I253" s="526">
        <f>FR!H110</f>
        <v>175</v>
      </c>
      <c r="J253" s="526">
        <f>FR!I110</f>
        <v>175</v>
      </c>
      <c r="K253" s="526">
        <f>FR!J110</f>
        <v>160</v>
      </c>
      <c r="L253" s="526">
        <f>FR!K110</f>
        <v>170</v>
      </c>
      <c r="M253" s="526">
        <f>FR!L110</f>
        <v>160</v>
      </c>
      <c r="N253" s="526">
        <f>FR!M110</f>
        <v>180</v>
      </c>
      <c r="O253" s="533"/>
      <c r="P253" s="553">
        <f t="shared" si="602"/>
        <v>1895</v>
      </c>
      <c r="Q253" s="554">
        <f>P250/4</f>
        <v>2500</v>
      </c>
      <c r="R253" s="554">
        <f>(P250/2)*(P253/P254)</f>
        <v>3017.515924</v>
      </c>
      <c r="S253" s="554">
        <f t="shared" si="603"/>
        <v>5517.515924</v>
      </c>
      <c r="T253" s="553">
        <f t="shared" si="604"/>
        <v>1895</v>
      </c>
      <c r="U253" s="554">
        <f>T250/4</f>
        <v>2500</v>
      </c>
      <c r="V253" s="554">
        <f>(T250/2)*(T253/T254)</f>
        <v>3017.515924</v>
      </c>
      <c r="W253" s="554">
        <f t="shared" si="605"/>
        <v>5517.515924</v>
      </c>
      <c r="X253" s="553">
        <f t="shared" si="606"/>
        <v>1895</v>
      </c>
      <c r="Y253" s="554">
        <f>X250/4</f>
        <v>3212.5</v>
      </c>
      <c r="Z253" s="554">
        <f>(X250/2)*(X253/X254)</f>
        <v>3877.507962</v>
      </c>
      <c r="AA253" s="554">
        <f t="shared" si="607"/>
        <v>7090.007962</v>
      </c>
      <c r="AB253" s="553">
        <f t="shared" si="608"/>
        <v>1895</v>
      </c>
      <c r="AC253" s="554">
        <f>AB250/4</f>
        <v>3937.5</v>
      </c>
      <c r="AD253" s="554">
        <f>(AB250/2)*(AB253/AB254)</f>
        <v>4752.58758</v>
      </c>
      <c r="AE253" s="554">
        <f t="shared" si="609"/>
        <v>8690.08758</v>
      </c>
      <c r="AF253" s="553">
        <f t="shared" si="610"/>
        <v>1895</v>
      </c>
      <c r="AG253" s="554">
        <f>AF250/4</f>
        <v>5625</v>
      </c>
      <c r="AH253" s="554">
        <f>(AF250/2)*(AF253/AF254)</f>
        <v>6789.410828</v>
      </c>
      <c r="AI253" s="554">
        <f t="shared" si="611"/>
        <v>12414.41083</v>
      </c>
      <c r="AJ253" s="553">
        <f t="shared" si="612"/>
        <v>1895</v>
      </c>
      <c r="AK253" s="554">
        <f>AJ250/4</f>
        <v>5625</v>
      </c>
      <c r="AL253" s="554">
        <f>(AJ250/2)*(AJ253/AJ254)</f>
        <v>6789.410828</v>
      </c>
      <c r="AM253" s="651">
        <f t="shared" si="613"/>
        <v>12414.41083</v>
      </c>
      <c r="AN253" s="553">
        <f t="shared" si="614"/>
        <v>1895</v>
      </c>
      <c r="AO253" s="554">
        <f>AN250/4</f>
        <v>3212.5</v>
      </c>
      <c r="AP253" s="554">
        <f>(AN250/2)*(AN253/AN254)</f>
        <v>3877.507962</v>
      </c>
      <c r="AQ253" s="554">
        <f t="shared" si="615"/>
        <v>7090.007962</v>
      </c>
      <c r="AR253" s="553">
        <f t="shared" si="616"/>
        <v>1895</v>
      </c>
      <c r="AS253" s="554">
        <f>AR250/4</f>
        <v>3212.5</v>
      </c>
      <c r="AT253" s="554">
        <f>(AR250/2)*(AR253/AR254)</f>
        <v>3877.507962</v>
      </c>
      <c r="AU253" s="554">
        <f t="shared" si="617"/>
        <v>7090.007962</v>
      </c>
      <c r="AV253" s="553">
        <f t="shared" si="618"/>
        <v>1895</v>
      </c>
      <c r="AW253" s="554">
        <f>AV250/4</f>
        <v>3937.5</v>
      </c>
      <c r="AX253" s="554">
        <f>(AV250/2)*(AV253/AV254)</f>
        <v>4752.58758</v>
      </c>
      <c r="AY253" s="554">
        <f t="shared" si="619"/>
        <v>8690.08758</v>
      </c>
      <c r="AZ253" s="553">
        <f t="shared" si="620"/>
        <v>1895</v>
      </c>
      <c r="BA253" s="554">
        <f>AZ250/4</f>
        <v>3937.5</v>
      </c>
      <c r="BB253" s="554">
        <f>(AZ250/2)*(AZ253/AZ254)</f>
        <v>4752.58758</v>
      </c>
      <c r="BC253" s="554">
        <f t="shared" si="621"/>
        <v>8690.08758</v>
      </c>
      <c r="BD253" s="529">
        <f t="shared" si="622"/>
        <v>1895</v>
      </c>
      <c r="BE253" s="530">
        <f>BD250/4</f>
        <v>5625</v>
      </c>
      <c r="BF253" s="530">
        <f>(BD250/2)*(BD253/BD254)</f>
        <v>6789.410828</v>
      </c>
      <c r="BG253" s="554">
        <f t="shared" si="623"/>
        <v>12414.41083</v>
      </c>
      <c r="BH253" s="529">
        <f t="shared" si="624"/>
        <v>1895</v>
      </c>
      <c r="BI253" s="530">
        <f>BH250/4</f>
        <v>5625</v>
      </c>
      <c r="BJ253" s="530">
        <f>(BH250/2)*(BH253/BH254)</f>
        <v>6789.410828</v>
      </c>
      <c r="BK253" s="554">
        <f t="shared" si="625"/>
        <v>12414.41083</v>
      </c>
      <c r="BL253" s="555"/>
      <c r="BM253" s="555"/>
    </row>
    <row r="254" ht="12.75" customHeight="1">
      <c r="A254" s="778"/>
      <c r="B254" s="521"/>
      <c r="C254" s="515"/>
      <c r="D254" s="515"/>
      <c r="E254" s="515"/>
      <c r="F254" s="515"/>
      <c r="G254" s="515"/>
      <c r="H254" s="515"/>
      <c r="I254" s="515"/>
      <c r="J254" s="515"/>
      <c r="K254" s="515"/>
      <c r="L254" s="515"/>
      <c r="M254" s="515"/>
      <c r="N254" s="515"/>
      <c r="O254" s="533"/>
      <c r="P254" s="552">
        <f t="shared" ref="P254:BK254" si="626">P252+P253</f>
        <v>3140</v>
      </c>
      <c r="Q254" s="556">
        <f t="shared" si="626"/>
        <v>5000</v>
      </c>
      <c r="R254" s="556">
        <f t="shared" si="626"/>
        <v>5000</v>
      </c>
      <c r="S254" s="556">
        <f t="shared" si="626"/>
        <v>10000</v>
      </c>
      <c r="T254" s="552">
        <f t="shared" si="626"/>
        <v>3140</v>
      </c>
      <c r="U254" s="556">
        <f t="shared" si="626"/>
        <v>5000</v>
      </c>
      <c r="V254" s="556">
        <f t="shared" si="626"/>
        <v>5000</v>
      </c>
      <c r="W254" s="556">
        <f t="shared" si="626"/>
        <v>10000</v>
      </c>
      <c r="X254" s="552">
        <f t="shared" si="626"/>
        <v>3140</v>
      </c>
      <c r="Y254" s="556">
        <f t="shared" si="626"/>
        <v>6425</v>
      </c>
      <c r="Z254" s="556">
        <f t="shared" si="626"/>
        <v>6425</v>
      </c>
      <c r="AA254" s="556">
        <f t="shared" si="626"/>
        <v>12850</v>
      </c>
      <c r="AB254" s="552">
        <f t="shared" si="626"/>
        <v>3140</v>
      </c>
      <c r="AC254" s="556">
        <f t="shared" si="626"/>
        <v>7875</v>
      </c>
      <c r="AD254" s="556">
        <f t="shared" si="626"/>
        <v>7875</v>
      </c>
      <c r="AE254" s="556">
        <f t="shared" si="626"/>
        <v>15750</v>
      </c>
      <c r="AF254" s="552">
        <f t="shared" si="626"/>
        <v>3140</v>
      </c>
      <c r="AG254" s="556">
        <f t="shared" si="626"/>
        <v>11250</v>
      </c>
      <c r="AH254" s="556">
        <f t="shared" si="626"/>
        <v>11250</v>
      </c>
      <c r="AI254" s="556">
        <f t="shared" si="626"/>
        <v>22500</v>
      </c>
      <c r="AJ254" s="552">
        <f t="shared" si="626"/>
        <v>3140</v>
      </c>
      <c r="AK254" s="556">
        <f t="shared" si="626"/>
        <v>11250</v>
      </c>
      <c r="AL254" s="556">
        <f t="shared" si="626"/>
        <v>11250</v>
      </c>
      <c r="AM254" s="556">
        <f t="shared" si="626"/>
        <v>22500</v>
      </c>
      <c r="AN254" s="552">
        <f t="shared" si="626"/>
        <v>3140</v>
      </c>
      <c r="AO254" s="556">
        <f t="shared" si="626"/>
        <v>6425</v>
      </c>
      <c r="AP254" s="556">
        <f t="shared" si="626"/>
        <v>6425</v>
      </c>
      <c r="AQ254" s="556">
        <f t="shared" si="626"/>
        <v>12850</v>
      </c>
      <c r="AR254" s="552">
        <f t="shared" si="626"/>
        <v>3140</v>
      </c>
      <c r="AS254" s="556">
        <f t="shared" si="626"/>
        <v>6425</v>
      </c>
      <c r="AT254" s="556">
        <f t="shared" si="626"/>
        <v>6425</v>
      </c>
      <c r="AU254" s="556">
        <f t="shared" si="626"/>
        <v>12850</v>
      </c>
      <c r="AV254" s="552">
        <f t="shared" si="626"/>
        <v>3140</v>
      </c>
      <c r="AW254" s="556">
        <f t="shared" si="626"/>
        <v>7875</v>
      </c>
      <c r="AX254" s="556">
        <f t="shared" si="626"/>
        <v>7875</v>
      </c>
      <c r="AY254" s="556">
        <f t="shared" si="626"/>
        <v>15750</v>
      </c>
      <c r="AZ254" s="552">
        <f t="shared" si="626"/>
        <v>3140</v>
      </c>
      <c r="BA254" s="556">
        <f t="shared" si="626"/>
        <v>7875</v>
      </c>
      <c r="BB254" s="556">
        <f t="shared" si="626"/>
        <v>7875</v>
      </c>
      <c r="BC254" s="556">
        <f t="shared" si="626"/>
        <v>15750</v>
      </c>
      <c r="BD254" s="535">
        <f t="shared" si="626"/>
        <v>3140</v>
      </c>
      <c r="BE254" s="536">
        <f t="shared" si="626"/>
        <v>11250</v>
      </c>
      <c r="BF254" s="536">
        <f t="shared" si="626"/>
        <v>11250</v>
      </c>
      <c r="BG254" s="536">
        <f t="shared" si="626"/>
        <v>22500</v>
      </c>
      <c r="BH254" s="535">
        <f t="shared" si="626"/>
        <v>3140</v>
      </c>
      <c r="BI254" s="536">
        <f t="shared" si="626"/>
        <v>11250</v>
      </c>
      <c r="BJ254" s="536">
        <f t="shared" si="626"/>
        <v>11250</v>
      </c>
      <c r="BK254" s="536">
        <f t="shared" si="626"/>
        <v>22500</v>
      </c>
      <c r="BL254" s="537"/>
      <c r="BM254" s="537"/>
    </row>
    <row r="255" ht="12.75" customHeight="1">
      <c r="A255" s="779"/>
      <c r="B255" s="521"/>
      <c r="C255" s="515"/>
      <c r="D255" s="515"/>
      <c r="E255" s="515"/>
      <c r="F255" s="515"/>
      <c r="G255" s="515"/>
      <c r="H255" s="515"/>
      <c r="I255" s="515"/>
      <c r="J255" s="515"/>
      <c r="K255" s="515"/>
      <c r="L255" s="515"/>
      <c r="M255" s="515"/>
      <c r="N255" s="515"/>
      <c r="O255" s="533"/>
      <c r="P255" s="533"/>
      <c r="Q255" s="557"/>
      <c r="R255" s="557"/>
      <c r="S255" s="557"/>
      <c r="T255" s="533"/>
      <c r="U255" s="557"/>
      <c r="V255" s="557"/>
      <c r="W255" s="557"/>
      <c r="X255" s="533"/>
      <c r="Y255" s="557"/>
      <c r="Z255" s="557"/>
      <c r="AA255" s="557"/>
      <c r="AB255" s="533"/>
      <c r="AC255" s="557"/>
      <c r="AD255" s="557"/>
      <c r="AE255" s="557"/>
      <c r="AF255" s="533"/>
      <c r="AG255" s="557"/>
      <c r="AH255" s="557"/>
      <c r="AI255" s="557"/>
      <c r="AJ255" s="533"/>
      <c r="AK255" s="557"/>
      <c r="AL255" s="557"/>
      <c r="AM255" s="557"/>
      <c r="AN255" s="533"/>
      <c r="AO255" s="557"/>
      <c r="AP255" s="557"/>
      <c r="AQ255" s="557"/>
      <c r="AR255" s="533"/>
      <c r="AS255" s="557"/>
      <c r="AT255" s="557"/>
      <c r="AU255" s="557"/>
      <c r="AV255" s="533"/>
      <c r="AW255" s="557"/>
      <c r="AX255" s="557"/>
      <c r="AY255" s="557"/>
      <c r="AZ255" s="780"/>
      <c r="BD255" s="541"/>
      <c r="BH255" s="780"/>
      <c r="BL255" s="780"/>
      <c r="BM255" s="780"/>
    </row>
    <row r="256" ht="12.75" customHeight="1">
      <c r="A256" s="779"/>
      <c r="B256" s="521"/>
      <c r="C256" s="515"/>
      <c r="D256" s="515"/>
      <c r="E256" s="515"/>
      <c r="F256" s="515"/>
      <c r="G256" s="515"/>
      <c r="H256" s="515"/>
      <c r="I256" s="515"/>
      <c r="J256" s="515"/>
      <c r="K256" s="515"/>
      <c r="L256" s="515"/>
      <c r="M256" s="515"/>
      <c r="N256" s="515"/>
      <c r="O256" s="575"/>
      <c r="P256" s="576" t="s">
        <v>340</v>
      </c>
      <c r="Q256" s="494"/>
      <c r="R256" s="494"/>
      <c r="S256" s="495"/>
      <c r="T256" s="576" t="s">
        <v>341</v>
      </c>
      <c r="U256" s="494"/>
      <c r="V256" s="494"/>
      <c r="W256" s="495"/>
      <c r="X256" s="576" t="s">
        <v>342</v>
      </c>
      <c r="Y256" s="494"/>
      <c r="Z256" s="494"/>
      <c r="AA256" s="495"/>
      <c r="AB256" s="576" t="s">
        <v>343</v>
      </c>
      <c r="AC256" s="494"/>
      <c r="AD256" s="494"/>
      <c r="AE256" s="495"/>
      <c r="AF256" s="576" t="s">
        <v>344</v>
      </c>
      <c r="AG256" s="494"/>
      <c r="AH256" s="494"/>
      <c r="AI256" s="495"/>
      <c r="AJ256" s="576" t="s">
        <v>345</v>
      </c>
      <c r="AK256" s="494"/>
      <c r="AL256" s="494"/>
      <c r="AM256" s="495"/>
      <c r="AN256" s="576" t="s">
        <v>346</v>
      </c>
      <c r="AO256" s="494"/>
      <c r="AP256" s="494"/>
      <c r="AQ256" s="495"/>
      <c r="AR256" s="576" t="s">
        <v>347</v>
      </c>
      <c r="AS256" s="494"/>
      <c r="AT256" s="494"/>
      <c r="AU256" s="495"/>
      <c r="AV256" s="576" t="s">
        <v>348</v>
      </c>
      <c r="AW256" s="494"/>
      <c r="AX256" s="494"/>
      <c r="AY256" s="495"/>
      <c r="AZ256" s="576" t="s">
        <v>349</v>
      </c>
      <c r="BA256" s="494"/>
      <c r="BB256" s="494"/>
      <c r="BC256" s="495"/>
      <c r="BD256" s="576" t="s">
        <v>350</v>
      </c>
      <c r="BE256" s="494"/>
      <c r="BF256" s="494"/>
      <c r="BG256" s="495"/>
      <c r="BH256" s="576" t="s">
        <v>351</v>
      </c>
      <c r="BI256" s="494"/>
      <c r="BJ256" s="494"/>
      <c r="BK256" s="495"/>
      <c r="BL256" s="500"/>
      <c r="BM256" s="500"/>
    </row>
    <row r="257" ht="12.75" customHeight="1">
      <c r="A257" s="779"/>
      <c r="B257" s="521"/>
      <c r="C257" s="515"/>
      <c r="D257" s="515"/>
      <c r="E257" s="515"/>
      <c r="F257" s="515"/>
      <c r="G257" s="515"/>
      <c r="H257" s="515"/>
      <c r="I257" s="515"/>
      <c r="J257" s="515"/>
      <c r="K257" s="515"/>
      <c r="L257" s="515"/>
      <c r="M257" s="515"/>
      <c r="N257" s="515"/>
      <c r="O257" s="559"/>
      <c r="P257" s="547" t="s">
        <v>370</v>
      </c>
      <c r="Q257" s="506"/>
      <c r="R257" s="506"/>
      <c r="S257" s="507"/>
      <c r="T257" s="547" t="s">
        <v>370</v>
      </c>
      <c r="U257" s="506"/>
      <c r="V257" s="506"/>
      <c r="W257" s="507"/>
      <c r="X257" s="547" t="s">
        <v>370</v>
      </c>
      <c r="Y257" s="506"/>
      <c r="Z257" s="506"/>
      <c r="AA257" s="507"/>
      <c r="AB257" s="547" t="s">
        <v>370</v>
      </c>
      <c r="AC257" s="506"/>
      <c r="AD257" s="506"/>
      <c r="AE257" s="507"/>
      <c r="AF257" s="547" t="s">
        <v>370</v>
      </c>
      <c r="AG257" s="506"/>
      <c r="AH257" s="506"/>
      <c r="AI257" s="507"/>
      <c r="AJ257" s="547" t="s">
        <v>370</v>
      </c>
      <c r="AK257" s="506"/>
      <c r="AL257" s="506"/>
      <c r="AM257" s="507"/>
      <c r="AN257" s="547" t="s">
        <v>370</v>
      </c>
      <c r="AO257" s="506"/>
      <c r="AP257" s="506"/>
      <c r="AQ257" s="507"/>
      <c r="AR257" s="547" t="s">
        <v>370</v>
      </c>
      <c r="AS257" s="506"/>
      <c r="AT257" s="506"/>
      <c r="AU257" s="507"/>
      <c r="AV257" s="547" t="s">
        <v>370</v>
      </c>
      <c r="AW257" s="506"/>
      <c r="AX257" s="506"/>
      <c r="AY257" s="507"/>
      <c r="AZ257" s="547" t="s">
        <v>370</v>
      </c>
      <c r="BA257" s="506"/>
      <c r="BB257" s="506"/>
      <c r="BC257" s="507"/>
      <c r="BD257" s="547" t="s">
        <v>370</v>
      </c>
      <c r="BE257" s="506"/>
      <c r="BF257" s="506"/>
      <c r="BG257" s="507"/>
      <c r="BH257" s="547" t="s">
        <v>370</v>
      </c>
      <c r="BI257" s="506"/>
      <c r="BJ257" s="506"/>
      <c r="BK257" s="507"/>
      <c r="BL257" s="562"/>
      <c r="BM257" s="562"/>
    </row>
    <row r="258" ht="12.75" customHeight="1">
      <c r="A258" s="779"/>
      <c r="B258" s="521"/>
      <c r="C258" s="515"/>
      <c r="D258" s="515"/>
      <c r="E258" s="515"/>
      <c r="F258" s="515"/>
      <c r="G258" s="515"/>
      <c r="H258" s="515"/>
      <c r="I258" s="515"/>
      <c r="J258" s="515"/>
      <c r="K258" s="515"/>
      <c r="L258" s="515"/>
      <c r="M258" s="515"/>
      <c r="N258" s="515"/>
      <c r="O258" s="515"/>
      <c r="P258" s="579">
        <v>0.0</v>
      </c>
      <c r="Q258" s="498"/>
      <c r="R258" s="498"/>
      <c r="S258" s="498"/>
      <c r="T258" s="579">
        <v>0.0</v>
      </c>
      <c r="U258" s="498"/>
      <c r="V258" s="498"/>
      <c r="W258" s="498"/>
      <c r="X258" s="579">
        <v>0.0</v>
      </c>
      <c r="Y258" s="498"/>
      <c r="Z258" s="498"/>
      <c r="AA258" s="498"/>
      <c r="AB258" s="579">
        <v>0.0</v>
      </c>
      <c r="AC258" s="498"/>
      <c r="AD258" s="498"/>
      <c r="AE258" s="498"/>
      <c r="AF258" s="579">
        <v>1000.0</v>
      </c>
      <c r="AG258" s="498"/>
      <c r="AH258" s="498"/>
      <c r="AI258" s="498"/>
      <c r="AJ258" s="579">
        <v>1000.0</v>
      </c>
      <c r="AK258" s="498"/>
      <c r="AL258" s="498"/>
      <c r="AM258" s="498"/>
      <c r="AN258" s="579">
        <v>0.0</v>
      </c>
      <c r="AO258" s="498"/>
      <c r="AP258" s="498"/>
      <c r="AQ258" s="498"/>
      <c r="AR258" s="579">
        <v>0.0</v>
      </c>
      <c r="AS258" s="498"/>
      <c r="AT258" s="498"/>
      <c r="AU258" s="498"/>
      <c r="AV258" s="579">
        <v>0.0</v>
      </c>
      <c r="AW258" s="498"/>
      <c r="AX258" s="498"/>
      <c r="AY258" s="498"/>
      <c r="AZ258" s="579">
        <v>0.0</v>
      </c>
      <c r="BA258" s="498"/>
      <c r="BB258" s="498"/>
      <c r="BC258" s="498"/>
      <c r="BD258" s="579">
        <v>1000.0</v>
      </c>
      <c r="BE258" s="498"/>
      <c r="BF258" s="498"/>
      <c r="BG258" s="498"/>
      <c r="BH258" s="579">
        <v>1000.0</v>
      </c>
      <c r="BI258" s="498"/>
      <c r="BJ258" s="498"/>
      <c r="BK258" s="498"/>
      <c r="BL258" s="519"/>
      <c r="BM258" s="519">
        <f>SUM(P258:BK258)</f>
        <v>4000</v>
      </c>
    </row>
    <row r="259" ht="12.75" customHeight="1">
      <c r="A259" s="781" t="s">
        <v>431</v>
      </c>
      <c r="B259" s="521"/>
      <c r="C259" s="515"/>
      <c r="D259" s="515"/>
      <c r="E259" s="515"/>
      <c r="F259" s="515"/>
      <c r="G259" s="515"/>
      <c r="H259" s="515"/>
      <c r="I259" s="515"/>
      <c r="J259" s="515"/>
      <c r="K259" s="515"/>
      <c r="L259" s="515"/>
      <c r="M259" s="515"/>
      <c r="N259" s="515"/>
      <c r="O259" s="515"/>
      <c r="P259" s="522" t="s">
        <v>319</v>
      </c>
      <c r="Q259" s="522" t="s">
        <v>365</v>
      </c>
      <c r="R259" s="522" t="s">
        <v>366</v>
      </c>
      <c r="S259" s="522" t="s">
        <v>367</v>
      </c>
      <c r="T259" s="522" t="s">
        <v>319</v>
      </c>
      <c r="U259" s="522" t="s">
        <v>365</v>
      </c>
      <c r="V259" s="522" t="s">
        <v>366</v>
      </c>
      <c r="W259" s="522" t="s">
        <v>367</v>
      </c>
      <c r="X259" s="522" t="s">
        <v>319</v>
      </c>
      <c r="Y259" s="522" t="s">
        <v>365</v>
      </c>
      <c r="Z259" s="522" t="s">
        <v>366</v>
      </c>
      <c r="AA259" s="522" t="s">
        <v>367</v>
      </c>
      <c r="AB259" s="522" t="s">
        <v>319</v>
      </c>
      <c r="AC259" s="522" t="s">
        <v>365</v>
      </c>
      <c r="AD259" s="522" t="s">
        <v>366</v>
      </c>
      <c r="AE259" s="522" t="s">
        <v>367</v>
      </c>
      <c r="AF259" s="522" t="s">
        <v>319</v>
      </c>
      <c r="AG259" s="522" t="s">
        <v>365</v>
      </c>
      <c r="AH259" s="522" t="s">
        <v>366</v>
      </c>
      <c r="AI259" s="522" t="s">
        <v>367</v>
      </c>
      <c r="AJ259" s="522" t="s">
        <v>319</v>
      </c>
      <c r="AK259" s="522" t="s">
        <v>365</v>
      </c>
      <c r="AL259" s="522" t="s">
        <v>366</v>
      </c>
      <c r="AM259" s="522" t="s">
        <v>367</v>
      </c>
      <c r="AN259" s="522" t="s">
        <v>319</v>
      </c>
      <c r="AO259" s="522" t="s">
        <v>365</v>
      </c>
      <c r="AP259" s="522" t="s">
        <v>366</v>
      </c>
      <c r="AQ259" s="522" t="s">
        <v>367</v>
      </c>
      <c r="AR259" s="522" t="s">
        <v>319</v>
      </c>
      <c r="AS259" s="522" t="s">
        <v>365</v>
      </c>
      <c r="AT259" s="522" t="s">
        <v>366</v>
      </c>
      <c r="AU259" s="522" t="s">
        <v>367</v>
      </c>
      <c r="AV259" s="522" t="s">
        <v>319</v>
      </c>
      <c r="AW259" s="522" t="s">
        <v>365</v>
      </c>
      <c r="AX259" s="522" t="s">
        <v>366</v>
      </c>
      <c r="AY259" s="522" t="s">
        <v>367</v>
      </c>
      <c r="AZ259" s="522" t="s">
        <v>319</v>
      </c>
      <c r="BA259" s="522" t="s">
        <v>365</v>
      </c>
      <c r="BB259" s="522" t="s">
        <v>366</v>
      </c>
      <c r="BC259" s="522" t="s">
        <v>367</v>
      </c>
      <c r="BD259" s="524" t="s">
        <v>319</v>
      </c>
      <c r="BE259" s="524" t="s">
        <v>365</v>
      </c>
      <c r="BF259" s="524" t="s">
        <v>366</v>
      </c>
      <c r="BG259" s="524" t="s">
        <v>367</v>
      </c>
      <c r="BH259" s="524" t="s">
        <v>319</v>
      </c>
      <c r="BI259" s="524" t="s">
        <v>365</v>
      </c>
      <c r="BJ259" s="524" t="s">
        <v>366</v>
      </c>
      <c r="BK259" s="524" t="s">
        <v>367</v>
      </c>
      <c r="BL259" s="500"/>
      <c r="BM259" s="500"/>
    </row>
    <row r="260" ht="12.75" customHeight="1">
      <c r="A260" s="777" t="s">
        <v>390</v>
      </c>
      <c r="B260" s="521"/>
      <c r="C260" s="515"/>
      <c r="D260" s="515"/>
      <c r="E260" s="515"/>
      <c r="F260" s="515"/>
      <c r="G260" s="515"/>
      <c r="H260" s="515"/>
      <c r="I260" s="515"/>
      <c r="J260" s="515"/>
      <c r="K260" s="515"/>
      <c r="L260" s="515"/>
      <c r="M260" s="515"/>
      <c r="N260" s="515"/>
      <c r="O260" s="533"/>
      <c r="P260" s="772">
        <f t="shared" ref="P260:P261" si="627">SUM(C252:N252)</f>
        <v>1245</v>
      </c>
      <c r="Q260" s="554">
        <f>P258/4</f>
        <v>0</v>
      </c>
      <c r="R260" s="554">
        <f>(P258/2)*(P260/P262)</f>
        <v>0</v>
      </c>
      <c r="S260" s="554">
        <f t="shared" ref="S260:S261" si="628">Q260+R260</f>
        <v>0</v>
      </c>
      <c r="T260" s="772">
        <f t="shared" ref="T260:T261" si="629">SUM(C252:N252)</f>
        <v>1245</v>
      </c>
      <c r="U260" s="554">
        <f>T258/4</f>
        <v>0</v>
      </c>
      <c r="V260" s="554">
        <f>(T258/2)*(T260/T262)</f>
        <v>0</v>
      </c>
      <c r="W260" s="554">
        <f t="shared" ref="W260:W261" si="630">U260+V260</f>
        <v>0</v>
      </c>
      <c r="X260" s="553">
        <f t="shared" ref="X260:X261" si="631">SUM(C252:N252)</f>
        <v>1245</v>
      </c>
      <c r="Y260" s="554">
        <f>X258/4</f>
        <v>0</v>
      </c>
      <c r="Z260" s="554">
        <f>(X258/2)*(X260/X262)</f>
        <v>0</v>
      </c>
      <c r="AA260" s="554">
        <f t="shared" ref="AA260:AA261" si="632">Y260+Z260</f>
        <v>0</v>
      </c>
      <c r="AB260" s="772">
        <f t="shared" ref="AB260:AB261" si="633">SUM(C252:N252)</f>
        <v>1245</v>
      </c>
      <c r="AC260" s="554">
        <f>AB258/4</f>
        <v>0</v>
      </c>
      <c r="AD260" s="554">
        <f>(AB258/2)*(AB260/AB262)</f>
        <v>0</v>
      </c>
      <c r="AE260" s="554">
        <f t="shared" ref="AE260:AE261" si="634">AC260+AD260</f>
        <v>0</v>
      </c>
      <c r="AF260" s="772">
        <f t="shared" ref="AF260:AF261" si="635">SUM(C252:N252)</f>
        <v>1245</v>
      </c>
      <c r="AG260" s="554">
        <f>AF258/4</f>
        <v>250</v>
      </c>
      <c r="AH260" s="554">
        <f>(AF258/2)*(AF260/AF262)</f>
        <v>198.2484076</v>
      </c>
      <c r="AI260" s="554">
        <f t="shared" ref="AI260:AI261" si="636">AG260+AH260</f>
        <v>448.2484076</v>
      </c>
      <c r="AJ260" s="772">
        <f t="shared" ref="AJ260:AJ261" si="637">SUM(C252:N252)</f>
        <v>1245</v>
      </c>
      <c r="AK260" s="554">
        <f>AJ258/4</f>
        <v>250</v>
      </c>
      <c r="AL260" s="554">
        <f>(AJ258/2)*(AJ260/AJ262)</f>
        <v>198.2484076</v>
      </c>
      <c r="AM260" s="651">
        <f t="shared" ref="AM260:AM261" si="638">AK260+AL260</f>
        <v>448.2484076</v>
      </c>
      <c r="AN260" s="772">
        <f t="shared" ref="AN260:AN261" si="639">SUM(C252:N252)</f>
        <v>1245</v>
      </c>
      <c r="AO260" s="554">
        <f>AN258/4</f>
        <v>0</v>
      </c>
      <c r="AP260" s="554">
        <f>(AN258/2)*(AN260/AN262)</f>
        <v>0</v>
      </c>
      <c r="AQ260" s="554">
        <f t="shared" ref="AQ260:AQ261" si="640">AO260+AP260</f>
        <v>0</v>
      </c>
      <c r="AR260" s="772">
        <f t="shared" ref="AR260:AR261" si="641">SUM(C252:N252)</f>
        <v>1245</v>
      </c>
      <c r="AS260" s="554">
        <f>AR258/4</f>
        <v>0</v>
      </c>
      <c r="AT260" s="554">
        <f>(AR258/2)*(AR260/AR262)</f>
        <v>0</v>
      </c>
      <c r="AU260" s="554">
        <f t="shared" ref="AU260:AU261" si="642">AS260+AT260</f>
        <v>0</v>
      </c>
      <c r="AV260" s="772">
        <f t="shared" ref="AV260:AV261" si="643">SUM(C252:N252)</f>
        <v>1245</v>
      </c>
      <c r="AW260" s="554">
        <f>AV258/4</f>
        <v>0</v>
      </c>
      <c r="AX260" s="554">
        <f>(AV258/2)*(AV260/AV262)</f>
        <v>0</v>
      </c>
      <c r="AY260" s="554">
        <f t="shared" ref="AY260:AY261" si="644">AW260+AX260</f>
        <v>0</v>
      </c>
      <c r="AZ260" s="553">
        <f t="shared" ref="AZ260:AZ261" si="645">SUM(C252:N252)</f>
        <v>1245</v>
      </c>
      <c r="BA260" s="554">
        <f>AZ258/4</f>
        <v>0</v>
      </c>
      <c r="BB260" s="554">
        <f>(AZ258/2)*(AZ260/AZ262)</f>
        <v>0</v>
      </c>
      <c r="BC260" s="554">
        <f>AZ258* 40%</f>
        <v>0</v>
      </c>
      <c r="BD260" s="529">
        <f t="shared" ref="BD260:BD261" si="646">SUM(C252:N252)</f>
        <v>1245</v>
      </c>
      <c r="BE260" s="530">
        <f>BD258/4</f>
        <v>250</v>
      </c>
      <c r="BF260" s="530">
        <f>(BD258/2)*(BD260/BD262)</f>
        <v>198.2484076</v>
      </c>
      <c r="BG260" s="554">
        <f>BD258* 40%</f>
        <v>400</v>
      </c>
      <c r="BH260" s="529">
        <f t="shared" ref="BH260:BH261" si="647">SUM(C252:N252)</f>
        <v>1245</v>
      </c>
      <c r="BI260" s="530">
        <f>BH258/4</f>
        <v>250</v>
      </c>
      <c r="BJ260" s="530">
        <f>(BH258/2)*(BH260/BH262)</f>
        <v>198.2484076</v>
      </c>
      <c r="BK260" s="554">
        <f>BH258* 40%</f>
        <v>400</v>
      </c>
      <c r="BL260" s="555"/>
      <c r="BM260" s="555"/>
    </row>
    <row r="261" ht="12.75" customHeight="1">
      <c r="A261" s="777" t="s">
        <v>389</v>
      </c>
      <c r="B261" s="521"/>
      <c r="C261" s="515"/>
      <c r="D261" s="515"/>
      <c r="E261" s="515"/>
      <c r="F261" s="515"/>
      <c r="G261" s="515"/>
      <c r="H261" s="515"/>
      <c r="I261" s="515"/>
      <c r="J261" s="515"/>
      <c r="K261" s="515"/>
      <c r="L261" s="515"/>
      <c r="M261" s="515"/>
      <c r="N261" s="515"/>
      <c r="O261" s="533"/>
      <c r="P261" s="772">
        <f t="shared" si="627"/>
        <v>1895</v>
      </c>
      <c r="Q261" s="554">
        <f>P258/4</f>
        <v>0</v>
      </c>
      <c r="R261" s="554">
        <f>(P258/2)*(P261/P262)</f>
        <v>0</v>
      </c>
      <c r="S261" s="554">
        <f t="shared" si="628"/>
        <v>0</v>
      </c>
      <c r="T261" s="772">
        <f t="shared" si="629"/>
        <v>1895</v>
      </c>
      <c r="U261" s="554">
        <f>T258/4</f>
        <v>0</v>
      </c>
      <c r="V261" s="554">
        <f>(T258/2)*(T261/T262)</f>
        <v>0</v>
      </c>
      <c r="W261" s="554">
        <f t="shared" si="630"/>
        <v>0</v>
      </c>
      <c r="X261" s="553">
        <f t="shared" si="631"/>
        <v>1895</v>
      </c>
      <c r="Y261" s="554">
        <f>X258/4</f>
        <v>0</v>
      </c>
      <c r="Z261" s="554">
        <f>(X258/2)*(X261/X262)</f>
        <v>0</v>
      </c>
      <c r="AA261" s="554">
        <f t="shared" si="632"/>
        <v>0</v>
      </c>
      <c r="AB261" s="772">
        <f t="shared" si="633"/>
        <v>1895</v>
      </c>
      <c r="AC261" s="554">
        <f>AB258/4</f>
        <v>0</v>
      </c>
      <c r="AD261" s="554">
        <f>(AB258/2)*(AB261/AB262)</f>
        <v>0</v>
      </c>
      <c r="AE261" s="554">
        <f t="shared" si="634"/>
        <v>0</v>
      </c>
      <c r="AF261" s="772">
        <f t="shared" si="635"/>
        <v>1895</v>
      </c>
      <c r="AG261" s="554">
        <f>AF258/4</f>
        <v>250</v>
      </c>
      <c r="AH261" s="554">
        <f>(AF258/2)*(AF261/AF262)</f>
        <v>301.7515924</v>
      </c>
      <c r="AI261" s="554">
        <f t="shared" si="636"/>
        <v>551.7515924</v>
      </c>
      <c r="AJ261" s="772">
        <f t="shared" si="637"/>
        <v>1895</v>
      </c>
      <c r="AK261" s="554">
        <f>AJ258/4</f>
        <v>250</v>
      </c>
      <c r="AL261" s="554">
        <f>(AJ258/2)*(AJ261/AJ262)</f>
        <v>301.7515924</v>
      </c>
      <c r="AM261" s="651">
        <f t="shared" si="638"/>
        <v>551.7515924</v>
      </c>
      <c r="AN261" s="772">
        <f t="shared" si="639"/>
        <v>1895</v>
      </c>
      <c r="AO261" s="554">
        <f>AN258/4</f>
        <v>0</v>
      </c>
      <c r="AP261" s="554">
        <f>(AN258/2)*(AN261/AN262)</f>
        <v>0</v>
      </c>
      <c r="AQ261" s="554">
        <f t="shared" si="640"/>
        <v>0</v>
      </c>
      <c r="AR261" s="772">
        <f t="shared" si="641"/>
        <v>1895</v>
      </c>
      <c r="AS261" s="554">
        <f>AR258/4</f>
        <v>0</v>
      </c>
      <c r="AT261" s="554">
        <f>(AR258/2)*(AR261/AR262)</f>
        <v>0</v>
      </c>
      <c r="AU261" s="554">
        <f t="shared" si="642"/>
        <v>0</v>
      </c>
      <c r="AV261" s="772">
        <f t="shared" si="643"/>
        <v>1895</v>
      </c>
      <c r="AW261" s="554">
        <f>AV258/4</f>
        <v>0</v>
      </c>
      <c r="AX261" s="554">
        <f>(AV258/2)*(AV261/AV262)</f>
        <v>0</v>
      </c>
      <c r="AY261" s="554">
        <f t="shared" si="644"/>
        <v>0</v>
      </c>
      <c r="AZ261" s="553">
        <f t="shared" si="645"/>
        <v>1895</v>
      </c>
      <c r="BA261" s="554">
        <f>AZ258/4</f>
        <v>0</v>
      </c>
      <c r="BB261" s="554">
        <f>(AZ258/2)*(AZ261/AZ262)</f>
        <v>0</v>
      </c>
      <c r="BC261" s="554">
        <f>AZ258 * 60%</f>
        <v>0</v>
      </c>
      <c r="BD261" s="529">
        <f t="shared" si="646"/>
        <v>1895</v>
      </c>
      <c r="BE261" s="530">
        <f>BD258/4</f>
        <v>250</v>
      </c>
      <c r="BF261" s="530">
        <f>(BD258/2)*(BD261/BD262)</f>
        <v>301.7515924</v>
      </c>
      <c r="BG261" s="554">
        <f>BD258 * 60%</f>
        <v>600</v>
      </c>
      <c r="BH261" s="529">
        <f t="shared" si="647"/>
        <v>1895</v>
      </c>
      <c r="BI261" s="530">
        <f>BH258/4</f>
        <v>250</v>
      </c>
      <c r="BJ261" s="530">
        <f>(BH258/2)*(BH261/BH262)</f>
        <v>301.7515924</v>
      </c>
      <c r="BK261" s="554">
        <f>BH258 * 60%</f>
        <v>600</v>
      </c>
      <c r="BL261" s="555"/>
      <c r="BM261" s="555"/>
    </row>
    <row r="262" ht="12.75" customHeight="1">
      <c r="A262" s="779"/>
      <c r="B262" s="521"/>
      <c r="C262" s="515"/>
      <c r="D262" s="515"/>
      <c r="E262" s="515"/>
      <c r="F262" s="515"/>
      <c r="G262" s="515"/>
      <c r="H262" s="515"/>
      <c r="I262" s="515"/>
      <c r="J262" s="515"/>
      <c r="K262" s="515"/>
      <c r="L262" s="515"/>
      <c r="M262" s="515"/>
      <c r="N262" s="515"/>
      <c r="O262" s="533"/>
      <c r="P262" s="772">
        <f>SUM(P260:P261)</f>
        <v>3140</v>
      </c>
      <c r="Q262" s="556">
        <f t="shared" ref="Q262:BK262" si="648">Q260+Q261</f>
        <v>0</v>
      </c>
      <c r="R262" s="556">
        <f t="shared" si="648"/>
        <v>0</v>
      </c>
      <c r="S262" s="556">
        <f t="shared" si="648"/>
        <v>0</v>
      </c>
      <c r="T262" s="552">
        <f t="shared" si="648"/>
        <v>3140</v>
      </c>
      <c r="U262" s="556">
        <f t="shared" si="648"/>
        <v>0</v>
      </c>
      <c r="V262" s="556">
        <f t="shared" si="648"/>
        <v>0</v>
      </c>
      <c r="W262" s="556">
        <f t="shared" si="648"/>
        <v>0</v>
      </c>
      <c r="X262" s="552">
        <f t="shared" si="648"/>
        <v>3140</v>
      </c>
      <c r="Y262" s="556">
        <f t="shared" si="648"/>
        <v>0</v>
      </c>
      <c r="Z262" s="556">
        <f t="shared" si="648"/>
        <v>0</v>
      </c>
      <c r="AA262" s="556">
        <f t="shared" si="648"/>
        <v>0</v>
      </c>
      <c r="AB262" s="552">
        <f t="shared" si="648"/>
        <v>3140</v>
      </c>
      <c r="AC262" s="556">
        <f t="shared" si="648"/>
        <v>0</v>
      </c>
      <c r="AD262" s="556">
        <f t="shared" si="648"/>
        <v>0</v>
      </c>
      <c r="AE262" s="556">
        <f t="shared" si="648"/>
        <v>0</v>
      </c>
      <c r="AF262" s="552">
        <f t="shared" si="648"/>
        <v>3140</v>
      </c>
      <c r="AG262" s="556">
        <f t="shared" si="648"/>
        <v>500</v>
      </c>
      <c r="AH262" s="556">
        <f t="shared" si="648"/>
        <v>500</v>
      </c>
      <c r="AI262" s="556">
        <f t="shared" si="648"/>
        <v>1000</v>
      </c>
      <c r="AJ262" s="552">
        <f t="shared" si="648"/>
        <v>3140</v>
      </c>
      <c r="AK262" s="556">
        <f t="shared" si="648"/>
        <v>500</v>
      </c>
      <c r="AL262" s="556">
        <f t="shared" si="648"/>
        <v>500</v>
      </c>
      <c r="AM262" s="556">
        <f t="shared" si="648"/>
        <v>1000</v>
      </c>
      <c r="AN262" s="552">
        <f t="shared" si="648"/>
        <v>3140</v>
      </c>
      <c r="AO262" s="556">
        <f t="shared" si="648"/>
        <v>0</v>
      </c>
      <c r="AP262" s="556">
        <f t="shared" si="648"/>
        <v>0</v>
      </c>
      <c r="AQ262" s="556">
        <f t="shared" si="648"/>
        <v>0</v>
      </c>
      <c r="AR262" s="552">
        <f t="shared" si="648"/>
        <v>3140</v>
      </c>
      <c r="AS262" s="556">
        <f t="shared" si="648"/>
        <v>0</v>
      </c>
      <c r="AT262" s="556">
        <f t="shared" si="648"/>
        <v>0</v>
      </c>
      <c r="AU262" s="556">
        <f t="shared" si="648"/>
        <v>0</v>
      </c>
      <c r="AV262" s="552">
        <f t="shared" si="648"/>
        <v>3140</v>
      </c>
      <c r="AW262" s="556">
        <f t="shared" si="648"/>
        <v>0</v>
      </c>
      <c r="AX262" s="556">
        <f t="shared" si="648"/>
        <v>0</v>
      </c>
      <c r="AY262" s="556">
        <f t="shared" si="648"/>
        <v>0</v>
      </c>
      <c r="AZ262" s="552">
        <f t="shared" si="648"/>
        <v>3140</v>
      </c>
      <c r="BA262" s="556">
        <f t="shared" si="648"/>
        <v>0</v>
      </c>
      <c r="BB262" s="556">
        <f t="shared" si="648"/>
        <v>0</v>
      </c>
      <c r="BC262" s="556">
        <f t="shared" si="648"/>
        <v>0</v>
      </c>
      <c r="BD262" s="535">
        <f t="shared" si="648"/>
        <v>3140</v>
      </c>
      <c r="BE262" s="536">
        <f t="shared" si="648"/>
        <v>500</v>
      </c>
      <c r="BF262" s="536">
        <f t="shared" si="648"/>
        <v>500</v>
      </c>
      <c r="BG262" s="536">
        <f t="shared" si="648"/>
        <v>1000</v>
      </c>
      <c r="BH262" s="535">
        <f t="shared" si="648"/>
        <v>3140</v>
      </c>
      <c r="BI262" s="536">
        <f t="shared" si="648"/>
        <v>500</v>
      </c>
      <c r="BJ262" s="536">
        <f t="shared" si="648"/>
        <v>500</v>
      </c>
      <c r="BK262" s="536">
        <f t="shared" si="648"/>
        <v>1000</v>
      </c>
      <c r="BL262" s="537"/>
      <c r="BM262" s="537"/>
    </row>
    <row r="263" ht="12.75" customHeight="1">
      <c r="A263" s="779"/>
      <c r="B263" s="521"/>
      <c r="C263" s="515"/>
      <c r="D263" s="515"/>
      <c r="E263" s="515"/>
      <c r="F263" s="515"/>
      <c r="G263" s="515"/>
      <c r="H263" s="515"/>
      <c r="I263" s="515"/>
      <c r="J263" s="515"/>
      <c r="K263" s="515"/>
      <c r="L263" s="515"/>
      <c r="M263" s="515"/>
      <c r="N263" s="515"/>
      <c r="O263" s="533"/>
      <c r="P263" s="533"/>
      <c r="Q263" s="557"/>
      <c r="R263" s="557"/>
      <c r="S263" s="557"/>
      <c r="T263" s="533"/>
      <c r="U263" s="557"/>
      <c r="V263" s="557"/>
      <c r="W263" s="557"/>
      <c r="X263" s="533"/>
      <c r="Y263" s="557"/>
      <c r="Z263" s="557"/>
      <c r="AA263" s="557"/>
      <c r="AB263" s="533"/>
      <c r="AC263" s="557"/>
      <c r="AD263" s="557"/>
      <c r="AE263" s="557"/>
      <c r="AF263" s="533"/>
      <c r="AG263" s="557"/>
      <c r="AH263" s="557"/>
      <c r="AI263" s="557"/>
      <c r="AJ263" s="533"/>
      <c r="AK263" s="557"/>
      <c r="AL263" s="557"/>
      <c r="AM263" s="557"/>
      <c r="AN263" s="533"/>
      <c r="AO263" s="557"/>
      <c r="AP263" s="557"/>
      <c r="AQ263" s="557"/>
      <c r="AR263" s="533"/>
      <c r="AS263" s="557"/>
      <c r="AT263" s="557"/>
      <c r="AU263" s="557"/>
      <c r="AV263" s="533"/>
      <c r="AW263" s="557"/>
      <c r="AX263" s="557"/>
      <c r="AY263" s="557"/>
      <c r="AZ263" s="780"/>
      <c r="BD263" s="541"/>
      <c r="BH263" s="780"/>
      <c r="BL263" s="780"/>
      <c r="BM263" s="780"/>
    </row>
    <row r="264" ht="12.75" customHeight="1">
      <c r="A264" s="779"/>
      <c r="B264" s="521"/>
      <c r="C264" s="515"/>
      <c r="D264" s="515"/>
      <c r="E264" s="515"/>
      <c r="F264" s="515"/>
      <c r="G264" s="515"/>
      <c r="H264" s="515"/>
      <c r="I264" s="515"/>
      <c r="J264" s="515"/>
      <c r="K264" s="515"/>
      <c r="L264" s="515"/>
      <c r="M264" s="515"/>
      <c r="N264" s="515"/>
      <c r="O264" s="533"/>
      <c r="P264" s="782" t="s">
        <v>432</v>
      </c>
      <c r="Q264" s="494"/>
      <c r="R264" s="494"/>
      <c r="S264" s="495"/>
      <c r="T264" s="782" t="s">
        <v>433</v>
      </c>
      <c r="U264" s="494"/>
      <c r="V264" s="494"/>
      <c r="W264" s="495"/>
      <c r="X264" s="782" t="s">
        <v>3</v>
      </c>
      <c r="Y264" s="494"/>
      <c r="Z264" s="494"/>
      <c r="AA264" s="495"/>
      <c r="AB264" s="782" t="s">
        <v>4</v>
      </c>
      <c r="AC264" s="494"/>
      <c r="AD264" s="494"/>
      <c r="AE264" s="495"/>
      <c r="AF264" s="782" t="s">
        <v>5</v>
      </c>
      <c r="AG264" s="494"/>
      <c r="AH264" s="494"/>
      <c r="AI264" s="495"/>
      <c r="AJ264" s="782" t="s">
        <v>6</v>
      </c>
      <c r="AK264" s="494"/>
      <c r="AL264" s="494"/>
      <c r="AM264" s="495"/>
      <c r="AN264" s="782" t="s">
        <v>7</v>
      </c>
      <c r="AO264" s="494"/>
      <c r="AP264" s="494"/>
      <c r="AQ264" s="495"/>
      <c r="AR264" s="782" t="s">
        <v>347</v>
      </c>
      <c r="AS264" s="494"/>
      <c r="AT264" s="494"/>
      <c r="AU264" s="495"/>
      <c r="AV264" s="782" t="s">
        <v>348</v>
      </c>
      <c r="AW264" s="494"/>
      <c r="AX264" s="494"/>
      <c r="AY264" s="495"/>
      <c r="AZ264" s="576" t="s">
        <v>349</v>
      </c>
      <c r="BA264" s="494"/>
      <c r="BB264" s="494"/>
      <c r="BC264" s="495"/>
      <c r="BD264" s="576" t="s">
        <v>350</v>
      </c>
      <c r="BE264" s="494"/>
      <c r="BF264" s="494"/>
      <c r="BG264" s="495"/>
      <c r="BH264" s="576" t="s">
        <v>351</v>
      </c>
      <c r="BI264" s="494"/>
      <c r="BJ264" s="494"/>
      <c r="BK264" s="495"/>
      <c r="BL264" s="500"/>
      <c r="BM264" s="500"/>
    </row>
    <row r="265" ht="12.75" customHeight="1">
      <c r="A265" s="779"/>
      <c r="B265" s="521"/>
      <c r="C265" s="515"/>
      <c r="D265" s="515"/>
      <c r="E265" s="515"/>
      <c r="F265" s="515"/>
      <c r="G265" s="515"/>
      <c r="H265" s="515"/>
      <c r="I265" s="515"/>
      <c r="J265" s="515"/>
      <c r="K265" s="515"/>
      <c r="L265" s="515"/>
      <c r="M265" s="515"/>
      <c r="N265" s="515"/>
      <c r="O265" s="533"/>
      <c r="P265" s="547" t="s">
        <v>434</v>
      </c>
      <c r="Q265" s="506"/>
      <c r="R265" s="506"/>
      <c r="S265" s="507"/>
      <c r="T265" s="547" t="s">
        <v>434</v>
      </c>
      <c r="U265" s="506"/>
      <c r="V265" s="506"/>
      <c r="W265" s="507"/>
      <c r="X265" s="547" t="s">
        <v>434</v>
      </c>
      <c r="Y265" s="506"/>
      <c r="Z265" s="506"/>
      <c r="AA265" s="507"/>
      <c r="AB265" s="547" t="s">
        <v>434</v>
      </c>
      <c r="AC265" s="506"/>
      <c r="AD265" s="506"/>
      <c r="AE265" s="507"/>
      <c r="AF265" s="547" t="s">
        <v>434</v>
      </c>
      <c r="AG265" s="506"/>
      <c r="AH265" s="506"/>
      <c r="AI265" s="507"/>
      <c r="AJ265" s="547" t="s">
        <v>434</v>
      </c>
      <c r="AK265" s="506"/>
      <c r="AL265" s="506"/>
      <c r="AM265" s="507"/>
      <c r="AN265" s="547" t="s">
        <v>434</v>
      </c>
      <c r="AO265" s="506"/>
      <c r="AP265" s="506"/>
      <c r="AQ265" s="507"/>
      <c r="AR265" s="547" t="s">
        <v>434</v>
      </c>
      <c r="AS265" s="506"/>
      <c r="AT265" s="506"/>
      <c r="AU265" s="507"/>
      <c r="AV265" s="547" t="s">
        <v>435</v>
      </c>
      <c r="AW265" s="506"/>
      <c r="AX265" s="506"/>
      <c r="AY265" s="507"/>
      <c r="AZ265" s="547" t="s">
        <v>435</v>
      </c>
      <c r="BA265" s="506"/>
      <c r="BB265" s="506"/>
      <c r="BC265" s="507"/>
      <c r="BD265" s="547" t="s">
        <v>434</v>
      </c>
      <c r="BE265" s="506"/>
      <c r="BF265" s="506"/>
      <c r="BG265" s="507"/>
      <c r="BH265" s="547" t="s">
        <v>434</v>
      </c>
      <c r="BI265" s="506"/>
      <c r="BJ265" s="506"/>
      <c r="BK265" s="507"/>
      <c r="BL265" s="562"/>
      <c r="BM265" s="562"/>
    </row>
    <row r="266" ht="12.75" customHeight="1">
      <c r="A266" s="779"/>
      <c r="B266" s="521"/>
      <c r="C266" s="515"/>
      <c r="D266" s="515"/>
      <c r="E266" s="515"/>
      <c r="F266" s="515"/>
      <c r="G266" s="515"/>
      <c r="H266" s="515"/>
      <c r="I266" s="515"/>
      <c r="J266" s="515"/>
      <c r="K266" s="515"/>
      <c r="L266" s="515"/>
      <c r="M266" s="515"/>
      <c r="N266" s="515"/>
      <c r="O266" s="533"/>
      <c r="P266" s="579">
        <v>5000.0</v>
      </c>
      <c r="Q266" s="498"/>
      <c r="R266" s="498"/>
      <c r="S266" s="498"/>
      <c r="T266" s="579">
        <v>5000.0</v>
      </c>
      <c r="U266" s="498"/>
      <c r="V266" s="498"/>
      <c r="W266" s="498"/>
      <c r="X266" s="579">
        <v>7500.0</v>
      </c>
      <c r="Y266" s="498"/>
      <c r="Z266" s="498"/>
      <c r="AA266" s="498"/>
      <c r="AB266" s="579">
        <v>10000.0</v>
      </c>
      <c r="AC266" s="498"/>
      <c r="AD266" s="498"/>
      <c r="AE266" s="498"/>
      <c r="AF266" s="579">
        <v>12500.0</v>
      </c>
      <c r="AG266" s="498"/>
      <c r="AH266" s="498"/>
      <c r="AI266" s="498"/>
      <c r="AJ266" s="579">
        <v>12500.0</v>
      </c>
      <c r="AK266" s="498"/>
      <c r="AL266" s="498"/>
      <c r="AM266" s="498"/>
      <c r="AN266" s="579">
        <v>7500.0</v>
      </c>
      <c r="AO266" s="498"/>
      <c r="AP266" s="498"/>
      <c r="AQ266" s="498"/>
      <c r="AR266" s="579">
        <v>7500.0</v>
      </c>
      <c r="AS266" s="498"/>
      <c r="AT266" s="498"/>
      <c r="AU266" s="498"/>
      <c r="AV266" s="579">
        <v>10000.0</v>
      </c>
      <c r="AW266" s="498"/>
      <c r="AX266" s="498"/>
      <c r="AY266" s="498"/>
      <c r="AZ266" s="579">
        <v>10000.0</v>
      </c>
      <c r="BA266" s="498"/>
      <c r="BB266" s="498"/>
      <c r="BC266" s="498"/>
      <c r="BD266" s="579">
        <v>12500.0</v>
      </c>
      <c r="BE266" s="498"/>
      <c r="BF266" s="498"/>
      <c r="BG266" s="498"/>
      <c r="BH266" s="579">
        <v>12500.0</v>
      </c>
      <c r="BI266" s="498"/>
      <c r="BJ266" s="498"/>
      <c r="BK266" s="498"/>
      <c r="BL266" s="519"/>
      <c r="BM266" s="519">
        <f>SUM(P266:BK266)</f>
        <v>112500</v>
      </c>
    </row>
    <row r="267" ht="12.75" customHeight="1">
      <c r="A267" s="781" t="s">
        <v>435</v>
      </c>
      <c r="B267" s="521"/>
      <c r="C267" s="515"/>
      <c r="D267" s="515"/>
      <c r="E267" s="515"/>
      <c r="F267" s="515"/>
      <c r="G267" s="515"/>
      <c r="H267" s="515"/>
      <c r="I267" s="515"/>
      <c r="J267" s="515"/>
      <c r="K267" s="515"/>
      <c r="L267" s="515"/>
      <c r="M267" s="515"/>
      <c r="N267" s="515"/>
      <c r="O267" s="533"/>
      <c r="P267" s="522" t="s">
        <v>319</v>
      </c>
      <c r="Q267" s="522" t="s">
        <v>365</v>
      </c>
      <c r="R267" s="522" t="s">
        <v>366</v>
      </c>
      <c r="S267" s="522" t="s">
        <v>367</v>
      </c>
      <c r="T267" s="522" t="s">
        <v>319</v>
      </c>
      <c r="U267" s="522" t="s">
        <v>365</v>
      </c>
      <c r="V267" s="522" t="s">
        <v>366</v>
      </c>
      <c r="W267" s="522" t="s">
        <v>367</v>
      </c>
      <c r="X267" s="522" t="s">
        <v>319</v>
      </c>
      <c r="Y267" s="522" t="s">
        <v>365</v>
      </c>
      <c r="Z267" s="522" t="s">
        <v>366</v>
      </c>
      <c r="AA267" s="522" t="s">
        <v>367</v>
      </c>
      <c r="AB267" s="522" t="s">
        <v>319</v>
      </c>
      <c r="AC267" s="522" t="s">
        <v>365</v>
      </c>
      <c r="AD267" s="522" t="s">
        <v>366</v>
      </c>
      <c r="AE267" s="522" t="s">
        <v>367</v>
      </c>
      <c r="AF267" s="522" t="s">
        <v>319</v>
      </c>
      <c r="AG267" s="522" t="s">
        <v>365</v>
      </c>
      <c r="AH267" s="522" t="s">
        <v>366</v>
      </c>
      <c r="AI267" s="522" t="s">
        <v>367</v>
      </c>
      <c r="AJ267" s="522" t="s">
        <v>319</v>
      </c>
      <c r="AK267" s="522" t="s">
        <v>365</v>
      </c>
      <c r="AL267" s="522" t="s">
        <v>366</v>
      </c>
      <c r="AM267" s="522" t="s">
        <v>367</v>
      </c>
      <c r="AN267" s="522" t="s">
        <v>319</v>
      </c>
      <c r="AO267" s="522" t="s">
        <v>365</v>
      </c>
      <c r="AP267" s="522" t="s">
        <v>366</v>
      </c>
      <c r="AQ267" s="522" t="s">
        <v>367</v>
      </c>
      <c r="AR267" s="522" t="s">
        <v>319</v>
      </c>
      <c r="AS267" s="522" t="s">
        <v>365</v>
      </c>
      <c r="AT267" s="522" t="s">
        <v>366</v>
      </c>
      <c r="AU267" s="522" t="s">
        <v>367</v>
      </c>
      <c r="AV267" s="522" t="s">
        <v>319</v>
      </c>
      <c r="AW267" s="522" t="s">
        <v>365</v>
      </c>
      <c r="AX267" s="522" t="s">
        <v>366</v>
      </c>
      <c r="AY267" s="522" t="s">
        <v>367</v>
      </c>
      <c r="AZ267" s="522" t="s">
        <v>319</v>
      </c>
      <c r="BA267" s="522" t="s">
        <v>365</v>
      </c>
      <c r="BB267" s="522" t="s">
        <v>366</v>
      </c>
      <c r="BC267" s="522" t="s">
        <v>367</v>
      </c>
      <c r="BD267" s="524" t="s">
        <v>319</v>
      </c>
      <c r="BE267" s="524" t="s">
        <v>365</v>
      </c>
      <c r="BF267" s="524" t="s">
        <v>366</v>
      </c>
      <c r="BG267" s="524" t="s">
        <v>367</v>
      </c>
      <c r="BH267" s="524" t="s">
        <v>319</v>
      </c>
      <c r="BI267" s="524" t="s">
        <v>365</v>
      </c>
      <c r="BJ267" s="524" t="s">
        <v>366</v>
      </c>
      <c r="BK267" s="524" t="s">
        <v>367</v>
      </c>
      <c r="BL267" s="500"/>
      <c r="BM267" s="500"/>
    </row>
    <row r="268" ht="12.75" customHeight="1">
      <c r="A268" s="777" t="s">
        <v>390</v>
      </c>
      <c r="B268" s="521"/>
      <c r="C268" s="515"/>
      <c r="D268" s="515"/>
      <c r="E268" s="515"/>
      <c r="F268" s="515"/>
      <c r="G268" s="515"/>
      <c r="H268" s="515"/>
      <c r="I268" s="515"/>
      <c r="J268" s="515"/>
      <c r="K268" s="515"/>
      <c r="L268" s="515"/>
      <c r="M268" s="515"/>
      <c r="N268" s="515"/>
      <c r="O268" s="533"/>
      <c r="P268" s="669">
        <f t="shared" ref="P268:P269" si="649">SUM(C252:N252)</f>
        <v>1245</v>
      </c>
      <c r="Q268" s="554">
        <f>P266/4</f>
        <v>1250</v>
      </c>
      <c r="R268" s="554">
        <f>(P266/2)*(P268/P270)</f>
        <v>991.2420382</v>
      </c>
      <c r="S268" s="554">
        <f t="shared" ref="S268:S269" si="650">Q268+R268</f>
        <v>2241.242038</v>
      </c>
      <c r="T268" s="669">
        <f t="shared" ref="T268:T269" si="651">SUM(C252:N252)</f>
        <v>1245</v>
      </c>
      <c r="U268" s="554">
        <f>T266/4</f>
        <v>1250</v>
      </c>
      <c r="V268" s="554">
        <f>(T266/2)*(T268/T270)</f>
        <v>991.2420382</v>
      </c>
      <c r="W268" s="554">
        <f t="shared" ref="W268:W269" si="652">SUM(U268:V268)</f>
        <v>2241.242038</v>
      </c>
      <c r="X268" s="783">
        <f t="shared" ref="X268:X269" si="653">SUM(C252:N252)</f>
        <v>1245</v>
      </c>
      <c r="Y268" s="554">
        <f>X266/4</f>
        <v>1875</v>
      </c>
      <c r="Z268" s="554">
        <f>(X266/2)*(X268/X270)</f>
        <v>1486.863057</v>
      </c>
      <c r="AA268" s="554">
        <f t="shared" ref="AA268:AA269" si="654">SUM(Y268:Z268)</f>
        <v>3361.863057</v>
      </c>
      <c r="AB268" s="784">
        <f t="shared" ref="AB268:AB269" si="655">SUM(C252:N252)</f>
        <v>1245</v>
      </c>
      <c r="AC268" s="554">
        <f>AB266/4</f>
        <v>2500</v>
      </c>
      <c r="AD268" s="554">
        <f>(AB266/2)*(AB268/AB270)</f>
        <v>1982.484076</v>
      </c>
      <c r="AE268" s="554">
        <f t="shared" ref="AE268:AE269" si="656">SUM(AC268:AD268)</f>
        <v>4482.484076</v>
      </c>
      <c r="AF268" s="784">
        <f t="shared" ref="AF268:AF269" si="657">SUM(C252:N252)</f>
        <v>1245</v>
      </c>
      <c r="AG268" s="554">
        <f>AF266/4</f>
        <v>3125</v>
      </c>
      <c r="AH268" s="554">
        <f>(AF266/2)*(AF268/AF270)</f>
        <v>2478.105096</v>
      </c>
      <c r="AI268" s="554">
        <f t="shared" ref="AI268:AI269" si="658">SUM(AG268:AH268)</f>
        <v>5603.105096</v>
      </c>
      <c r="AJ268" s="784">
        <f t="shared" ref="AJ268:AJ269" si="659">SUM(C252:N252)</f>
        <v>1245</v>
      </c>
      <c r="AK268" s="554">
        <f>AJ266/4</f>
        <v>3125</v>
      </c>
      <c r="AL268" s="554">
        <f>(AJ266/2)*(AJ268/AJ270)</f>
        <v>2478.105096</v>
      </c>
      <c r="AM268" s="651">
        <f t="shared" ref="AM268:AM269" si="660">SUM(AK268:AL268)</f>
        <v>5603.105096</v>
      </c>
      <c r="AN268" s="784">
        <f t="shared" ref="AN268:AN269" si="661">SUM(C252:N252)</f>
        <v>1245</v>
      </c>
      <c r="AO268" s="554">
        <f>AN266/4</f>
        <v>1875</v>
      </c>
      <c r="AP268" s="554">
        <f>(AN266/2)*(AN268/AN270)</f>
        <v>1486.863057</v>
      </c>
      <c r="AQ268" s="554">
        <f t="shared" ref="AQ268:AQ269" si="662">SUM(AO268:AP268)</f>
        <v>3361.863057</v>
      </c>
      <c r="AR268" s="661">
        <f t="shared" ref="AR268:AR269" si="663">SUM(C252:N252)</f>
        <v>1245</v>
      </c>
      <c r="AS268" s="554">
        <f>AR266/4</f>
        <v>1875</v>
      </c>
      <c r="AT268" s="554">
        <f>(AR266/2)*(AR268/AR270)</f>
        <v>1486.863057</v>
      </c>
      <c r="AU268" s="554">
        <f t="shared" ref="AU268:AU269" si="664">SUM(AS268:AT268)</f>
        <v>3361.863057</v>
      </c>
      <c r="AV268" s="637">
        <f t="shared" ref="AV268:AV269" si="665">SUM(C252:N252)</f>
        <v>1245</v>
      </c>
      <c r="AW268" s="554">
        <f>AV266/4</f>
        <v>2500</v>
      </c>
      <c r="AX268" s="554">
        <f>(AV266/2)*(AV268/AV270)</f>
        <v>1982.484076</v>
      </c>
      <c r="AY268" s="554">
        <f t="shared" ref="AY268:AY269" si="666">SUM(AW268:AX268)</f>
        <v>4482.484076</v>
      </c>
      <c r="AZ268" s="553">
        <f t="shared" ref="AZ268:AZ269" si="667">SUM(C252:N252)</f>
        <v>1245</v>
      </c>
      <c r="BA268" s="554">
        <f>AZ266/4</f>
        <v>2500</v>
      </c>
      <c r="BB268" s="554">
        <f>(AZ266/2)*(AZ268/AZ270)</f>
        <v>1982.484076</v>
      </c>
      <c r="BC268" s="554">
        <f>AZ266* 40%</f>
        <v>4000</v>
      </c>
      <c r="BD268" s="529">
        <f t="shared" ref="BD268:BD269" si="668">SUM(C252:N252)</f>
        <v>1245</v>
      </c>
      <c r="BE268" s="530">
        <f>BD266/4</f>
        <v>3125</v>
      </c>
      <c r="BF268" s="530">
        <f>(BD266/2)*(BD268/BD270)</f>
        <v>2478.105096</v>
      </c>
      <c r="BG268" s="554">
        <f>BD266* 40%</f>
        <v>5000</v>
      </c>
      <c r="BH268" s="529">
        <f t="shared" ref="BH268:BH269" si="669">SUM(C252:N252)</f>
        <v>1245</v>
      </c>
      <c r="BI268" s="530">
        <f>BH266/4</f>
        <v>3125</v>
      </c>
      <c r="BJ268" s="530">
        <f>(BH266/2)*(BH268/BH270)</f>
        <v>2478.105096</v>
      </c>
      <c r="BK268" s="554">
        <f>BH266* 40%</f>
        <v>5000</v>
      </c>
      <c r="BL268" s="555"/>
      <c r="BM268" s="555"/>
    </row>
    <row r="269" ht="12.75" customHeight="1">
      <c r="A269" s="777" t="s">
        <v>389</v>
      </c>
      <c r="B269" s="521"/>
      <c r="C269" s="515"/>
      <c r="D269" s="515"/>
      <c r="E269" s="515"/>
      <c r="F269" s="515"/>
      <c r="G269" s="515"/>
      <c r="H269" s="515"/>
      <c r="I269" s="515"/>
      <c r="J269" s="515"/>
      <c r="K269" s="515"/>
      <c r="L269" s="515"/>
      <c r="M269" s="515"/>
      <c r="N269" s="515"/>
      <c r="O269" s="533"/>
      <c r="P269" s="669">
        <f t="shared" si="649"/>
        <v>1895</v>
      </c>
      <c r="Q269" s="554">
        <f>P266/4</f>
        <v>1250</v>
      </c>
      <c r="R269" s="554">
        <f>(P266/2)*(P269/P270)</f>
        <v>1508.757962</v>
      </c>
      <c r="S269" s="554">
        <f t="shared" si="650"/>
        <v>2758.757962</v>
      </c>
      <c r="T269" s="669">
        <f t="shared" si="651"/>
        <v>1895</v>
      </c>
      <c r="U269" s="554">
        <f>T266/4</f>
        <v>1250</v>
      </c>
      <c r="V269" s="554">
        <f>(T266/2)*(T269/T270)</f>
        <v>1508.757962</v>
      </c>
      <c r="W269" s="554">
        <f t="shared" si="652"/>
        <v>2758.757962</v>
      </c>
      <c r="X269" s="669">
        <f t="shared" si="653"/>
        <v>1895</v>
      </c>
      <c r="Y269" s="554">
        <f>X266/4</f>
        <v>1875</v>
      </c>
      <c r="Z269" s="554">
        <f>(X266/2)*(X269/X270)</f>
        <v>2263.136943</v>
      </c>
      <c r="AA269" s="554">
        <f t="shared" si="654"/>
        <v>4138.136943</v>
      </c>
      <c r="AB269" s="669">
        <f t="shared" si="655"/>
        <v>1895</v>
      </c>
      <c r="AC269" s="554">
        <f>AB266/4</f>
        <v>2500</v>
      </c>
      <c r="AD269" s="554">
        <f>(AB266/2)*(AB269/AB270)</f>
        <v>3017.515924</v>
      </c>
      <c r="AE269" s="554">
        <f t="shared" si="656"/>
        <v>5517.515924</v>
      </c>
      <c r="AF269" s="669">
        <f t="shared" si="657"/>
        <v>1895</v>
      </c>
      <c r="AG269" s="554">
        <f>AF266/4</f>
        <v>3125</v>
      </c>
      <c r="AH269" s="554">
        <f>(AF266/2)*(AF269/AF270)</f>
        <v>3771.894904</v>
      </c>
      <c r="AI269" s="554">
        <f t="shared" si="658"/>
        <v>6896.894904</v>
      </c>
      <c r="AJ269" s="669">
        <f t="shared" si="659"/>
        <v>1895</v>
      </c>
      <c r="AK269" s="554">
        <f>AJ266/4</f>
        <v>3125</v>
      </c>
      <c r="AL269" s="554">
        <f>(AJ266/2)*(AJ269/AJ270)</f>
        <v>3771.894904</v>
      </c>
      <c r="AM269" s="651">
        <f t="shared" si="660"/>
        <v>6896.894904</v>
      </c>
      <c r="AN269" s="669">
        <f t="shared" si="661"/>
        <v>1895</v>
      </c>
      <c r="AO269" s="554">
        <f>AN266/4</f>
        <v>1875</v>
      </c>
      <c r="AP269" s="554">
        <f>(AN266/2)*(AN269/AN270)</f>
        <v>2263.136943</v>
      </c>
      <c r="AQ269" s="554">
        <f t="shared" si="662"/>
        <v>4138.136943</v>
      </c>
      <c r="AR269" s="669">
        <f t="shared" si="663"/>
        <v>1895</v>
      </c>
      <c r="AS269" s="554">
        <f>AR266/4</f>
        <v>1875</v>
      </c>
      <c r="AT269" s="554">
        <f>(AR266/2)*(AR269/AR270)</f>
        <v>2263.136943</v>
      </c>
      <c r="AU269" s="554">
        <f t="shared" si="664"/>
        <v>4138.136943</v>
      </c>
      <c r="AV269" s="669">
        <f t="shared" si="665"/>
        <v>1895</v>
      </c>
      <c r="AW269" s="554">
        <f>AV266/4</f>
        <v>2500</v>
      </c>
      <c r="AX269" s="554">
        <f>(AV266/2)*(AV269/AV270)</f>
        <v>3017.515924</v>
      </c>
      <c r="AY269" s="554">
        <f t="shared" si="666"/>
        <v>5517.515924</v>
      </c>
      <c r="AZ269" s="553">
        <f t="shared" si="667"/>
        <v>1895</v>
      </c>
      <c r="BA269" s="554">
        <f>AZ266/4</f>
        <v>2500</v>
      </c>
      <c r="BB269" s="554">
        <f>(AZ266/2)*(AZ269/AZ270)</f>
        <v>3017.515924</v>
      </c>
      <c r="BC269" s="554">
        <f>AZ266 * 60%</f>
        <v>6000</v>
      </c>
      <c r="BD269" s="529">
        <f t="shared" si="668"/>
        <v>1895</v>
      </c>
      <c r="BE269" s="530">
        <f>BD266/4</f>
        <v>3125</v>
      </c>
      <c r="BF269" s="530">
        <f>(BD266/2)*(BD269/BD270)</f>
        <v>3771.894904</v>
      </c>
      <c r="BG269" s="554">
        <f>BD266 * 60%</f>
        <v>7500</v>
      </c>
      <c r="BH269" s="529">
        <f t="shared" si="669"/>
        <v>1895</v>
      </c>
      <c r="BI269" s="530">
        <f>BH266/4</f>
        <v>3125</v>
      </c>
      <c r="BJ269" s="530">
        <f>(BH266/2)*(BH269/BH270)</f>
        <v>3771.894904</v>
      </c>
      <c r="BK269" s="554">
        <f>BH266 * 60%</f>
        <v>7500</v>
      </c>
      <c r="BL269" s="555"/>
      <c r="BM269" s="555"/>
    </row>
    <row r="270" ht="12.75" customHeight="1">
      <c r="A270" s="779"/>
      <c r="B270" s="521"/>
      <c r="C270" s="515"/>
      <c r="D270" s="515"/>
      <c r="E270" s="515"/>
      <c r="F270" s="515"/>
      <c r="G270" s="515"/>
      <c r="H270" s="515"/>
      <c r="I270" s="515"/>
      <c r="J270" s="515"/>
      <c r="K270" s="515"/>
      <c r="L270" s="515"/>
      <c r="M270" s="515"/>
      <c r="N270" s="515"/>
      <c r="O270" s="533"/>
      <c r="P270" s="552">
        <f>SUM(P268:P269)</f>
        <v>3140</v>
      </c>
      <c r="Q270" s="556">
        <f t="shared" ref="Q270:R270" si="670">Q268+Q269</f>
        <v>2500</v>
      </c>
      <c r="R270" s="556">
        <f t="shared" si="670"/>
        <v>2500</v>
      </c>
      <c r="S270" s="556">
        <f>SUM(S268:S269)</f>
        <v>5000</v>
      </c>
      <c r="T270" s="552">
        <f t="shared" ref="T270:BK270" si="671">T268+T269</f>
        <v>3140</v>
      </c>
      <c r="U270" s="556">
        <f t="shared" si="671"/>
        <v>2500</v>
      </c>
      <c r="V270" s="556">
        <f t="shared" si="671"/>
        <v>2500</v>
      </c>
      <c r="W270" s="556">
        <f t="shared" si="671"/>
        <v>5000</v>
      </c>
      <c r="X270" s="785">
        <f t="shared" si="671"/>
        <v>3140</v>
      </c>
      <c r="Y270" s="556">
        <f t="shared" si="671"/>
        <v>3750</v>
      </c>
      <c r="Z270" s="556">
        <f t="shared" si="671"/>
        <v>3750</v>
      </c>
      <c r="AA270" s="556">
        <f t="shared" si="671"/>
        <v>7500</v>
      </c>
      <c r="AB270" s="785">
        <f t="shared" si="671"/>
        <v>3140</v>
      </c>
      <c r="AC270" s="556">
        <f t="shared" si="671"/>
        <v>5000</v>
      </c>
      <c r="AD270" s="556">
        <f t="shared" si="671"/>
        <v>5000</v>
      </c>
      <c r="AE270" s="556">
        <f t="shared" si="671"/>
        <v>10000</v>
      </c>
      <c r="AF270" s="785">
        <f t="shared" si="671"/>
        <v>3140</v>
      </c>
      <c r="AG270" s="556">
        <f t="shared" si="671"/>
        <v>6250</v>
      </c>
      <c r="AH270" s="556">
        <f t="shared" si="671"/>
        <v>6250</v>
      </c>
      <c r="AI270" s="556">
        <f t="shared" si="671"/>
        <v>12500</v>
      </c>
      <c r="AJ270" s="785">
        <f t="shared" si="671"/>
        <v>3140</v>
      </c>
      <c r="AK270" s="556">
        <f t="shared" si="671"/>
        <v>6250</v>
      </c>
      <c r="AL270" s="556">
        <f t="shared" si="671"/>
        <v>6250</v>
      </c>
      <c r="AM270" s="556">
        <f t="shared" si="671"/>
        <v>12500</v>
      </c>
      <c r="AN270" s="785">
        <f t="shared" si="671"/>
        <v>3140</v>
      </c>
      <c r="AO270" s="556">
        <f t="shared" si="671"/>
        <v>3750</v>
      </c>
      <c r="AP270" s="556">
        <f t="shared" si="671"/>
        <v>3750</v>
      </c>
      <c r="AQ270" s="556">
        <f t="shared" si="671"/>
        <v>7500</v>
      </c>
      <c r="AR270" s="552">
        <f t="shared" si="671"/>
        <v>3140</v>
      </c>
      <c r="AS270" s="556">
        <f t="shared" si="671"/>
        <v>3750</v>
      </c>
      <c r="AT270" s="556">
        <f t="shared" si="671"/>
        <v>3750</v>
      </c>
      <c r="AU270" s="556">
        <f t="shared" si="671"/>
        <v>7500</v>
      </c>
      <c r="AV270" s="552">
        <f t="shared" si="671"/>
        <v>3140</v>
      </c>
      <c r="AW270" s="556">
        <f t="shared" si="671"/>
        <v>5000</v>
      </c>
      <c r="AX270" s="556">
        <f t="shared" si="671"/>
        <v>5000</v>
      </c>
      <c r="AY270" s="556">
        <f t="shared" si="671"/>
        <v>10000</v>
      </c>
      <c r="AZ270" s="552">
        <f t="shared" si="671"/>
        <v>3140</v>
      </c>
      <c r="BA270" s="556">
        <f t="shared" si="671"/>
        <v>5000</v>
      </c>
      <c r="BB270" s="556">
        <f t="shared" si="671"/>
        <v>5000</v>
      </c>
      <c r="BC270" s="556">
        <f t="shared" si="671"/>
        <v>10000</v>
      </c>
      <c r="BD270" s="535">
        <f t="shared" si="671"/>
        <v>3140</v>
      </c>
      <c r="BE270" s="536">
        <f t="shared" si="671"/>
        <v>6250</v>
      </c>
      <c r="BF270" s="536">
        <f t="shared" si="671"/>
        <v>6250</v>
      </c>
      <c r="BG270" s="536">
        <f t="shared" si="671"/>
        <v>12500</v>
      </c>
      <c r="BH270" s="535">
        <f t="shared" si="671"/>
        <v>3140</v>
      </c>
      <c r="BI270" s="536">
        <f t="shared" si="671"/>
        <v>6250</v>
      </c>
      <c r="BJ270" s="536">
        <f t="shared" si="671"/>
        <v>6250</v>
      </c>
      <c r="BK270" s="536">
        <f t="shared" si="671"/>
        <v>12500</v>
      </c>
      <c r="BL270" s="537"/>
      <c r="BM270" s="537"/>
    </row>
    <row r="271" ht="12.75" customHeight="1">
      <c r="A271" s="779"/>
      <c r="B271" s="521"/>
      <c r="C271" s="515"/>
      <c r="D271" s="515"/>
      <c r="E271" s="515"/>
      <c r="F271" s="515"/>
      <c r="G271" s="515"/>
      <c r="H271" s="515"/>
      <c r="I271" s="515"/>
      <c r="J271" s="515"/>
      <c r="K271" s="515"/>
      <c r="L271" s="515"/>
      <c r="M271" s="515"/>
      <c r="N271" s="515"/>
      <c r="O271" s="533"/>
      <c r="P271" s="786"/>
      <c r="Q271" s="787"/>
      <c r="R271" s="787"/>
      <c r="S271" s="787"/>
      <c r="T271" s="786"/>
      <c r="U271" s="787"/>
      <c r="V271" s="787"/>
      <c r="W271" s="787"/>
      <c r="X271" s="786"/>
      <c r="Y271" s="787"/>
      <c r="Z271" s="787"/>
      <c r="AA271" s="787"/>
      <c r="AB271" s="786"/>
      <c r="AC271" s="787"/>
      <c r="AD271" s="787"/>
      <c r="AE271" s="787"/>
      <c r="AF271" s="786"/>
      <c r="AG271" s="787"/>
      <c r="AH271" s="787"/>
      <c r="AI271" s="787"/>
      <c r="AJ271" s="786"/>
      <c r="AK271" s="787"/>
      <c r="AL271" s="787"/>
      <c r="AM271" s="787"/>
      <c r="AN271" s="786"/>
      <c r="AO271" s="787"/>
      <c r="AP271" s="787"/>
      <c r="AQ271" s="787"/>
      <c r="AR271" s="786"/>
      <c r="AS271" s="787"/>
      <c r="AT271" s="787"/>
      <c r="AU271" s="787"/>
      <c r="AV271" s="786"/>
      <c r="AW271" s="787"/>
      <c r="AX271" s="787"/>
      <c r="AY271" s="787"/>
      <c r="AZ271" s="780"/>
      <c r="BD271" s="541"/>
      <c r="BH271" s="780"/>
      <c r="BL271" s="780"/>
      <c r="BM271" s="780"/>
    </row>
    <row r="272" ht="12.75" customHeight="1">
      <c r="A272" s="774"/>
      <c r="B272" s="521"/>
      <c r="C272" s="515"/>
      <c r="D272" s="515"/>
      <c r="E272" s="515"/>
      <c r="F272" s="515"/>
      <c r="G272" s="515"/>
      <c r="H272" s="515"/>
      <c r="I272" s="515"/>
      <c r="J272" s="515"/>
      <c r="K272" s="515"/>
      <c r="L272" s="515"/>
      <c r="M272" s="515"/>
      <c r="N272" s="515"/>
      <c r="O272" s="533"/>
      <c r="P272" s="786"/>
      <c r="Q272" s="787"/>
      <c r="R272" s="787"/>
      <c r="S272" s="787"/>
      <c r="T272" s="786"/>
      <c r="U272" s="787"/>
      <c r="V272" s="787"/>
      <c r="W272" s="787"/>
      <c r="X272" s="786"/>
      <c r="Y272" s="787"/>
      <c r="Z272" s="787"/>
      <c r="AA272" s="787"/>
      <c r="AB272" s="786"/>
      <c r="AC272" s="787"/>
      <c r="AD272" s="787"/>
      <c r="AE272" s="787"/>
      <c r="AF272" s="786"/>
      <c r="AG272" s="787"/>
      <c r="AH272" s="787"/>
      <c r="AI272" s="787"/>
      <c r="AJ272" s="786"/>
      <c r="AK272" s="787"/>
      <c r="AL272" s="787"/>
      <c r="AM272" s="787"/>
      <c r="AN272" s="786"/>
      <c r="AO272" s="787"/>
      <c r="AP272" s="787"/>
      <c r="AQ272" s="787"/>
      <c r="AR272" s="786"/>
      <c r="AS272" s="787"/>
      <c r="AT272" s="787"/>
      <c r="AU272" s="787"/>
      <c r="AV272" s="786"/>
      <c r="AW272" s="787"/>
      <c r="AX272" s="787"/>
      <c r="AY272" s="787"/>
      <c r="AZ272" s="780"/>
      <c r="BA272" s="780"/>
      <c r="BB272" s="780"/>
      <c r="BC272" s="780"/>
      <c r="BD272" s="541"/>
      <c r="BE272" s="541"/>
      <c r="BF272" s="541"/>
      <c r="BG272" s="541"/>
      <c r="BH272" s="780"/>
      <c r="BI272" s="780"/>
      <c r="BJ272" s="780"/>
      <c r="BK272" s="780"/>
      <c r="BL272" s="641" t="s">
        <v>436</v>
      </c>
      <c r="BM272" s="509">
        <f>SUM(BM250,BM258,BM266)</f>
        <v>312300</v>
      </c>
    </row>
    <row r="273" ht="12.75" customHeight="1">
      <c r="A273" s="788"/>
      <c r="B273" s="521"/>
      <c r="C273" s="515"/>
      <c r="D273" s="515"/>
      <c r="E273" s="515"/>
      <c r="F273" s="515"/>
      <c r="G273" s="515"/>
      <c r="H273" s="515"/>
      <c r="I273" s="515"/>
      <c r="J273" s="515"/>
      <c r="K273" s="515"/>
      <c r="L273" s="515"/>
      <c r="M273" s="515"/>
      <c r="N273" s="515"/>
      <c r="O273" s="533"/>
      <c r="P273" s="786"/>
      <c r="Q273" s="787"/>
      <c r="R273" s="787"/>
      <c r="S273" s="787"/>
      <c r="T273" s="786"/>
      <c r="U273" s="787"/>
      <c r="V273" s="787"/>
      <c r="W273" s="787"/>
      <c r="X273" s="786"/>
      <c r="Y273" s="787"/>
      <c r="Z273" s="787"/>
      <c r="AA273" s="787"/>
      <c r="AB273" s="786"/>
      <c r="AC273" s="787"/>
      <c r="AD273" s="787"/>
      <c r="AE273" s="787"/>
      <c r="AF273" s="786"/>
      <c r="AG273" s="787"/>
      <c r="AH273" s="787"/>
      <c r="AI273" s="787"/>
      <c r="AJ273" s="786"/>
      <c r="AK273" s="787"/>
      <c r="AL273" s="787"/>
      <c r="AM273" s="787"/>
      <c r="AN273" s="786"/>
      <c r="AO273" s="787"/>
      <c r="AP273" s="787"/>
      <c r="AQ273" s="787"/>
      <c r="AR273" s="786"/>
      <c r="AS273" s="787"/>
      <c r="AT273" s="787"/>
      <c r="AU273" s="787"/>
      <c r="AV273" s="786"/>
      <c r="AW273" s="787"/>
      <c r="AX273" s="787"/>
      <c r="AY273" s="787"/>
      <c r="AZ273" s="780"/>
      <c r="BA273" s="780"/>
      <c r="BB273" s="780"/>
      <c r="BC273" s="780"/>
      <c r="BD273" s="541"/>
      <c r="BE273" s="541"/>
      <c r="BF273" s="541"/>
      <c r="BG273" s="541"/>
      <c r="BH273" s="780"/>
      <c r="BI273" s="780"/>
      <c r="BJ273" s="780"/>
      <c r="BK273" s="780"/>
      <c r="BL273" s="780"/>
      <c r="BM273" s="780"/>
    </row>
    <row r="274" ht="12.75" customHeight="1">
      <c r="A274" s="788"/>
      <c r="B274" s="521"/>
      <c r="C274" s="489" t="s">
        <v>437</v>
      </c>
      <c r="D274" s="490"/>
      <c r="E274" s="490"/>
      <c r="F274" s="490"/>
      <c r="G274" s="490"/>
      <c r="H274" s="490"/>
      <c r="I274" s="490"/>
      <c r="J274" s="490"/>
      <c r="K274" s="490"/>
      <c r="L274" s="490"/>
      <c r="M274" s="490"/>
      <c r="N274" s="491"/>
      <c r="O274" s="533"/>
      <c r="P274" s="782" t="s">
        <v>432</v>
      </c>
      <c r="Q274" s="494"/>
      <c r="R274" s="494"/>
      <c r="S274" s="495"/>
      <c r="T274" s="782" t="s">
        <v>433</v>
      </c>
      <c r="U274" s="494"/>
      <c r="V274" s="494"/>
      <c r="W274" s="495"/>
      <c r="X274" s="782" t="s">
        <v>342</v>
      </c>
      <c r="Y274" s="494"/>
      <c r="Z274" s="494"/>
      <c r="AA274" s="495"/>
      <c r="AB274" s="782" t="s">
        <v>343</v>
      </c>
      <c r="AC274" s="494"/>
      <c r="AD274" s="494"/>
      <c r="AE274" s="495"/>
      <c r="AF274" s="782" t="s">
        <v>344</v>
      </c>
      <c r="AG274" s="494"/>
      <c r="AH274" s="494"/>
      <c r="AI274" s="495"/>
      <c r="AJ274" s="782" t="s">
        <v>345</v>
      </c>
      <c r="AK274" s="494"/>
      <c r="AL274" s="494"/>
      <c r="AM274" s="495"/>
      <c r="AN274" s="782" t="s">
        <v>346</v>
      </c>
      <c r="AO274" s="494"/>
      <c r="AP274" s="494"/>
      <c r="AQ274" s="495"/>
      <c r="AR274" s="782" t="s">
        <v>438</v>
      </c>
      <c r="AS274" s="494"/>
      <c r="AT274" s="494"/>
      <c r="AU274" s="495"/>
      <c r="AV274" s="782" t="s">
        <v>348</v>
      </c>
      <c r="AW274" s="494"/>
      <c r="AX274" s="494"/>
      <c r="AY274" s="495"/>
      <c r="AZ274" s="782" t="s">
        <v>349</v>
      </c>
      <c r="BA274" s="494"/>
      <c r="BB274" s="494"/>
      <c r="BC274" s="495"/>
      <c r="BD274" s="782" t="s">
        <v>350</v>
      </c>
      <c r="BE274" s="494"/>
      <c r="BF274" s="494"/>
      <c r="BG274" s="495"/>
      <c r="BH274" s="782" t="s">
        <v>351</v>
      </c>
      <c r="BI274" s="494"/>
      <c r="BJ274" s="494"/>
      <c r="BK274" s="495"/>
      <c r="BL274" s="754"/>
      <c r="BM274" s="754"/>
    </row>
    <row r="275" ht="12.75" customHeight="1">
      <c r="A275" s="789"/>
      <c r="B275" s="521"/>
      <c r="C275" s="502"/>
      <c r="N275" s="503"/>
      <c r="O275" s="533"/>
      <c r="P275" s="547" t="s">
        <v>353</v>
      </c>
      <c r="Q275" s="506"/>
      <c r="R275" s="506"/>
      <c r="S275" s="507"/>
      <c r="T275" s="547" t="s">
        <v>353</v>
      </c>
      <c r="U275" s="506"/>
      <c r="V275" s="506"/>
      <c r="W275" s="507"/>
      <c r="X275" s="547" t="s">
        <v>353</v>
      </c>
      <c r="Y275" s="506"/>
      <c r="Z275" s="506"/>
      <c r="AA275" s="507"/>
      <c r="AB275" s="547" t="s">
        <v>353</v>
      </c>
      <c r="AC275" s="506"/>
      <c r="AD275" s="506"/>
      <c r="AE275" s="507"/>
      <c r="AF275" s="547" t="s">
        <v>353</v>
      </c>
      <c r="AG275" s="506"/>
      <c r="AH275" s="506"/>
      <c r="AI275" s="507"/>
      <c r="AJ275" s="547" t="s">
        <v>353</v>
      </c>
      <c r="AK275" s="506"/>
      <c r="AL275" s="506"/>
      <c r="AM275" s="507"/>
      <c r="AN275" s="547" t="s">
        <v>353</v>
      </c>
      <c r="AO275" s="506"/>
      <c r="AP275" s="506"/>
      <c r="AQ275" s="507"/>
      <c r="AR275" s="547" t="s">
        <v>353</v>
      </c>
      <c r="AS275" s="506"/>
      <c r="AT275" s="506"/>
      <c r="AU275" s="507"/>
      <c r="AV275" s="547" t="s">
        <v>353</v>
      </c>
      <c r="AW275" s="506"/>
      <c r="AX275" s="506"/>
      <c r="AY275" s="507"/>
      <c r="AZ275" s="547" t="s">
        <v>353</v>
      </c>
      <c r="BA275" s="506"/>
      <c r="BB275" s="506"/>
      <c r="BC275" s="507"/>
      <c r="BD275" s="547" t="s">
        <v>353</v>
      </c>
      <c r="BE275" s="506"/>
      <c r="BF275" s="506"/>
      <c r="BG275" s="507"/>
      <c r="BH275" s="547" t="s">
        <v>353</v>
      </c>
      <c r="BI275" s="506"/>
      <c r="BJ275" s="506"/>
      <c r="BK275" s="507"/>
      <c r="BL275" s="562"/>
      <c r="BM275" s="562"/>
    </row>
    <row r="276" ht="12.75" customHeight="1">
      <c r="A276" s="790"/>
      <c r="B276" s="521"/>
      <c r="C276" s="512"/>
      <c r="D276" s="513"/>
      <c r="E276" s="513"/>
      <c r="F276" s="513"/>
      <c r="G276" s="513"/>
      <c r="H276" s="513"/>
      <c r="I276" s="513"/>
      <c r="J276" s="513"/>
      <c r="K276" s="513"/>
      <c r="L276" s="513"/>
      <c r="M276" s="513"/>
      <c r="N276" s="514"/>
      <c r="O276" s="533"/>
      <c r="P276" s="579">
        <v>0.0</v>
      </c>
      <c r="Q276" s="498"/>
      <c r="R276" s="498"/>
      <c r="S276" s="498"/>
      <c r="T276" s="579">
        <v>0.0</v>
      </c>
      <c r="U276" s="498"/>
      <c r="V276" s="498"/>
      <c r="W276" s="498"/>
      <c r="X276" s="579">
        <v>0.0</v>
      </c>
      <c r="Y276" s="498"/>
      <c r="Z276" s="498"/>
      <c r="AA276" s="498"/>
      <c r="AB276" s="579">
        <v>0.0</v>
      </c>
      <c r="AC276" s="498"/>
      <c r="AD276" s="498"/>
      <c r="AE276" s="498"/>
      <c r="AF276" s="579">
        <v>0.0</v>
      </c>
      <c r="AG276" s="498"/>
      <c r="AH276" s="498"/>
      <c r="AI276" s="498"/>
      <c r="AJ276" s="579">
        <v>0.0</v>
      </c>
      <c r="AK276" s="498"/>
      <c r="AL276" s="498"/>
      <c r="AM276" s="498"/>
      <c r="AN276" s="579">
        <v>0.0</v>
      </c>
      <c r="AO276" s="498"/>
      <c r="AP276" s="498"/>
      <c r="AQ276" s="498"/>
      <c r="AR276" s="579">
        <v>0.0</v>
      </c>
      <c r="AS276" s="498"/>
      <c r="AT276" s="498"/>
      <c r="AU276" s="498"/>
      <c r="AV276" s="579">
        <v>0.0</v>
      </c>
      <c r="AW276" s="498"/>
      <c r="AX276" s="498"/>
      <c r="AY276" s="498"/>
      <c r="AZ276" s="579">
        <v>0.0</v>
      </c>
      <c r="BA276" s="498"/>
      <c r="BB276" s="498"/>
      <c r="BC276" s="498"/>
      <c r="BD276" s="579">
        <v>0.0</v>
      </c>
      <c r="BE276" s="498"/>
      <c r="BF276" s="498"/>
      <c r="BG276" s="498"/>
      <c r="BH276" s="579">
        <v>0.0</v>
      </c>
      <c r="BI276" s="498"/>
      <c r="BJ276" s="498"/>
      <c r="BK276" s="498"/>
      <c r="BL276" s="519"/>
      <c r="BM276" s="519">
        <f>SUM(P276:BL276)</f>
        <v>0</v>
      </c>
    </row>
    <row r="277" ht="12.75" customHeight="1">
      <c r="A277" s="520" t="s">
        <v>353</v>
      </c>
      <c r="B277" s="521"/>
      <c r="C277" s="552" t="s">
        <v>354</v>
      </c>
      <c r="D277" s="552" t="s">
        <v>355</v>
      </c>
      <c r="E277" s="552" t="s">
        <v>356</v>
      </c>
      <c r="F277" s="552" t="s">
        <v>357</v>
      </c>
      <c r="G277" s="552" t="s">
        <v>5</v>
      </c>
      <c r="H277" s="552" t="s">
        <v>358</v>
      </c>
      <c r="I277" s="552" t="s">
        <v>359</v>
      </c>
      <c r="J277" s="552" t="s">
        <v>360</v>
      </c>
      <c r="K277" s="552" t="s">
        <v>361</v>
      </c>
      <c r="L277" s="552" t="s">
        <v>362</v>
      </c>
      <c r="M277" s="552" t="s">
        <v>363</v>
      </c>
      <c r="N277" s="552" t="s">
        <v>364</v>
      </c>
      <c r="O277" s="533"/>
      <c r="P277" s="791" t="s">
        <v>319</v>
      </c>
      <c r="Q277" s="791" t="s">
        <v>365</v>
      </c>
      <c r="R277" s="791" t="s">
        <v>366</v>
      </c>
      <c r="S277" s="791" t="s">
        <v>367</v>
      </c>
      <c r="T277" s="791" t="s">
        <v>319</v>
      </c>
      <c r="U277" s="791" t="s">
        <v>365</v>
      </c>
      <c r="V277" s="791" t="s">
        <v>366</v>
      </c>
      <c r="W277" s="791" t="s">
        <v>367</v>
      </c>
      <c r="X277" s="791" t="s">
        <v>319</v>
      </c>
      <c r="Y277" s="791" t="s">
        <v>365</v>
      </c>
      <c r="Z277" s="791" t="s">
        <v>366</v>
      </c>
      <c r="AA277" s="791" t="s">
        <v>367</v>
      </c>
      <c r="AB277" s="791" t="s">
        <v>319</v>
      </c>
      <c r="AC277" s="791" t="s">
        <v>365</v>
      </c>
      <c r="AD277" s="791" t="s">
        <v>366</v>
      </c>
      <c r="AE277" s="791" t="s">
        <v>367</v>
      </c>
      <c r="AF277" s="791" t="s">
        <v>319</v>
      </c>
      <c r="AG277" s="791" t="s">
        <v>365</v>
      </c>
      <c r="AH277" s="791" t="s">
        <v>366</v>
      </c>
      <c r="AI277" s="791" t="s">
        <v>367</v>
      </c>
      <c r="AJ277" s="791" t="s">
        <v>319</v>
      </c>
      <c r="AK277" s="791" t="s">
        <v>365</v>
      </c>
      <c r="AL277" s="791" t="s">
        <v>366</v>
      </c>
      <c r="AM277" s="791" t="s">
        <v>367</v>
      </c>
      <c r="AN277" s="791" t="s">
        <v>319</v>
      </c>
      <c r="AO277" s="791" t="s">
        <v>365</v>
      </c>
      <c r="AP277" s="791" t="s">
        <v>366</v>
      </c>
      <c r="AQ277" s="791" t="s">
        <v>367</v>
      </c>
      <c r="AR277" s="791" t="s">
        <v>319</v>
      </c>
      <c r="AS277" s="791" t="s">
        <v>365</v>
      </c>
      <c r="AT277" s="791" t="s">
        <v>366</v>
      </c>
      <c r="AU277" s="791" t="s">
        <v>367</v>
      </c>
      <c r="AV277" s="791" t="s">
        <v>319</v>
      </c>
      <c r="AW277" s="791" t="s">
        <v>365</v>
      </c>
      <c r="AX277" s="791" t="s">
        <v>366</v>
      </c>
      <c r="AY277" s="791" t="s">
        <v>367</v>
      </c>
      <c r="AZ277" s="791" t="s">
        <v>319</v>
      </c>
      <c r="BA277" s="791" t="s">
        <v>365</v>
      </c>
      <c r="BB277" s="791" t="s">
        <v>366</v>
      </c>
      <c r="BC277" s="791" t="s">
        <v>367</v>
      </c>
      <c r="BD277" s="791" t="s">
        <v>319</v>
      </c>
      <c r="BE277" s="791" t="s">
        <v>365</v>
      </c>
      <c r="BF277" s="791" t="s">
        <v>366</v>
      </c>
      <c r="BG277" s="791" t="s">
        <v>367</v>
      </c>
      <c r="BH277" s="791" t="s">
        <v>319</v>
      </c>
      <c r="BI277" s="791" t="s">
        <v>365</v>
      </c>
      <c r="BJ277" s="791" t="s">
        <v>366</v>
      </c>
      <c r="BK277" s="791" t="s">
        <v>367</v>
      </c>
      <c r="BL277" s="533"/>
      <c r="BM277" s="533"/>
    </row>
    <row r="278" ht="12.75" customHeight="1">
      <c r="A278" s="792" t="s">
        <v>439</v>
      </c>
      <c r="B278" s="521"/>
      <c r="C278" s="596">
        <f>HSU!B110</f>
        <v>60</v>
      </c>
      <c r="D278" s="596">
        <f>HSU!C110</f>
        <v>60</v>
      </c>
      <c r="E278" s="596">
        <f>HSU!D110</f>
        <v>65</v>
      </c>
      <c r="F278" s="596">
        <f>HSU!E110</f>
        <v>75</v>
      </c>
      <c r="G278" s="596">
        <f>HSU!F110</f>
        <v>85</v>
      </c>
      <c r="H278" s="596">
        <f>HSU!G110</f>
        <v>90</v>
      </c>
      <c r="I278" s="596">
        <f>HSU!H110</f>
        <v>100</v>
      </c>
      <c r="J278" s="596">
        <f>HSU!I110</f>
        <v>90</v>
      </c>
      <c r="K278" s="596">
        <f>HSU!J110</f>
        <v>105</v>
      </c>
      <c r="L278" s="596">
        <f>HSU!K110</f>
        <v>95</v>
      </c>
      <c r="M278" s="596">
        <f>HSU!L110</f>
        <v>95</v>
      </c>
      <c r="N278" s="596">
        <f>HSU!M110</f>
        <v>105</v>
      </c>
      <c r="O278" s="533"/>
      <c r="P278" s="793">
        <f t="shared" ref="P278:P281" si="672">SUM(C278:N278)</f>
        <v>1025</v>
      </c>
      <c r="Q278" s="794">
        <f>P276/8</f>
        <v>0</v>
      </c>
      <c r="R278" s="794">
        <f>(P276/2)*(P278/P282)</f>
        <v>0</v>
      </c>
      <c r="S278" s="794">
        <f t="shared" ref="S278:S281" si="673">SUM(Q278:R278)</f>
        <v>0</v>
      </c>
      <c r="T278" s="793">
        <f t="shared" ref="T278:T281" si="674">SUM(C278:N278)</f>
        <v>1025</v>
      </c>
      <c r="U278" s="794">
        <f>T276/8</f>
        <v>0</v>
      </c>
      <c r="V278" s="794">
        <f>(T276/2)*(T278/T282)</f>
        <v>0</v>
      </c>
      <c r="W278" s="794">
        <f t="shared" ref="W278:W281" si="675">SUM(U278:V278)</f>
        <v>0</v>
      </c>
      <c r="X278" s="793">
        <f t="shared" ref="X278:X281" si="676">SUM(C278:N278)</f>
        <v>1025</v>
      </c>
      <c r="Y278" s="794">
        <f>X276/8</f>
        <v>0</v>
      </c>
      <c r="Z278" s="794">
        <f>(X276/2)*(X278/X282)</f>
        <v>0</v>
      </c>
      <c r="AA278" s="794">
        <f t="shared" ref="AA278:AA281" si="677">SUM(Y278:Z278)</f>
        <v>0</v>
      </c>
      <c r="AB278" s="793">
        <f t="shared" ref="AB278:AB281" si="678">SUM(C278:N278)</f>
        <v>1025</v>
      </c>
      <c r="AC278" s="794">
        <f>AB276/8</f>
        <v>0</v>
      </c>
      <c r="AD278" s="794">
        <f>(AB276/2)*(AB278/AB282)</f>
        <v>0</v>
      </c>
      <c r="AE278" s="794">
        <f t="shared" ref="AE278:AE281" si="679">SUM(AC278:AD278)</f>
        <v>0</v>
      </c>
      <c r="AF278" s="793">
        <f t="shared" ref="AF278:AF281" si="680">SUM(C278:N278)</f>
        <v>1025</v>
      </c>
      <c r="AG278" s="794">
        <f>AF276/8</f>
        <v>0</v>
      </c>
      <c r="AH278" s="794">
        <f>(AF276/2)*(AF278/AF282)</f>
        <v>0</v>
      </c>
      <c r="AI278" s="794">
        <f t="shared" ref="AI278:AI281" si="681">SUM(AG278:AH278)</f>
        <v>0</v>
      </c>
      <c r="AJ278" s="793">
        <f t="shared" ref="AJ278:AJ281" si="682">SUM(C278:N278)</f>
        <v>1025</v>
      </c>
      <c r="AK278" s="794">
        <f>AJ276/8</f>
        <v>0</v>
      </c>
      <c r="AL278" s="794">
        <f>(AJ276/2)*(AJ278/AJ282)</f>
        <v>0</v>
      </c>
      <c r="AM278" s="794">
        <f t="shared" ref="AM278:AM281" si="683">SUM(AK278:AL278)</f>
        <v>0</v>
      </c>
      <c r="AN278" s="793">
        <f t="shared" ref="AN278:AN281" si="684">SUM(C278:N278)</f>
        <v>1025</v>
      </c>
      <c r="AO278" s="794">
        <f>AN276/8</f>
        <v>0</v>
      </c>
      <c r="AP278" s="794">
        <f>(AN276/2)*(AN278/AN282)</f>
        <v>0</v>
      </c>
      <c r="AQ278" s="794">
        <f t="shared" ref="AQ278:AQ281" si="685">SUM(AO278:AP278)</f>
        <v>0</v>
      </c>
      <c r="AR278" s="793">
        <f t="shared" ref="AR278:AR281" si="686">SUM(C278:N278)</f>
        <v>1025</v>
      </c>
      <c r="AS278" s="794">
        <f>AR276/8</f>
        <v>0</v>
      </c>
      <c r="AT278" s="794">
        <f>(AR276/2)*(AR278/AR282)</f>
        <v>0</v>
      </c>
      <c r="AU278" s="794">
        <f t="shared" ref="AU278:AU281" si="687">SUM(AS278:AT278)</f>
        <v>0</v>
      </c>
      <c r="AV278" s="793">
        <f t="shared" ref="AV278:AV281" si="688">SUM(C278:N278)</f>
        <v>1025</v>
      </c>
      <c r="AW278" s="794">
        <f>AV276/8</f>
        <v>0</v>
      </c>
      <c r="AX278" s="794">
        <f>(AV276/2)*(AV278/AV282)</f>
        <v>0</v>
      </c>
      <c r="AY278" s="794">
        <f t="shared" ref="AY278:AY281" si="689">SUM(AW278:AX278)</f>
        <v>0</v>
      </c>
      <c r="AZ278" s="793">
        <f t="shared" ref="AZ278:AZ281" si="690">SUM(C278:N278)</f>
        <v>1025</v>
      </c>
      <c r="BA278" s="794">
        <f>AZ276/8</f>
        <v>0</v>
      </c>
      <c r="BB278" s="794">
        <f>(AZ276/2)*(AZ278/AZ282)</f>
        <v>0</v>
      </c>
      <c r="BC278" s="794">
        <f t="shared" ref="BC278:BC281" si="691">SUM(BA278:BB278)</f>
        <v>0</v>
      </c>
      <c r="BD278" s="793">
        <f t="shared" ref="BD278:BD281" si="692">SUM(C278:N278)</f>
        <v>1025</v>
      </c>
      <c r="BE278" s="794">
        <f>BD276/8</f>
        <v>0</v>
      </c>
      <c r="BF278" s="794">
        <f>(BD276/2)*(BD278/BD282)</f>
        <v>0</v>
      </c>
      <c r="BG278" s="794">
        <f t="shared" ref="BG278:BG281" si="693">SUM(BE278:BF278)</f>
        <v>0</v>
      </c>
      <c r="BH278" s="793">
        <f t="shared" ref="BH278:BH281" si="694">SUM(C278:N278)</f>
        <v>1025</v>
      </c>
      <c r="BI278" s="794">
        <f>BH276/8</f>
        <v>0</v>
      </c>
      <c r="BJ278" s="794">
        <f>(BH276/2)*(BH278/BH282)</f>
        <v>0</v>
      </c>
      <c r="BK278" s="794">
        <f t="shared" ref="BK278:BK281" si="695">SUM(BI278:BJ278)</f>
        <v>0</v>
      </c>
      <c r="BL278" s="555"/>
      <c r="BM278" s="555"/>
    </row>
    <row r="279" ht="12.75" customHeight="1">
      <c r="A279" s="792" t="s">
        <v>440</v>
      </c>
      <c r="B279" s="521"/>
      <c r="C279" s="596">
        <f>MZ!B110</f>
        <v>35</v>
      </c>
      <c r="D279" s="596">
        <f>MZ!C110</f>
        <v>45</v>
      </c>
      <c r="E279" s="596">
        <f>MZ!D110</f>
        <v>40</v>
      </c>
      <c r="F279" s="596">
        <f>MZ!E110</f>
        <v>30</v>
      </c>
      <c r="G279" s="596">
        <f>MZ!F110</f>
        <v>30</v>
      </c>
      <c r="H279" s="596">
        <f>MZ!G110</f>
        <v>35</v>
      </c>
      <c r="I279" s="596">
        <f>MZ!H110</f>
        <v>40</v>
      </c>
      <c r="J279" s="596">
        <f>MZ!I110</f>
        <v>35</v>
      </c>
      <c r="K279" s="596">
        <f>MZ!J110</f>
        <v>40</v>
      </c>
      <c r="L279" s="596">
        <f>MZ!K110</f>
        <v>40</v>
      </c>
      <c r="M279" s="596">
        <f>MZ!L110</f>
        <v>40</v>
      </c>
      <c r="N279" s="596">
        <f>MZ!M110</f>
        <v>40</v>
      </c>
      <c r="O279" s="533"/>
      <c r="P279" s="793">
        <f t="shared" si="672"/>
        <v>450</v>
      </c>
      <c r="Q279" s="795">
        <f>P276/8</f>
        <v>0</v>
      </c>
      <c r="R279" s="795">
        <f>(P276/2)*(P279/P282)</f>
        <v>0</v>
      </c>
      <c r="S279" s="794">
        <f t="shared" si="673"/>
        <v>0</v>
      </c>
      <c r="T279" s="793">
        <f t="shared" si="674"/>
        <v>450</v>
      </c>
      <c r="U279" s="795">
        <f>T276/8</f>
        <v>0</v>
      </c>
      <c r="V279" s="795">
        <f>(T276/2)*(T279/T282)</f>
        <v>0</v>
      </c>
      <c r="W279" s="794">
        <f t="shared" si="675"/>
        <v>0</v>
      </c>
      <c r="X279" s="793">
        <f t="shared" si="676"/>
        <v>450</v>
      </c>
      <c r="Y279" s="795">
        <f>X276/8</f>
        <v>0</v>
      </c>
      <c r="Z279" s="795">
        <f>(X276/2)*(X279/X282)</f>
        <v>0</v>
      </c>
      <c r="AA279" s="794">
        <f t="shared" si="677"/>
        <v>0</v>
      </c>
      <c r="AB279" s="793">
        <f t="shared" si="678"/>
        <v>450</v>
      </c>
      <c r="AC279" s="795">
        <f>AB276/8</f>
        <v>0</v>
      </c>
      <c r="AD279" s="795">
        <f>(AB276/2)*(AB279/AB282)</f>
        <v>0</v>
      </c>
      <c r="AE279" s="794">
        <f t="shared" si="679"/>
        <v>0</v>
      </c>
      <c r="AF279" s="793">
        <f t="shared" si="680"/>
        <v>450</v>
      </c>
      <c r="AG279" s="795">
        <f>AF276/8</f>
        <v>0</v>
      </c>
      <c r="AH279" s="795">
        <f>(AF276/2)*(AF279/AF282)</f>
        <v>0</v>
      </c>
      <c r="AI279" s="794">
        <f t="shared" si="681"/>
        <v>0</v>
      </c>
      <c r="AJ279" s="793">
        <f t="shared" si="682"/>
        <v>450</v>
      </c>
      <c r="AK279" s="795">
        <f>AJ276/8</f>
        <v>0</v>
      </c>
      <c r="AL279" s="795">
        <f>(AJ276/2)*(AJ279/AJ282)</f>
        <v>0</v>
      </c>
      <c r="AM279" s="794">
        <f t="shared" si="683"/>
        <v>0</v>
      </c>
      <c r="AN279" s="793">
        <f t="shared" si="684"/>
        <v>450</v>
      </c>
      <c r="AO279" s="795">
        <f>AN276/8</f>
        <v>0</v>
      </c>
      <c r="AP279" s="795">
        <f>(AN276/2)*(AN279/AN282)</f>
        <v>0</v>
      </c>
      <c r="AQ279" s="794">
        <f t="shared" si="685"/>
        <v>0</v>
      </c>
      <c r="AR279" s="793">
        <f t="shared" si="686"/>
        <v>450</v>
      </c>
      <c r="AS279" s="795">
        <f>AR276/8</f>
        <v>0</v>
      </c>
      <c r="AT279" s="795">
        <f>(AR276/2)*(AR279/AR282)</f>
        <v>0</v>
      </c>
      <c r="AU279" s="794">
        <f t="shared" si="687"/>
        <v>0</v>
      </c>
      <c r="AV279" s="793">
        <f t="shared" si="688"/>
        <v>450</v>
      </c>
      <c r="AW279" s="795">
        <f>AV276/8</f>
        <v>0</v>
      </c>
      <c r="AX279" s="795">
        <f>(AV276/2)*(AV279/AV282)</f>
        <v>0</v>
      </c>
      <c r="AY279" s="794">
        <f t="shared" si="689"/>
        <v>0</v>
      </c>
      <c r="AZ279" s="793">
        <f t="shared" si="690"/>
        <v>450</v>
      </c>
      <c r="BA279" s="795">
        <f>AZ276/8</f>
        <v>0</v>
      </c>
      <c r="BB279" s="795">
        <f>(AZ276/2)*(AZ279/AZ282)</f>
        <v>0</v>
      </c>
      <c r="BC279" s="794">
        <f t="shared" si="691"/>
        <v>0</v>
      </c>
      <c r="BD279" s="793">
        <f t="shared" si="692"/>
        <v>450</v>
      </c>
      <c r="BE279" s="795">
        <f>BD276/8</f>
        <v>0</v>
      </c>
      <c r="BF279" s="795">
        <f>(BD276/2)*(BD279/BD282)</f>
        <v>0</v>
      </c>
      <c r="BG279" s="794">
        <f t="shared" si="693"/>
        <v>0</v>
      </c>
      <c r="BH279" s="793">
        <f t="shared" si="694"/>
        <v>450</v>
      </c>
      <c r="BI279" s="795">
        <f>BH276/8</f>
        <v>0</v>
      </c>
      <c r="BJ279" s="795">
        <f>(BH276/2)*(BH279/BH282)</f>
        <v>0</v>
      </c>
      <c r="BK279" s="794">
        <f t="shared" si="695"/>
        <v>0</v>
      </c>
      <c r="BL279" s="555"/>
      <c r="BM279" s="555"/>
    </row>
    <row r="280" ht="12.75" customHeight="1">
      <c r="A280" s="796" t="s">
        <v>387</v>
      </c>
      <c r="B280" s="521"/>
      <c r="C280" s="596">
        <f>HVW!B110</f>
        <v>40</v>
      </c>
      <c r="D280" s="596">
        <f>HVW!C110</f>
        <v>40</v>
      </c>
      <c r="E280" s="596">
        <f>HVW!D110</f>
        <v>45</v>
      </c>
      <c r="F280" s="596">
        <f>HVW!E110</f>
        <v>50</v>
      </c>
      <c r="G280" s="596">
        <f>HVW!F110</f>
        <v>50</v>
      </c>
      <c r="H280" s="596">
        <f>HVW!G110</f>
        <v>50</v>
      </c>
      <c r="I280" s="596">
        <f>HVW!H110</f>
        <v>50</v>
      </c>
      <c r="J280" s="596">
        <f>HVW!I110</f>
        <v>50</v>
      </c>
      <c r="K280" s="596">
        <f>HVW!J110</f>
        <v>55</v>
      </c>
      <c r="L280" s="596">
        <f>HVW!K110</f>
        <v>60</v>
      </c>
      <c r="M280" s="596">
        <f>HVW!L110</f>
        <v>55</v>
      </c>
      <c r="N280" s="596">
        <f>HVW!M110</f>
        <v>60</v>
      </c>
      <c r="O280" s="533"/>
      <c r="P280" s="793">
        <f t="shared" si="672"/>
        <v>605</v>
      </c>
      <c r="Q280" s="795">
        <f>P276/8</f>
        <v>0</v>
      </c>
      <c r="R280" s="795">
        <f>(P276/2)*(P280/P282)</f>
        <v>0</v>
      </c>
      <c r="S280" s="794">
        <f t="shared" si="673"/>
        <v>0</v>
      </c>
      <c r="T280" s="793">
        <f t="shared" si="674"/>
        <v>605</v>
      </c>
      <c r="U280" s="795">
        <f>T276/8</f>
        <v>0</v>
      </c>
      <c r="V280" s="795">
        <f>(T276/2)*(T280/T282)</f>
        <v>0</v>
      </c>
      <c r="W280" s="794">
        <f t="shared" si="675"/>
        <v>0</v>
      </c>
      <c r="X280" s="793">
        <f t="shared" si="676"/>
        <v>605</v>
      </c>
      <c r="Y280" s="795">
        <f>X276/8</f>
        <v>0</v>
      </c>
      <c r="Z280" s="795">
        <f>(X276/2)*(X280/X282)</f>
        <v>0</v>
      </c>
      <c r="AA280" s="794">
        <f t="shared" si="677"/>
        <v>0</v>
      </c>
      <c r="AB280" s="793">
        <f t="shared" si="678"/>
        <v>605</v>
      </c>
      <c r="AC280" s="795">
        <f>AB276/8</f>
        <v>0</v>
      </c>
      <c r="AD280" s="795">
        <f>(AB276/2)*(AB280/AB282)</f>
        <v>0</v>
      </c>
      <c r="AE280" s="794">
        <f t="shared" si="679"/>
        <v>0</v>
      </c>
      <c r="AF280" s="793">
        <f t="shared" si="680"/>
        <v>605</v>
      </c>
      <c r="AG280" s="795">
        <f>AF276/8</f>
        <v>0</v>
      </c>
      <c r="AH280" s="795">
        <f>(AF276/2)*(AF280/AF282)</f>
        <v>0</v>
      </c>
      <c r="AI280" s="794">
        <f t="shared" si="681"/>
        <v>0</v>
      </c>
      <c r="AJ280" s="793">
        <f t="shared" si="682"/>
        <v>605</v>
      </c>
      <c r="AK280" s="795">
        <f>AJ276/8</f>
        <v>0</v>
      </c>
      <c r="AL280" s="795">
        <f>(AJ276/2)*(AJ280/AJ282)</f>
        <v>0</v>
      </c>
      <c r="AM280" s="794">
        <f t="shared" si="683"/>
        <v>0</v>
      </c>
      <c r="AN280" s="793">
        <f t="shared" si="684"/>
        <v>605</v>
      </c>
      <c r="AO280" s="795">
        <f>AN276/8</f>
        <v>0</v>
      </c>
      <c r="AP280" s="795">
        <f>(AN276/2)*(AN280/AN282)</f>
        <v>0</v>
      </c>
      <c r="AQ280" s="794">
        <f t="shared" si="685"/>
        <v>0</v>
      </c>
      <c r="AR280" s="793">
        <f t="shared" si="686"/>
        <v>605</v>
      </c>
      <c r="AS280" s="795">
        <f>AR276/8</f>
        <v>0</v>
      </c>
      <c r="AT280" s="795">
        <f>(AR276/2)*(AR280/AR282)</f>
        <v>0</v>
      </c>
      <c r="AU280" s="794">
        <f t="shared" si="687"/>
        <v>0</v>
      </c>
      <c r="AV280" s="793">
        <f t="shared" si="688"/>
        <v>605</v>
      </c>
      <c r="AW280" s="795">
        <f>AV276/8</f>
        <v>0</v>
      </c>
      <c r="AX280" s="795">
        <f>(AV276/2)*(AV280/AV282)</f>
        <v>0</v>
      </c>
      <c r="AY280" s="794">
        <f t="shared" si="689"/>
        <v>0</v>
      </c>
      <c r="AZ280" s="793">
        <f t="shared" si="690"/>
        <v>605</v>
      </c>
      <c r="BA280" s="795">
        <f>AZ276/8</f>
        <v>0</v>
      </c>
      <c r="BB280" s="795">
        <f>(AZ276/2)*(AZ280/AZ282)</f>
        <v>0</v>
      </c>
      <c r="BC280" s="794">
        <f t="shared" si="691"/>
        <v>0</v>
      </c>
      <c r="BD280" s="793">
        <f t="shared" si="692"/>
        <v>605</v>
      </c>
      <c r="BE280" s="795">
        <f>BD276/8</f>
        <v>0</v>
      </c>
      <c r="BF280" s="795">
        <f>(BD276/2)*(BD280/BD282)</f>
        <v>0</v>
      </c>
      <c r="BG280" s="794">
        <f t="shared" si="693"/>
        <v>0</v>
      </c>
      <c r="BH280" s="793">
        <f t="shared" si="694"/>
        <v>605</v>
      </c>
      <c r="BI280" s="795">
        <f>BH276/8</f>
        <v>0</v>
      </c>
      <c r="BJ280" s="795">
        <f>(BH276/2)*(BH280/BH282)</f>
        <v>0</v>
      </c>
      <c r="BK280" s="794">
        <f t="shared" si="695"/>
        <v>0</v>
      </c>
      <c r="BL280" s="555"/>
      <c r="BM280" s="555"/>
    </row>
    <row r="281" ht="12.75" customHeight="1">
      <c r="A281" s="797" t="s">
        <v>441</v>
      </c>
      <c r="B281" s="521"/>
      <c r="C281" s="596">
        <f>BUGMC!B110</f>
        <v>30</v>
      </c>
      <c r="D281" s="596">
        <f>BUGMC!C110</f>
        <v>32</v>
      </c>
      <c r="E281" s="596">
        <f>BUGMC!D110</f>
        <v>38</v>
      </c>
      <c r="F281" s="596">
        <f>BUGMC!E110</f>
        <v>38</v>
      </c>
      <c r="G281" s="596">
        <f>BUGMC!F110</f>
        <v>43</v>
      </c>
      <c r="H281" s="596">
        <f>BUGMC!G110</f>
        <v>38</v>
      </c>
      <c r="I281" s="596">
        <f>BUGMC!H110</f>
        <v>38</v>
      </c>
      <c r="J281" s="596">
        <f>BUGMC!I110</f>
        <v>37</v>
      </c>
      <c r="K281" s="596">
        <f>BUGMC!J110</f>
        <v>30</v>
      </c>
      <c r="L281" s="596">
        <f>BUGMC!K110</f>
        <v>30</v>
      </c>
      <c r="M281" s="596">
        <f>BUGMC!L110</f>
        <v>35</v>
      </c>
      <c r="N281" s="596">
        <f>BUGMC!M110</f>
        <v>38</v>
      </c>
      <c r="O281" s="533"/>
      <c r="P281" s="793">
        <f t="shared" si="672"/>
        <v>427</v>
      </c>
      <c r="Q281" s="795">
        <f>P276/8</f>
        <v>0</v>
      </c>
      <c r="R281" s="795">
        <f>(P276/2)*(P281/P282)</f>
        <v>0</v>
      </c>
      <c r="S281" s="794">
        <f t="shared" si="673"/>
        <v>0</v>
      </c>
      <c r="T281" s="793">
        <f t="shared" si="674"/>
        <v>427</v>
      </c>
      <c r="U281" s="795">
        <f>T276/8</f>
        <v>0</v>
      </c>
      <c r="V281" s="795">
        <f>(T276/2)*(T281/T282)</f>
        <v>0</v>
      </c>
      <c r="W281" s="794">
        <f t="shared" si="675"/>
        <v>0</v>
      </c>
      <c r="X281" s="793">
        <f t="shared" si="676"/>
        <v>427</v>
      </c>
      <c r="Y281" s="795">
        <f>X276/8</f>
        <v>0</v>
      </c>
      <c r="Z281" s="795">
        <f>(X276/2)*(X281/X282)</f>
        <v>0</v>
      </c>
      <c r="AA281" s="794">
        <f t="shared" si="677"/>
        <v>0</v>
      </c>
      <c r="AB281" s="793">
        <f t="shared" si="678"/>
        <v>427</v>
      </c>
      <c r="AC281" s="795">
        <f>AB276/8</f>
        <v>0</v>
      </c>
      <c r="AD281" s="795">
        <f>(AB276/2)*(AB281/AB282)</f>
        <v>0</v>
      </c>
      <c r="AE281" s="794">
        <f t="shared" si="679"/>
        <v>0</v>
      </c>
      <c r="AF281" s="793">
        <f t="shared" si="680"/>
        <v>427</v>
      </c>
      <c r="AG281" s="795">
        <f>AF276/8</f>
        <v>0</v>
      </c>
      <c r="AH281" s="795">
        <f>(AF276/2)*(AF281/AF282)</f>
        <v>0</v>
      </c>
      <c r="AI281" s="794">
        <f t="shared" si="681"/>
        <v>0</v>
      </c>
      <c r="AJ281" s="793">
        <f t="shared" si="682"/>
        <v>427</v>
      </c>
      <c r="AK281" s="795">
        <f>AJ276/8</f>
        <v>0</v>
      </c>
      <c r="AL281" s="795">
        <f>(AJ276/2)*(AJ281/AJ282)</f>
        <v>0</v>
      </c>
      <c r="AM281" s="794">
        <f t="shared" si="683"/>
        <v>0</v>
      </c>
      <c r="AN281" s="793">
        <f t="shared" si="684"/>
        <v>427</v>
      </c>
      <c r="AO281" s="795">
        <f>AN276/8</f>
        <v>0</v>
      </c>
      <c r="AP281" s="795">
        <f>(AN276/2)*(AN281/AN282)</f>
        <v>0</v>
      </c>
      <c r="AQ281" s="794">
        <f t="shared" si="685"/>
        <v>0</v>
      </c>
      <c r="AR281" s="793">
        <f t="shared" si="686"/>
        <v>427</v>
      </c>
      <c r="AS281" s="795">
        <f>AR276/8</f>
        <v>0</v>
      </c>
      <c r="AT281" s="795">
        <f>(AR276/2)*(AR281/AR282)</f>
        <v>0</v>
      </c>
      <c r="AU281" s="794">
        <f t="shared" si="687"/>
        <v>0</v>
      </c>
      <c r="AV281" s="793">
        <f t="shared" si="688"/>
        <v>427</v>
      </c>
      <c r="AW281" s="795">
        <f>AV276/8</f>
        <v>0</v>
      </c>
      <c r="AX281" s="795">
        <f>(AV276/2)*(AV281/AV282)</f>
        <v>0</v>
      </c>
      <c r="AY281" s="794">
        <f t="shared" si="689"/>
        <v>0</v>
      </c>
      <c r="AZ281" s="793">
        <f t="shared" si="690"/>
        <v>427</v>
      </c>
      <c r="BA281" s="795">
        <f>AZ276/8</f>
        <v>0</v>
      </c>
      <c r="BB281" s="795">
        <f>(AZ276/2)*(AZ281/AZ282)</f>
        <v>0</v>
      </c>
      <c r="BC281" s="794">
        <f t="shared" si="691"/>
        <v>0</v>
      </c>
      <c r="BD281" s="793">
        <f t="shared" si="692"/>
        <v>427</v>
      </c>
      <c r="BE281" s="795">
        <f>BD276/8</f>
        <v>0</v>
      </c>
      <c r="BF281" s="795">
        <f>(BD276/2)*(BD281/BD282)</f>
        <v>0</v>
      </c>
      <c r="BG281" s="794">
        <f t="shared" si="693"/>
        <v>0</v>
      </c>
      <c r="BH281" s="793">
        <f t="shared" si="694"/>
        <v>427</v>
      </c>
      <c r="BI281" s="795">
        <f>BH276/8</f>
        <v>0</v>
      </c>
      <c r="BJ281" s="795">
        <f>(BH276/2)*(BH281/BH282)</f>
        <v>0</v>
      </c>
      <c r="BK281" s="794">
        <f t="shared" si="695"/>
        <v>0</v>
      </c>
      <c r="BL281" s="555"/>
      <c r="BM281" s="555"/>
    </row>
    <row r="282" ht="12.75" customHeight="1">
      <c r="A282" s="796"/>
      <c r="B282" s="521"/>
      <c r="C282" s="515"/>
      <c r="D282" s="515"/>
      <c r="E282" s="515"/>
      <c r="F282" s="515"/>
      <c r="G282" s="515"/>
      <c r="H282" s="515"/>
      <c r="I282" s="515"/>
      <c r="J282" s="515"/>
      <c r="K282" s="515"/>
      <c r="L282" s="515"/>
      <c r="M282" s="515"/>
      <c r="N282" s="515"/>
      <c r="O282" s="533"/>
      <c r="P282" s="791">
        <f t="shared" ref="P282:BK282" si="696">SUM(P278:P281)</f>
        <v>2507</v>
      </c>
      <c r="Q282" s="798">
        <f t="shared" si="696"/>
        <v>0</v>
      </c>
      <c r="R282" s="798">
        <f t="shared" si="696"/>
        <v>0</v>
      </c>
      <c r="S282" s="798">
        <f t="shared" si="696"/>
        <v>0</v>
      </c>
      <c r="T282" s="791">
        <f t="shared" si="696"/>
        <v>2507</v>
      </c>
      <c r="U282" s="798">
        <f t="shared" si="696"/>
        <v>0</v>
      </c>
      <c r="V282" s="798">
        <f t="shared" si="696"/>
        <v>0</v>
      </c>
      <c r="W282" s="798">
        <f t="shared" si="696"/>
        <v>0</v>
      </c>
      <c r="X282" s="791">
        <f t="shared" si="696"/>
        <v>2507</v>
      </c>
      <c r="Y282" s="798">
        <f t="shared" si="696"/>
        <v>0</v>
      </c>
      <c r="Z282" s="798">
        <f t="shared" si="696"/>
        <v>0</v>
      </c>
      <c r="AA282" s="798">
        <f t="shared" si="696"/>
        <v>0</v>
      </c>
      <c r="AB282" s="791">
        <f t="shared" si="696"/>
        <v>2507</v>
      </c>
      <c r="AC282" s="798">
        <f t="shared" si="696"/>
        <v>0</v>
      </c>
      <c r="AD282" s="798">
        <f t="shared" si="696"/>
        <v>0</v>
      </c>
      <c r="AE282" s="798">
        <f t="shared" si="696"/>
        <v>0</v>
      </c>
      <c r="AF282" s="791">
        <f t="shared" si="696"/>
        <v>2507</v>
      </c>
      <c r="AG282" s="798">
        <f t="shared" si="696"/>
        <v>0</v>
      </c>
      <c r="AH282" s="798">
        <f t="shared" si="696"/>
        <v>0</v>
      </c>
      <c r="AI282" s="798">
        <f t="shared" si="696"/>
        <v>0</v>
      </c>
      <c r="AJ282" s="791">
        <f t="shared" si="696"/>
        <v>2507</v>
      </c>
      <c r="AK282" s="798">
        <f t="shared" si="696"/>
        <v>0</v>
      </c>
      <c r="AL282" s="798">
        <f t="shared" si="696"/>
        <v>0</v>
      </c>
      <c r="AM282" s="798">
        <f t="shared" si="696"/>
        <v>0</v>
      </c>
      <c r="AN282" s="791">
        <f t="shared" si="696"/>
        <v>2507</v>
      </c>
      <c r="AO282" s="798">
        <f t="shared" si="696"/>
        <v>0</v>
      </c>
      <c r="AP282" s="798">
        <f t="shared" si="696"/>
        <v>0</v>
      </c>
      <c r="AQ282" s="798">
        <f t="shared" si="696"/>
        <v>0</v>
      </c>
      <c r="AR282" s="791">
        <f t="shared" si="696"/>
        <v>2507</v>
      </c>
      <c r="AS282" s="798">
        <f t="shared" si="696"/>
        <v>0</v>
      </c>
      <c r="AT282" s="798">
        <f t="shared" si="696"/>
        <v>0</v>
      </c>
      <c r="AU282" s="798">
        <f t="shared" si="696"/>
        <v>0</v>
      </c>
      <c r="AV282" s="791">
        <f t="shared" si="696"/>
        <v>2507</v>
      </c>
      <c r="AW282" s="798">
        <f t="shared" si="696"/>
        <v>0</v>
      </c>
      <c r="AX282" s="798">
        <f t="shared" si="696"/>
        <v>0</v>
      </c>
      <c r="AY282" s="798">
        <f t="shared" si="696"/>
        <v>0</v>
      </c>
      <c r="AZ282" s="791">
        <f t="shared" si="696"/>
        <v>2507</v>
      </c>
      <c r="BA282" s="798">
        <f t="shared" si="696"/>
        <v>0</v>
      </c>
      <c r="BB282" s="798">
        <f t="shared" si="696"/>
        <v>0</v>
      </c>
      <c r="BC282" s="798">
        <f t="shared" si="696"/>
        <v>0</v>
      </c>
      <c r="BD282" s="791">
        <f t="shared" si="696"/>
        <v>2507</v>
      </c>
      <c r="BE282" s="798">
        <f t="shared" si="696"/>
        <v>0</v>
      </c>
      <c r="BF282" s="798">
        <f t="shared" si="696"/>
        <v>0</v>
      </c>
      <c r="BG282" s="798">
        <f t="shared" si="696"/>
        <v>0</v>
      </c>
      <c r="BH282" s="791">
        <f t="shared" si="696"/>
        <v>2507</v>
      </c>
      <c r="BI282" s="798">
        <f t="shared" si="696"/>
        <v>0</v>
      </c>
      <c r="BJ282" s="798">
        <f t="shared" si="696"/>
        <v>0</v>
      </c>
      <c r="BK282" s="798">
        <f t="shared" si="696"/>
        <v>0</v>
      </c>
      <c r="BL282" s="557"/>
      <c r="BM282" s="557"/>
    </row>
    <row r="283" ht="12.75" customHeight="1">
      <c r="A283" s="797"/>
      <c r="B283" s="521"/>
      <c r="C283" s="515"/>
      <c r="D283" s="515"/>
      <c r="E283" s="515"/>
      <c r="F283" s="515"/>
      <c r="G283" s="515"/>
      <c r="H283" s="515"/>
      <c r="I283" s="515"/>
      <c r="J283" s="515"/>
      <c r="K283" s="515"/>
      <c r="L283" s="515"/>
      <c r="M283" s="515"/>
      <c r="N283" s="515"/>
      <c r="O283" s="533"/>
      <c r="P283" s="786"/>
      <c r="Q283" s="787"/>
      <c r="R283" s="787"/>
      <c r="S283" s="787"/>
      <c r="T283" s="786"/>
      <c r="U283" s="787"/>
      <c r="V283" s="787"/>
      <c r="W283" s="787"/>
      <c r="X283" s="786"/>
      <c r="Y283" s="787"/>
      <c r="Z283" s="787"/>
      <c r="AA283" s="787"/>
      <c r="AB283" s="786"/>
      <c r="AC283" s="787"/>
      <c r="AD283" s="787"/>
      <c r="AE283" s="787"/>
      <c r="AF283" s="786"/>
      <c r="AG283" s="787"/>
      <c r="AH283" s="787"/>
      <c r="AI283" s="787"/>
      <c r="AJ283" s="786"/>
      <c r="AK283" s="787"/>
      <c r="AL283" s="787"/>
      <c r="AM283" s="787"/>
      <c r="AN283" s="786"/>
      <c r="AO283" s="787"/>
      <c r="AP283" s="787"/>
      <c r="AQ283" s="787"/>
      <c r="AR283" s="786"/>
      <c r="AS283" s="787"/>
      <c r="AT283" s="787"/>
      <c r="AU283" s="787"/>
      <c r="AV283" s="786"/>
      <c r="AW283" s="787"/>
      <c r="AX283" s="787"/>
      <c r="AY283" s="787"/>
      <c r="AZ283" s="780"/>
      <c r="BA283" s="780"/>
      <c r="BB283" s="780"/>
      <c r="BC283" s="780"/>
      <c r="BD283" s="541"/>
      <c r="BE283" s="541"/>
      <c r="BF283" s="541"/>
      <c r="BG283" s="541"/>
      <c r="BH283" s="780"/>
      <c r="BI283" s="780"/>
      <c r="BJ283" s="780"/>
      <c r="BK283" s="780"/>
      <c r="BL283" s="780"/>
      <c r="BM283" s="780"/>
    </row>
    <row r="284" ht="12.75" customHeight="1">
      <c r="A284" s="799"/>
      <c r="B284" s="521"/>
      <c r="C284" s="515"/>
      <c r="D284" s="515"/>
      <c r="E284" s="515"/>
      <c r="F284" s="515"/>
      <c r="G284" s="515"/>
      <c r="H284" s="515"/>
      <c r="I284" s="515"/>
      <c r="J284" s="515"/>
      <c r="K284" s="515"/>
      <c r="L284" s="515"/>
      <c r="M284" s="515"/>
      <c r="N284" s="515"/>
      <c r="O284" s="533"/>
      <c r="P284" s="786"/>
      <c r="Q284" s="787"/>
      <c r="R284" s="787"/>
      <c r="S284" s="787"/>
      <c r="T284" s="786"/>
      <c r="U284" s="787"/>
      <c r="V284" s="787"/>
      <c r="W284" s="787"/>
      <c r="X284" s="786"/>
      <c r="Y284" s="787"/>
      <c r="Z284" s="787"/>
      <c r="AA284" s="787"/>
      <c r="AB284" s="786"/>
      <c r="AC284" s="787"/>
      <c r="AD284" s="787"/>
      <c r="AE284" s="787"/>
      <c r="AF284" s="786"/>
      <c r="AG284" s="787"/>
      <c r="AH284" s="787"/>
      <c r="AI284" s="787"/>
      <c r="AJ284" s="786"/>
      <c r="AK284" s="787"/>
      <c r="AL284" s="787"/>
      <c r="AM284" s="787"/>
      <c r="AN284" s="786"/>
      <c r="AO284" s="787"/>
      <c r="AP284" s="787"/>
      <c r="AQ284" s="787"/>
      <c r="AR284" s="786"/>
      <c r="AS284" s="787"/>
      <c r="AT284" s="787"/>
      <c r="AU284" s="787"/>
      <c r="AV284" s="786"/>
      <c r="AW284" s="787"/>
      <c r="AX284" s="787"/>
      <c r="AY284" s="787"/>
      <c r="AZ284" s="780"/>
      <c r="BA284" s="780"/>
      <c r="BB284" s="780"/>
      <c r="BC284" s="780"/>
      <c r="BD284" s="541"/>
      <c r="BE284" s="541"/>
      <c r="BF284" s="541"/>
      <c r="BG284" s="541"/>
      <c r="BH284" s="780"/>
      <c r="BI284" s="780"/>
      <c r="BJ284" s="780"/>
      <c r="BK284" s="780"/>
      <c r="BL284" s="780"/>
      <c r="BM284" s="780"/>
    </row>
    <row r="285" ht="12.75" customHeight="1">
      <c r="A285" s="799"/>
      <c r="B285" s="521"/>
      <c r="C285" s="489" t="s">
        <v>442</v>
      </c>
      <c r="D285" s="490"/>
      <c r="E285" s="490"/>
      <c r="F285" s="490"/>
      <c r="G285" s="490"/>
      <c r="H285" s="490"/>
      <c r="I285" s="490"/>
      <c r="J285" s="490"/>
      <c r="K285" s="490"/>
      <c r="L285" s="490"/>
      <c r="M285" s="490"/>
      <c r="N285" s="491"/>
      <c r="O285" s="533"/>
      <c r="P285" s="782" t="s">
        <v>432</v>
      </c>
      <c r="Q285" s="494"/>
      <c r="R285" s="494"/>
      <c r="S285" s="495"/>
      <c r="T285" s="782" t="s">
        <v>433</v>
      </c>
      <c r="U285" s="494"/>
      <c r="V285" s="494"/>
      <c r="W285" s="495"/>
      <c r="X285" s="782" t="s">
        <v>342</v>
      </c>
      <c r="Y285" s="494"/>
      <c r="Z285" s="494"/>
      <c r="AA285" s="495"/>
      <c r="AB285" s="782" t="s">
        <v>343</v>
      </c>
      <c r="AC285" s="494"/>
      <c r="AD285" s="494"/>
      <c r="AE285" s="495"/>
      <c r="AF285" s="782" t="s">
        <v>344</v>
      </c>
      <c r="AG285" s="494"/>
      <c r="AH285" s="494"/>
      <c r="AI285" s="495"/>
      <c r="AJ285" s="782" t="s">
        <v>345</v>
      </c>
      <c r="AK285" s="494"/>
      <c r="AL285" s="494"/>
      <c r="AM285" s="495"/>
      <c r="AN285" s="782" t="s">
        <v>346</v>
      </c>
      <c r="AO285" s="494"/>
      <c r="AP285" s="494"/>
      <c r="AQ285" s="495"/>
      <c r="AR285" s="782" t="s">
        <v>438</v>
      </c>
      <c r="AS285" s="494"/>
      <c r="AT285" s="494"/>
      <c r="AU285" s="495"/>
      <c r="AV285" s="782" t="s">
        <v>348</v>
      </c>
      <c r="AW285" s="494"/>
      <c r="AX285" s="494"/>
      <c r="AY285" s="495"/>
      <c r="AZ285" s="782" t="s">
        <v>349</v>
      </c>
      <c r="BA285" s="494"/>
      <c r="BB285" s="494"/>
      <c r="BC285" s="495"/>
      <c r="BD285" s="782" t="s">
        <v>350</v>
      </c>
      <c r="BE285" s="494"/>
      <c r="BF285" s="494"/>
      <c r="BG285" s="495"/>
      <c r="BH285" s="782" t="s">
        <v>351</v>
      </c>
      <c r="BI285" s="494"/>
      <c r="BJ285" s="494"/>
      <c r="BK285" s="495"/>
      <c r="BL285" s="754"/>
      <c r="BM285" s="754"/>
    </row>
    <row r="286" ht="12.75" customHeight="1">
      <c r="A286" s="799"/>
      <c r="B286" s="521"/>
      <c r="C286" s="502"/>
      <c r="N286" s="503"/>
      <c r="O286" s="533"/>
      <c r="P286" s="547" t="s">
        <v>353</v>
      </c>
      <c r="Q286" s="506"/>
      <c r="R286" s="506"/>
      <c r="S286" s="507"/>
      <c r="T286" s="547" t="s">
        <v>353</v>
      </c>
      <c r="U286" s="506"/>
      <c r="V286" s="506"/>
      <c r="W286" s="507"/>
      <c r="X286" s="547" t="s">
        <v>353</v>
      </c>
      <c r="Y286" s="506"/>
      <c r="Z286" s="506"/>
      <c r="AA286" s="507"/>
      <c r="AB286" s="547" t="s">
        <v>353</v>
      </c>
      <c r="AC286" s="506"/>
      <c r="AD286" s="506"/>
      <c r="AE286" s="507"/>
      <c r="AF286" s="547" t="s">
        <v>353</v>
      </c>
      <c r="AG286" s="506"/>
      <c r="AH286" s="506"/>
      <c r="AI286" s="507"/>
      <c r="AJ286" s="547" t="s">
        <v>353</v>
      </c>
      <c r="AK286" s="506"/>
      <c r="AL286" s="506"/>
      <c r="AM286" s="507"/>
      <c r="AN286" s="547" t="s">
        <v>353</v>
      </c>
      <c r="AO286" s="506"/>
      <c r="AP286" s="506"/>
      <c r="AQ286" s="507"/>
      <c r="AR286" s="547" t="s">
        <v>353</v>
      </c>
      <c r="AS286" s="506"/>
      <c r="AT286" s="506"/>
      <c r="AU286" s="507"/>
      <c r="AV286" s="547" t="s">
        <v>353</v>
      </c>
      <c r="AW286" s="506"/>
      <c r="AX286" s="506"/>
      <c r="AY286" s="507"/>
      <c r="AZ286" s="547" t="s">
        <v>353</v>
      </c>
      <c r="BA286" s="506"/>
      <c r="BB286" s="506"/>
      <c r="BC286" s="507"/>
      <c r="BD286" s="547" t="s">
        <v>353</v>
      </c>
      <c r="BE286" s="506"/>
      <c r="BF286" s="506"/>
      <c r="BG286" s="507"/>
      <c r="BH286" s="547" t="s">
        <v>353</v>
      </c>
      <c r="BI286" s="506"/>
      <c r="BJ286" s="506"/>
      <c r="BK286" s="507"/>
      <c r="BL286" s="562"/>
      <c r="BM286" s="562"/>
    </row>
    <row r="287" ht="12.75" customHeight="1">
      <c r="A287" s="799"/>
      <c r="B287" s="521"/>
      <c r="C287" s="512"/>
      <c r="D287" s="513"/>
      <c r="E287" s="513"/>
      <c r="F287" s="513"/>
      <c r="G287" s="513"/>
      <c r="H287" s="513"/>
      <c r="I287" s="513"/>
      <c r="J287" s="513"/>
      <c r="K287" s="513"/>
      <c r="L287" s="513"/>
      <c r="M287" s="513"/>
      <c r="N287" s="514"/>
      <c r="O287" s="533"/>
      <c r="P287" s="579">
        <v>12850.0</v>
      </c>
      <c r="Q287" s="498"/>
      <c r="R287" s="498"/>
      <c r="S287" s="498"/>
      <c r="T287" s="579">
        <v>12850.0</v>
      </c>
      <c r="U287" s="498"/>
      <c r="V287" s="498"/>
      <c r="W287" s="498"/>
      <c r="X287" s="579">
        <v>12850.0</v>
      </c>
      <c r="Y287" s="498"/>
      <c r="Z287" s="498"/>
      <c r="AA287" s="498"/>
      <c r="AB287" s="579">
        <v>12850.0</v>
      </c>
      <c r="AC287" s="498"/>
      <c r="AD287" s="498"/>
      <c r="AE287" s="498"/>
      <c r="AF287" s="579">
        <v>12850.0</v>
      </c>
      <c r="AG287" s="498"/>
      <c r="AH287" s="498"/>
      <c r="AI287" s="498"/>
      <c r="AJ287" s="579">
        <v>12850.0</v>
      </c>
      <c r="AK287" s="498"/>
      <c r="AL287" s="498"/>
      <c r="AM287" s="498"/>
      <c r="AN287" s="579">
        <v>12850.0</v>
      </c>
      <c r="AO287" s="498"/>
      <c r="AP287" s="498"/>
      <c r="AQ287" s="498"/>
      <c r="AR287" s="579">
        <v>12850.0</v>
      </c>
      <c r="AS287" s="498"/>
      <c r="AT287" s="498"/>
      <c r="AU287" s="498"/>
      <c r="AV287" s="579">
        <v>12850.0</v>
      </c>
      <c r="AW287" s="498"/>
      <c r="AX287" s="498"/>
      <c r="AY287" s="498"/>
      <c r="AZ287" s="579">
        <v>12850.0</v>
      </c>
      <c r="BA287" s="498"/>
      <c r="BB287" s="498"/>
      <c r="BC287" s="498"/>
      <c r="BD287" s="579">
        <v>12850.0</v>
      </c>
      <c r="BE287" s="498"/>
      <c r="BF287" s="498"/>
      <c r="BG287" s="498"/>
      <c r="BH287" s="579">
        <v>12850.0</v>
      </c>
      <c r="BI287" s="498"/>
      <c r="BJ287" s="498"/>
      <c r="BK287" s="498"/>
      <c r="BL287" s="519"/>
      <c r="BM287" s="800">
        <f>SUM(P287:BL287)</f>
        <v>154200</v>
      </c>
    </row>
    <row r="288" ht="12.75" customHeight="1">
      <c r="A288" s="781" t="s">
        <v>443</v>
      </c>
      <c r="B288" s="521"/>
      <c r="C288" s="552" t="s">
        <v>354</v>
      </c>
      <c r="D288" s="552" t="s">
        <v>355</v>
      </c>
      <c r="E288" s="552" t="s">
        <v>356</v>
      </c>
      <c r="F288" s="552" t="s">
        <v>357</v>
      </c>
      <c r="G288" s="552" t="s">
        <v>5</v>
      </c>
      <c r="H288" s="552" t="s">
        <v>358</v>
      </c>
      <c r="I288" s="552" t="s">
        <v>359</v>
      </c>
      <c r="J288" s="552" t="s">
        <v>360</v>
      </c>
      <c r="K288" s="552" t="s">
        <v>361</v>
      </c>
      <c r="L288" s="552" t="s">
        <v>362</v>
      </c>
      <c r="M288" s="552" t="s">
        <v>363</v>
      </c>
      <c r="N288" s="552" t="s">
        <v>364</v>
      </c>
      <c r="O288" s="533"/>
      <c r="P288" s="522" t="s">
        <v>319</v>
      </c>
      <c r="Q288" s="522" t="s">
        <v>365</v>
      </c>
      <c r="R288" s="522" t="s">
        <v>366</v>
      </c>
      <c r="S288" s="522" t="s">
        <v>367</v>
      </c>
      <c r="T288" s="522" t="s">
        <v>319</v>
      </c>
      <c r="U288" s="522" t="s">
        <v>365</v>
      </c>
      <c r="V288" s="522" t="s">
        <v>366</v>
      </c>
      <c r="W288" s="522" t="s">
        <v>367</v>
      </c>
      <c r="X288" s="522" t="s">
        <v>319</v>
      </c>
      <c r="Y288" s="522" t="s">
        <v>365</v>
      </c>
      <c r="Z288" s="522" t="s">
        <v>366</v>
      </c>
      <c r="AA288" s="522" t="s">
        <v>367</v>
      </c>
      <c r="AB288" s="522" t="s">
        <v>319</v>
      </c>
      <c r="AC288" s="522" t="s">
        <v>365</v>
      </c>
      <c r="AD288" s="522" t="s">
        <v>366</v>
      </c>
      <c r="AE288" s="522" t="s">
        <v>367</v>
      </c>
      <c r="AF288" s="522" t="s">
        <v>319</v>
      </c>
      <c r="AG288" s="522" t="s">
        <v>365</v>
      </c>
      <c r="AH288" s="522" t="s">
        <v>366</v>
      </c>
      <c r="AI288" s="522" t="s">
        <v>367</v>
      </c>
      <c r="AJ288" s="522" t="s">
        <v>319</v>
      </c>
      <c r="AK288" s="522" t="s">
        <v>365</v>
      </c>
      <c r="AL288" s="522" t="s">
        <v>366</v>
      </c>
      <c r="AM288" s="522" t="s">
        <v>367</v>
      </c>
      <c r="AN288" s="522" t="s">
        <v>319</v>
      </c>
      <c r="AO288" s="522" t="s">
        <v>365</v>
      </c>
      <c r="AP288" s="522" t="s">
        <v>366</v>
      </c>
      <c r="AQ288" s="522" t="s">
        <v>367</v>
      </c>
      <c r="AR288" s="522" t="s">
        <v>319</v>
      </c>
      <c r="AS288" s="522" t="s">
        <v>365</v>
      </c>
      <c r="AT288" s="522" t="s">
        <v>366</v>
      </c>
      <c r="AU288" s="522" t="s">
        <v>367</v>
      </c>
      <c r="AV288" s="522" t="s">
        <v>319</v>
      </c>
      <c r="AW288" s="522" t="s">
        <v>365</v>
      </c>
      <c r="AX288" s="522" t="s">
        <v>366</v>
      </c>
      <c r="AY288" s="522" t="s">
        <v>367</v>
      </c>
      <c r="AZ288" s="522" t="s">
        <v>319</v>
      </c>
      <c r="BA288" s="522" t="s">
        <v>365</v>
      </c>
      <c r="BB288" s="522" t="s">
        <v>366</v>
      </c>
      <c r="BC288" s="522" t="s">
        <v>367</v>
      </c>
      <c r="BD288" s="522" t="s">
        <v>319</v>
      </c>
      <c r="BE288" s="522" t="s">
        <v>365</v>
      </c>
      <c r="BF288" s="522" t="s">
        <v>366</v>
      </c>
      <c r="BG288" s="522" t="s">
        <v>367</v>
      </c>
      <c r="BH288" s="522" t="s">
        <v>319</v>
      </c>
      <c r="BI288" s="522" t="s">
        <v>365</v>
      </c>
      <c r="BJ288" s="522" t="s">
        <v>366</v>
      </c>
      <c r="BK288" s="522" t="s">
        <v>367</v>
      </c>
      <c r="BL288" s="533"/>
      <c r="BM288" s="533"/>
    </row>
    <row r="289" ht="12.75" customHeight="1">
      <c r="A289" s="792" t="s">
        <v>444</v>
      </c>
      <c r="B289" s="521"/>
      <c r="C289" s="596">
        <f>FSU!B110</f>
        <v>40</v>
      </c>
      <c r="D289" s="596">
        <f>FSU!C110</f>
        <v>40</v>
      </c>
      <c r="E289" s="596">
        <f>FSU!D110</f>
        <v>40</v>
      </c>
      <c r="F289" s="596">
        <f>FSU!E110</f>
        <v>45</v>
      </c>
      <c r="G289" s="596">
        <f>FSU!F110</f>
        <v>45</v>
      </c>
      <c r="H289" s="596">
        <f>FSU!G110</f>
        <v>50</v>
      </c>
      <c r="I289" s="596">
        <f>FSU!H110</f>
        <v>55</v>
      </c>
      <c r="J289" s="596">
        <f>FSU!I110</f>
        <v>55</v>
      </c>
      <c r="K289" s="596">
        <f>HSU!J110</f>
        <v>105</v>
      </c>
      <c r="L289" s="596">
        <f>HSU!K110</f>
        <v>95</v>
      </c>
      <c r="M289" s="596">
        <f>HSU!L110</f>
        <v>95</v>
      </c>
      <c r="N289" s="596">
        <f>HSU!M110</f>
        <v>105</v>
      </c>
      <c r="O289" s="533"/>
      <c r="P289" s="585">
        <f>SUM(C289:N289)</f>
        <v>770</v>
      </c>
      <c r="Q289" s="634">
        <f>P287/4</f>
        <v>3212.5</v>
      </c>
      <c r="R289" s="634">
        <f>(P287/2)*(P289/P291)</f>
        <v>4055.122951</v>
      </c>
      <c r="S289" s="634">
        <f t="shared" ref="S289:S290" si="697">SUM(Q289:R289)</f>
        <v>7267.622951</v>
      </c>
      <c r="T289" s="585">
        <f>SUM(C289:N289)</f>
        <v>770</v>
      </c>
      <c r="U289" s="634">
        <f>T287/4</f>
        <v>3212.5</v>
      </c>
      <c r="V289" s="634">
        <f>(T287/2)*(T289/T291)</f>
        <v>4055.122951</v>
      </c>
      <c r="W289" s="634">
        <f t="shared" ref="W289:W290" si="698">SUM(U289:V289)</f>
        <v>7267.622951</v>
      </c>
      <c r="X289" s="585">
        <f>SUM(C289:N289)</f>
        <v>770</v>
      </c>
      <c r="Y289" s="634">
        <f>X287/4</f>
        <v>3212.5</v>
      </c>
      <c r="Z289" s="634">
        <f>(X287/2)*(X289/X291)</f>
        <v>4055.122951</v>
      </c>
      <c r="AA289" s="634">
        <f t="shared" ref="AA289:AA290" si="699">SUM(Y289:Z289)</f>
        <v>7267.622951</v>
      </c>
      <c r="AB289" s="585">
        <f>SUM(C289:N289)</f>
        <v>770</v>
      </c>
      <c r="AC289" s="634">
        <f>AB287/4</f>
        <v>3212.5</v>
      </c>
      <c r="AD289" s="634">
        <f>(AB287/2)*(AB289/AB291)</f>
        <v>4055.122951</v>
      </c>
      <c r="AE289" s="634">
        <f t="shared" ref="AE289:AE290" si="700">SUM(AC289:AD289)</f>
        <v>7267.622951</v>
      </c>
      <c r="AF289" s="585">
        <f>SUM(C289:N289)</f>
        <v>770</v>
      </c>
      <c r="AG289" s="634">
        <f>AF287/4</f>
        <v>3212.5</v>
      </c>
      <c r="AH289" s="634">
        <f>(AF287/2)*(AF289/AF291)</f>
        <v>4055.122951</v>
      </c>
      <c r="AI289" s="634">
        <f t="shared" ref="AI289:AI290" si="701">SUM(AG289:AH289)</f>
        <v>7267.622951</v>
      </c>
      <c r="AJ289" s="585">
        <f>SUM(C289:N289)</f>
        <v>770</v>
      </c>
      <c r="AK289" s="634">
        <f>AJ287/4</f>
        <v>3212.5</v>
      </c>
      <c r="AL289" s="634">
        <f>(AJ287/2)*(AJ289/AJ291)</f>
        <v>4055.122951</v>
      </c>
      <c r="AM289" s="634">
        <f t="shared" ref="AM289:AM290" si="702">SUM(AK289:AL289)</f>
        <v>7267.622951</v>
      </c>
      <c r="AN289" s="585">
        <f>SUM(C289:N289)</f>
        <v>770</v>
      </c>
      <c r="AO289" s="634">
        <f>AN287/4</f>
        <v>3212.5</v>
      </c>
      <c r="AP289" s="634">
        <f>(AN287/2)*(AN289/AN291)</f>
        <v>4055.122951</v>
      </c>
      <c r="AQ289" s="634">
        <f t="shared" ref="AQ289:AQ290" si="703">SUM(AO289:AP289)</f>
        <v>7267.622951</v>
      </c>
      <c r="AR289" s="585">
        <f>SUM(C289:N289)</f>
        <v>770</v>
      </c>
      <c r="AS289" s="634">
        <f>AR287/4</f>
        <v>3212.5</v>
      </c>
      <c r="AT289" s="634">
        <f>(AR287/2)*(AR289/AR291)</f>
        <v>4055.122951</v>
      </c>
      <c r="AU289" s="634">
        <f t="shared" ref="AU289:AU290" si="704">SUM(AS289:AT289)</f>
        <v>7267.622951</v>
      </c>
      <c r="AV289" s="585">
        <f>SUM(C289:N289)</f>
        <v>770</v>
      </c>
      <c r="AW289" s="634">
        <f>AV287/4</f>
        <v>3212.5</v>
      </c>
      <c r="AX289" s="634">
        <f>(AV287/2)*(AV289/AV291)</f>
        <v>4055.122951</v>
      </c>
      <c r="AY289" s="634">
        <f t="shared" ref="AY289:AY290" si="705">SUM(AW289:AX289)</f>
        <v>7267.622951</v>
      </c>
      <c r="AZ289" s="585">
        <f>SUM(C289:N289)</f>
        <v>770</v>
      </c>
      <c r="BA289" s="634">
        <f>AZ287/4</f>
        <v>3212.5</v>
      </c>
      <c r="BB289" s="634">
        <f>(AZ287/2)*(AZ289/AZ291)</f>
        <v>4055.122951</v>
      </c>
      <c r="BC289" s="634">
        <f t="shared" ref="BC289:BC290" si="706">SUM(BA289:BB289)</f>
        <v>7267.622951</v>
      </c>
      <c r="BD289" s="585">
        <f>SUM(C289:N289)</f>
        <v>770</v>
      </c>
      <c r="BE289" s="634">
        <f>BD287/4</f>
        <v>3212.5</v>
      </c>
      <c r="BF289" s="634">
        <f>(BD287/2)*(BD289/BD291)</f>
        <v>4055.122951</v>
      </c>
      <c r="BG289" s="634">
        <f t="shared" ref="BG289:BG290" si="707">SUM(BE289:BF289)</f>
        <v>7267.622951</v>
      </c>
      <c r="BH289" s="585">
        <f>SUM(C289:N289)</f>
        <v>770</v>
      </c>
      <c r="BI289" s="634">
        <f>BH287/4</f>
        <v>3212.5</v>
      </c>
      <c r="BJ289" s="634">
        <f>(BH287/2)*(BH289/BH291)</f>
        <v>4055.122951</v>
      </c>
      <c r="BK289" s="634">
        <f t="shared" ref="BK289:BK290" si="708">SUM(BI289:BJ289)</f>
        <v>7267.622951</v>
      </c>
      <c r="BL289" s="555"/>
      <c r="BM289" s="555"/>
    </row>
    <row r="290" ht="12.75" customHeight="1">
      <c r="A290" s="792" t="s">
        <v>445</v>
      </c>
      <c r="B290" s="521"/>
      <c r="C290" s="596">
        <f>FBG!B110</f>
        <v>22</v>
      </c>
      <c r="D290" s="596">
        <f>FBG!C110</f>
        <v>22</v>
      </c>
      <c r="E290" s="596">
        <f>FBG!D110</f>
        <v>22</v>
      </c>
      <c r="F290" s="596">
        <f>FBG!E110</f>
        <v>22</v>
      </c>
      <c r="G290" s="596">
        <f>FBG!F110</f>
        <v>22</v>
      </c>
      <c r="H290" s="596">
        <f>FBG!G110</f>
        <v>22</v>
      </c>
      <c r="I290" s="596">
        <f>FBG!H110</f>
        <v>22</v>
      </c>
      <c r="J290" s="596">
        <f>FBG!I110</f>
        <v>22</v>
      </c>
      <c r="K290" s="596">
        <f>FBG!J110</f>
        <v>22</v>
      </c>
      <c r="L290" s="596">
        <f>MZ!K110</f>
        <v>40</v>
      </c>
      <c r="M290" s="596">
        <f>MZ!L110</f>
        <v>40</v>
      </c>
      <c r="N290" s="596">
        <f>MZ!M110</f>
        <v>40</v>
      </c>
      <c r="O290" s="533"/>
      <c r="P290" s="585">
        <f>SUM(C279:N279)</f>
        <v>450</v>
      </c>
      <c r="Q290" s="801">
        <f>P287/4</f>
        <v>3212.5</v>
      </c>
      <c r="R290" s="801">
        <f>(P287/2)*(P290/P291)</f>
        <v>2369.877049</v>
      </c>
      <c r="S290" s="634">
        <f t="shared" si="697"/>
        <v>5582.377049</v>
      </c>
      <c r="T290" s="585">
        <f>SUM(C279:N279)</f>
        <v>450</v>
      </c>
      <c r="U290" s="801">
        <f>T287/4</f>
        <v>3212.5</v>
      </c>
      <c r="V290" s="801">
        <f>(T287/2)*(T290/T291)</f>
        <v>2369.877049</v>
      </c>
      <c r="W290" s="634">
        <f t="shared" si="698"/>
        <v>5582.377049</v>
      </c>
      <c r="X290" s="585">
        <f>SUM(C279:N279)</f>
        <v>450</v>
      </c>
      <c r="Y290" s="801">
        <f>X287/4</f>
        <v>3212.5</v>
      </c>
      <c r="Z290" s="801">
        <f>(X287/2)*(X290/X291)</f>
        <v>2369.877049</v>
      </c>
      <c r="AA290" s="634">
        <f t="shared" si="699"/>
        <v>5582.377049</v>
      </c>
      <c r="AB290" s="585">
        <f>SUM(C279:N279)</f>
        <v>450</v>
      </c>
      <c r="AC290" s="801">
        <f>AB287/4</f>
        <v>3212.5</v>
      </c>
      <c r="AD290" s="801">
        <f>(AB287/2)*(AB290/AB291)</f>
        <v>2369.877049</v>
      </c>
      <c r="AE290" s="634">
        <f t="shared" si="700"/>
        <v>5582.377049</v>
      </c>
      <c r="AF290" s="585">
        <f>SUM(C279:N279)</f>
        <v>450</v>
      </c>
      <c r="AG290" s="801">
        <f>AF287/4</f>
        <v>3212.5</v>
      </c>
      <c r="AH290" s="801">
        <f>(AF287/2)*(AF290/AF291)</f>
        <v>2369.877049</v>
      </c>
      <c r="AI290" s="634">
        <f t="shared" si="701"/>
        <v>5582.377049</v>
      </c>
      <c r="AJ290" s="585">
        <f>SUM(C279:N279)</f>
        <v>450</v>
      </c>
      <c r="AK290" s="801">
        <f>AJ287/4</f>
        <v>3212.5</v>
      </c>
      <c r="AL290" s="801">
        <f>(AJ287/2)*(AJ290/AJ291)</f>
        <v>2369.877049</v>
      </c>
      <c r="AM290" s="634">
        <f t="shared" si="702"/>
        <v>5582.377049</v>
      </c>
      <c r="AN290" s="585">
        <f>SUM(C279:N279)</f>
        <v>450</v>
      </c>
      <c r="AO290" s="801">
        <f>AN287/4</f>
        <v>3212.5</v>
      </c>
      <c r="AP290" s="801">
        <f>(AN287/2)*(AN290/AN291)</f>
        <v>2369.877049</v>
      </c>
      <c r="AQ290" s="634">
        <f t="shared" si="703"/>
        <v>5582.377049</v>
      </c>
      <c r="AR290" s="585">
        <f>SUM(C279:N279)</f>
        <v>450</v>
      </c>
      <c r="AS290" s="801">
        <f>AR287/4</f>
        <v>3212.5</v>
      </c>
      <c r="AT290" s="801">
        <f>(AR287/2)*(AR290/AR291)</f>
        <v>2369.877049</v>
      </c>
      <c r="AU290" s="634">
        <f t="shared" si="704"/>
        <v>5582.377049</v>
      </c>
      <c r="AV290" s="585">
        <f>SUM(C279:N279)</f>
        <v>450</v>
      </c>
      <c r="AW290" s="801">
        <f>AV287/4</f>
        <v>3212.5</v>
      </c>
      <c r="AX290" s="801">
        <f>(AV287/2)*(AV290/AV291)</f>
        <v>2369.877049</v>
      </c>
      <c r="AY290" s="634">
        <f t="shared" si="705"/>
        <v>5582.377049</v>
      </c>
      <c r="AZ290" s="585">
        <f>SUM(C279:N279)</f>
        <v>450</v>
      </c>
      <c r="BA290" s="801">
        <f>AZ287/4</f>
        <v>3212.5</v>
      </c>
      <c r="BB290" s="801">
        <f>(AZ287/2)*(AZ290/AZ291)</f>
        <v>2369.877049</v>
      </c>
      <c r="BC290" s="634">
        <f t="shared" si="706"/>
        <v>5582.377049</v>
      </c>
      <c r="BD290" s="585">
        <f>SUM(C279:N279)</f>
        <v>450</v>
      </c>
      <c r="BE290" s="801">
        <f>BD287/4</f>
        <v>3212.5</v>
      </c>
      <c r="BF290" s="801">
        <f>(BD287/2)*(BD290/BD291)</f>
        <v>2369.877049</v>
      </c>
      <c r="BG290" s="634">
        <f t="shared" si="707"/>
        <v>5582.377049</v>
      </c>
      <c r="BH290" s="802">
        <f>SUM(C279:N279)</f>
        <v>450</v>
      </c>
      <c r="BI290" s="801">
        <f>BH287/4</f>
        <v>3212.5</v>
      </c>
      <c r="BJ290" s="801">
        <f>(BH287/2)*(BH290/BH291)</f>
        <v>2369.877049</v>
      </c>
      <c r="BK290" s="634">
        <f t="shared" si="708"/>
        <v>5582.377049</v>
      </c>
      <c r="BL290" s="555"/>
      <c r="BM290" s="555"/>
    </row>
    <row r="291" ht="12.75" customHeight="1">
      <c r="A291" s="797"/>
      <c r="B291" s="521"/>
      <c r="C291" s="515"/>
      <c r="D291" s="515"/>
      <c r="E291" s="515"/>
      <c r="F291" s="515"/>
      <c r="G291" s="515"/>
      <c r="H291" s="515"/>
      <c r="I291" s="515"/>
      <c r="J291" s="515"/>
      <c r="K291" s="515"/>
      <c r="L291" s="515"/>
      <c r="M291" s="515"/>
      <c r="N291" s="515"/>
      <c r="O291" s="533"/>
      <c r="P291" s="609">
        <f t="shared" ref="P291:BK291" si="709">SUM(P289:P290)</f>
        <v>1220</v>
      </c>
      <c r="Q291" s="803">
        <f t="shared" si="709"/>
        <v>6425</v>
      </c>
      <c r="R291" s="803">
        <f t="shared" si="709"/>
        <v>6425</v>
      </c>
      <c r="S291" s="803">
        <f t="shared" si="709"/>
        <v>12850</v>
      </c>
      <c r="T291" s="609">
        <f t="shared" si="709"/>
        <v>1220</v>
      </c>
      <c r="U291" s="803">
        <f t="shared" si="709"/>
        <v>6425</v>
      </c>
      <c r="V291" s="803">
        <f t="shared" si="709"/>
        <v>6425</v>
      </c>
      <c r="W291" s="803">
        <f t="shared" si="709"/>
        <v>12850</v>
      </c>
      <c r="X291" s="609">
        <f t="shared" si="709"/>
        <v>1220</v>
      </c>
      <c r="Y291" s="803">
        <f t="shared" si="709"/>
        <v>6425</v>
      </c>
      <c r="Z291" s="803">
        <f t="shared" si="709"/>
        <v>6425</v>
      </c>
      <c r="AA291" s="803">
        <f t="shared" si="709"/>
        <v>12850</v>
      </c>
      <c r="AB291" s="609">
        <f t="shared" si="709"/>
        <v>1220</v>
      </c>
      <c r="AC291" s="803">
        <f t="shared" si="709"/>
        <v>6425</v>
      </c>
      <c r="AD291" s="803">
        <f t="shared" si="709"/>
        <v>6425</v>
      </c>
      <c r="AE291" s="803">
        <f t="shared" si="709"/>
        <v>12850</v>
      </c>
      <c r="AF291" s="609">
        <f t="shared" si="709"/>
        <v>1220</v>
      </c>
      <c r="AG291" s="803">
        <f t="shared" si="709"/>
        <v>6425</v>
      </c>
      <c r="AH291" s="803">
        <f t="shared" si="709"/>
        <v>6425</v>
      </c>
      <c r="AI291" s="803">
        <f t="shared" si="709"/>
        <v>12850</v>
      </c>
      <c r="AJ291" s="609">
        <f t="shared" si="709"/>
        <v>1220</v>
      </c>
      <c r="AK291" s="803">
        <f t="shared" si="709"/>
        <v>6425</v>
      </c>
      <c r="AL291" s="803">
        <f t="shared" si="709"/>
        <v>6425</v>
      </c>
      <c r="AM291" s="803">
        <f t="shared" si="709"/>
        <v>12850</v>
      </c>
      <c r="AN291" s="609">
        <f t="shared" si="709"/>
        <v>1220</v>
      </c>
      <c r="AO291" s="803">
        <f t="shared" si="709"/>
        <v>6425</v>
      </c>
      <c r="AP291" s="803">
        <f t="shared" si="709"/>
        <v>6425</v>
      </c>
      <c r="AQ291" s="803">
        <f t="shared" si="709"/>
        <v>12850</v>
      </c>
      <c r="AR291" s="609">
        <f t="shared" si="709"/>
        <v>1220</v>
      </c>
      <c r="AS291" s="803">
        <f t="shared" si="709"/>
        <v>6425</v>
      </c>
      <c r="AT291" s="803">
        <f t="shared" si="709"/>
        <v>6425</v>
      </c>
      <c r="AU291" s="803">
        <f t="shared" si="709"/>
        <v>12850</v>
      </c>
      <c r="AV291" s="609">
        <f t="shared" si="709"/>
        <v>1220</v>
      </c>
      <c r="AW291" s="803">
        <f t="shared" si="709"/>
        <v>6425</v>
      </c>
      <c r="AX291" s="803">
        <f t="shared" si="709"/>
        <v>6425</v>
      </c>
      <c r="AY291" s="803">
        <f t="shared" si="709"/>
        <v>12850</v>
      </c>
      <c r="AZ291" s="609">
        <f t="shared" si="709"/>
        <v>1220</v>
      </c>
      <c r="BA291" s="803">
        <f t="shared" si="709"/>
        <v>6425</v>
      </c>
      <c r="BB291" s="803">
        <f t="shared" si="709"/>
        <v>6425</v>
      </c>
      <c r="BC291" s="803">
        <f t="shared" si="709"/>
        <v>12850</v>
      </c>
      <c r="BD291" s="609">
        <f t="shared" si="709"/>
        <v>1220</v>
      </c>
      <c r="BE291" s="803">
        <f t="shared" si="709"/>
        <v>6425</v>
      </c>
      <c r="BF291" s="803">
        <f t="shared" si="709"/>
        <v>6425</v>
      </c>
      <c r="BG291" s="803">
        <f t="shared" si="709"/>
        <v>12850</v>
      </c>
      <c r="BH291" s="609">
        <f t="shared" si="709"/>
        <v>1220</v>
      </c>
      <c r="BI291" s="803">
        <f t="shared" si="709"/>
        <v>6425</v>
      </c>
      <c r="BJ291" s="803">
        <f t="shared" si="709"/>
        <v>6425</v>
      </c>
      <c r="BK291" s="803">
        <f t="shared" si="709"/>
        <v>12850</v>
      </c>
      <c r="BL291" s="557"/>
      <c r="BM291" s="557"/>
    </row>
    <row r="292" ht="12.75" customHeight="1">
      <c r="A292" s="797"/>
      <c r="B292" s="521"/>
      <c r="C292" s="515"/>
      <c r="D292" s="515"/>
      <c r="E292" s="515"/>
      <c r="F292" s="515"/>
      <c r="G292" s="515"/>
      <c r="H292" s="515"/>
      <c r="I292" s="515"/>
      <c r="J292" s="515"/>
      <c r="K292" s="515"/>
      <c r="L292" s="515"/>
      <c r="M292" s="515"/>
      <c r="N292" s="515"/>
      <c r="O292" s="533"/>
      <c r="P292" s="786"/>
      <c r="Q292" s="787"/>
      <c r="R292" s="787"/>
      <c r="S292" s="787"/>
      <c r="T292" s="786"/>
      <c r="U292" s="787"/>
      <c r="V292" s="787"/>
      <c r="W292" s="787"/>
      <c r="X292" s="786"/>
      <c r="Y292" s="787"/>
      <c r="Z292" s="787"/>
      <c r="AA292" s="787"/>
      <c r="AB292" s="786"/>
      <c r="AC292" s="787"/>
      <c r="AD292" s="787"/>
      <c r="AE292" s="787"/>
      <c r="AF292" s="786"/>
      <c r="AG292" s="787"/>
      <c r="AH292" s="787"/>
      <c r="AI292" s="787"/>
      <c r="AJ292" s="786"/>
      <c r="AK292" s="787"/>
      <c r="AL292" s="787"/>
      <c r="AM292" s="787"/>
      <c r="AN292" s="786"/>
      <c r="AO292" s="787"/>
      <c r="AP292" s="787"/>
      <c r="AQ292" s="787"/>
      <c r="AR292" s="786"/>
      <c r="AS292" s="787"/>
      <c r="AT292" s="787"/>
      <c r="AU292" s="787"/>
      <c r="AV292" s="786"/>
      <c r="AW292" s="787"/>
      <c r="AX292" s="787"/>
      <c r="AY292" s="787"/>
      <c r="AZ292" s="780"/>
      <c r="BA292" s="780"/>
      <c r="BB292" s="780"/>
      <c r="BC292" s="780"/>
      <c r="BD292" s="541"/>
      <c r="BE292" s="541"/>
      <c r="BF292" s="541"/>
      <c r="BG292" s="541"/>
      <c r="BH292" s="780"/>
      <c r="BI292" s="780"/>
      <c r="BJ292" s="780"/>
      <c r="BK292" s="780"/>
      <c r="BL292" s="780"/>
      <c r="BM292" s="780"/>
    </row>
    <row r="293" ht="12.75" customHeight="1">
      <c r="A293" s="797"/>
      <c r="B293" s="521"/>
      <c r="C293" s="515"/>
      <c r="D293" s="515"/>
      <c r="E293" s="515"/>
      <c r="F293" s="515"/>
      <c r="G293" s="515"/>
      <c r="H293" s="515"/>
      <c r="I293" s="515"/>
      <c r="J293" s="515"/>
      <c r="K293" s="515"/>
      <c r="L293" s="515"/>
      <c r="M293" s="515"/>
      <c r="N293" s="515"/>
      <c r="O293" s="533"/>
      <c r="P293" s="786"/>
      <c r="Q293" s="787"/>
      <c r="R293" s="787"/>
      <c r="S293" s="787"/>
      <c r="T293" s="786"/>
      <c r="U293" s="787"/>
      <c r="V293" s="787"/>
      <c r="W293" s="787"/>
      <c r="X293" s="786"/>
      <c r="Y293" s="787"/>
      <c r="Z293" s="787"/>
      <c r="AA293" s="787"/>
      <c r="AB293" s="786"/>
      <c r="AC293" s="787"/>
      <c r="AD293" s="787"/>
      <c r="AE293" s="787"/>
      <c r="AF293" s="786"/>
      <c r="AG293" s="787"/>
      <c r="AH293" s="787"/>
      <c r="AI293" s="787"/>
      <c r="AJ293" s="786"/>
      <c r="AK293" s="787"/>
      <c r="AL293" s="787"/>
      <c r="AM293" s="787"/>
      <c r="AN293" s="786"/>
      <c r="AO293" s="787"/>
      <c r="AP293" s="787"/>
      <c r="AQ293" s="787"/>
      <c r="AR293" s="786"/>
      <c r="AS293" s="787"/>
      <c r="AT293" s="787"/>
      <c r="AU293" s="787"/>
      <c r="AV293" s="786"/>
      <c r="AW293" s="787"/>
      <c r="AX293" s="787"/>
      <c r="AY293" s="787"/>
      <c r="AZ293" s="780"/>
      <c r="BA293" s="780"/>
      <c r="BB293" s="780"/>
      <c r="BC293" s="780"/>
      <c r="BD293" s="541"/>
      <c r="BE293" s="541"/>
      <c r="BF293" s="541"/>
      <c r="BG293" s="541"/>
      <c r="BH293" s="780"/>
      <c r="BI293" s="780"/>
      <c r="BJ293" s="780"/>
      <c r="BK293" s="780"/>
      <c r="BL293" s="780"/>
      <c r="BM293" s="780"/>
    </row>
    <row r="294" ht="12.75" customHeight="1">
      <c r="A294" s="799"/>
      <c r="B294" s="521"/>
      <c r="C294" s="489" t="s">
        <v>442</v>
      </c>
      <c r="D294" s="490"/>
      <c r="E294" s="490"/>
      <c r="F294" s="490"/>
      <c r="G294" s="490"/>
      <c r="H294" s="490"/>
      <c r="I294" s="490"/>
      <c r="J294" s="490"/>
      <c r="K294" s="490"/>
      <c r="L294" s="490"/>
      <c r="M294" s="490"/>
      <c r="N294" s="491"/>
      <c r="O294" s="533"/>
      <c r="P294" s="804" t="s">
        <v>432</v>
      </c>
      <c r="Q294" s="722"/>
      <c r="R294" s="722"/>
      <c r="S294" s="723"/>
      <c r="T294" s="804" t="s">
        <v>433</v>
      </c>
      <c r="U294" s="722"/>
      <c r="V294" s="722"/>
      <c r="W294" s="723"/>
      <c r="X294" s="804" t="s">
        <v>342</v>
      </c>
      <c r="Y294" s="722"/>
      <c r="Z294" s="722"/>
      <c r="AA294" s="723"/>
      <c r="AB294" s="804" t="s">
        <v>343</v>
      </c>
      <c r="AC294" s="722"/>
      <c r="AD294" s="722"/>
      <c r="AE294" s="723"/>
      <c r="AF294" s="804" t="s">
        <v>344</v>
      </c>
      <c r="AG294" s="722"/>
      <c r="AH294" s="722"/>
      <c r="AI294" s="723"/>
      <c r="AJ294" s="804" t="s">
        <v>345</v>
      </c>
      <c r="AK294" s="722"/>
      <c r="AL294" s="722"/>
      <c r="AM294" s="723"/>
      <c r="AN294" s="804" t="s">
        <v>346</v>
      </c>
      <c r="AO294" s="722"/>
      <c r="AP294" s="722"/>
      <c r="AQ294" s="723"/>
      <c r="AR294" s="804" t="s">
        <v>438</v>
      </c>
      <c r="AS294" s="722"/>
      <c r="AT294" s="722"/>
      <c r="AU294" s="723"/>
      <c r="AV294" s="804" t="s">
        <v>348</v>
      </c>
      <c r="AW294" s="722"/>
      <c r="AX294" s="722"/>
      <c r="AY294" s="723"/>
      <c r="AZ294" s="804" t="s">
        <v>349</v>
      </c>
      <c r="BA294" s="722"/>
      <c r="BB294" s="722"/>
      <c r="BC294" s="723"/>
      <c r="BD294" s="804" t="s">
        <v>350</v>
      </c>
      <c r="BE294" s="722"/>
      <c r="BF294" s="722"/>
      <c r="BG294" s="723"/>
      <c r="BH294" s="804" t="s">
        <v>351</v>
      </c>
      <c r="BI294" s="722"/>
      <c r="BJ294" s="722"/>
      <c r="BK294" s="723"/>
      <c r="BL294" s="754"/>
      <c r="BM294" s="754"/>
    </row>
    <row r="295" ht="12.75" customHeight="1">
      <c r="A295" s="799"/>
      <c r="B295" s="521"/>
      <c r="C295" s="502"/>
      <c r="N295" s="503"/>
      <c r="O295" s="533"/>
      <c r="P295" s="547" t="s">
        <v>435</v>
      </c>
      <c r="Q295" s="506"/>
      <c r="R295" s="506"/>
      <c r="S295" s="507"/>
      <c r="T295" s="547" t="s">
        <v>435</v>
      </c>
      <c r="U295" s="506"/>
      <c r="V295" s="506"/>
      <c r="W295" s="507"/>
      <c r="X295" s="547" t="s">
        <v>435</v>
      </c>
      <c r="Y295" s="506"/>
      <c r="Z295" s="506"/>
      <c r="AA295" s="507"/>
      <c r="AB295" s="547" t="s">
        <v>435</v>
      </c>
      <c r="AC295" s="506"/>
      <c r="AD295" s="506"/>
      <c r="AE295" s="507"/>
      <c r="AF295" s="547" t="s">
        <v>435</v>
      </c>
      <c r="AG295" s="506"/>
      <c r="AH295" s="506"/>
      <c r="AI295" s="507"/>
      <c r="AJ295" s="547" t="s">
        <v>435</v>
      </c>
      <c r="AK295" s="506"/>
      <c r="AL295" s="506"/>
      <c r="AM295" s="507"/>
      <c r="AN295" s="547" t="s">
        <v>435</v>
      </c>
      <c r="AO295" s="506"/>
      <c r="AP295" s="506"/>
      <c r="AQ295" s="507"/>
      <c r="AR295" s="547" t="s">
        <v>435</v>
      </c>
      <c r="AS295" s="506"/>
      <c r="AT295" s="506"/>
      <c r="AU295" s="507"/>
      <c r="AV295" s="547" t="s">
        <v>435</v>
      </c>
      <c r="AW295" s="506"/>
      <c r="AX295" s="506"/>
      <c r="AY295" s="507"/>
      <c r="AZ295" s="547" t="s">
        <v>435</v>
      </c>
      <c r="BA295" s="506"/>
      <c r="BB295" s="506"/>
      <c r="BC295" s="507"/>
      <c r="BD295" s="547" t="s">
        <v>435</v>
      </c>
      <c r="BE295" s="506"/>
      <c r="BF295" s="506"/>
      <c r="BG295" s="507"/>
      <c r="BH295" s="547" t="s">
        <v>435</v>
      </c>
      <c r="BI295" s="506"/>
      <c r="BJ295" s="506"/>
      <c r="BK295" s="507"/>
      <c r="BL295" s="562"/>
      <c r="BM295" s="562"/>
    </row>
    <row r="296" ht="12.75" customHeight="1">
      <c r="A296" s="799"/>
      <c r="B296" s="521"/>
      <c r="C296" s="512"/>
      <c r="D296" s="513"/>
      <c r="E296" s="513"/>
      <c r="F296" s="513"/>
      <c r="G296" s="513"/>
      <c r="H296" s="513"/>
      <c r="I296" s="513"/>
      <c r="J296" s="513"/>
      <c r="K296" s="513"/>
      <c r="L296" s="513"/>
      <c r="M296" s="513"/>
      <c r="N296" s="514"/>
      <c r="O296" s="533"/>
      <c r="P296" s="579">
        <v>7500.0</v>
      </c>
      <c r="Q296" s="498"/>
      <c r="R296" s="498"/>
      <c r="S296" s="498"/>
      <c r="T296" s="579">
        <v>7500.0</v>
      </c>
      <c r="U296" s="498"/>
      <c r="V296" s="498"/>
      <c r="W296" s="498"/>
      <c r="X296" s="579">
        <v>7500.0</v>
      </c>
      <c r="Y296" s="498"/>
      <c r="Z296" s="498"/>
      <c r="AA296" s="498"/>
      <c r="AB296" s="579">
        <v>7500.0</v>
      </c>
      <c r="AC296" s="498"/>
      <c r="AD296" s="498"/>
      <c r="AE296" s="498"/>
      <c r="AF296" s="579">
        <v>7500.0</v>
      </c>
      <c r="AG296" s="498"/>
      <c r="AH296" s="498"/>
      <c r="AI296" s="498"/>
      <c r="AJ296" s="579">
        <v>7500.0</v>
      </c>
      <c r="AK296" s="498"/>
      <c r="AL296" s="498"/>
      <c r="AM296" s="498"/>
      <c r="AN296" s="579">
        <v>7500.0</v>
      </c>
      <c r="AO296" s="498"/>
      <c r="AP296" s="498"/>
      <c r="AQ296" s="498"/>
      <c r="AR296" s="579">
        <v>7500.0</v>
      </c>
      <c r="AS296" s="498"/>
      <c r="AT296" s="498"/>
      <c r="AU296" s="498"/>
      <c r="AV296" s="579">
        <v>7500.0</v>
      </c>
      <c r="AW296" s="498"/>
      <c r="AX296" s="498"/>
      <c r="AY296" s="498"/>
      <c r="AZ296" s="579">
        <v>7500.0</v>
      </c>
      <c r="BA296" s="498"/>
      <c r="BB296" s="498"/>
      <c r="BC296" s="498"/>
      <c r="BD296" s="579">
        <v>7500.0</v>
      </c>
      <c r="BE296" s="498"/>
      <c r="BF296" s="498"/>
      <c r="BG296" s="498"/>
      <c r="BH296" s="579">
        <v>7500.0</v>
      </c>
      <c r="BI296" s="498"/>
      <c r="BJ296" s="498"/>
      <c r="BK296" s="498"/>
      <c r="BL296" s="519"/>
      <c r="BM296" s="800">
        <f>SUM(P296:BL296)</f>
        <v>90000</v>
      </c>
    </row>
    <row r="297" ht="12.75" customHeight="1">
      <c r="A297" s="781" t="s">
        <v>435</v>
      </c>
      <c r="B297" s="521"/>
      <c r="C297" s="552" t="s">
        <v>354</v>
      </c>
      <c r="D297" s="552" t="s">
        <v>355</v>
      </c>
      <c r="E297" s="552" t="s">
        <v>356</v>
      </c>
      <c r="F297" s="552" t="s">
        <v>357</v>
      </c>
      <c r="G297" s="552" t="s">
        <v>5</v>
      </c>
      <c r="H297" s="552" t="s">
        <v>358</v>
      </c>
      <c r="I297" s="552" t="s">
        <v>359</v>
      </c>
      <c r="J297" s="552" t="s">
        <v>360</v>
      </c>
      <c r="K297" s="552" t="s">
        <v>361</v>
      </c>
      <c r="L297" s="552" t="s">
        <v>362</v>
      </c>
      <c r="M297" s="552" t="s">
        <v>363</v>
      </c>
      <c r="N297" s="552" t="s">
        <v>364</v>
      </c>
      <c r="O297" s="533"/>
      <c r="P297" s="581" t="s">
        <v>319</v>
      </c>
      <c r="Q297" s="581" t="s">
        <v>365</v>
      </c>
      <c r="R297" s="581" t="s">
        <v>366</v>
      </c>
      <c r="S297" s="581" t="s">
        <v>367</v>
      </c>
      <c r="T297" s="581" t="s">
        <v>319</v>
      </c>
      <c r="U297" s="581" t="s">
        <v>365</v>
      </c>
      <c r="V297" s="581" t="s">
        <v>366</v>
      </c>
      <c r="W297" s="581" t="s">
        <v>367</v>
      </c>
      <c r="X297" s="581" t="s">
        <v>319</v>
      </c>
      <c r="Y297" s="581" t="s">
        <v>365</v>
      </c>
      <c r="Z297" s="581" t="s">
        <v>366</v>
      </c>
      <c r="AA297" s="581" t="s">
        <v>367</v>
      </c>
      <c r="AB297" s="581" t="s">
        <v>319</v>
      </c>
      <c r="AC297" s="581" t="s">
        <v>365</v>
      </c>
      <c r="AD297" s="581" t="s">
        <v>366</v>
      </c>
      <c r="AE297" s="581" t="s">
        <v>367</v>
      </c>
      <c r="AF297" s="581" t="s">
        <v>319</v>
      </c>
      <c r="AG297" s="581" t="s">
        <v>365</v>
      </c>
      <c r="AH297" s="581" t="s">
        <v>366</v>
      </c>
      <c r="AI297" s="581" t="s">
        <v>367</v>
      </c>
      <c r="AJ297" s="581" t="s">
        <v>319</v>
      </c>
      <c r="AK297" s="581" t="s">
        <v>365</v>
      </c>
      <c r="AL297" s="581" t="s">
        <v>366</v>
      </c>
      <c r="AM297" s="581" t="s">
        <v>367</v>
      </c>
      <c r="AN297" s="581" t="s">
        <v>319</v>
      </c>
      <c r="AO297" s="581" t="s">
        <v>365</v>
      </c>
      <c r="AP297" s="581" t="s">
        <v>366</v>
      </c>
      <c r="AQ297" s="581" t="s">
        <v>367</v>
      </c>
      <c r="AR297" s="581" t="s">
        <v>319</v>
      </c>
      <c r="AS297" s="581" t="s">
        <v>365</v>
      </c>
      <c r="AT297" s="581" t="s">
        <v>366</v>
      </c>
      <c r="AU297" s="581" t="s">
        <v>367</v>
      </c>
      <c r="AV297" s="581" t="s">
        <v>319</v>
      </c>
      <c r="AW297" s="581" t="s">
        <v>365</v>
      </c>
      <c r="AX297" s="581" t="s">
        <v>366</v>
      </c>
      <c r="AY297" s="581" t="s">
        <v>367</v>
      </c>
      <c r="AZ297" s="581" t="s">
        <v>319</v>
      </c>
      <c r="BA297" s="581" t="s">
        <v>365</v>
      </c>
      <c r="BB297" s="581" t="s">
        <v>366</v>
      </c>
      <c r="BC297" s="581" t="s">
        <v>367</v>
      </c>
      <c r="BD297" s="581" t="s">
        <v>319</v>
      </c>
      <c r="BE297" s="581" t="s">
        <v>365</v>
      </c>
      <c r="BF297" s="581" t="s">
        <v>366</v>
      </c>
      <c r="BG297" s="581" t="s">
        <v>367</v>
      </c>
      <c r="BH297" s="581" t="s">
        <v>319</v>
      </c>
      <c r="BI297" s="581" t="s">
        <v>365</v>
      </c>
      <c r="BJ297" s="581" t="s">
        <v>366</v>
      </c>
      <c r="BK297" s="581" t="s">
        <v>367</v>
      </c>
      <c r="BL297" s="533"/>
      <c r="BM297" s="533"/>
    </row>
    <row r="298" ht="12.75" customHeight="1">
      <c r="A298" s="792" t="s">
        <v>444</v>
      </c>
      <c r="B298" s="521"/>
      <c r="C298" s="596">
        <f>FSU!B110</f>
        <v>40</v>
      </c>
      <c r="D298" s="596">
        <f>FSU!C110</f>
        <v>40</v>
      </c>
      <c r="E298" s="596">
        <f>FSU!D110</f>
        <v>40</v>
      </c>
      <c r="F298" s="596">
        <f>FSU!E110</f>
        <v>45</v>
      </c>
      <c r="G298" s="596">
        <f>FSU!F110</f>
        <v>45</v>
      </c>
      <c r="H298" s="596">
        <f>FSU!G110</f>
        <v>50</v>
      </c>
      <c r="I298" s="596">
        <f>FSU!H110</f>
        <v>55</v>
      </c>
      <c r="J298" s="596">
        <f>FSU!I110</f>
        <v>55</v>
      </c>
      <c r="K298" s="596">
        <f>HSU!J110</f>
        <v>105</v>
      </c>
      <c r="L298" s="596">
        <f>HSU!K110</f>
        <v>95</v>
      </c>
      <c r="M298" s="596">
        <f>HSU!L110</f>
        <v>95</v>
      </c>
      <c r="N298" s="596">
        <f>HSU!M110</f>
        <v>105</v>
      </c>
      <c r="O298" s="533"/>
      <c r="P298" s="805">
        <f>SUM(C289:N289)</f>
        <v>770</v>
      </c>
      <c r="Q298" s="653">
        <f>P296/4</f>
        <v>1875</v>
      </c>
      <c r="R298" s="653">
        <f>(P296/2)*(P298/P300)</f>
        <v>2366.803279</v>
      </c>
      <c r="S298" s="653">
        <f t="shared" ref="S298:S299" si="710">SUM(Q298:R298)</f>
        <v>4241.803279</v>
      </c>
      <c r="T298" s="805">
        <f>SUM(C289:N289)</f>
        <v>770</v>
      </c>
      <c r="U298" s="653">
        <f>T296/4</f>
        <v>1875</v>
      </c>
      <c r="V298" s="653">
        <f>(T296/2)*(T298/T300)</f>
        <v>2366.803279</v>
      </c>
      <c r="W298" s="653">
        <f t="shared" ref="W298:W299" si="711">SUM(U298:V298)</f>
        <v>4241.803279</v>
      </c>
      <c r="X298" s="805">
        <f>SUM(C289:N289)</f>
        <v>770</v>
      </c>
      <c r="Y298" s="653">
        <f>X296/4</f>
        <v>1875</v>
      </c>
      <c r="Z298" s="653">
        <f>(X296/2)*(X298/X300)</f>
        <v>2366.803279</v>
      </c>
      <c r="AA298" s="653">
        <f t="shared" ref="AA298:AA299" si="712">SUM(Y298:Z298)</f>
        <v>4241.803279</v>
      </c>
      <c r="AB298" s="805">
        <f>SUM(C289:N289)</f>
        <v>770</v>
      </c>
      <c r="AC298" s="653">
        <f>AB296/4</f>
        <v>1875</v>
      </c>
      <c r="AD298" s="653">
        <f>(AB296/2)*(AB298/AB300)</f>
        <v>2366.803279</v>
      </c>
      <c r="AE298" s="653">
        <f t="shared" ref="AE298:AE299" si="713">SUM(AC298:AD298)</f>
        <v>4241.803279</v>
      </c>
      <c r="AF298" s="805">
        <f>SUM(C289:N289)</f>
        <v>770</v>
      </c>
      <c r="AG298" s="653">
        <f>AF296/4</f>
        <v>1875</v>
      </c>
      <c r="AH298" s="653">
        <f>(AF296/2)*(AF298/AF300)</f>
        <v>2366.803279</v>
      </c>
      <c r="AI298" s="653">
        <f t="shared" ref="AI298:AI299" si="714">SUM(AG298:AH298)</f>
        <v>4241.803279</v>
      </c>
      <c r="AJ298" s="805">
        <f>SUM(C289:N289)</f>
        <v>770</v>
      </c>
      <c r="AK298" s="653">
        <f>AJ296/4</f>
        <v>1875</v>
      </c>
      <c r="AL298" s="653">
        <f>(AJ296/2)*(AJ298/AJ300)</f>
        <v>2366.803279</v>
      </c>
      <c r="AM298" s="653">
        <f t="shared" ref="AM298:AM299" si="715">SUM(AK298:AL298)</f>
        <v>4241.803279</v>
      </c>
      <c r="AN298" s="805">
        <f>SUM(C289:N289)</f>
        <v>770</v>
      </c>
      <c r="AO298" s="653">
        <f>AN296/4</f>
        <v>1875</v>
      </c>
      <c r="AP298" s="653">
        <f>(AN296/2)*(AN298/AN300)</f>
        <v>2366.803279</v>
      </c>
      <c r="AQ298" s="653">
        <f t="shared" ref="AQ298:AQ299" si="716">SUM(AO298:AP298)</f>
        <v>4241.803279</v>
      </c>
      <c r="AR298" s="805">
        <f>SUM(C289:N289)</f>
        <v>770</v>
      </c>
      <c r="AS298" s="653">
        <f>AR296/4</f>
        <v>1875</v>
      </c>
      <c r="AT298" s="653">
        <f>(AR296/2)*(AR298/AR300)</f>
        <v>2366.803279</v>
      </c>
      <c r="AU298" s="653">
        <f t="shared" ref="AU298:AU299" si="717">SUM(AS298:AT298)</f>
        <v>4241.803279</v>
      </c>
      <c r="AV298" s="805">
        <f t="shared" ref="AV298:AV299" si="718">SUM(C289:N289)</f>
        <v>770</v>
      </c>
      <c r="AW298" s="653">
        <f>AV296/4</f>
        <v>1875</v>
      </c>
      <c r="AX298" s="653">
        <f>(AV296/2)*(AV298/AV300)</f>
        <v>2653.952206</v>
      </c>
      <c r="AY298" s="653">
        <f t="shared" ref="AY298:AY299" si="719">SUM(AW298:AX298)</f>
        <v>4528.952206</v>
      </c>
      <c r="AZ298" s="805">
        <f t="shared" ref="AZ298:AZ299" si="720">SUM(C289:N289)</f>
        <v>770</v>
      </c>
      <c r="BA298" s="653">
        <f>AZ296/4</f>
        <v>1875</v>
      </c>
      <c r="BB298" s="653">
        <f>(AZ296/2)*(AZ298/AZ300)</f>
        <v>2653.952206</v>
      </c>
      <c r="BC298" s="653">
        <f t="shared" ref="BC298:BC299" si="721">SUM(BA298:BB298)</f>
        <v>4528.952206</v>
      </c>
      <c r="BD298" s="805">
        <f t="shared" ref="BD298:BD299" si="722">SUM(C289:N289)</f>
        <v>770</v>
      </c>
      <c r="BE298" s="653">
        <f>BD296/4</f>
        <v>1875</v>
      </c>
      <c r="BF298" s="653">
        <f>(BD296/2)*(BD298/BD300)</f>
        <v>2653.952206</v>
      </c>
      <c r="BG298" s="653">
        <f t="shared" ref="BG298:BG299" si="723">SUM(BE298:BF298)</f>
        <v>4528.952206</v>
      </c>
      <c r="BH298" s="805">
        <f t="shared" ref="BH298:BH299" si="724">SUM(C289:N289)</f>
        <v>770</v>
      </c>
      <c r="BI298" s="653">
        <f>BH296/4</f>
        <v>1875</v>
      </c>
      <c r="BJ298" s="653">
        <f>(BH296/2)*(BH298/BH300)</f>
        <v>2653.952206</v>
      </c>
      <c r="BK298" s="653">
        <f t="shared" ref="BK298:BK299" si="725">SUM(BI298:BJ298)</f>
        <v>4528.952206</v>
      </c>
      <c r="BL298" s="555"/>
      <c r="BM298" s="555"/>
    </row>
    <row r="299" ht="12.75" customHeight="1">
      <c r="A299" s="792" t="s">
        <v>445</v>
      </c>
      <c r="B299" s="521"/>
      <c r="C299" s="596">
        <f>FBG!B110</f>
        <v>22</v>
      </c>
      <c r="D299" s="596">
        <f>FBG!C110</f>
        <v>22</v>
      </c>
      <c r="E299" s="596">
        <f>FBG!D110</f>
        <v>22</v>
      </c>
      <c r="F299" s="596">
        <f>FBG!E110</f>
        <v>22</v>
      </c>
      <c r="G299" s="596">
        <f>FBG!F110</f>
        <v>22</v>
      </c>
      <c r="H299" s="596">
        <f>FBG!G110</f>
        <v>22</v>
      </c>
      <c r="I299" s="596">
        <f>FBG!H110</f>
        <v>22</v>
      </c>
      <c r="J299" s="596">
        <f>FBG!I110</f>
        <v>22</v>
      </c>
      <c r="K299" s="596">
        <f>FBG!J110</f>
        <v>22</v>
      </c>
      <c r="L299" s="596">
        <v>30.0</v>
      </c>
      <c r="M299" s="596">
        <v>30.0</v>
      </c>
      <c r="N299" s="596">
        <v>30.0</v>
      </c>
      <c r="O299" s="533"/>
      <c r="P299" s="805">
        <f>SUM(C279:N279)</f>
        <v>450</v>
      </c>
      <c r="Q299" s="806">
        <f>P296/4</f>
        <v>1875</v>
      </c>
      <c r="R299" s="806">
        <f>(P296/2)*(P299/P300)</f>
        <v>1383.196721</v>
      </c>
      <c r="S299" s="653">
        <f t="shared" si="710"/>
        <v>3258.196721</v>
      </c>
      <c r="T299" s="805">
        <f>SUM(C279:N279)</f>
        <v>450</v>
      </c>
      <c r="U299" s="806">
        <f>T296/4</f>
        <v>1875</v>
      </c>
      <c r="V299" s="806">
        <f>(T296/2)*(T299/T300)</f>
        <v>1383.196721</v>
      </c>
      <c r="W299" s="653">
        <f t="shared" si="711"/>
        <v>3258.196721</v>
      </c>
      <c r="X299" s="805">
        <f>SUM(C279:N279)</f>
        <v>450</v>
      </c>
      <c r="Y299" s="806">
        <f>X296/4</f>
        <v>1875</v>
      </c>
      <c r="Z299" s="806">
        <f>(X296/2)*(X299/X300)</f>
        <v>1383.196721</v>
      </c>
      <c r="AA299" s="653">
        <f t="shared" si="712"/>
        <v>3258.196721</v>
      </c>
      <c r="AB299" s="805">
        <f>SUM(C279:N279)</f>
        <v>450</v>
      </c>
      <c r="AC299" s="806">
        <f>AB296/4</f>
        <v>1875</v>
      </c>
      <c r="AD299" s="806">
        <f>(AB296/2)*(AB299/AB300)</f>
        <v>1383.196721</v>
      </c>
      <c r="AE299" s="653">
        <f t="shared" si="713"/>
        <v>3258.196721</v>
      </c>
      <c r="AF299" s="805">
        <f>SUM(C279:N279)</f>
        <v>450</v>
      </c>
      <c r="AG299" s="806">
        <f>AF296/4</f>
        <v>1875</v>
      </c>
      <c r="AH299" s="806">
        <f>(AF296/2)*(AF299/AF300)</f>
        <v>1383.196721</v>
      </c>
      <c r="AI299" s="653">
        <f t="shared" si="714"/>
        <v>3258.196721</v>
      </c>
      <c r="AJ299" s="805">
        <f>SUM(C279:N279)</f>
        <v>450</v>
      </c>
      <c r="AK299" s="806">
        <f>AJ296/4</f>
        <v>1875</v>
      </c>
      <c r="AL299" s="806">
        <f>(AJ296/2)*(AJ299/AJ300)</f>
        <v>1383.196721</v>
      </c>
      <c r="AM299" s="653">
        <f t="shared" si="715"/>
        <v>3258.196721</v>
      </c>
      <c r="AN299" s="805">
        <f>SUM(C279:N279)</f>
        <v>450</v>
      </c>
      <c r="AO299" s="806">
        <f>AN296/4</f>
        <v>1875</v>
      </c>
      <c r="AP299" s="806">
        <f>(AN296/2)*(AN299/AN300)</f>
        <v>1383.196721</v>
      </c>
      <c r="AQ299" s="653">
        <f t="shared" si="716"/>
        <v>3258.196721</v>
      </c>
      <c r="AR299" s="805">
        <f>SUM(C279:N279)</f>
        <v>450</v>
      </c>
      <c r="AS299" s="806">
        <f>AR296/4</f>
        <v>1875</v>
      </c>
      <c r="AT299" s="806">
        <f>(AR296/2)*(AR299/AR300)</f>
        <v>1383.196721</v>
      </c>
      <c r="AU299" s="653">
        <f t="shared" si="717"/>
        <v>3258.196721</v>
      </c>
      <c r="AV299" s="805">
        <f t="shared" si="718"/>
        <v>318</v>
      </c>
      <c r="AW299" s="806">
        <f>AV296/4</f>
        <v>1875</v>
      </c>
      <c r="AX299" s="806">
        <f>(AV296/2)*(AV299/AV300)</f>
        <v>1096.047794</v>
      </c>
      <c r="AY299" s="653">
        <f t="shared" si="719"/>
        <v>2971.047794</v>
      </c>
      <c r="AZ299" s="805">
        <f t="shared" si="720"/>
        <v>318</v>
      </c>
      <c r="BA299" s="806">
        <f>AZ296/4</f>
        <v>1875</v>
      </c>
      <c r="BB299" s="806">
        <f>(AZ296/2)*(AZ299/AZ300)</f>
        <v>1096.047794</v>
      </c>
      <c r="BC299" s="653">
        <f t="shared" si="721"/>
        <v>2971.047794</v>
      </c>
      <c r="BD299" s="805">
        <f t="shared" si="722"/>
        <v>318</v>
      </c>
      <c r="BE299" s="806">
        <f>BD296/4</f>
        <v>1875</v>
      </c>
      <c r="BF299" s="806">
        <f>(BD296/2)*(BD299/BD300)</f>
        <v>1096.047794</v>
      </c>
      <c r="BG299" s="653">
        <f t="shared" si="723"/>
        <v>2971.047794</v>
      </c>
      <c r="BH299" s="805">
        <f t="shared" si="724"/>
        <v>318</v>
      </c>
      <c r="BI299" s="806">
        <f>BH296/4</f>
        <v>1875</v>
      </c>
      <c r="BJ299" s="806">
        <f>(BH296/2)*(BH299/BH300)</f>
        <v>1096.047794</v>
      </c>
      <c r="BK299" s="653">
        <f t="shared" si="725"/>
        <v>2971.047794</v>
      </c>
      <c r="BL299" s="555"/>
      <c r="BM299" s="555"/>
    </row>
    <row r="300" ht="12.75" customHeight="1">
      <c r="A300" s="521"/>
      <c r="B300" s="521"/>
      <c r="C300" s="515"/>
      <c r="D300" s="515"/>
      <c r="E300" s="515"/>
      <c r="F300" s="515"/>
      <c r="G300" s="515"/>
      <c r="H300" s="515"/>
      <c r="I300" s="515"/>
      <c r="J300" s="515"/>
      <c r="K300" s="515"/>
      <c r="L300" s="515"/>
      <c r="M300" s="515"/>
      <c r="N300" s="515"/>
      <c r="O300" s="533"/>
      <c r="P300" s="581">
        <f t="shared" ref="P300:BK300" si="726">SUM(P298:P299)</f>
        <v>1220</v>
      </c>
      <c r="Q300" s="639">
        <f t="shared" si="726"/>
        <v>3750</v>
      </c>
      <c r="R300" s="639">
        <f t="shared" si="726"/>
        <v>3750</v>
      </c>
      <c r="S300" s="639">
        <f t="shared" si="726"/>
        <v>7500</v>
      </c>
      <c r="T300" s="581">
        <f t="shared" si="726"/>
        <v>1220</v>
      </c>
      <c r="U300" s="639">
        <f t="shared" si="726"/>
        <v>3750</v>
      </c>
      <c r="V300" s="639">
        <f t="shared" si="726"/>
        <v>3750</v>
      </c>
      <c r="W300" s="639">
        <f t="shared" si="726"/>
        <v>7500</v>
      </c>
      <c r="X300" s="581">
        <f t="shared" si="726"/>
        <v>1220</v>
      </c>
      <c r="Y300" s="639">
        <f t="shared" si="726"/>
        <v>3750</v>
      </c>
      <c r="Z300" s="639">
        <f t="shared" si="726"/>
        <v>3750</v>
      </c>
      <c r="AA300" s="639">
        <f t="shared" si="726"/>
        <v>7500</v>
      </c>
      <c r="AB300" s="581">
        <f t="shared" si="726"/>
        <v>1220</v>
      </c>
      <c r="AC300" s="639">
        <f t="shared" si="726"/>
        <v>3750</v>
      </c>
      <c r="AD300" s="639">
        <f t="shared" si="726"/>
        <v>3750</v>
      </c>
      <c r="AE300" s="639">
        <f t="shared" si="726"/>
        <v>7500</v>
      </c>
      <c r="AF300" s="581">
        <f t="shared" si="726"/>
        <v>1220</v>
      </c>
      <c r="AG300" s="639">
        <f t="shared" si="726"/>
        <v>3750</v>
      </c>
      <c r="AH300" s="639">
        <f t="shared" si="726"/>
        <v>3750</v>
      </c>
      <c r="AI300" s="639">
        <f t="shared" si="726"/>
        <v>7500</v>
      </c>
      <c r="AJ300" s="581">
        <f t="shared" si="726"/>
        <v>1220</v>
      </c>
      <c r="AK300" s="639">
        <f t="shared" si="726"/>
        <v>3750</v>
      </c>
      <c r="AL300" s="639">
        <f t="shared" si="726"/>
        <v>3750</v>
      </c>
      <c r="AM300" s="639">
        <f t="shared" si="726"/>
        <v>7500</v>
      </c>
      <c r="AN300" s="581">
        <f t="shared" si="726"/>
        <v>1220</v>
      </c>
      <c r="AO300" s="639">
        <f t="shared" si="726"/>
        <v>3750</v>
      </c>
      <c r="AP300" s="639">
        <f t="shared" si="726"/>
        <v>3750</v>
      </c>
      <c r="AQ300" s="639">
        <f t="shared" si="726"/>
        <v>7500</v>
      </c>
      <c r="AR300" s="581">
        <f t="shared" si="726"/>
        <v>1220</v>
      </c>
      <c r="AS300" s="639">
        <f t="shared" si="726"/>
        <v>3750</v>
      </c>
      <c r="AT300" s="639">
        <f t="shared" si="726"/>
        <v>3750</v>
      </c>
      <c r="AU300" s="639">
        <f t="shared" si="726"/>
        <v>7500</v>
      </c>
      <c r="AV300" s="581">
        <f t="shared" si="726"/>
        <v>1088</v>
      </c>
      <c r="AW300" s="639">
        <f t="shared" si="726"/>
        <v>3750</v>
      </c>
      <c r="AX300" s="639">
        <f t="shared" si="726"/>
        <v>3750</v>
      </c>
      <c r="AY300" s="639">
        <f t="shared" si="726"/>
        <v>7500</v>
      </c>
      <c r="AZ300" s="581">
        <f t="shared" si="726"/>
        <v>1088</v>
      </c>
      <c r="BA300" s="639">
        <f t="shared" si="726"/>
        <v>3750</v>
      </c>
      <c r="BB300" s="639">
        <f t="shared" si="726"/>
        <v>3750</v>
      </c>
      <c r="BC300" s="639">
        <f t="shared" si="726"/>
        <v>7500</v>
      </c>
      <c r="BD300" s="581">
        <f t="shared" si="726"/>
        <v>1088</v>
      </c>
      <c r="BE300" s="639">
        <f t="shared" si="726"/>
        <v>3750</v>
      </c>
      <c r="BF300" s="639">
        <f t="shared" si="726"/>
        <v>3750</v>
      </c>
      <c r="BG300" s="639">
        <f t="shared" si="726"/>
        <v>7500</v>
      </c>
      <c r="BH300" s="581">
        <f t="shared" si="726"/>
        <v>1088</v>
      </c>
      <c r="BI300" s="639">
        <f t="shared" si="726"/>
        <v>3750</v>
      </c>
      <c r="BJ300" s="639">
        <f t="shared" si="726"/>
        <v>3750</v>
      </c>
      <c r="BK300" s="639">
        <f t="shared" si="726"/>
        <v>7500</v>
      </c>
      <c r="BL300" s="557"/>
      <c r="BM300" s="557"/>
    </row>
    <row r="301" ht="12.75" customHeight="1">
      <c r="A301" s="521"/>
      <c r="B301" s="521"/>
      <c r="C301" s="515"/>
      <c r="D301" s="515"/>
      <c r="E301" s="515"/>
      <c r="F301" s="515"/>
      <c r="G301" s="515"/>
      <c r="H301" s="515"/>
      <c r="I301" s="515"/>
      <c r="J301" s="515"/>
      <c r="K301" s="515"/>
      <c r="L301" s="515"/>
      <c r="M301" s="515"/>
      <c r="N301" s="515"/>
      <c r="O301" s="533"/>
      <c r="P301" s="786"/>
      <c r="Q301" s="787"/>
      <c r="R301" s="787"/>
      <c r="S301" s="787"/>
      <c r="T301" s="786"/>
      <c r="U301" s="787"/>
      <c r="V301" s="787"/>
      <c r="W301" s="787"/>
      <c r="X301" s="786"/>
      <c r="Y301" s="787"/>
      <c r="Z301" s="787"/>
      <c r="AA301" s="787"/>
      <c r="AB301" s="786"/>
      <c r="AC301" s="787"/>
      <c r="AD301" s="787"/>
      <c r="AE301" s="787"/>
      <c r="AF301" s="786"/>
      <c r="AG301" s="787"/>
      <c r="AH301" s="787"/>
      <c r="AI301" s="787"/>
      <c r="AJ301" s="786"/>
      <c r="AK301" s="787"/>
      <c r="AL301" s="787"/>
      <c r="AM301" s="787"/>
      <c r="AN301" s="786"/>
      <c r="AO301" s="787"/>
      <c r="AP301" s="787"/>
      <c r="AQ301" s="787"/>
      <c r="AR301" s="786"/>
      <c r="AS301" s="787"/>
      <c r="AT301" s="787"/>
      <c r="AU301" s="787"/>
      <c r="AV301" s="786"/>
      <c r="AW301" s="787"/>
      <c r="AX301" s="787"/>
      <c r="AY301" s="787"/>
      <c r="AZ301" s="780"/>
      <c r="BA301" s="780"/>
      <c r="BB301" s="780"/>
      <c r="BC301" s="780"/>
      <c r="BD301" s="541"/>
      <c r="BE301" s="541"/>
      <c r="BF301" s="541"/>
      <c r="BG301" s="541"/>
      <c r="BH301" s="780"/>
      <c r="BI301" s="780"/>
      <c r="BJ301" s="780"/>
      <c r="BK301" s="780"/>
      <c r="BL301" s="780"/>
      <c r="BM301" s="780"/>
    </row>
    <row r="302" ht="12.75" customHeight="1">
      <c r="A302" s="521"/>
      <c r="B302" s="521"/>
      <c r="C302" s="515"/>
      <c r="D302" s="515"/>
      <c r="E302" s="515"/>
      <c r="F302" s="515"/>
      <c r="G302" s="515"/>
      <c r="H302" s="515"/>
      <c r="I302" s="515"/>
      <c r="J302" s="515"/>
      <c r="K302" s="515"/>
      <c r="L302" s="515"/>
      <c r="M302" s="515"/>
      <c r="N302" s="515"/>
      <c r="O302" s="533"/>
      <c r="P302" s="804" t="s">
        <v>432</v>
      </c>
      <c r="Q302" s="722"/>
      <c r="R302" s="722"/>
      <c r="S302" s="723"/>
      <c r="T302" s="804" t="s">
        <v>433</v>
      </c>
      <c r="U302" s="722"/>
      <c r="V302" s="722"/>
      <c r="W302" s="723"/>
      <c r="X302" s="804" t="s">
        <v>342</v>
      </c>
      <c r="Y302" s="722"/>
      <c r="Z302" s="722"/>
      <c r="AA302" s="723"/>
      <c r="AB302" s="804" t="s">
        <v>343</v>
      </c>
      <c r="AC302" s="722"/>
      <c r="AD302" s="722"/>
      <c r="AE302" s="723"/>
      <c r="AF302" s="804" t="s">
        <v>344</v>
      </c>
      <c r="AG302" s="722"/>
      <c r="AH302" s="722"/>
      <c r="AI302" s="723"/>
      <c r="AJ302" s="804" t="s">
        <v>345</v>
      </c>
      <c r="AK302" s="722"/>
      <c r="AL302" s="722"/>
      <c r="AM302" s="723"/>
      <c r="AN302" s="804" t="s">
        <v>346</v>
      </c>
      <c r="AO302" s="722"/>
      <c r="AP302" s="722"/>
      <c r="AQ302" s="723"/>
      <c r="AR302" s="804" t="s">
        <v>438</v>
      </c>
      <c r="AS302" s="722"/>
      <c r="AT302" s="722"/>
      <c r="AU302" s="723"/>
      <c r="AV302" s="804" t="s">
        <v>348</v>
      </c>
      <c r="AW302" s="722"/>
      <c r="AX302" s="722"/>
      <c r="AY302" s="723"/>
      <c r="AZ302" s="804" t="s">
        <v>349</v>
      </c>
      <c r="BA302" s="722"/>
      <c r="BB302" s="722"/>
      <c r="BC302" s="723"/>
      <c r="BD302" s="804" t="s">
        <v>350</v>
      </c>
      <c r="BE302" s="722"/>
      <c r="BF302" s="722"/>
      <c r="BG302" s="723"/>
      <c r="BH302" s="804" t="s">
        <v>351</v>
      </c>
      <c r="BI302" s="722"/>
      <c r="BJ302" s="722"/>
      <c r="BK302" s="723"/>
      <c r="BL302" s="780"/>
      <c r="BM302" s="780"/>
    </row>
    <row r="303" ht="12.75" customHeight="1">
      <c r="A303" s="807" t="s">
        <v>446</v>
      </c>
      <c r="B303" s="521"/>
      <c r="C303" s="515"/>
      <c r="D303" s="515"/>
      <c r="E303" s="515"/>
      <c r="F303" s="515"/>
      <c r="G303" s="515"/>
      <c r="H303" s="515"/>
      <c r="I303" s="515"/>
      <c r="J303" s="515"/>
      <c r="K303" s="515"/>
      <c r="L303" s="515"/>
      <c r="M303" s="515"/>
      <c r="N303" s="515"/>
      <c r="O303" s="533"/>
      <c r="P303" s="547" t="s">
        <v>434</v>
      </c>
      <c r="Q303" s="506"/>
      <c r="R303" s="506"/>
      <c r="S303" s="507"/>
      <c r="T303" s="550" t="s">
        <v>434</v>
      </c>
      <c r="U303" s="506"/>
      <c r="V303" s="506"/>
      <c r="W303" s="507"/>
      <c r="X303" s="550" t="s">
        <v>434</v>
      </c>
      <c r="Y303" s="506"/>
      <c r="Z303" s="506"/>
      <c r="AA303" s="507"/>
      <c r="AB303" s="550" t="s">
        <v>434</v>
      </c>
      <c r="AC303" s="506"/>
      <c r="AD303" s="506"/>
      <c r="AE303" s="507"/>
      <c r="AF303" s="550" t="s">
        <v>434</v>
      </c>
      <c r="AG303" s="506"/>
      <c r="AH303" s="506"/>
      <c r="AI303" s="507"/>
      <c r="AJ303" s="550" t="s">
        <v>434</v>
      </c>
      <c r="AK303" s="506"/>
      <c r="AL303" s="506"/>
      <c r="AM303" s="507"/>
      <c r="AN303" s="550" t="s">
        <v>434</v>
      </c>
      <c r="AO303" s="506"/>
      <c r="AP303" s="506"/>
      <c r="AQ303" s="507"/>
      <c r="AR303" s="550" t="s">
        <v>434</v>
      </c>
      <c r="AS303" s="506"/>
      <c r="AT303" s="506"/>
      <c r="AU303" s="507"/>
      <c r="AV303" s="550" t="s">
        <v>434</v>
      </c>
      <c r="AW303" s="506"/>
      <c r="AX303" s="506"/>
      <c r="AY303" s="507"/>
      <c r="AZ303" s="550" t="s">
        <v>434</v>
      </c>
      <c r="BA303" s="506"/>
      <c r="BB303" s="506"/>
      <c r="BC303" s="507"/>
      <c r="BD303" s="550" t="s">
        <v>434</v>
      </c>
      <c r="BE303" s="506"/>
      <c r="BF303" s="506"/>
      <c r="BG303" s="507"/>
      <c r="BH303" s="550" t="s">
        <v>434</v>
      </c>
      <c r="BI303" s="506"/>
      <c r="BJ303" s="506"/>
      <c r="BK303" s="507"/>
      <c r="BL303" s="780"/>
      <c r="BM303" s="780"/>
    </row>
    <row r="304" ht="12.75" customHeight="1">
      <c r="A304" s="808" t="s">
        <v>447</v>
      </c>
      <c r="B304" s="521"/>
      <c r="C304" s="515"/>
      <c r="D304" s="515"/>
      <c r="E304" s="515"/>
      <c r="F304" s="515"/>
      <c r="G304" s="515"/>
      <c r="H304" s="515"/>
      <c r="I304" s="515"/>
      <c r="J304" s="515"/>
      <c r="K304" s="515"/>
      <c r="L304" s="515"/>
      <c r="M304" s="515"/>
      <c r="N304" s="515"/>
      <c r="O304" s="533"/>
      <c r="P304" s="579">
        <v>5000.0</v>
      </c>
      <c r="Q304" s="498"/>
      <c r="R304" s="498"/>
      <c r="S304" s="498"/>
      <c r="T304" s="579">
        <v>5000.0</v>
      </c>
      <c r="U304" s="498"/>
      <c r="V304" s="498"/>
      <c r="W304" s="498"/>
      <c r="X304" s="579">
        <v>5000.0</v>
      </c>
      <c r="Y304" s="498"/>
      <c r="Z304" s="498"/>
      <c r="AA304" s="498"/>
      <c r="AB304" s="579">
        <v>12000.0</v>
      </c>
      <c r="AC304" s="498"/>
      <c r="AD304" s="498"/>
      <c r="AE304" s="498"/>
      <c r="AF304" s="579">
        <v>14280.0</v>
      </c>
      <c r="AG304" s="498"/>
      <c r="AH304" s="498"/>
      <c r="AI304" s="498"/>
      <c r="AJ304" s="579">
        <v>14280.0</v>
      </c>
      <c r="AK304" s="498"/>
      <c r="AL304" s="498"/>
      <c r="AM304" s="498"/>
      <c r="AN304" s="579">
        <v>10000.0</v>
      </c>
      <c r="AO304" s="498"/>
      <c r="AP304" s="498"/>
      <c r="AQ304" s="498"/>
      <c r="AR304" s="579">
        <v>10000.0</v>
      </c>
      <c r="AS304" s="498"/>
      <c r="AT304" s="498"/>
      <c r="AU304" s="498"/>
      <c r="AV304" s="579">
        <v>2500.0</v>
      </c>
      <c r="AW304" s="498"/>
      <c r="AX304" s="498"/>
      <c r="AY304" s="498"/>
      <c r="AZ304" s="579">
        <v>10000.0</v>
      </c>
      <c r="BA304" s="498"/>
      <c r="BB304" s="498"/>
      <c r="BC304" s="498"/>
      <c r="BD304" s="579">
        <v>12000.0</v>
      </c>
      <c r="BE304" s="498"/>
      <c r="BF304" s="498"/>
      <c r="BG304" s="498"/>
      <c r="BH304" s="579">
        <v>14280.0</v>
      </c>
      <c r="BI304" s="498"/>
      <c r="BJ304" s="498"/>
      <c r="BK304" s="498"/>
      <c r="BL304" s="780"/>
      <c r="BM304" s="800">
        <f t="shared" ref="BM304:BM308" si="727">SUM(P304:BL304)</f>
        <v>114340</v>
      </c>
    </row>
    <row r="305" ht="12.75" customHeight="1">
      <c r="A305" s="808" t="s">
        <v>448</v>
      </c>
      <c r="B305" s="521"/>
      <c r="C305" s="515"/>
      <c r="D305" s="515"/>
      <c r="E305" s="515"/>
      <c r="F305" s="515"/>
      <c r="G305" s="515"/>
      <c r="H305" s="515"/>
      <c r="I305" s="515"/>
      <c r="J305" s="515"/>
      <c r="K305" s="515"/>
      <c r="L305" s="515"/>
      <c r="M305" s="515"/>
      <c r="N305" s="515"/>
      <c r="O305" s="533"/>
      <c r="P305" s="579">
        <f>7500+0</f>
        <v>7500</v>
      </c>
      <c r="Q305" s="498"/>
      <c r="R305" s="498"/>
      <c r="S305" s="498"/>
      <c r="T305" s="579">
        <f>7500+0</f>
        <v>7500</v>
      </c>
      <c r="U305" s="498"/>
      <c r="V305" s="498"/>
      <c r="W305" s="498"/>
      <c r="X305" s="579">
        <f>7500+0</f>
        <v>7500</v>
      </c>
      <c r="Y305" s="498"/>
      <c r="Z305" s="498"/>
      <c r="AA305" s="498"/>
      <c r="AB305" s="579">
        <f>14250+2000</f>
        <v>16250</v>
      </c>
      <c r="AC305" s="498"/>
      <c r="AD305" s="498"/>
      <c r="AE305" s="498"/>
      <c r="AF305" s="579">
        <f>15467+3000</f>
        <v>18467</v>
      </c>
      <c r="AG305" s="498"/>
      <c r="AH305" s="498"/>
      <c r="AI305" s="498"/>
      <c r="AJ305" s="579">
        <f>15467+3000</f>
        <v>18467</v>
      </c>
      <c r="AK305" s="498"/>
      <c r="AL305" s="498"/>
      <c r="AM305" s="498"/>
      <c r="AN305" s="579">
        <f>14250+2000</f>
        <v>16250</v>
      </c>
      <c r="AO305" s="498"/>
      <c r="AP305" s="498"/>
      <c r="AQ305" s="498"/>
      <c r="AR305" s="579">
        <v>12117.0</v>
      </c>
      <c r="AS305" s="498"/>
      <c r="AT305" s="498"/>
      <c r="AU305" s="498"/>
      <c r="AV305" s="579">
        <f>14250+2000</f>
        <v>16250</v>
      </c>
      <c r="AW305" s="498"/>
      <c r="AX305" s="498"/>
      <c r="AY305" s="498"/>
      <c r="AZ305" s="579">
        <f>14250+2000</f>
        <v>16250</v>
      </c>
      <c r="BA305" s="498"/>
      <c r="BB305" s="498"/>
      <c r="BC305" s="498"/>
      <c r="BD305" s="579">
        <f>15467+3000</f>
        <v>18467</v>
      </c>
      <c r="BE305" s="498"/>
      <c r="BF305" s="498"/>
      <c r="BG305" s="498"/>
      <c r="BH305" s="579">
        <f>15467+3000</f>
        <v>18467</v>
      </c>
      <c r="BI305" s="498"/>
      <c r="BJ305" s="498"/>
      <c r="BK305" s="498"/>
      <c r="BL305" s="780"/>
      <c r="BM305" s="800">
        <f t="shared" si="727"/>
        <v>173485</v>
      </c>
    </row>
    <row r="306" ht="12.75" hidden="1" customHeight="1">
      <c r="A306" s="808" t="s">
        <v>449</v>
      </c>
      <c r="B306" s="521"/>
      <c r="C306" s="515"/>
      <c r="D306" s="515"/>
      <c r="E306" s="515"/>
      <c r="F306" s="515"/>
      <c r="G306" s="515"/>
      <c r="H306" s="515"/>
      <c r="I306" s="515"/>
      <c r="J306" s="515"/>
      <c r="K306" s="515"/>
      <c r="L306" s="515"/>
      <c r="M306" s="515"/>
      <c r="N306" s="515"/>
      <c r="O306" s="533"/>
      <c r="P306" s="809">
        <v>0.0</v>
      </c>
      <c r="Q306" s="498"/>
      <c r="R306" s="498"/>
      <c r="S306" s="498"/>
      <c r="T306" s="809">
        <v>0.0</v>
      </c>
      <c r="U306" s="498"/>
      <c r="V306" s="498"/>
      <c r="W306" s="498"/>
      <c r="X306" s="809">
        <v>0.0</v>
      </c>
      <c r="Y306" s="498"/>
      <c r="Z306" s="498"/>
      <c r="AA306" s="498"/>
      <c r="AB306" s="809">
        <v>0.0</v>
      </c>
      <c r="AC306" s="498"/>
      <c r="AD306" s="498"/>
      <c r="AE306" s="498"/>
      <c r="AF306" s="809">
        <v>0.0</v>
      </c>
      <c r="AG306" s="498"/>
      <c r="AH306" s="498"/>
      <c r="AI306" s="498"/>
      <c r="AJ306" s="809">
        <v>0.0</v>
      </c>
      <c r="AK306" s="498"/>
      <c r="AL306" s="498"/>
      <c r="AM306" s="498"/>
      <c r="AN306" s="809">
        <v>0.0</v>
      </c>
      <c r="AO306" s="498"/>
      <c r="AP306" s="498"/>
      <c r="AQ306" s="498"/>
      <c r="AR306" s="809">
        <v>0.0</v>
      </c>
      <c r="AS306" s="498"/>
      <c r="AT306" s="498"/>
      <c r="AU306" s="498"/>
      <c r="AV306" s="809">
        <v>0.0</v>
      </c>
      <c r="AW306" s="498"/>
      <c r="AX306" s="498"/>
      <c r="AY306" s="498"/>
      <c r="AZ306" s="809">
        <v>0.0</v>
      </c>
      <c r="BA306" s="498"/>
      <c r="BB306" s="498"/>
      <c r="BC306" s="498"/>
      <c r="BD306" s="809">
        <v>0.0</v>
      </c>
      <c r="BE306" s="498"/>
      <c r="BF306" s="498"/>
      <c r="BG306" s="498"/>
      <c r="BH306" s="809">
        <v>0.0</v>
      </c>
      <c r="BI306" s="498"/>
      <c r="BJ306" s="498"/>
      <c r="BK306" s="498"/>
      <c r="BL306" s="780"/>
      <c r="BM306" s="800">
        <f t="shared" si="727"/>
        <v>0</v>
      </c>
    </row>
    <row r="307" ht="12.75" hidden="1" customHeight="1">
      <c r="A307" s="808" t="s">
        <v>450</v>
      </c>
      <c r="B307" s="521"/>
      <c r="C307" s="515"/>
      <c r="D307" s="515"/>
      <c r="E307" s="515"/>
      <c r="F307" s="515"/>
      <c r="G307" s="515"/>
      <c r="H307" s="515"/>
      <c r="I307" s="515"/>
      <c r="J307" s="515"/>
      <c r="K307" s="515"/>
      <c r="L307" s="515"/>
      <c r="M307" s="515"/>
      <c r="N307" s="515"/>
      <c r="O307" s="533"/>
      <c r="P307" s="809">
        <v>0.0</v>
      </c>
      <c r="Q307" s="498"/>
      <c r="R307" s="498"/>
      <c r="S307" s="498"/>
      <c r="T307" s="809">
        <v>0.0</v>
      </c>
      <c r="U307" s="498"/>
      <c r="V307" s="498"/>
      <c r="W307" s="498"/>
      <c r="X307" s="809">
        <v>0.0</v>
      </c>
      <c r="Y307" s="498"/>
      <c r="Z307" s="498"/>
      <c r="AA307" s="498"/>
      <c r="AB307" s="809">
        <v>0.0</v>
      </c>
      <c r="AC307" s="498"/>
      <c r="AD307" s="498"/>
      <c r="AE307" s="498"/>
      <c r="AF307" s="809">
        <v>0.0</v>
      </c>
      <c r="AG307" s="498"/>
      <c r="AH307" s="498"/>
      <c r="AI307" s="498"/>
      <c r="AJ307" s="809">
        <v>0.0</v>
      </c>
      <c r="AK307" s="498"/>
      <c r="AL307" s="498"/>
      <c r="AM307" s="498"/>
      <c r="AN307" s="809">
        <v>0.0</v>
      </c>
      <c r="AO307" s="498"/>
      <c r="AP307" s="498"/>
      <c r="AQ307" s="498"/>
      <c r="AR307" s="809">
        <v>0.0</v>
      </c>
      <c r="AS307" s="498"/>
      <c r="AT307" s="498"/>
      <c r="AU307" s="498"/>
      <c r="AV307" s="809">
        <v>0.0</v>
      </c>
      <c r="AW307" s="498"/>
      <c r="AX307" s="498"/>
      <c r="AY307" s="498"/>
      <c r="AZ307" s="809">
        <v>0.0</v>
      </c>
      <c r="BA307" s="498"/>
      <c r="BB307" s="498"/>
      <c r="BC307" s="498"/>
      <c r="BD307" s="809">
        <v>0.0</v>
      </c>
      <c r="BE307" s="498"/>
      <c r="BF307" s="498"/>
      <c r="BG307" s="498"/>
      <c r="BH307" s="809">
        <v>0.0</v>
      </c>
      <c r="BI307" s="498"/>
      <c r="BJ307" s="498"/>
      <c r="BK307" s="498"/>
      <c r="BL307" s="780"/>
      <c r="BM307" s="800">
        <f t="shared" si="727"/>
        <v>0</v>
      </c>
    </row>
    <row r="308" ht="12.75" hidden="1" customHeight="1">
      <c r="A308" s="808" t="s">
        <v>451</v>
      </c>
      <c r="B308" s="521"/>
      <c r="C308" s="515"/>
      <c r="D308" s="515"/>
      <c r="E308" s="515"/>
      <c r="F308" s="515"/>
      <c r="G308" s="515"/>
      <c r="H308" s="515"/>
      <c r="I308" s="515"/>
      <c r="J308" s="515"/>
      <c r="K308" s="515"/>
      <c r="L308" s="515"/>
      <c r="M308" s="515"/>
      <c r="N308" s="515"/>
      <c r="O308" s="533"/>
      <c r="P308" s="809">
        <v>0.0</v>
      </c>
      <c r="Q308" s="498"/>
      <c r="R308" s="498"/>
      <c r="S308" s="498"/>
      <c r="T308" s="809">
        <v>0.0</v>
      </c>
      <c r="U308" s="498"/>
      <c r="V308" s="498"/>
      <c r="W308" s="498"/>
      <c r="X308" s="809">
        <v>0.0</v>
      </c>
      <c r="Y308" s="498"/>
      <c r="Z308" s="498"/>
      <c r="AA308" s="498"/>
      <c r="AB308" s="809">
        <v>0.0</v>
      </c>
      <c r="AC308" s="498"/>
      <c r="AD308" s="498"/>
      <c r="AE308" s="498"/>
      <c r="AF308" s="809">
        <v>0.0</v>
      </c>
      <c r="AG308" s="498"/>
      <c r="AH308" s="498"/>
      <c r="AI308" s="498"/>
      <c r="AJ308" s="809">
        <v>0.0</v>
      </c>
      <c r="AK308" s="498"/>
      <c r="AL308" s="498"/>
      <c r="AM308" s="498"/>
      <c r="AN308" s="809">
        <v>0.0</v>
      </c>
      <c r="AO308" s="498"/>
      <c r="AP308" s="498"/>
      <c r="AQ308" s="498"/>
      <c r="AR308" s="809">
        <v>0.0</v>
      </c>
      <c r="AS308" s="498"/>
      <c r="AT308" s="498"/>
      <c r="AU308" s="498"/>
      <c r="AV308" s="809">
        <v>0.0</v>
      </c>
      <c r="AW308" s="498"/>
      <c r="AX308" s="498"/>
      <c r="AY308" s="498"/>
      <c r="AZ308" s="809">
        <v>0.0</v>
      </c>
      <c r="BA308" s="498"/>
      <c r="BB308" s="498"/>
      <c r="BC308" s="498"/>
      <c r="BD308" s="809">
        <v>0.0</v>
      </c>
      <c r="BE308" s="498"/>
      <c r="BF308" s="498"/>
      <c r="BG308" s="498"/>
      <c r="BH308" s="809">
        <v>0.0</v>
      </c>
      <c r="BI308" s="498"/>
      <c r="BJ308" s="498"/>
      <c r="BK308" s="498"/>
      <c r="BL308" s="780"/>
      <c r="BM308" s="800">
        <f t="shared" si="727"/>
        <v>0</v>
      </c>
    </row>
    <row r="309" ht="12.75" hidden="1" customHeight="1">
      <c r="A309" s="810" t="s">
        <v>452</v>
      </c>
      <c r="B309" s="521"/>
      <c r="C309" s="515"/>
      <c r="D309" s="515"/>
      <c r="E309" s="515"/>
      <c r="F309" s="515"/>
      <c r="G309" s="515"/>
      <c r="H309" s="515"/>
      <c r="I309" s="515"/>
      <c r="J309" s="515"/>
      <c r="K309" s="515"/>
      <c r="L309" s="515"/>
      <c r="M309" s="515"/>
      <c r="N309" s="515"/>
      <c r="O309" s="533"/>
      <c r="P309" s="809">
        <v>0.0</v>
      </c>
      <c r="Q309" s="498"/>
      <c r="R309" s="498"/>
      <c r="S309" s="498"/>
      <c r="T309" s="809">
        <v>0.0</v>
      </c>
      <c r="U309" s="498"/>
      <c r="V309" s="498"/>
      <c r="W309" s="498"/>
      <c r="X309" s="809">
        <v>0.0</v>
      </c>
      <c r="Y309" s="498"/>
      <c r="Z309" s="498"/>
      <c r="AA309" s="498"/>
      <c r="AB309" s="809">
        <v>0.0</v>
      </c>
      <c r="AC309" s="498"/>
      <c r="AD309" s="498"/>
      <c r="AE309" s="498"/>
      <c r="AF309" s="809">
        <v>0.0</v>
      </c>
      <c r="AG309" s="498"/>
      <c r="AH309" s="498"/>
      <c r="AI309" s="498"/>
      <c r="AJ309" s="809">
        <v>0.0</v>
      </c>
      <c r="AK309" s="498"/>
      <c r="AL309" s="498"/>
      <c r="AM309" s="498"/>
      <c r="AN309" s="809">
        <v>0.0</v>
      </c>
      <c r="AO309" s="498"/>
      <c r="AP309" s="498"/>
      <c r="AQ309" s="498"/>
      <c r="AR309" s="809">
        <v>0.0</v>
      </c>
      <c r="AS309" s="498"/>
      <c r="AT309" s="498"/>
      <c r="AU309" s="498"/>
      <c r="AV309" s="809">
        <v>0.0</v>
      </c>
      <c r="AW309" s="498"/>
      <c r="AX309" s="498"/>
      <c r="AY309" s="498"/>
      <c r="AZ309" s="809">
        <v>0.0</v>
      </c>
      <c r="BA309" s="498"/>
      <c r="BB309" s="498"/>
      <c r="BC309" s="498"/>
      <c r="BD309" s="809">
        <v>0.0</v>
      </c>
      <c r="BE309" s="498"/>
      <c r="BF309" s="498"/>
      <c r="BG309" s="498"/>
      <c r="BH309" s="809">
        <v>0.0</v>
      </c>
      <c r="BI309" s="498"/>
      <c r="BJ309" s="498"/>
      <c r="BK309" s="498"/>
      <c r="BL309" s="780"/>
      <c r="BM309" s="780"/>
    </row>
    <row r="310" ht="12.75" customHeight="1">
      <c r="A310" s="810" t="s">
        <v>453</v>
      </c>
      <c r="B310" s="521"/>
      <c r="C310" s="515"/>
      <c r="D310" s="515"/>
      <c r="E310" s="515"/>
      <c r="F310" s="515"/>
      <c r="G310" s="515"/>
      <c r="H310" s="515"/>
      <c r="I310" s="515"/>
      <c r="J310" s="515"/>
      <c r="K310" s="515"/>
      <c r="L310" s="515"/>
      <c r="M310" s="515"/>
      <c r="N310" s="515"/>
      <c r="O310" s="533"/>
      <c r="P310" s="579">
        <v>0.0</v>
      </c>
      <c r="Q310" s="498"/>
      <c r="R310" s="498"/>
      <c r="S310" s="498"/>
      <c r="T310" s="579">
        <v>0.0</v>
      </c>
      <c r="U310" s="498"/>
      <c r="V310" s="498"/>
      <c r="W310" s="498"/>
      <c r="X310" s="579">
        <v>0.0</v>
      </c>
      <c r="Y310" s="498"/>
      <c r="Z310" s="498"/>
      <c r="AA310" s="498"/>
      <c r="AB310" s="579">
        <v>2500.0</v>
      </c>
      <c r="AC310" s="498"/>
      <c r="AD310" s="498"/>
      <c r="AE310" s="498"/>
      <c r="AF310" s="579">
        <v>5000.0</v>
      </c>
      <c r="AG310" s="498"/>
      <c r="AH310" s="498"/>
      <c r="AI310" s="498"/>
      <c r="AJ310" s="579">
        <v>5000.0</v>
      </c>
      <c r="AK310" s="498"/>
      <c r="AL310" s="498"/>
      <c r="AM310" s="498"/>
      <c r="AN310" s="579">
        <v>0.0</v>
      </c>
      <c r="AO310" s="498"/>
      <c r="AP310" s="498"/>
      <c r="AQ310" s="498"/>
      <c r="AR310" s="579">
        <v>0.0</v>
      </c>
      <c r="AS310" s="498"/>
      <c r="AT310" s="498"/>
      <c r="AU310" s="498"/>
      <c r="AV310" s="579">
        <v>2500.0</v>
      </c>
      <c r="AW310" s="498"/>
      <c r="AX310" s="498"/>
      <c r="AY310" s="498"/>
      <c r="AZ310" s="579">
        <v>0.0</v>
      </c>
      <c r="BA310" s="498"/>
      <c r="BB310" s="498"/>
      <c r="BC310" s="498"/>
      <c r="BD310" s="579">
        <v>2500.0</v>
      </c>
      <c r="BE310" s="498"/>
      <c r="BF310" s="498"/>
      <c r="BG310" s="498"/>
      <c r="BH310" s="579">
        <v>5000.0</v>
      </c>
      <c r="BI310" s="498"/>
      <c r="BJ310" s="498"/>
      <c r="BK310" s="498"/>
      <c r="BL310" s="780"/>
      <c r="BM310" s="800">
        <f t="shared" ref="BM310:BM320" si="728">SUM(P310:BL310)</f>
        <v>22500</v>
      </c>
    </row>
    <row r="311" ht="12.75" customHeight="1">
      <c r="A311" s="810" t="s">
        <v>454</v>
      </c>
      <c r="B311" s="521"/>
      <c r="C311" s="515"/>
      <c r="D311" s="515"/>
      <c r="E311" s="515"/>
      <c r="F311" s="515"/>
      <c r="G311" s="515"/>
      <c r="H311" s="515"/>
      <c r="I311" s="515"/>
      <c r="J311" s="515"/>
      <c r="K311" s="515"/>
      <c r="L311" s="515"/>
      <c r="M311" s="515"/>
      <c r="N311" s="515"/>
      <c r="O311" s="533"/>
      <c r="P311" s="579">
        <v>14280.0</v>
      </c>
      <c r="Q311" s="498"/>
      <c r="R311" s="498"/>
      <c r="S311" s="498"/>
      <c r="T311" s="579">
        <v>14280.0</v>
      </c>
      <c r="U311" s="498"/>
      <c r="V311" s="498"/>
      <c r="W311" s="498"/>
      <c r="X311" s="579">
        <v>14280.0</v>
      </c>
      <c r="Y311" s="498"/>
      <c r="Z311" s="498"/>
      <c r="AA311" s="498"/>
      <c r="AB311" s="579">
        <v>14280.0</v>
      </c>
      <c r="AC311" s="498"/>
      <c r="AD311" s="498"/>
      <c r="AE311" s="498"/>
      <c r="AF311" s="579">
        <v>14280.0</v>
      </c>
      <c r="AG311" s="498"/>
      <c r="AH311" s="498"/>
      <c r="AI311" s="498"/>
      <c r="AJ311" s="579">
        <v>14280.0</v>
      </c>
      <c r="AK311" s="498"/>
      <c r="AL311" s="498"/>
      <c r="AM311" s="498"/>
      <c r="AN311" s="579">
        <v>14280.0</v>
      </c>
      <c r="AO311" s="498"/>
      <c r="AP311" s="498"/>
      <c r="AQ311" s="498"/>
      <c r="AR311" s="579">
        <v>14280.0</v>
      </c>
      <c r="AS311" s="498"/>
      <c r="AT311" s="498"/>
      <c r="AU311" s="498"/>
      <c r="AV311" s="579">
        <v>14280.0</v>
      </c>
      <c r="AW311" s="498"/>
      <c r="AX311" s="498"/>
      <c r="AY311" s="498"/>
      <c r="AZ311" s="579">
        <v>14280.0</v>
      </c>
      <c r="BA311" s="498"/>
      <c r="BB311" s="498"/>
      <c r="BC311" s="498"/>
      <c r="BD311" s="579">
        <v>14280.0</v>
      </c>
      <c r="BE311" s="498"/>
      <c r="BF311" s="498"/>
      <c r="BG311" s="498"/>
      <c r="BH311" s="579">
        <v>14280.0</v>
      </c>
      <c r="BI311" s="498"/>
      <c r="BJ311" s="498"/>
      <c r="BK311" s="498"/>
      <c r="BL311" s="780"/>
      <c r="BM311" s="800">
        <f t="shared" si="728"/>
        <v>171360</v>
      </c>
    </row>
    <row r="312" ht="12.75" hidden="1" customHeight="1">
      <c r="A312" s="810" t="s">
        <v>455</v>
      </c>
      <c r="B312" s="521"/>
      <c r="C312" s="515"/>
      <c r="D312" s="515"/>
      <c r="E312" s="515"/>
      <c r="F312" s="515"/>
      <c r="G312" s="515"/>
      <c r="H312" s="515"/>
      <c r="I312" s="515"/>
      <c r="J312" s="515"/>
      <c r="K312" s="515"/>
      <c r="L312" s="515"/>
      <c r="M312" s="515"/>
      <c r="N312" s="515"/>
      <c r="O312" s="533"/>
      <c r="P312" s="809">
        <v>0.0</v>
      </c>
      <c r="Q312" s="498"/>
      <c r="R312" s="498"/>
      <c r="S312" s="498"/>
      <c r="T312" s="809">
        <v>0.0</v>
      </c>
      <c r="U312" s="498"/>
      <c r="V312" s="498"/>
      <c r="W312" s="498"/>
      <c r="X312" s="809">
        <v>0.0</v>
      </c>
      <c r="Y312" s="498"/>
      <c r="Z312" s="498"/>
      <c r="AA312" s="498"/>
      <c r="AB312" s="809">
        <v>0.0</v>
      </c>
      <c r="AC312" s="498"/>
      <c r="AD312" s="498"/>
      <c r="AE312" s="498"/>
      <c r="AF312" s="809">
        <v>0.0</v>
      </c>
      <c r="AG312" s="498"/>
      <c r="AH312" s="498"/>
      <c r="AI312" s="498"/>
      <c r="AJ312" s="809">
        <v>0.0</v>
      </c>
      <c r="AK312" s="498"/>
      <c r="AL312" s="498"/>
      <c r="AM312" s="498"/>
      <c r="AN312" s="809">
        <v>0.0</v>
      </c>
      <c r="AO312" s="498"/>
      <c r="AP312" s="498"/>
      <c r="AQ312" s="498"/>
      <c r="AR312" s="809">
        <v>0.0</v>
      </c>
      <c r="AS312" s="498"/>
      <c r="AT312" s="498"/>
      <c r="AU312" s="498"/>
      <c r="AV312" s="809">
        <v>0.0</v>
      </c>
      <c r="AW312" s="498"/>
      <c r="AX312" s="498"/>
      <c r="AY312" s="498"/>
      <c r="AZ312" s="809">
        <v>0.0</v>
      </c>
      <c r="BA312" s="498"/>
      <c r="BB312" s="498"/>
      <c r="BC312" s="498"/>
      <c r="BD312" s="809">
        <v>0.0</v>
      </c>
      <c r="BE312" s="498"/>
      <c r="BF312" s="498"/>
      <c r="BG312" s="498"/>
      <c r="BH312" s="809">
        <v>0.0</v>
      </c>
      <c r="BI312" s="498"/>
      <c r="BJ312" s="498"/>
      <c r="BK312" s="498"/>
      <c r="BL312" s="780"/>
      <c r="BM312" s="800">
        <f t="shared" si="728"/>
        <v>0</v>
      </c>
    </row>
    <row r="313" ht="12.75" customHeight="1">
      <c r="A313" s="810" t="s">
        <v>456</v>
      </c>
      <c r="B313" s="521"/>
      <c r="C313" s="515"/>
      <c r="D313" s="515"/>
      <c r="E313" s="515"/>
      <c r="F313" s="515"/>
      <c r="G313" s="515"/>
      <c r="H313" s="515"/>
      <c r="I313" s="515"/>
      <c r="J313" s="515"/>
      <c r="K313" s="515"/>
      <c r="L313" s="515"/>
      <c r="M313" s="515"/>
      <c r="N313" s="515"/>
      <c r="O313" s="533"/>
      <c r="P313" s="579">
        <v>0.0</v>
      </c>
      <c r="Q313" s="498"/>
      <c r="R313" s="498"/>
      <c r="S313" s="498"/>
      <c r="T313" s="579">
        <v>0.0</v>
      </c>
      <c r="U313" s="498"/>
      <c r="V313" s="498"/>
      <c r="W313" s="498"/>
      <c r="X313" s="579">
        <v>0.0</v>
      </c>
      <c r="Y313" s="498"/>
      <c r="Z313" s="498"/>
      <c r="AA313" s="498"/>
      <c r="AB313" s="579">
        <v>0.0</v>
      </c>
      <c r="AC313" s="498"/>
      <c r="AD313" s="498"/>
      <c r="AE313" s="498"/>
      <c r="AF313" s="579">
        <v>0.0</v>
      </c>
      <c r="AG313" s="498"/>
      <c r="AH313" s="498"/>
      <c r="AI313" s="498"/>
      <c r="AJ313" s="579">
        <v>0.0</v>
      </c>
      <c r="AK313" s="498"/>
      <c r="AL313" s="498"/>
      <c r="AM313" s="498"/>
      <c r="AN313" s="579">
        <v>0.0</v>
      </c>
      <c r="AO313" s="498"/>
      <c r="AP313" s="498"/>
      <c r="AQ313" s="498"/>
      <c r="AR313" s="579">
        <v>0.0</v>
      </c>
      <c r="AS313" s="498"/>
      <c r="AT313" s="498"/>
      <c r="AU313" s="498"/>
      <c r="AV313" s="579">
        <v>0.0</v>
      </c>
      <c r="AW313" s="498"/>
      <c r="AX313" s="498"/>
      <c r="AY313" s="498"/>
      <c r="AZ313" s="579">
        <v>0.0</v>
      </c>
      <c r="BA313" s="498"/>
      <c r="BB313" s="498"/>
      <c r="BC313" s="498"/>
      <c r="BD313" s="579">
        <v>0.0</v>
      </c>
      <c r="BE313" s="498"/>
      <c r="BF313" s="498"/>
      <c r="BG313" s="498"/>
      <c r="BH313" s="579">
        <v>0.0</v>
      </c>
      <c r="BI313" s="498"/>
      <c r="BJ313" s="498"/>
      <c r="BK313" s="498"/>
      <c r="BL313" s="780"/>
      <c r="BM313" s="800">
        <f t="shared" si="728"/>
        <v>0</v>
      </c>
    </row>
    <row r="314" ht="12.75" customHeight="1">
      <c r="A314" s="810" t="s">
        <v>457</v>
      </c>
      <c r="B314" s="521"/>
      <c r="C314" s="515"/>
      <c r="D314" s="515"/>
      <c r="E314" s="515"/>
      <c r="F314" s="515"/>
      <c r="G314" s="515"/>
      <c r="H314" s="515"/>
      <c r="I314" s="515"/>
      <c r="J314" s="515"/>
      <c r="K314" s="515"/>
      <c r="L314" s="515"/>
      <c r="M314" s="515"/>
      <c r="N314" s="515"/>
      <c r="O314" s="533"/>
      <c r="P314" s="579">
        <v>0.0</v>
      </c>
      <c r="Q314" s="498"/>
      <c r="R314" s="498"/>
      <c r="S314" s="498"/>
      <c r="T314" s="579">
        <v>0.0</v>
      </c>
      <c r="U314" s="498"/>
      <c r="V314" s="498"/>
      <c r="W314" s="498"/>
      <c r="X314" s="579">
        <v>0.0</v>
      </c>
      <c r="Y314" s="498"/>
      <c r="Z314" s="498"/>
      <c r="AA314" s="498"/>
      <c r="AB314" s="579">
        <v>0.0</v>
      </c>
      <c r="AC314" s="498"/>
      <c r="AD314" s="498"/>
      <c r="AE314" s="498"/>
      <c r="AF314" s="579">
        <v>0.0</v>
      </c>
      <c r="AG314" s="498"/>
      <c r="AH314" s="498"/>
      <c r="AI314" s="498"/>
      <c r="AJ314" s="579">
        <v>0.0</v>
      </c>
      <c r="AK314" s="498"/>
      <c r="AL314" s="498"/>
      <c r="AM314" s="498"/>
      <c r="AN314" s="579">
        <v>0.0</v>
      </c>
      <c r="AO314" s="498"/>
      <c r="AP314" s="498"/>
      <c r="AQ314" s="498"/>
      <c r="AR314" s="579">
        <v>0.0</v>
      </c>
      <c r="AS314" s="498"/>
      <c r="AT314" s="498"/>
      <c r="AU314" s="498"/>
      <c r="AV314" s="579">
        <v>0.0</v>
      </c>
      <c r="AW314" s="498"/>
      <c r="AX314" s="498"/>
      <c r="AY314" s="498"/>
      <c r="AZ314" s="809">
        <v>0.0</v>
      </c>
      <c r="BA314" s="498"/>
      <c r="BB314" s="498"/>
      <c r="BC314" s="498"/>
      <c r="BD314" s="809">
        <v>0.0</v>
      </c>
      <c r="BE314" s="498"/>
      <c r="BF314" s="498"/>
      <c r="BG314" s="498"/>
      <c r="BH314" s="809">
        <v>0.0</v>
      </c>
      <c r="BI314" s="498"/>
      <c r="BJ314" s="498"/>
      <c r="BK314" s="498"/>
      <c r="BL314" s="780"/>
      <c r="BM314" s="800">
        <f t="shared" si="728"/>
        <v>0</v>
      </c>
    </row>
    <row r="315" ht="12.75" customHeight="1">
      <c r="A315" s="810" t="s">
        <v>458</v>
      </c>
      <c r="B315" s="521"/>
      <c r="C315" s="515"/>
      <c r="D315" s="515"/>
      <c r="E315" s="515"/>
      <c r="F315" s="515"/>
      <c r="G315" s="515"/>
      <c r="H315" s="515"/>
      <c r="I315" s="515"/>
      <c r="J315" s="515"/>
      <c r="K315" s="515"/>
      <c r="L315" s="515"/>
      <c r="M315" s="515"/>
      <c r="N315" s="515"/>
      <c r="O315" s="533"/>
      <c r="P315" s="579">
        <f>5000+1000</f>
        <v>6000</v>
      </c>
      <c r="Q315" s="498"/>
      <c r="R315" s="498"/>
      <c r="S315" s="498"/>
      <c r="T315" s="579">
        <f>5000+1000</f>
        <v>6000</v>
      </c>
      <c r="U315" s="498"/>
      <c r="V315" s="498"/>
      <c r="W315" s="498"/>
      <c r="X315" s="579">
        <f>5000+1000</f>
        <v>6000</v>
      </c>
      <c r="Y315" s="498"/>
      <c r="Z315" s="498"/>
      <c r="AA315" s="498"/>
      <c r="AB315" s="579">
        <f>7500+1500</f>
        <v>9000</v>
      </c>
      <c r="AC315" s="498"/>
      <c r="AD315" s="498"/>
      <c r="AE315" s="498"/>
      <c r="AF315" s="579">
        <f>10000+2000</f>
        <v>12000</v>
      </c>
      <c r="AG315" s="498"/>
      <c r="AH315" s="498"/>
      <c r="AI315" s="498"/>
      <c r="AJ315" s="579">
        <f>10000+2000</f>
        <v>12000</v>
      </c>
      <c r="AK315" s="498"/>
      <c r="AL315" s="498"/>
      <c r="AM315" s="498"/>
      <c r="AN315" s="579">
        <f>5000+1000</f>
        <v>6000</v>
      </c>
      <c r="AO315" s="498"/>
      <c r="AP315" s="498"/>
      <c r="AQ315" s="498"/>
      <c r="AR315" s="579">
        <f>5000+1000</f>
        <v>6000</v>
      </c>
      <c r="AS315" s="498"/>
      <c r="AT315" s="498"/>
      <c r="AU315" s="498"/>
      <c r="AV315" s="579">
        <f>7500+1500</f>
        <v>9000</v>
      </c>
      <c r="AW315" s="498"/>
      <c r="AX315" s="498"/>
      <c r="AY315" s="498"/>
      <c r="AZ315" s="579">
        <f>7500+1500</f>
        <v>9000</v>
      </c>
      <c r="BA315" s="498"/>
      <c r="BB315" s="498"/>
      <c r="BC315" s="498"/>
      <c r="BD315" s="579">
        <f>7500+1500</f>
        <v>9000</v>
      </c>
      <c r="BE315" s="498"/>
      <c r="BF315" s="498"/>
      <c r="BG315" s="498"/>
      <c r="BH315" s="579">
        <f>10000+2000</f>
        <v>12000</v>
      </c>
      <c r="BI315" s="498"/>
      <c r="BJ315" s="498"/>
      <c r="BK315" s="498"/>
      <c r="BL315" s="780"/>
      <c r="BM315" s="800">
        <f t="shared" si="728"/>
        <v>102000</v>
      </c>
    </row>
    <row r="316" ht="12.75" customHeight="1">
      <c r="A316" s="810" t="s">
        <v>459</v>
      </c>
      <c r="B316" s="521"/>
      <c r="C316" s="515"/>
      <c r="D316" s="515"/>
      <c r="E316" s="515"/>
      <c r="F316" s="515"/>
      <c r="G316" s="515"/>
      <c r="H316" s="515"/>
      <c r="I316" s="515"/>
      <c r="J316" s="515"/>
      <c r="K316" s="515"/>
      <c r="L316" s="515"/>
      <c r="M316" s="515"/>
      <c r="N316" s="515"/>
      <c r="O316" s="533"/>
      <c r="P316" s="579">
        <v>12500.0</v>
      </c>
      <c r="Q316" s="498"/>
      <c r="R316" s="498"/>
      <c r="S316" s="498"/>
      <c r="T316" s="579">
        <v>12500.0</v>
      </c>
      <c r="U316" s="498"/>
      <c r="V316" s="498"/>
      <c r="W316" s="498"/>
      <c r="X316" s="579">
        <v>15000.0</v>
      </c>
      <c r="Y316" s="498"/>
      <c r="Z316" s="498"/>
      <c r="AA316" s="498"/>
      <c r="AB316" s="579">
        <v>17500.0</v>
      </c>
      <c r="AC316" s="498"/>
      <c r="AD316" s="498"/>
      <c r="AE316" s="498"/>
      <c r="AF316" s="579">
        <v>20000.0</v>
      </c>
      <c r="AG316" s="498"/>
      <c r="AH316" s="498"/>
      <c r="AI316" s="498"/>
      <c r="AJ316" s="579">
        <v>20000.0</v>
      </c>
      <c r="AK316" s="498"/>
      <c r="AL316" s="498"/>
      <c r="AM316" s="498"/>
      <c r="AN316" s="579">
        <v>15000.0</v>
      </c>
      <c r="AO316" s="498"/>
      <c r="AP316" s="498"/>
      <c r="AQ316" s="498"/>
      <c r="AR316" s="579">
        <v>15000.0</v>
      </c>
      <c r="AS316" s="498"/>
      <c r="AT316" s="498"/>
      <c r="AU316" s="498"/>
      <c r="AV316" s="579">
        <v>17500.0</v>
      </c>
      <c r="AW316" s="498"/>
      <c r="AX316" s="498"/>
      <c r="AY316" s="498"/>
      <c r="AZ316" s="579">
        <v>17500.0</v>
      </c>
      <c r="BA316" s="498"/>
      <c r="BB316" s="498"/>
      <c r="BC316" s="498"/>
      <c r="BD316" s="579">
        <v>17500.0</v>
      </c>
      <c r="BE316" s="498"/>
      <c r="BF316" s="498"/>
      <c r="BG316" s="498"/>
      <c r="BH316" s="579">
        <v>20000.0</v>
      </c>
      <c r="BI316" s="498"/>
      <c r="BJ316" s="498"/>
      <c r="BK316" s="498"/>
      <c r="BL316" s="780"/>
      <c r="BM316" s="800">
        <f t="shared" si="728"/>
        <v>200000</v>
      </c>
    </row>
    <row r="317" ht="12.75" customHeight="1">
      <c r="A317" s="810" t="s">
        <v>460</v>
      </c>
      <c r="B317" s="521"/>
      <c r="C317" s="515"/>
      <c r="D317" s="515"/>
      <c r="E317" s="515"/>
      <c r="F317" s="515"/>
      <c r="G317" s="515"/>
      <c r="H317" s="515"/>
      <c r="I317" s="515"/>
      <c r="J317" s="515"/>
      <c r="K317" s="515"/>
      <c r="L317" s="515"/>
      <c r="M317" s="515"/>
      <c r="N317" s="515"/>
      <c r="O317" s="533"/>
      <c r="P317" s="579">
        <v>0.0</v>
      </c>
      <c r="Q317" s="498"/>
      <c r="R317" s="498"/>
      <c r="S317" s="498"/>
      <c r="T317" s="579">
        <v>0.0</v>
      </c>
      <c r="U317" s="498"/>
      <c r="V317" s="498"/>
      <c r="W317" s="498"/>
      <c r="X317" s="579">
        <v>0.0</v>
      </c>
      <c r="Y317" s="498"/>
      <c r="Z317" s="498"/>
      <c r="AA317" s="498"/>
      <c r="AB317" s="579">
        <v>0.0</v>
      </c>
      <c r="AC317" s="498"/>
      <c r="AD317" s="498"/>
      <c r="AE317" s="498"/>
      <c r="AF317" s="579">
        <v>0.0</v>
      </c>
      <c r="AG317" s="498"/>
      <c r="AH317" s="498"/>
      <c r="AI317" s="498"/>
      <c r="AJ317" s="579">
        <v>0.0</v>
      </c>
      <c r="AK317" s="498"/>
      <c r="AL317" s="498"/>
      <c r="AM317" s="498"/>
      <c r="AN317" s="579">
        <v>0.0</v>
      </c>
      <c r="AO317" s="498"/>
      <c r="AP317" s="498"/>
      <c r="AQ317" s="498"/>
      <c r="AR317" s="579">
        <v>0.0</v>
      </c>
      <c r="AS317" s="498"/>
      <c r="AT317" s="498"/>
      <c r="AU317" s="498"/>
      <c r="AV317" s="579">
        <v>0.0</v>
      </c>
      <c r="AW317" s="498"/>
      <c r="AX317" s="498"/>
      <c r="AY317" s="498"/>
      <c r="AZ317" s="579">
        <v>0.0</v>
      </c>
      <c r="BA317" s="498"/>
      <c r="BB317" s="498"/>
      <c r="BC317" s="498"/>
      <c r="BD317" s="579">
        <v>0.0</v>
      </c>
      <c r="BE317" s="498"/>
      <c r="BF317" s="498"/>
      <c r="BG317" s="498"/>
      <c r="BH317" s="579">
        <v>0.0</v>
      </c>
      <c r="BI317" s="498"/>
      <c r="BJ317" s="498"/>
      <c r="BK317" s="498"/>
      <c r="BL317" s="780"/>
      <c r="BM317" s="800">
        <f t="shared" si="728"/>
        <v>0</v>
      </c>
    </row>
    <row r="318" ht="12.75" customHeight="1">
      <c r="A318" s="810" t="s">
        <v>461</v>
      </c>
      <c r="B318" s="521"/>
      <c r="C318" s="515"/>
      <c r="D318" s="515"/>
      <c r="E318" s="515"/>
      <c r="F318" s="515"/>
      <c r="G318" s="515"/>
      <c r="H318" s="515"/>
      <c r="I318" s="515"/>
      <c r="J318" s="515"/>
      <c r="K318" s="515"/>
      <c r="L318" s="515"/>
      <c r="M318" s="515"/>
      <c r="N318" s="515"/>
      <c r="O318" s="533"/>
      <c r="P318" s="579">
        <v>0.0</v>
      </c>
      <c r="Q318" s="498"/>
      <c r="R318" s="498"/>
      <c r="S318" s="498"/>
      <c r="T318" s="579">
        <v>10500.0</v>
      </c>
      <c r="U318" s="498"/>
      <c r="V318" s="498"/>
      <c r="W318" s="498"/>
      <c r="X318" s="579">
        <v>10500.0</v>
      </c>
      <c r="Y318" s="498"/>
      <c r="Z318" s="498"/>
      <c r="AA318" s="498"/>
      <c r="AB318" s="579">
        <v>10500.0</v>
      </c>
      <c r="AC318" s="498"/>
      <c r="AD318" s="498"/>
      <c r="AE318" s="498"/>
      <c r="AF318" s="579">
        <v>10500.0</v>
      </c>
      <c r="AG318" s="498"/>
      <c r="AH318" s="498"/>
      <c r="AI318" s="498"/>
      <c r="AJ318" s="579">
        <v>10500.0</v>
      </c>
      <c r="AK318" s="498"/>
      <c r="AL318" s="498"/>
      <c r="AM318" s="498"/>
      <c r="AN318" s="579">
        <v>10500.0</v>
      </c>
      <c r="AO318" s="498"/>
      <c r="AP318" s="498"/>
      <c r="AQ318" s="498"/>
      <c r="AR318" s="579">
        <v>10500.0</v>
      </c>
      <c r="AS318" s="498"/>
      <c r="AT318" s="498"/>
      <c r="AU318" s="498"/>
      <c r="AV318" s="579">
        <v>10500.0</v>
      </c>
      <c r="AW318" s="498"/>
      <c r="AX318" s="498"/>
      <c r="AY318" s="498"/>
      <c r="AZ318" s="579">
        <v>10500.0</v>
      </c>
      <c r="BA318" s="498"/>
      <c r="BB318" s="498"/>
      <c r="BC318" s="498"/>
      <c r="BD318" s="579">
        <v>10500.0</v>
      </c>
      <c r="BE318" s="498"/>
      <c r="BF318" s="498"/>
      <c r="BG318" s="498"/>
      <c r="BH318" s="579">
        <v>10500.0</v>
      </c>
      <c r="BI318" s="498"/>
      <c r="BJ318" s="498"/>
      <c r="BK318" s="498"/>
      <c r="BL318" s="780"/>
      <c r="BM318" s="800">
        <f t="shared" si="728"/>
        <v>115500</v>
      </c>
    </row>
    <row r="319" ht="12.75" customHeight="1">
      <c r="A319" s="810" t="s">
        <v>462</v>
      </c>
      <c r="B319" s="521"/>
      <c r="C319" s="515"/>
      <c r="D319" s="515"/>
      <c r="E319" s="515"/>
      <c r="F319" s="515"/>
      <c r="G319" s="515"/>
      <c r="H319" s="515"/>
      <c r="I319" s="515"/>
      <c r="J319" s="515"/>
      <c r="K319" s="515"/>
      <c r="L319" s="515"/>
      <c r="M319" s="515"/>
      <c r="N319" s="515"/>
      <c r="O319" s="533"/>
      <c r="P319" s="579">
        <v>0.0</v>
      </c>
      <c r="Q319" s="498"/>
      <c r="R319" s="498"/>
      <c r="S319" s="498"/>
      <c r="T319" s="579">
        <v>0.0</v>
      </c>
      <c r="U319" s="498"/>
      <c r="V319" s="498"/>
      <c r="W319" s="498"/>
      <c r="X319" s="579">
        <v>0.0</v>
      </c>
      <c r="Y319" s="498"/>
      <c r="Z319" s="498"/>
      <c r="AA319" s="498"/>
      <c r="AB319" s="579">
        <v>0.0</v>
      </c>
      <c r="AC319" s="498"/>
      <c r="AD319" s="498"/>
      <c r="AE319" s="498"/>
      <c r="AF319" s="579">
        <v>0.0</v>
      </c>
      <c r="AG319" s="498"/>
      <c r="AH319" s="498"/>
      <c r="AI319" s="498"/>
      <c r="AJ319" s="579">
        <v>0.0</v>
      </c>
      <c r="AK319" s="498"/>
      <c r="AL319" s="498"/>
      <c r="AM319" s="498"/>
      <c r="AN319" s="579">
        <v>0.0</v>
      </c>
      <c r="AO319" s="498"/>
      <c r="AP319" s="498"/>
      <c r="AQ319" s="498"/>
      <c r="AR319" s="579">
        <v>0.0</v>
      </c>
      <c r="AS319" s="498"/>
      <c r="AT319" s="498"/>
      <c r="AU319" s="498"/>
      <c r="AV319" s="579">
        <v>0.0</v>
      </c>
      <c r="AW319" s="498"/>
      <c r="AX319" s="498"/>
      <c r="AY319" s="498"/>
      <c r="AZ319" s="579">
        <v>0.0</v>
      </c>
      <c r="BA319" s="498"/>
      <c r="BB319" s="498"/>
      <c r="BC319" s="498"/>
      <c r="BD319" s="579">
        <v>0.0</v>
      </c>
      <c r="BE319" s="498"/>
      <c r="BF319" s="498"/>
      <c r="BG319" s="498"/>
      <c r="BH319" s="579">
        <v>0.0</v>
      </c>
      <c r="BI319" s="498"/>
      <c r="BJ319" s="498"/>
      <c r="BK319" s="498"/>
      <c r="BL319" s="780"/>
      <c r="BM319" s="800">
        <f t="shared" si="728"/>
        <v>0</v>
      </c>
    </row>
    <row r="320" ht="12.75" customHeight="1">
      <c r="A320" s="810" t="s">
        <v>463</v>
      </c>
      <c r="B320" s="521"/>
      <c r="C320" s="515"/>
      <c r="D320" s="515"/>
      <c r="E320" s="515"/>
      <c r="F320" s="515"/>
      <c r="G320" s="515"/>
      <c r="H320" s="515"/>
      <c r="I320" s="515"/>
      <c r="J320" s="515"/>
      <c r="K320" s="515"/>
      <c r="L320" s="515"/>
      <c r="M320" s="515"/>
      <c r="N320" s="515"/>
      <c r="O320" s="533"/>
      <c r="P320" s="579">
        <v>0.0</v>
      </c>
      <c r="Q320" s="498"/>
      <c r="R320" s="498"/>
      <c r="S320" s="498"/>
      <c r="T320" s="579">
        <v>0.0</v>
      </c>
      <c r="U320" s="498"/>
      <c r="V320" s="498"/>
      <c r="W320" s="498"/>
      <c r="X320" s="579">
        <v>0.0</v>
      </c>
      <c r="Y320" s="498"/>
      <c r="Z320" s="498"/>
      <c r="AA320" s="498"/>
      <c r="AB320" s="579">
        <v>0.0</v>
      </c>
      <c r="AC320" s="498"/>
      <c r="AD320" s="498"/>
      <c r="AE320" s="498"/>
      <c r="AF320" s="579">
        <v>0.0</v>
      </c>
      <c r="AG320" s="498"/>
      <c r="AH320" s="498"/>
      <c r="AI320" s="498"/>
      <c r="AJ320" s="579">
        <v>0.0</v>
      </c>
      <c r="AK320" s="498"/>
      <c r="AL320" s="498"/>
      <c r="AM320" s="498"/>
      <c r="AN320" s="579">
        <v>0.0</v>
      </c>
      <c r="AO320" s="498"/>
      <c r="AP320" s="498"/>
      <c r="AQ320" s="498"/>
      <c r="AR320" s="579">
        <v>0.0</v>
      </c>
      <c r="AS320" s="498"/>
      <c r="AT320" s="498"/>
      <c r="AU320" s="498"/>
      <c r="AV320" s="579">
        <v>0.0</v>
      </c>
      <c r="AW320" s="498"/>
      <c r="AX320" s="498"/>
      <c r="AY320" s="498"/>
      <c r="AZ320" s="579">
        <v>0.0</v>
      </c>
      <c r="BA320" s="498"/>
      <c r="BB320" s="498"/>
      <c r="BC320" s="498"/>
      <c r="BD320" s="579">
        <v>0.0</v>
      </c>
      <c r="BE320" s="498"/>
      <c r="BF320" s="498"/>
      <c r="BG320" s="498"/>
      <c r="BH320" s="579">
        <v>0.0</v>
      </c>
      <c r="BI320" s="498"/>
      <c r="BJ320" s="498"/>
      <c r="BK320" s="498"/>
      <c r="BL320" s="780"/>
      <c r="BM320" s="800">
        <f t="shared" si="728"/>
        <v>0</v>
      </c>
    </row>
    <row r="321" ht="12.75" customHeight="1">
      <c r="A321" s="521"/>
      <c r="B321" s="521"/>
      <c r="C321" s="515"/>
      <c r="D321" s="515"/>
      <c r="E321" s="515"/>
      <c r="F321" s="515"/>
      <c r="G321" s="515"/>
      <c r="H321" s="515"/>
      <c r="I321" s="515"/>
      <c r="J321" s="515"/>
      <c r="K321" s="515"/>
      <c r="L321" s="515"/>
      <c r="M321" s="515"/>
      <c r="N321" s="515"/>
      <c r="O321" s="533"/>
      <c r="P321" s="786"/>
      <c r="Q321" s="787"/>
      <c r="R321" s="787"/>
      <c r="S321" s="787"/>
      <c r="T321" s="786"/>
      <c r="U321" s="787"/>
      <c r="V321" s="787"/>
      <c r="W321" s="787"/>
      <c r="X321" s="786"/>
      <c r="Y321" s="787"/>
      <c r="Z321" s="787"/>
      <c r="AA321" s="787"/>
      <c r="AB321" s="786"/>
      <c r="AC321" s="787"/>
      <c r="AD321" s="787"/>
      <c r="AE321" s="787"/>
      <c r="AF321" s="786"/>
      <c r="AG321" s="787"/>
      <c r="AH321" s="787"/>
      <c r="AI321" s="787"/>
      <c r="AJ321" s="786"/>
      <c r="AK321" s="787"/>
      <c r="AL321" s="787"/>
      <c r="AM321" s="787"/>
      <c r="AN321" s="786"/>
      <c r="AO321" s="787"/>
      <c r="AP321" s="787"/>
      <c r="AQ321" s="787"/>
      <c r="AR321" s="786"/>
      <c r="AS321" s="787"/>
      <c r="AT321" s="787"/>
      <c r="AU321" s="787"/>
      <c r="AV321" s="786"/>
      <c r="AW321" s="787"/>
      <c r="AX321" s="787"/>
      <c r="AY321" s="787"/>
      <c r="AZ321" s="780"/>
      <c r="BA321" s="780"/>
      <c r="BB321" s="780"/>
      <c r="BC321" s="780"/>
      <c r="BD321" s="541"/>
      <c r="BE321" s="541"/>
      <c r="BF321" s="541"/>
      <c r="BG321" s="541"/>
      <c r="BH321" s="780"/>
      <c r="BI321" s="780"/>
      <c r="BJ321" s="780"/>
      <c r="BK321" s="780"/>
      <c r="BL321" s="780"/>
      <c r="BM321" s="780"/>
    </row>
    <row r="322" ht="12.75" customHeight="1">
      <c r="A322" s="521"/>
      <c r="B322" s="521"/>
      <c r="C322" s="515"/>
      <c r="D322" s="515"/>
      <c r="E322" s="515"/>
      <c r="F322" s="515"/>
      <c r="G322" s="515"/>
      <c r="H322" s="515"/>
      <c r="I322" s="515"/>
      <c r="J322" s="515"/>
      <c r="K322" s="515"/>
      <c r="L322" s="515"/>
      <c r="M322" s="515"/>
      <c r="N322" s="515"/>
      <c r="O322" s="533"/>
      <c r="P322" s="786"/>
      <c r="Q322" s="787"/>
      <c r="R322" s="787"/>
      <c r="S322" s="787"/>
      <c r="T322" s="786"/>
      <c r="U322" s="787"/>
      <c r="V322" s="787"/>
      <c r="W322" s="787"/>
      <c r="X322" s="786"/>
      <c r="Y322" s="787"/>
      <c r="Z322" s="787"/>
      <c r="AA322" s="787"/>
      <c r="AB322" s="786"/>
      <c r="AC322" s="787"/>
      <c r="AD322" s="787"/>
      <c r="AE322" s="787"/>
      <c r="AF322" s="786"/>
      <c r="AG322" s="787"/>
      <c r="AH322" s="787"/>
      <c r="AI322" s="787"/>
      <c r="AJ322" s="786"/>
      <c r="AK322" s="787"/>
      <c r="AL322" s="787"/>
      <c r="AM322" s="787"/>
      <c r="AN322" s="786"/>
      <c r="AO322" s="787"/>
      <c r="AP322" s="787"/>
      <c r="AQ322" s="787"/>
      <c r="AR322" s="786"/>
      <c r="AS322" s="787"/>
      <c r="AT322" s="787"/>
      <c r="AU322" s="787"/>
      <c r="AV322" s="786"/>
      <c r="AW322" s="787"/>
      <c r="AX322" s="787"/>
      <c r="AY322" s="787"/>
      <c r="AZ322" s="780"/>
      <c r="BA322" s="780"/>
      <c r="BB322" s="780"/>
      <c r="BC322" s="780"/>
      <c r="BD322" s="541"/>
      <c r="BE322" s="541"/>
      <c r="BF322" s="541"/>
      <c r="BG322" s="541"/>
      <c r="BH322" s="780"/>
      <c r="BI322" s="780"/>
      <c r="BJ322" s="780"/>
      <c r="BK322" s="780"/>
      <c r="BL322" s="780"/>
      <c r="BM322" s="780"/>
    </row>
    <row r="323" ht="12.75" customHeight="1">
      <c r="A323" s="521"/>
      <c r="B323" s="521"/>
      <c r="C323" s="515"/>
      <c r="D323" s="515"/>
      <c r="E323" s="515"/>
      <c r="F323" s="515"/>
      <c r="G323" s="515"/>
      <c r="H323" s="515"/>
      <c r="I323" s="515"/>
      <c r="J323" s="515"/>
      <c r="K323" s="515"/>
      <c r="L323" s="515"/>
      <c r="M323" s="515"/>
      <c r="N323" s="515"/>
      <c r="O323" s="533"/>
      <c r="P323" s="786"/>
      <c r="Q323" s="787"/>
      <c r="R323" s="787"/>
      <c r="S323" s="787"/>
      <c r="T323" s="786"/>
      <c r="U323" s="787"/>
      <c r="V323" s="787"/>
      <c r="W323" s="787"/>
      <c r="X323" s="786"/>
      <c r="Y323" s="787"/>
      <c r="Z323" s="787"/>
      <c r="AA323" s="787"/>
      <c r="AB323" s="786"/>
      <c r="AC323" s="787"/>
      <c r="AD323" s="787"/>
      <c r="AE323" s="787"/>
      <c r="AF323" s="786"/>
      <c r="AG323" s="787"/>
      <c r="AH323" s="787"/>
      <c r="AI323" s="787"/>
      <c r="AJ323" s="786"/>
      <c r="AK323" s="787"/>
      <c r="AL323" s="787"/>
      <c r="AM323" s="787"/>
      <c r="AN323" s="786"/>
      <c r="AO323" s="787"/>
      <c r="AP323" s="787"/>
      <c r="AQ323" s="787"/>
      <c r="AR323" s="786"/>
      <c r="AS323" s="787"/>
      <c r="AT323" s="787"/>
      <c r="AU323" s="787"/>
      <c r="AV323" s="786"/>
      <c r="AW323" s="787"/>
      <c r="AX323" s="787"/>
      <c r="AY323" s="787"/>
      <c r="AZ323" s="780"/>
      <c r="BA323" s="780"/>
      <c r="BB323" s="780"/>
      <c r="BC323" s="780"/>
      <c r="BD323" s="541"/>
      <c r="BE323" s="541"/>
      <c r="BF323" s="541"/>
      <c r="BG323" s="541"/>
      <c r="BH323" s="780"/>
      <c r="BI323" s="780"/>
      <c r="BJ323" s="780"/>
      <c r="BK323" s="780"/>
      <c r="BL323" s="780"/>
      <c r="BM323" s="780"/>
    </row>
    <row r="324" ht="12.75" customHeight="1">
      <c r="A324" s="521"/>
      <c r="B324" s="521"/>
      <c r="C324" s="515"/>
      <c r="D324" s="515"/>
      <c r="E324" s="515"/>
      <c r="F324" s="515"/>
      <c r="G324" s="515"/>
      <c r="H324" s="515"/>
      <c r="I324" s="515"/>
      <c r="J324" s="515"/>
      <c r="K324" s="515"/>
      <c r="L324" s="515"/>
      <c r="M324" s="515"/>
      <c r="N324" s="515"/>
      <c r="O324" s="533"/>
      <c r="P324" s="786"/>
      <c r="Q324" s="787"/>
      <c r="R324" s="787"/>
      <c r="S324" s="787"/>
      <c r="T324" s="786"/>
      <c r="U324" s="787"/>
      <c r="V324" s="787"/>
      <c r="W324" s="787"/>
      <c r="X324" s="786"/>
      <c r="Y324" s="787"/>
      <c r="Z324" s="787"/>
      <c r="AA324" s="787"/>
      <c r="AB324" s="786"/>
      <c r="AC324" s="787"/>
      <c r="AD324" s="787"/>
      <c r="AE324" s="787"/>
      <c r="AF324" s="786"/>
      <c r="AG324" s="787"/>
      <c r="AH324" s="787"/>
      <c r="AI324" s="787"/>
      <c r="AJ324" s="786"/>
      <c r="AK324" s="787"/>
      <c r="AL324" s="787"/>
      <c r="AM324" s="787"/>
      <c r="AN324" s="786"/>
      <c r="AO324" s="787"/>
      <c r="AP324" s="787"/>
      <c r="AQ324" s="787"/>
      <c r="AR324" s="786"/>
      <c r="AS324" s="787"/>
      <c r="AT324" s="787"/>
      <c r="AU324" s="787"/>
      <c r="AV324" s="786"/>
      <c r="AW324" s="787"/>
      <c r="AX324" s="787"/>
      <c r="AY324" s="787"/>
      <c r="AZ324" s="780"/>
      <c r="BA324" s="780"/>
      <c r="BB324" s="780"/>
      <c r="BC324" s="780"/>
      <c r="BD324" s="541"/>
      <c r="BE324" s="541"/>
      <c r="BF324" s="541"/>
      <c r="BG324" s="541"/>
      <c r="BH324" s="780"/>
      <c r="BI324" s="780"/>
      <c r="BJ324" s="780"/>
      <c r="BK324" s="780"/>
      <c r="BL324" s="780"/>
      <c r="BM324" s="780"/>
    </row>
    <row r="325" ht="12.75" customHeight="1">
      <c r="A325" s="521"/>
      <c r="B325" s="521"/>
      <c r="C325" s="515"/>
      <c r="D325" s="515"/>
      <c r="E325" s="515"/>
      <c r="F325" s="515"/>
      <c r="G325" s="515"/>
      <c r="H325" s="515"/>
      <c r="I325" s="515"/>
      <c r="J325" s="515"/>
      <c r="K325" s="515"/>
      <c r="L325" s="515"/>
      <c r="M325" s="515"/>
      <c r="N325" s="515"/>
      <c r="O325" s="533"/>
      <c r="P325" s="786"/>
      <c r="Q325" s="787"/>
      <c r="R325" s="787"/>
      <c r="S325" s="787"/>
      <c r="T325" s="786"/>
      <c r="U325" s="787"/>
      <c r="V325" s="787"/>
      <c r="W325" s="787"/>
      <c r="X325" s="786"/>
      <c r="Y325" s="787"/>
      <c r="Z325" s="787"/>
      <c r="AA325" s="787"/>
      <c r="AB325" s="786"/>
      <c r="AC325" s="787"/>
      <c r="AD325" s="787"/>
      <c r="AE325" s="787"/>
      <c r="AF325" s="786"/>
      <c r="AG325" s="787"/>
      <c r="AH325" s="787"/>
      <c r="AI325" s="787"/>
      <c r="AJ325" s="786"/>
      <c r="AK325" s="787"/>
      <c r="AL325" s="787"/>
      <c r="AM325" s="787"/>
      <c r="AN325" s="786"/>
      <c r="AO325" s="787"/>
      <c r="AP325" s="787"/>
      <c r="AQ325" s="787"/>
      <c r="AR325" s="786"/>
      <c r="AS325" s="787"/>
      <c r="AT325" s="787"/>
      <c r="AU325" s="787"/>
      <c r="AV325" s="786"/>
      <c r="AW325" s="787"/>
      <c r="AX325" s="787"/>
      <c r="AY325" s="787"/>
      <c r="AZ325" s="780"/>
      <c r="BA325" s="780"/>
      <c r="BB325" s="780"/>
      <c r="BC325" s="780"/>
      <c r="BD325" s="541"/>
      <c r="BE325" s="541"/>
      <c r="BF325" s="541"/>
      <c r="BG325" s="541"/>
      <c r="BH325" s="780"/>
      <c r="BI325" s="780"/>
      <c r="BJ325" s="780"/>
      <c r="BK325" s="780"/>
      <c r="BL325" s="780"/>
      <c r="BM325" s="780"/>
    </row>
    <row r="326" ht="12.75" customHeight="1">
      <c r="A326" s="521"/>
      <c r="B326" s="521"/>
      <c r="C326" s="515"/>
      <c r="D326" s="515"/>
      <c r="E326" s="515"/>
      <c r="F326" s="515"/>
      <c r="G326" s="515"/>
      <c r="H326" s="515"/>
      <c r="I326" s="515"/>
      <c r="J326" s="515"/>
      <c r="K326" s="515"/>
      <c r="L326" s="515"/>
      <c r="M326" s="515"/>
      <c r="N326" s="515"/>
      <c r="O326" s="533"/>
      <c r="P326" s="786"/>
      <c r="Q326" s="787"/>
      <c r="R326" s="787"/>
      <c r="S326" s="787"/>
      <c r="T326" s="786"/>
      <c r="U326" s="787"/>
      <c r="V326" s="787"/>
      <c r="W326" s="787"/>
      <c r="X326" s="786"/>
      <c r="Y326" s="787"/>
      <c r="Z326" s="787"/>
      <c r="AA326" s="787"/>
      <c r="AB326" s="786"/>
      <c r="AC326" s="787"/>
      <c r="AD326" s="787"/>
      <c r="AE326" s="787"/>
      <c r="AF326" s="786"/>
      <c r="AG326" s="787"/>
      <c r="AH326" s="787"/>
      <c r="AI326" s="787"/>
      <c r="AJ326" s="786"/>
      <c r="AK326" s="787"/>
      <c r="AL326" s="787"/>
      <c r="AM326" s="787"/>
      <c r="AN326" s="786"/>
      <c r="AO326" s="787"/>
      <c r="AP326" s="787"/>
      <c r="AQ326" s="787"/>
      <c r="AR326" s="786"/>
      <c r="AS326" s="787"/>
      <c r="AT326" s="787"/>
      <c r="AU326" s="787"/>
      <c r="AV326" s="786"/>
      <c r="AW326" s="787"/>
      <c r="AX326" s="787"/>
      <c r="AY326" s="787"/>
      <c r="AZ326" s="780"/>
      <c r="BA326" s="780"/>
      <c r="BB326" s="780"/>
      <c r="BC326" s="780"/>
      <c r="BD326" s="541"/>
      <c r="BE326" s="541"/>
      <c r="BF326" s="541"/>
      <c r="BG326" s="541"/>
      <c r="BH326" s="780"/>
      <c r="BI326" s="780"/>
      <c r="BJ326" s="780"/>
      <c r="BK326" s="780"/>
      <c r="BL326" s="780"/>
      <c r="BM326" s="780"/>
    </row>
    <row r="327" ht="12.75" customHeight="1">
      <c r="A327" s="521"/>
      <c r="B327" s="521"/>
      <c r="C327" s="515"/>
      <c r="D327" s="515"/>
      <c r="E327" s="515"/>
      <c r="F327" s="515"/>
      <c r="G327" s="515"/>
      <c r="H327" s="515"/>
      <c r="I327" s="515"/>
      <c r="J327" s="515"/>
      <c r="K327" s="515"/>
      <c r="L327" s="515"/>
      <c r="M327" s="515"/>
      <c r="N327" s="515"/>
      <c r="O327" s="533"/>
      <c r="P327" s="786"/>
      <c r="Q327" s="787"/>
      <c r="R327" s="787"/>
      <c r="S327" s="787"/>
      <c r="T327" s="786"/>
      <c r="U327" s="787"/>
      <c r="V327" s="787"/>
      <c r="W327" s="787"/>
      <c r="X327" s="786"/>
      <c r="Y327" s="787"/>
      <c r="Z327" s="787"/>
      <c r="AA327" s="787"/>
      <c r="AB327" s="786"/>
      <c r="AC327" s="787"/>
      <c r="AD327" s="787"/>
      <c r="AE327" s="787"/>
      <c r="AF327" s="786"/>
      <c r="AG327" s="787"/>
      <c r="AH327" s="787"/>
      <c r="AI327" s="787"/>
      <c r="AJ327" s="786"/>
      <c r="AK327" s="787"/>
      <c r="AL327" s="787"/>
      <c r="AM327" s="787"/>
      <c r="AN327" s="786"/>
      <c r="AO327" s="787"/>
      <c r="AP327" s="787"/>
      <c r="AQ327" s="787"/>
      <c r="AR327" s="786"/>
      <c r="AS327" s="787"/>
      <c r="AT327" s="787"/>
      <c r="AU327" s="787"/>
      <c r="AV327" s="786"/>
      <c r="AW327" s="787"/>
      <c r="AX327" s="787"/>
      <c r="AY327" s="787"/>
      <c r="AZ327" s="780"/>
      <c r="BA327" s="780"/>
      <c r="BB327" s="780"/>
      <c r="BC327" s="780"/>
      <c r="BD327" s="541"/>
      <c r="BE327" s="541"/>
      <c r="BF327" s="541"/>
      <c r="BG327" s="541"/>
      <c r="BH327" s="780"/>
      <c r="BI327" s="780"/>
      <c r="BJ327" s="780"/>
      <c r="BK327" s="780"/>
      <c r="BL327" s="780"/>
      <c r="BM327" s="780"/>
    </row>
    <row r="328" ht="12.75" customHeight="1">
      <c r="A328" s="521"/>
      <c r="B328" s="521"/>
      <c r="C328" s="515"/>
      <c r="D328" s="515"/>
      <c r="E328" s="515"/>
      <c r="F328" s="515"/>
      <c r="G328" s="515"/>
      <c r="H328" s="515"/>
      <c r="I328" s="515"/>
      <c r="J328" s="515"/>
      <c r="K328" s="515"/>
      <c r="L328" s="515"/>
      <c r="M328" s="515"/>
      <c r="N328" s="515"/>
      <c r="O328" s="533"/>
      <c r="P328" s="786"/>
      <c r="Q328" s="787"/>
      <c r="R328" s="787"/>
      <c r="S328" s="787"/>
      <c r="T328" s="786"/>
      <c r="U328" s="787"/>
      <c r="V328" s="787"/>
      <c r="W328" s="787"/>
      <c r="X328" s="786"/>
      <c r="Y328" s="787"/>
      <c r="Z328" s="787"/>
      <c r="AA328" s="787"/>
      <c r="AB328" s="786"/>
      <c r="AC328" s="787"/>
      <c r="AD328" s="787"/>
      <c r="AE328" s="787"/>
      <c r="AF328" s="786"/>
      <c r="AG328" s="787"/>
      <c r="AH328" s="787"/>
      <c r="AI328" s="787"/>
      <c r="AJ328" s="786"/>
      <c r="AK328" s="787"/>
      <c r="AL328" s="787"/>
      <c r="AM328" s="787"/>
      <c r="AN328" s="786"/>
      <c r="AO328" s="787"/>
      <c r="AP328" s="787"/>
      <c r="AQ328" s="787"/>
      <c r="AR328" s="786"/>
      <c r="AS328" s="787"/>
      <c r="AT328" s="787"/>
      <c r="AU328" s="787"/>
      <c r="AV328" s="786"/>
      <c r="AW328" s="787"/>
      <c r="AX328" s="787"/>
      <c r="AY328" s="787"/>
      <c r="AZ328" s="780"/>
      <c r="BA328" s="780"/>
      <c r="BB328" s="780"/>
      <c r="BC328" s="780"/>
      <c r="BD328" s="541"/>
      <c r="BE328" s="541"/>
      <c r="BF328" s="541"/>
      <c r="BG328" s="541"/>
      <c r="BH328" s="780"/>
      <c r="BI328" s="780"/>
      <c r="BJ328" s="780"/>
      <c r="BK328" s="780"/>
      <c r="BL328" s="780"/>
      <c r="BM328" s="780"/>
    </row>
    <row r="329" ht="12.75" customHeight="1">
      <c r="A329" s="521"/>
      <c r="B329" s="521"/>
      <c r="C329" s="515"/>
      <c r="D329" s="515"/>
      <c r="E329" s="515"/>
      <c r="F329" s="515"/>
      <c r="G329" s="515"/>
      <c r="H329" s="515"/>
      <c r="I329" s="515"/>
      <c r="J329" s="515"/>
      <c r="K329" s="515"/>
      <c r="L329" s="515"/>
      <c r="M329" s="515"/>
      <c r="N329" s="515"/>
      <c r="O329" s="533"/>
      <c r="P329" s="786"/>
      <c r="Q329" s="787"/>
      <c r="R329" s="787"/>
      <c r="S329" s="787"/>
      <c r="T329" s="786"/>
      <c r="U329" s="787"/>
      <c r="V329" s="787"/>
      <c r="W329" s="787"/>
      <c r="X329" s="786"/>
      <c r="Y329" s="787"/>
      <c r="Z329" s="787"/>
      <c r="AA329" s="787"/>
      <c r="AB329" s="786"/>
      <c r="AC329" s="787"/>
      <c r="AD329" s="787"/>
      <c r="AE329" s="787"/>
      <c r="AF329" s="786"/>
      <c r="AG329" s="787"/>
      <c r="AH329" s="787"/>
      <c r="AI329" s="787"/>
      <c r="AJ329" s="786"/>
      <c r="AK329" s="787"/>
      <c r="AL329" s="787"/>
      <c r="AM329" s="787"/>
      <c r="AN329" s="786"/>
      <c r="AO329" s="787"/>
      <c r="AP329" s="787"/>
      <c r="AQ329" s="787"/>
      <c r="AR329" s="786"/>
      <c r="AS329" s="787"/>
      <c r="AT329" s="787"/>
      <c r="AU329" s="787"/>
      <c r="AV329" s="786"/>
      <c r="AW329" s="787"/>
      <c r="AX329" s="787"/>
      <c r="AY329" s="787"/>
      <c r="AZ329" s="780"/>
      <c r="BA329" s="780"/>
      <c r="BB329" s="780"/>
      <c r="BC329" s="780"/>
      <c r="BD329" s="541"/>
      <c r="BE329" s="541"/>
      <c r="BF329" s="541"/>
      <c r="BG329" s="541"/>
      <c r="BH329" s="780"/>
      <c r="BI329" s="780"/>
      <c r="BJ329" s="780"/>
      <c r="BK329" s="780"/>
      <c r="BL329" s="780"/>
      <c r="BM329" s="780"/>
    </row>
    <row r="330" ht="12.75" customHeight="1">
      <c r="A330" s="521"/>
      <c r="B330" s="521"/>
      <c r="C330" s="515"/>
      <c r="D330" s="515"/>
      <c r="E330" s="515"/>
      <c r="F330" s="515"/>
      <c r="G330" s="515"/>
      <c r="H330" s="515"/>
      <c r="I330" s="515"/>
      <c r="J330" s="515"/>
      <c r="K330" s="515"/>
      <c r="L330" s="515"/>
      <c r="M330" s="515"/>
      <c r="N330" s="515"/>
      <c r="O330" s="533"/>
      <c r="P330" s="786"/>
      <c r="Q330" s="787"/>
      <c r="R330" s="787"/>
      <c r="S330" s="787"/>
      <c r="T330" s="786"/>
      <c r="U330" s="787"/>
      <c r="V330" s="787"/>
      <c r="W330" s="787"/>
      <c r="X330" s="786"/>
      <c r="Y330" s="787"/>
      <c r="Z330" s="787"/>
      <c r="AA330" s="787"/>
      <c r="AB330" s="786"/>
      <c r="AC330" s="787"/>
      <c r="AD330" s="787"/>
      <c r="AE330" s="787"/>
      <c r="AF330" s="786"/>
      <c r="AG330" s="787"/>
      <c r="AH330" s="787"/>
      <c r="AI330" s="787"/>
      <c r="AJ330" s="786"/>
      <c r="AK330" s="787"/>
      <c r="AL330" s="787"/>
      <c r="AM330" s="787"/>
      <c r="AN330" s="786"/>
      <c r="AO330" s="787"/>
      <c r="AP330" s="787"/>
      <c r="AQ330" s="787"/>
      <c r="AR330" s="786"/>
      <c r="AS330" s="787"/>
      <c r="AT330" s="787"/>
      <c r="AU330" s="787"/>
      <c r="AV330" s="786"/>
      <c r="AW330" s="787"/>
      <c r="AX330" s="787"/>
      <c r="AY330" s="787"/>
      <c r="AZ330" s="780"/>
      <c r="BA330" s="780"/>
      <c r="BB330" s="780"/>
      <c r="BC330" s="780"/>
      <c r="BD330" s="541"/>
      <c r="BE330" s="541"/>
      <c r="BF330" s="541"/>
      <c r="BG330" s="541"/>
      <c r="BH330" s="780"/>
      <c r="BI330" s="780"/>
      <c r="BJ330" s="780"/>
      <c r="BK330" s="780"/>
      <c r="BL330" s="780"/>
      <c r="BM330" s="780"/>
    </row>
    <row r="331" ht="12.75" customHeight="1">
      <c r="A331" s="521"/>
      <c r="B331" s="521"/>
      <c r="C331" s="515"/>
      <c r="D331" s="515"/>
      <c r="E331" s="515"/>
      <c r="F331" s="515"/>
      <c r="G331" s="515"/>
      <c r="H331" s="515"/>
      <c r="I331" s="515"/>
      <c r="J331" s="515"/>
      <c r="K331" s="515"/>
      <c r="L331" s="515"/>
      <c r="M331" s="515"/>
      <c r="N331" s="515"/>
      <c r="O331" s="533"/>
      <c r="P331" s="786"/>
      <c r="Q331" s="787"/>
      <c r="R331" s="787"/>
      <c r="S331" s="787"/>
      <c r="T331" s="786"/>
      <c r="U331" s="787"/>
      <c r="V331" s="787"/>
      <c r="W331" s="787"/>
      <c r="X331" s="786"/>
      <c r="Y331" s="787"/>
      <c r="Z331" s="787"/>
      <c r="AA331" s="787"/>
      <c r="AB331" s="786"/>
      <c r="AC331" s="787"/>
      <c r="AD331" s="787"/>
      <c r="AE331" s="787"/>
      <c r="AF331" s="786"/>
      <c r="AG331" s="787"/>
      <c r="AH331" s="787"/>
      <c r="AI331" s="787"/>
      <c r="AJ331" s="786"/>
      <c r="AK331" s="787"/>
      <c r="AL331" s="787"/>
      <c r="AM331" s="787"/>
      <c r="AN331" s="786"/>
      <c r="AO331" s="787"/>
      <c r="AP331" s="787"/>
      <c r="AQ331" s="787"/>
      <c r="AR331" s="786"/>
      <c r="AS331" s="787"/>
      <c r="AT331" s="787"/>
      <c r="AU331" s="787"/>
      <c r="AV331" s="786"/>
      <c r="AW331" s="787"/>
      <c r="AX331" s="787"/>
      <c r="AY331" s="787"/>
      <c r="AZ331" s="780"/>
      <c r="BA331" s="780"/>
      <c r="BB331" s="780"/>
      <c r="BC331" s="780"/>
      <c r="BD331" s="541"/>
      <c r="BE331" s="541"/>
      <c r="BF331" s="541"/>
      <c r="BG331" s="541"/>
      <c r="BH331" s="780"/>
      <c r="BI331" s="780"/>
      <c r="BJ331" s="780"/>
      <c r="BK331" s="780"/>
      <c r="BL331" s="780"/>
      <c r="BM331" s="780"/>
    </row>
    <row r="332" ht="12.75" customHeight="1">
      <c r="A332" s="521"/>
      <c r="B332" s="521"/>
      <c r="C332" s="515"/>
      <c r="D332" s="515"/>
      <c r="E332" s="515"/>
      <c r="F332" s="515"/>
      <c r="G332" s="515"/>
      <c r="H332" s="515"/>
      <c r="I332" s="515"/>
      <c r="J332" s="515"/>
      <c r="K332" s="515"/>
      <c r="L332" s="515"/>
      <c r="M332" s="515"/>
      <c r="N332" s="515"/>
      <c r="O332" s="533"/>
      <c r="P332" s="786"/>
      <c r="Q332" s="787"/>
      <c r="R332" s="787"/>
      <c r="S332" s="787"/>
      <c r="T332" s="786"/>
      <c r="U332" s="787"/>
      <c r="V332" s="787"/>
      <c r="W332" s="787"/>
      <c r="X332" s="786"/>
      <c r="Y332" s="787"/>
      <c r="Z332" s="787"/>
      <c r="AA332" s="787"/>
      <c r="AB332" s="786"/>
      <c r="AC332" s="787"/>
      <c r="AD332" s="787"/>
      <c r="AE332" s="787"/>
      <c r="AF332" s="786"/>
      <c r="AG332" s="787"/>
      <c r="AH332" s="787"/>
      <c r="AI332" s="787"/>
      <c r="AJ332" s="786"/>
      <c r="AK332" s="787"/>
      <c r="AL332" s="787"/>
      <c r="AM332" s="787"/>
      <c r="AN332" s="786"/>
      <c r="AO332" s="787"/>
      <c r="AP332" s="787"/>
      <c r="AQ332" s="787"/>
      <c r="AR332" s="786"/>
      <c r="AS332" s="787"/>
      <c r="AT332" s="787"/>
      <c r="AU332" s="787"/>
      <c r="AV332" s="786"/>
      <c r="AW332" s="787"/>
      <c r="AX332" s="787"/>
      <c r="AY332" s="787"/>
      <c r="AZ332" s="780"/>
      <c r="BA332" s="780"/>
      <c r="BB332" s="780"/>
      <c r="BC332" s="780"/>
      <c r="BD332" s="541"/>
      <c r="BE332" s="541"/>
      <c r="BF332" s="541"/>
      <c r="BG332" s="541"/>
      <c r="BH332" s="780"/>
      <c r="BI332" s="780"/>
      <c r="BJ332" s="780"/>
      <c r="BK332" s="780"/>
      <c r="BL332" s="780"/>
      <c r="BM332" s="780"/>
    </row>
    <row r="333" ht="12.75" customHeight="1">
      <c r="A333" s="521"/>
      <c r="B333" s="521"/>
      <c r="C333" s="515"/>
      <c r="D333" s="515"/>
      <c r="E333" s="515"/>
      <c r="F333" s="515"/>
      <c r="G333" s="515"/>
      <c r="H333" s="515"/>
      <c r="I333" s="515"/>
      <c r="J333" s="515"/>
      <c r="K333" s="515"/>
      <c r="L333" s="515"/>
      <c r="M333" s="515"/>
      <c r="N333" s="515"/>
      <c r="O333" s="533"/>
      <c r="P333" s="786"/>
      <c r="Q333" s="787"/>
      <c r="R333" s="787"/>
      <c r="S333" s="787"/>
      <c r="T333" s="786"/>
      <c r="U333" s="787"/>
      <c r="V333" s="787"/>
      <c r="W333" s="787"/>
      <c r="X333" s="786"/>
      <c r="Y333" s="787"/>
      <c r="Z333" s="787"/>
      <c r="AA333" s="787"/>
      <c r="AB333" s="786"/>
      <c r="AC333" s="787"/>
      <c r="AD333" s="787"/>
      <c r="AE333" s="787"/>
      <c r="AF333" s="786"/>
      <c r="AG333" s="787"/>
      <c r="AH333" s="787"/>
      <c r="AI333" s="787"/>
      <c r="AJ333" s="786"/>
      <c r="AK333" s="787"/>
      <c r="AL333" s="787"/>
      <c r="AM333" s="787"/>
      <c r="AN333" s="786"/>
      <c r="AO333" s="787"/>
      <c r="AP333" s="787"/>
      <c r="AQ333" s="787"/>
      <c r="AR333" s="786"/>
      <c r="AS333" s="787"/>
      <c r="AT333" s="787"/>
      <c r="AU333" s="787"/>
      <c r="AV333" s="786"/>
      <c r="AW333" s="787"/>
      <c r="AX333" s="787"/>
      <c r="AY333" s="787"/>
      <c r="AZ333" s="780"/>
      <c r="BA333" s="780"/>
      <c r="BB333" s="780"/>
      <c r="BC333" s="780"/>
      <c r="BD333" s="541"/>
      <c r="BE333" s="541"/>
      <c r="BF333" s="541"/>
      <c r="BG333" s="541"/>
      <c r="BH333" s="780"/>
      <c r="BI333" s="780"/>
      <c r="BJ333" s="780"/>
      <c r="BK333" s="780"/>
      <c r="BL333" s="780"/>
      <c r="BM333" s="780"/>
    </row>
    <row r="334" ht="12.75" customHeight="1">
      <c r="A334" s="521"/>
      <c r="B334" s="521"/>
      <c r="C334" s="515"/>
      <c r="D334" s="515"/>
      <c r="E334" s="515"/>
      <c r="F334" s="515"/>
      <c r="G334" s="515"/>
      <c r="H334" s="515"/>
      <c r="I334" s="515"/>
      <c r="J334" s="515"/>
      <c r="K334" s="515"/>
      <c r="L334" s="515"/>
      <c r="M334" s="515"/>
      <c r="N334" s="515"/>
      <c r="O334" s="533"/>
      <c r="P334" s="786"/>
      <c r="Q334" s="787"/>
      <c r="R334" s="787"/>
      <c r="S334" s="787"/>
      <c r="T334" s="786"/>
      <c r="U334" s="787"/>
      <c r="V334" s="787"/>
      <c r="W334" s="787"/>
      <c r="X334" s="786"/>
      <c r="Y334" s="787"/>
      <c r="Z334" s="787"/>
      <c r="AA334" s="787"/>
      <c r="AB334" s="786"/>
      <c r="AC334" s="787"/>
      <c r="AD334" s="787"/>
      <c r="AE334" s="787"/>
      <c r="AF334" s="786"/>
      <c r="AG334" s="787"/>
      <c r="AH334" s="787"/>
      <c r="AI334" s="787"/>
      <c r="AJ334" s="786"/>
      <c r="AK334" s="787"/>
      <c r="AL334" s="787"/>
      <c r="AM334" s="787"/>
      <c r="AN334" s="786"/>
      <c r="AO334" s="787"/>
      <c r="AP334" s="787"/>
      <c r="AQ334" s="787"/>
      <c r="AR334" s="786"/>
      <c r="AS334" s="787"/>
      <c r="AT334" s="787"/>
      <c r="AU334" s="787"/>
      <c r="AV334" s="786"/>
      <c r="AW334" s="787"/>
      <c r="AX334" s="787"/>
      <c r="AY334" s="787"/>
      <c r="AZ334" s="780"/>
      <c r="BA334" s="780"/>
      <c r="BB334" s="780"/>
      <c r="BC334" s="780"/>
      <c r="BD334" s="541"/>
      <c r="BE334" s="541"/>
      <c r="BF334" s="541"/>
      <c r="BG334" s="541"/>
      <c r="BH334" s="780"/>
      <c r="BI334" s="780"/>
      <c r="BJ334" s="780"/>
      <c r="BK334" s="780"/>
      <c r="BL334" s="780"/>
      <c r="BM334" s="780"/>
    </row>
    <row r="335" ht="12.75" customHeight="1">
      <c r="A335" s="521"/>
      <c r="B335" s="521"/>
      <c r="C335" s="515"/>
      <c r="D335" s="515"/>
      <c r="E335" s="515"/>
      <c r="F335" s="515"/>
      <c r="G335" s="515"/>
      <c r="H335" s="515"/>
      <c r="I335" s="515"/>
      <c r="J335" s="515"/>
      <c r="K335" s="515"/>
      <c r="L335" s="515"/>
      <c r="M335" s="515"/>
      <c r="N335" s="515"/>
      <c r="O335" s="533"/>
      <c r="P335" s="786"/>
      <c r="Q335" s="787"/>
      <c r="R335" s="787"/>
      <c r="S335" s="787"/>
      <c r="T335" s="786"/>
      <c r="U335" s="787"/>
      <c r="V335" s="787"/>
      <c r="W335" s="787"/>
      <c r="X335" s="786"/>
      <c r="Y335" s="787"/>
      <c r="Z335" s="787"/>
      <c r="AA335" s="787"/>
      <c r="AB335" s="786"/>
      <c r="AC335" s="787"/>
      <c r="AD335" s="787"/>
      <c r="AE335" s="787"/>
      <c r="AF335" s="786"/>
      <c r="AG335" s="787"/>
      <c r="AH335" s="787"/>
      <c r="AI335" s="787"/>
      <c r="AJ335" s="786"/>
      <c r="AK335" s="787"/>
      <c r="AL335" s="787"/>
      <c r="AM335" s="787"/>
      <c r="AN335" s="786"/>
      <c r="AO335" s="787"/>
      <c r="AP335" s="787"/>
      <c r="AQ335" s="787"/>
      <c r="AR335" s="786"/>
      <c r="AS335" s="787"/>
      <c r="AT335" s="787"/>
      <c r="AU335" s="787"/>
      <c r="AV335" s="786"/>
      <c r="AW335" s="787"/>
      <c r="AX335" s="787"/>
      <c r="AY335" s="787"/>
      <c r="AZ335" s="780"/>
      <c r="BA335" s="780"/>
      <c r="BB335" s="780"/>
      <c r="BC335" s="780"/>
      <c r="BD335" s="541"/>
      <c r="BE335" s="541"/>
      <c r="BF335" s="541"/>
      <c r="BG335" s="541"/>
      <c r="BH335" s="780"/>
      <c r="BI335" s="780"/>
      <c r="BJ335" s="780"/>
      <c r="BK335" s="780"/>
      <c r="BL335" s="780"/>
      <c r="BM335" s="780"/>
    </row>
    <row r="336" ht="12.75" customHeight="1">
      <c r="A336" s="521"/>
      <c r="B336" s="521"/>
      <c r="C336" s="515"/>
      <c r="D336" s="515"/>
      <c r="E336" s="515"/>
      <c r="F336" s="515"/>
      <c r="G336" s="515"/>
      <c r="H336" s="515"/>
      <c r="I336" s="515"/>
      <c r="J336" s="515"/>
      <c r="K336" s="515"/>
      <c r="L336" s="515"/>
      <c r="M336" s="515"/>
      <c r="N336" s="515"/>
      <c r="O336" s="533"/>
      <c r="P336" s="786"/>
      <c r="Q336" s="787"/>
      <c r="R336" s="787"/>
      <c r="S336" s="787"/>
      <c r="T336" s="786"/>
      <c r="U336" s="787"/>
      <c r="V336" s="787"/>
      <c r="W336" s="787"/>
      <c r="X336" s="786"/>
      <c r="Y336" s="787"/>
      <c r="Z336" s="787"/>
      <c r="AA336" s="787"/>
      <c r="AB336" s="786"/>
      <c r="AC336" s="787"/>
      <c r="AD336" s="787"/>
      <c r="AE336" s="787"/>
      <c r="AF336" s="786"/>
      <c r="AG336" s="787"/>
      <c r="AH336" s="787"/>
      <c r="AI336" s="787"/>
      <c r="AJ336" s="786"/>
      <c r="AK336" s="787"/>
      <c r="AL336" s="787"/>
      <c r="AM336" s="787"/>
      <c r="AN336" s="786"/>
      <c r="AO336" s="787"/>
      <c r="AP336" s="787"/>
      <c r="AQ336" s="787"/>
      <c r="AR336" s="786"/>
      <c r="AS336" s="787"/>
      <c r="AT336" s="787"/>
      <c r="AU336" s="787"/>
      <c r="AV336" s="786"/>
      <c r="AW336" s="787"/>
      <c r="AX336" s="787"/>
      <c r="AY336" s="787"/>
      <c r="AZ336" s="780"/>
      <c r="BA336" s="780"/>
      <c r="BB336" s="780"/>
      <c r="BC336" s="780"/>
      <c r="BD336" s="541"/>
      <c r="BE336" s="541"/>
      <c r="BF336" s="541"/>
      <c r="BG336" s="541"/>
      <c r="BH336" s="780"/>
      <c r="BI336" s="780"/>
      <c r="BJ336" s="780"/>
      <c r="BK336" s="780"/>
      <c r="BL336" s="780"/>
      <c r="BM336" s="780"/>
    </row>
    <row r="337" ht="12.75" customHeight="1">
      <c r="A337" s="521"/>
      <c r="B337" s="521"/>
      <c r="C337" s="515"/>
      <c r="D337" s="515"/>
      <c r="E337" s="515"/>
      <c r="F337" s="515"/>
      <c r="G337" s="515"/>
      <c r="H337" s="515"/>
      <c r="I337" s="515"/>
      <c r="J337" s="515"/>
      <c r="K337" s="515"/>
      <c r="L337" s="515"/>
      <c r="M337" s="515"/>
      <c r="N337" s="515"/>
      <c r="O337" s="533"/>
      <c r="P337" s="786"/>
      <c r="Q337" s="787"/>
      <c r="R337" s="787"/>
      <c r="S337" s="787"/>
      <c r="T337" s="786"/>
      <c r="U337" s="787"/>
      <c r="V337" s="787"/>
      <c r="W337" s="787"/>
      <c r="X337" s="786"/>
      <c r="Y337" s="787"/>
      <c r="Z337" s="787"/>
      <c r="AA337" s="787"/>
      <c r="AB337" s="786"/>
      <c r="AC337" s="787"/>
      <c r="AD337" s="787"/>
      <c r="AE337" s="787"/>
      <c r="AF337" s="786"/>
      <c r="AG337" s="787"/>
      <c r="AH337" s="787"/>
      <c r="AI337" s="787"/>
      <c r="AJ337" s="786"/>
      <c r="AK337" s="787"/>
      <c r="AL337" s="787"/>
      <c r="AM337" s="787"/>
      <c r="AN337" s="786"/>
      <c r="AO337" s="787"/>
      <c r="AP337" s="787"/>
      <c r="AQ337" s="787"/>
      <c r="AR337" s="786"/>
      <c r="AS337" s="787"/>
      <c r="AT337" s="787"/>
      <c r="AU337" s="787"/>
      <c r="AV337" s="786"/>
      <c r="AW337" s="787"/>
      <c r="AX337" s="787"/>
      <c r="AY337" s="787"/>
      <c r="AZ337" s="780"/>
      <c r="BA337" s="780"/>
      <c r="BB337" s="780"/>
      <c r="BC337" s="780"/>
      <c r="BD337" s="541"/>
      <c r="BE337" s="541"/>
      <c r="BF337" s="541"/>
      <c r="BG337" s="541"/>
      <c r="BH337" s="780"/>
      <c r="BI337" s="780"/>
      <c r="BJ337" s="780"/>
      <c r="BK337" s="780"/>
      <c r="BL337" s="780"/>
      <c r="BM337" s="780"/>
    </row>
    <row r="338" ht="12.75" customHeight="1">
      <c r="A338" s="521"/>
      <c r="B338" s="521"/>
      <c r="C338" s="515"/>
      <c r="D338" s="515"/>
      <c r="E338" s="515"/>
      <c r="F338" s="515"/>
      <c r="G338" s="515"/>
      <c r="H338" s="515"/>
      <c r="I338" s="515"/>
      <c r="J338" s="515"/>
      <c r="K338" s="515"/>
      <c r="L338" s="515"/>
      <c r="M338" s="515"/>
      <c r="N338" s="515"/>
      <c r="O338" s="533"/>
      <c r="P338" s="786"/>
      <c r="Q338" s="787"/>
      <c r="R338" s="787"/>
      <c r="S338" s="787"/>
      <c r="T338" s="786"/>
      <c r="U338" s="787"/>
      <c r="V338" s="787"/>
      <c r="W338" s="787"/>
      <c r="X338" s="786"/>
      <c r="Y338" s="787"/>
      <c r="Z338" s="787"/>
      <c r="AA338" s="787"/>
      <c r="AB338" s="786"/>
      <c r="AC338" s="787"/>
      <c r="AD338" s="787"/>
      <c r="AE338" s="787"/>
      <c r="AF338" s="786"/>
      <c r="AG338" s="787"/>
      <c r="AH338" s="787"/>
      <c r="AI338" s="787"/>
      <c r="AJ338" s="786"/>
      <c r="AK338" s="787"/>
      <c r="AL338" s="787"/>
      <c r="AM338" s="787"/>
      <c r="AN338" s="786"/>
      <c r="AO338" s="787"/>
      <c r="AP338" s="787"/>
      <c r="AQ338" s="787"/>
      <c r="AR338" s="786"/>
      <c r="AS338" s="787"/>
      <c r="AT338" s="787"/>
      <c r="AU338" s="787"/>
      <c r="AV338" s="786"/>
      <c r="AW338" s="787"/>
      <c r="AX338" s="787"/>
      <c r="AY338" s="787"/>
      <c r="AZ338" s="780"/>
      <c r="BA338" s="780"/>
      <c r="BB338" s="780"/>
      <c r="BC338" s="780"/>
      <c r="BD338" s="541"/>
      <c r="BE338" s="541"/>
      <c r="BF338" s="541"/>
      <c r="BG338" s="541"/>
      <c r="BH338" s="780"/>
      <c r="BI338" s="780"/>
      <c r="BJ338" s="780"/>
      <c r="BK338" s="780"/>
      <c r="BL338" s="780"/>
      <c r="BM338" s="780"/>
    </row>
    <row r="339" ht="12.75" customHeight="1">
      <c r="A339" s="521"/>
      <c r="B339" s="521"/>
      <c r="C339" s="515"/>
      <c r="D339" s="515"/>
      <c r="E339" s="515"/>
      <c r="F339" s="515"/>
      <c r="G339" s="515"/>
      <c r="H339" s="515"/>
      <c r="I339" s="515"/>
      <c r="J339" s="515"/>
      <c r="K339" s="515"/>
      <c r="L339" s="515"/>
      <c r="M339" s="515"/>
      <c r="N339" s="515"/>
      <c r="O339" s="533"/>
      <c r="P339" s="786"/>
      <c r="Q339" s="787"/>
      <c r="R339" s="787"/>
      <c r="S339" s="787"/>
      <c r="T339" s="786"/>
      <c r="U339" s="787"/>
      <c r="V339" s="787"/>
      <c r="W339" s="787"/>
      <c r="X339" s="786"/>
      <c r="Y339" s="787"/>
      <c r="Z339" s="787"/>
      <c r="AA339" s="787"/>
      <c r="AB339" s="786"/>
      <c r="AC339" s="787"/>
      <c r="AD339" s="787"/>
      <c r="AE339" s="787"/>
      <c r="AF339" s="786"/>
      <c r="AG339" s="787"/>
      <c r="AH339" s="787"/>
      <c r="AI339" s="787"/>
      <c r="AJ339" s="786"/>
      <c r="AK339" s="787"/>
      <c r="AL339" s="787"/>
      <c r="AM339" s="787"/>
      <c r="AN339" s="786"/>
      <c r="AO339" s="787"/>
      <c r="AP339" s="787"/>
      <c r="AQ339" s="787"/>
      <c r="AR339" s="786"/>
      <c r="AS339" s="787"/>
      <c r="AT339" s="787"/>
      <c r="AU339" s="787"/>
      <c r="AV339" s="786"/>
      <c r="AW339" s="787"/>
      <c r="AX339" s="787"/>
      <c r="AY339" s="787"/>
      <c r="AZ339" s="780"/>
      <c r="BA339" s="780"/>
      <c r="BB339" s="780"/>
      <c r="BC339" s="780"/>
      <c r="BD339" s="541"/>
      <c r="BE339" s="541"/>
      <c r="BF339" s="541"/>
      <c r="BG339" s="541"/>
      <c r="BH339" s="780"/>
      <c r="BI339" s="780"/>
      <c r="BJ339" s="780"/>
      <c r="BK339" s="780"/>
      <c r="BL339" s="780"/>
      <c r="BM339" s="780"/>
    </row>
    <row r="340" ht="12.75" customHeight="1">
      <c r="A340" s="521"/>
      <c r="B340" s="521"/>
      <c r="C340" s="515"/>
      <c r="D340" s="515"/>
      <c r="E340" s="515"/>
      <c r="F340" s="515"/>
      <c r="G340" s="515"/>
      <c r="H340" s="515"/>
      <c r="I340" s="515"/>
      <c r="J340" s="515"/>
      <c r="K340" s="515"/>
      <c r="L340" s="515"/>
      <c r="M340" s="515"/>
      <c r="N340" s="515"/>
      <c r="O340" s="533"/>
      <c r="P340" s="786"/>
      <c r="Q340" s="787"/>
      <c r="R340" s="787"/>
      <c r="S340" s="787"/>
      <c r="T340" s="786"/>
      <c r="U340" s="787"/>
      <c r="V340" s="787"/>
      <c r="W340" s="787"/>
      <c r="X340" s="786"/>
      <c r="Y340" s="787"/>
      <c r="Z340" s="787"/>
      <c r="AA340" s="787"/>
      <c r="AB340" s="786"/>
      <c r="AC340" s="787"/>
      <c r="AD340" s="787"/>
      <c r="AE340" s="787"/>
      <c r="AF340" s="786"/>
      <c r="AG340" s="787"/>
      <c r="AH340" s="787"/>
      <c r="AI340" s="787"/>
      <c r="AJ340" s="786"/>
      <c r="AK340" s="787"/>
      <c r="AL340" s="787"/>
      <c r="AM340" s="787"/>
      <c r="AN340" s="786"/>
      <c r="AO340" s="787"/>
      <c r="AP340" s="787"/>
      <c r="AQ340" s="787"/>
      <c r="AR340" s="786"/>
      <c r="AS340" s="787"/>
      <c r="AT340" s="787"/>
      <c r="AU340" s="787"/>
      <c r="AV340" s="786"/>
      <c r="AW340" s="787"/>
      <c r="AX340" s="787"/>
      <c r="AY340" s="787"/>
      <c r="AZ340" s="780"/>
      <c r="BA340" s="780"/>
      <c r="BB340" s="780"/>
      <c r="BC340" s="780"/>
      <c r="BD340" s="541"/>
      <c r="BE340" s="541"/>
      <c r="BF340" s="541"/>
      <c r="BG340" s="541"/>
      <c r="BH340" s="780"/>
      <c r="BI340" s="780"/>
      <c r="BJ340" s="780"/>
      <c r="BK340" s="780"/>
      <c r="BL340" s="780"/>
      <c r="BM340" s="780"/>
    </row>
    <row r="341" ht="12.75" customHeight="1">
      <c r="A341" s="521"/>
      <c r="B341" s="521"/>
      <c r="C341" s="515"/>
      <c r="D341" s="515"/>
      <c r="E341" s="515"/>
      <c r="F341" s="515"/>
      <c r="G341" s="515"/>
      <c r="H341" s="515"/>
      <c r="I341" s="515"/>
      <c r="J341" s="515"/>
      <c r="K341" s="515"/>
      <c r="L341" s="515"/>
      <c r="M341" s="515"/>
      <c r="N341" s="515"/>
      <c r="O341" s="533"/>
      <c r="P341" s="786"/>
      <c r="Q341" s="787"/>
      <c r="R341" s="787"/>
      <c r="S341" s="787"/>
      <c r="T341" s="786"/>
      <c r="U341" s="787"/>
      <c r="V341" s="787"/>
      <c r="W341" s="787"/>
      <c r="X341" s="786"/>
      <c r="Y341" s="787"/>
      <c r="Z341" s="787"/>
      <c r="AA341" s="787"/>
      <c r="AB341" s="786"/>
      <c r="AC341" s="787"/>
      <c r="AD341" s="787"/>
      <c r="AE341" s="787"/>
      <c r="AF341" s="786"/>
      <c r="AG341" s="787"/>
      <c r="AH341" s="787"/>
      <c r="AI341" s="787"/>
      <c r="AJ341" s="786"/>
      <c r="AK341" s="787"/>
      <c r="AL341" s="787"/>
      <c r="AM341" s="787"/>
      <c r="AN341" s="786"/>
      <c r="AO341" s="787"/>
      <c r="AP341" s="787"/>
      <c r="AQ341" s="787"/>
      <c r="AR341" s="786"/>
      <c r="AS341" s="787"/>
      <c r="AT341" s="787"/>
      <c r="AU341" s="787"/>
      <c r="AV341" s="786"/>
      <c r="AW341" s="787"/>
      <c r="AX341" s="787"/>
      <c r="AY341" s="787"/>
      <c r="AZ341" s="780"/>
      <c r="BA341" s="780"/>
      <c r="BB341" s="780"/>
      <c r="BC341" s="780"/>
      <c r="BD341" s="541"/>
      <c r="BE341" s="541"/>
      <c r="BF341" s="541"/>
      <c r="BG341" s="541"/>
      <c r="BH341" s="780"/>
      <c r="BI341" s="780"/>
      <c r="BJ341" s="780"/>
      <c r="BK341" s="780"/>
      <c r="BL341" s="780"/>
      <c r="BM341" s="780"/>
    </row>
    <row r="342" ht="12.75" customHeight="1">
      <c r="A342" s="521"/>
      <c r="B342" s="521"/>
      <c r="C342" s="515"/>
      <c r="D342" s="515"/>
      <c r="E342" s="515"/>
      <c r="F342" s="515"/>
      <c r="G342" s="515"/>
      <c r="H342" s="515"/>
      <c r="I342" s="515"/>
      <c r="J342" s="515"/>
      <c r="K342" s="515"/>
      <c r="L342" s="515"/>
      <c r="M342" s="515"/>
      <c r="N342" s="515"/>
      <c r="O342" s="533"/>
      <c r="P342" s="786"/>
      <c r="Q342" s="787"/>
      <c r="R342" s="787"/>
      <c r="S342" s="787"/>
      <c r="T342" s="786"/>
      <c r="U342" s="787"/>
      <c r="V342" s="787"/>
      <c r="W342" s="787"/>
      <c r="X342" s="786"/>
      <c r="Y342" s="787"/>
      <c r="Z342" s="787"/>
      <c r="AA342" s="787"/>
      <c r="AB342" s="786"/>
      <c r="AC342" s="787"/>
      <c r="AD342" s="787"/>
      <c r="AE342" s="787"/>
      <c r="AF342" s="786"/>
      <c r="AG342" s="787"/>
      <c r="AH342" s="787"/>
      <c r="AI342" s="787"/>
      <c r="AJ342" s="786"/>
      <c r="AK342" s="787"/>
      <c r="AL342" s="787"/>
      <c r="AM342" s="787"/>
      <c r="AN342" s="786"/>
      <c r="AO342" s="787"/>
      <c r="AP342" s="787"/>
      <c r="AQ342" s="787"/>
      <c r="AR342" s="786"/>
      <c r="AS342" s="787"/>
      <c r="AT342" s="787"/>
      <c r="AU342" s="787"/>
      <c r="AV342" s="786"/>
      <c r="AW342" s="787"/>
      <c r="AX342" s="787"/>
      <c r="AY342" s="787"/>
      <c r="AZ342" s="780"/>
      <c r="BA342" s="780"/>
      <c r="BB342" s="780"/>
      <c r="BC342" s="780"/>
      <c r="BD342" s="541"/>
      <c r="BE342" s="541"/>
      <c r="BF342" s="541"/>
      <c r="BG342" s="541"/>
      <c r="BH342" s="780"/>
      <c r="BI342" s="780"/>
      <c r="BJ342" s="780"/>
      <c r="BK342" s="780"/>
      <c r="BL342" s="780"/>
      <c r="BM342" s="780"/>
    </row>
    <row r="343" ht="12.75" customHeight="1">
      <c r="A343" s="521"/>
      <c r="B343" s="521"/>
      <c r="C343" s="515"/>
      <c r="D343" s="515"/>
      <c r="E343" s="515"/>
      <c r="F343" s="515"/>
      <c r="G343" s="515"/>
      <c r="H343" s="515"/>
      <c r="I343" s="515"/>
      <c r="J343" s="515"/>
      <c r="K343" s="515"/>
      <c r="L343" s="515"/>
      <c r="M343" s="515"/>
      <c r="N343" s="515"/>
      <c r="O343" s="533"/>
      <c r="P343" s="786"/>
      <c r="Q343" s="787"/>
      <c r="R343" s="787"/>
      <c r="S343" s="787"/>
      <c r="T343" s="786"/>
      <c r="U343" s="787"/>
      <c r="V343" s="787"/>
      <c r="W343" s="787"/>
      <c r="X343" s="786"/>
      <c r="Y343" s="787"/>
      <c r="Z343" s="787"/>
      <c r="AA343" s="787"/>
      <c r="AB343" s="786"/>
      <c r="AC343" s="787"/>
      <c r="AD343" s="787"/>
      <c r="AE343" s="787"/>
      <c r="AF343" s="786"/>
      <c r="AG343" s="787"/>
      <c r="AH343" s="787"/>
      <c r="AI343" s="787"/>
      <c r="AJ343" s="786"/>
      <c r="AK343" s="787"/>
      <c r="AL343" s="787"/>
      <c r="AM343" s="787"/>
      <c r="AN343" s="786"/>
      <c r="AO343" s="787"/>
      <c r="AP343" s="787"/>
      <c r="AQ343" s="787"/>
      <c r="AR343" s="786"/>
      <c r="AS343" s="787"/>
      <c r="AT343" s="787"/>
      <c r="AU343" s="787"/>
      <c r="AV343" s="786"/>
      <c r="AW343" s="787"/>
      <c r="AX343" s="787"/>
      <c r="AY343" s="787"/>
      <c r="AZ343" s="780"/>
      <c r="BA343" s="780"/>
      <c r="BB343" s="780"/>
      <c r="BC343" s="780"/>
      <c r="BD343" s="541"/>
      <c r="BE343" s="541"/>
      <c r="BF343" s="541"/>
      <c r="BG343" s="541"/>
      <c r="BH343" s="780"/>
      <c r="BI343" s="780"/>
      <c r="BJ343" s="780"/>
      <c r="BK343" s="780"/>
      <c r="BL343" s="780"/>
      <c r="BM343" s="780"/>
    </row>
    <row r="344" ht="12.75" customHeight="1">
      <c r="A344" s="521"/>
      <c r="B344" s="521"/>
      <c r="C344" s="515"/>
      <c r="D344" s="515"/>
      <c r="E344" s="515"/>
      <c r="F344" s="515"/>
      <c r="G344" s="515"/>
      <c r="H344" s="515"/>
      <c r="I344" s="515"/>
      <c r="J344" s="515"/>
      <c r="K344" s="515"/>
      <c r="L344" s="515"/>
      <c r="M344" s="515"/>
      <c r="N344" s="515"/>
      <c r="O344" s="533"/>
      <c r="P344" s="786"/>
      <c r="Q344" s="787"/>
      <c r="R344" s="787"/>
      <c r="S344" s="787"/>
      <c r="T344" s="786"/>
      <c r="U344" s="787"/>
      <c r="V344" s="787"/>
      <c r="W344" s="787"/>
      <c r="X344" s="786"/>
      <c r="Y344" s="787"/>
      <c r="Z344" s="787"/>
      <c r="AA344" s="787"/>
      <c r="AB344" s="786"/>
      <c r="AC344" s="787"/>
      <c r="AD344" s="787"/>
      <c r="AE344" s="787"/>
      <c r="AF344" s="786"/>
      <c r="AG344" s="787"/>
      <c r="AH344" s="787"/>
      <c r="AI344" s="787"/>
      <c r="AJ344" s="786"/>
      <c r="AK344" s="787"/>
      <c r="AL344" s="787"/>
      <c r="AM344" s="787"/>
      <c r="AN344" s="786"/>
      <c r="AO344" s="787"/>
      <c r="AP344" s="787"/>
      <c r="AQ344" s="787"/>
      <c r="AR344" s="786"/>
      <c r="AS344" s="787"/>
      <c r="AT344" s="787"/>
      <c r="AU344" s="787"/>
      <c r="AV344" s="786"/>
      <c r="AW344" s="787"/>
      <c r="AX344" s="787"/>
      <c r="AY344" s="787"/>
      <c r="AZ344" s="780"/>
      <c r="BA344" s="780"/>
      <c r="BB344" s="780"/>
      <c r="BC344" s="780"/>
      <c r="BD344" s="541"/>
      <c r="BE344" s="541"/>
      <c r="BF344" s="541"/>
      <c r="BG344" s="541"/>
      <c r="BH344" s="780"/>
      <c r="BI344" s="780"/>
      <c r="BJ344" s="780"/>
      <c r="BK344" s="780"/>
      <c r="BL344" s="780"/>
      <c r="BM344" s="780"/>
    </row>
    <row r="345" ht="12.75" customHeight="1">
      <c r="A345" s="521"/>
      <c r="B345" s="521"/>
      <c r="C345" s="515"/>
      <c r="D345" s="515"/>
      <c r="E345" s="515"/>
      <c r="F345" s="515"/>
      <c r="G345" s="515"/>
      <c r="H345" s="515"/>
      <c r="I345" s="515"/>
      <c r="J345" s="515"/>
      <c r="K345" s="515"/>
      <c r="L345" s="515"/>
      <c r="M345" s="515"/>
      <c r="N345" s="515"/>
      <c r="O345" s="533"/>
      <c r="P345" s="786"/>
      <c r="Q345" s="787"/>
      <c r="R345" s="787"/>
      <c r="S345" s="787"/>
      <c r="T345" s="786"/>
      <c r="U345" s="787"/>
      <c r="V345" s="787"/>
      <c r="W345" s="787"/>
      <c r="X345" s="786"/>
      <c r="Y345" s="787"/>
      <c r="Z345" s="787"/>
      <c r="AA345" s="787"/>
      <c r="AB345" s="786"/>
      <c r="AC345" s="787"/>
      <c r="AD345" s="787"/>
      <c r="AE345" s="787"/>
      <c r="AF345" s="786"/>
      <c r="AG345" s="787"/>
      <c r="AH345" s="787"/>
      <c r="AI345" s="787"/>
      <c r="AJ345" s="786"/>
      <c r="AK345" s="787"/>
      <c r="AL345" s="787"/>
      <c r="AM345" s="787"/>
      <c r="AN345" s="786"/>
      <c r="AO345" s="787"/>
      <c r="AP345" s="787"/>
      <c r="AQ345" s="787"/>
      <c r="AR345" s="786"/>
      <c r="AS345" s="787"/>
      <c r="AT345" s="787"/>
      <c r="AU345" s="787"/>
      <c r="AV345" s="786"/>
      <c r="AW345" s="787"/>
      <c r="AX345" s="787"/>
      <c r="AY345" s="787"/>
      <c r="AZ345" s="780"/>
      <c r="BA345" s="780"/>
      <c r="BB345" s="780"/>
      <c r="BC345" s="780"/>
      <c r="BD345" s="541"/>
      <c r="BE345" s="541"/>
      <c r="BF345" s="541"/>
      <c r="BG345" s="541"/>
      <c r="BH345" s="780"/>
      <c r="BI345" s="780"/>
      <c r="BJ345" s="780"/>
      <c r="BK345" s="780"/>
      <c r="BL345" s="780"/>
      <c r="BM345" s="780"/>
    </row>
    <row r="346" ht="12.75" customHeight="1">
      <c r="A346" s="521"/>
      <c r="B346" s="521"/>
      <c r="C346" s="515"/>
      <c r="D346" s="515"/>
      <c r="E346" s="515"/>
      <c r="F346" s="515"/>
      <c r="G346" s="515"/>
      <c r="H346" s="515"/>
      <c r="I346" s="515"/>
      <c r="J346" s="515"/>
      <c r="K346" s="515"/>
      <c r="L346" s="515"/>
      <c r="M346" s="515"/>
      <c r="N346" s="515"/>
      <c r="O346" s="533"/>
      <c r="P346" s="786"/>
      <c r="Q346" s="787"/>
      <c r="R346" s="787"/>
      <c r="S346" s="787"/>
      <c r="T346" s="786"/>
      <c r="U346" s="787"/>
      <c r="V346" s="787"/>
      <c r="W346" s="787"/>
      <c r="X346" s="786"/>
      <c r="Y346" s="787"/>
      <c r="Z346" s="787"/>
      <c r="AA346" s="787"/>
      <c r="AB346" s="786"/>
      <c r="AC346" s="787"/>
      <c r="AD346" s="787"/>
      <c r="AE346" s="787"/>
      <c r="AF346" s="786"/>
      <c r="AG346" s="787"/>
      <c r="AH346" s="787"/>
      <c r="AI346" s="787"/>
      <c r="AJ346" s="786"/>
      <c r="AK346" s="787"/>
      <c r="AL346" s="787"/>
      <c r="AM346" s="787"/>
      <c r="AN346" s="786"/>
      <c r="AO346" s="787"/>
      <c r="AP346" s="787"/>
      <c r="AQ346" s="787"/>
      <c r="AR346" s="786"/>
      <c r="AS346" s="787"/>
      <c r="AT346" s="787"/>
      <c r="AU346" s="787"/>
      <c r="AV346" s="786"/>
      <c r="AW346" s="787"/>
      <c r="AX346" s="787"/>
      <c r="AY346" s="787"/>
      <c r="AZ346" s="780"/>
      <c r="BA346" s="780"/>
      <c r="BB346" s="780"/>
      <c r="BC346" s="780"/>
      <c r="BD346" s="541"/>
      <c r="BE346" s="541"/>
      <c r="BF346" s="541"/>
      <c r="BG346" s="541"/>
      <c r="BH346" s="780"/>
      <c r="BI346" s="780"/>
      <c r="BJ346" s="780"/>
      <c r="BK346" s="780"/>
      <c r="BL346" s="780"/>
      <c r="BM346" s="780"/>
    </row>
    <row r="347" ht="12.75" customHeight="1">
      <c r="A347" s="521"/>
      <c r="B347" s="521"/>
      <c r="C347" s="515"/>
      <c r="D347" s="515"/>
      <c r="E347" s="515"/>
      <c r="F347" s="515"/>
      <c r="G347" s="515"/>
      <c r="H347" s="515"/>
      <c r="I347" s="515"/>
      <c r="J347" s="515"/>
      <c r="K347" s="515"/>
      <c r="L347" s="515"/>
      <c r="M347" s="515"/>
      <c r="N347" s="515"/>
      <c r="O347" s="533"/>
      <c r="P347" s="786"/>
      <c r="Q347" s="787"/>
      <c r="R347" s="787"/>
      <c r="S347" s="787"/>
      <c r="T347" s="786"/>
      <c r="U347" s="787"/>
      <c r="V347" s="787"/>
      <c r="W347" s="787"/>
      <c r="X347" s="786"/>
      <c r="Y347" s="787"/>
      <c r="Z347" s="787"/>
      <c r="AA347" s="787"/>
      <c r="AB347" s="786"/>
      <c r="AC347" s="787"/>
      <c r="AD347" s="787"/>
      <c r="AE347" s="787"/>
      <c r="AF347" s="786"/>
      <c r="AG347" s="787"/>
      <c r="AH347" s="787"/>
      <c r="AI347" s="787"/>
      <c r="AJ347" s="786"/>
      <c r="AK347" s="787"/>
      <c r="AL347" s="787"/>
      <c r="AM347" s="787"/>
      <c r="AN347" s="786"/>
      <c r="AO347" s="787"/>
      <c r="AP347" s="787"/>
      <c r="AQ347" s="787"/>
      <c r="AR347" s="786"/>
      <c r="AS347" s="787"/>
      <c r="AT347" s="787"/>
      <c r="AU347" s="787"/>
      <c r="AV347" s="786"/>
      <c r="AW347" s="787"/>
      <c r="AX347" s="787"/>
      <c r="AY347" s="787"/>
      <c r="AZ347" s="780"/>
      <c r="BA347" s="780"/>
      <c r="BB347" s="780"/>
      <c r="BC347" s="780"/>
      <c r="BD347" s="541"/>
      <c r="BE347" s="541"/>
      <c r="BF347" s="541"/>
      <c r="BG347" s="541"/>
      <c r="BH347" s="780"/>
      <c r="BI347" s="780"/>
      <c r="BJ347" s="780"/>
      <c r="BK347" s="780"/>
      <c r="BL347" s="780"/>
      <c r="BM347" s="780"/>
    </row>
    <row r="348" ht="12.75" customHeight="1">
      <c r="A348" s="521"/>
      <c r="B348" s="521"/>
      <c r="C348" s="515"/>
      <c r="D348" s="515"/>
      <c r="E348" s="515"/>
      <c r="F348" s="515"/>
      <c r="G348" s="515"/>
      <c r="H348" s="515"/>
      <c r="I348" s="515"/>
      <c r="J348" s="515"/>
      <c r="K348" s="515"/>
      <c r="L348" s="515"/>
      <c r="M348" s="515"/>
      <c r="N348" s="515"/>
      <c r="O348" s="533"/>
      <c r="P348" s="786"/>
      <c r="Q348" s="787"/>
      <c r="R348" s="787"/>
      <c r="S348" s="787"/>
      <c r="T348" s="786"/>
      <c r="U348" s="787"/>
      <c r="V348" s="787"/>
      <c r="W348" s="787"/>
      <c r="X348" s="786"/>
      <c r="Y348" s="787"/>
      <c r="Z348" s="787"/>
      <c r="AA348" s="787"/>
      <c r="AB348" s="786"/>
      <c r="AC348" s="787"/>
      <c r="AD348" s="787"/>
      <c r="AE348" s="787"/>
      <c r="AF348" s="786"/>
      <c r="AG348" s="787"/>
      <c r="AH348" s="787"/>
      <c r="AI348" s="787"/>
      <c r="AJ348" s="786"/>
      <c r="AK348" s="787"/>
      <c r="AL348" s="787"/>
      <c r="AM348" s="787"/>
      <c r="AN348" s="786"/>
      <c r="AO348" s="787"/>
      <c r="AP348" s="787"/>
      <c r="AQ348" s="787"/>
      <c r="AR348" s="786"/>
      <c r="AS348" s="787"/>
      <c r="AT348" s="787"/>
      <c r="AU348" s="787"/>
      <c r="AV348" s="786"/>
      <c r="AW348" s="787"/>
      <c r="AX348" s="787"/>
      <c r="AY348" s="787"/>
      <c r="AZ348" s="780"/>
      <c r="BA348" s="780"/>
      <c r="BB348" s="780"/>
      <c r="BC348" s="780"/>
      <c r="BD348" s="541"/>
      <c r="BE348" s="541"/>
      <c r="BF348" s="541"/>
      <c r="BG348" s="541"/>
      <c r="BH348" s="780"/>
      <c r="BI348" s="780"/>
      <c r="BJ348" s="780"/>
      <c r="BK348" s="780"/>
      <c r="BL348" s="780"/>
      <c r="BM348" s="780"/>
    </row>
    <row r="349" ht="12.75" customHeight="1">
      <c r="A349" s="521"/>
      <c r="B349" s="521"/>
      <c r="C349" s="515"/>
      <c r="D349" s="515"/>
      <c r="E349" s="515"/>
      <c r="F349" s="515"/>
      <c r="G349" s="515"/>
      <c r="H349" s="515"/>
      <c r="I349" s="515"/>
      <c r="J349" s="515"/>
      <c r="K349" s="515"/>
      <c r="L349" s="515"/>
      <c r="M349" s="515"/>
      <c r="N349" s="515"/>
      <c r="O349" s="533"/>
      <c r="P349" s="786"/>
      <c r="Q349" s="787"/>
      <c r="R349" s="787"/>
      <c r="S349" s="787"/>
      <c r="T349" s="786"/>
      <c r="U349" s="787"/>
      <c r="V349" s="787"/>
      <c r="W349" s="787"/>
      <c r="X349" s="786"/>
      <c r="Y349" s="787"/>
      <c r="Z349" s="787"/>
      <c r="AA349" s="787"/>
      <c r="AB349" s="786"/>
      <c r="AC349" s="787"/>
      <c r="AD349" s="787"/>
      <c r="AE349" s="787"/>
      <c r="AF349" s="786"/>
      <c r="AG349" s="787"/>
      <c r="AH349" s="787"/>
      <c r="AI349" s="787"/>
      <c r="AJ349" s="786"/>
      <c r="AK349" s="787"/>
      <c r="AL349" s="787"/>
      <c r="AM349" s="787"/>
      <c r="AN349" s="786"/>
      <c r="AO349" s="787"/>
      <c r="AP349" s="787"/>
      <c r="AQ349" s="787"/>
      <c r="AR349" s="786"/>
      <c r="AS349" s="787"/>
      <c r="AT349" s="787"/>
      <c r="AU349" s="787"/>
      <c r="AV349" s="786"/>
      <c r="AW349" s="787"/>
      <c r="AX349" s="787"/>
      <c r="AY349" s="787"/>
      <c r="AZ349" s="780"/>
      <c r="BA349" s="780"/>
      <c r="BB349" s="780"/>
      <c r="BC349" s="780"/>
      <c r="BD349" s="541"/>
      <c r="BE349" s="541"/>
      <c r="BF349" s="541"/>
      <c r="BG349" s="541"/>
      <c r="BH349" s="780"/>
      <c r="BI349" s="780"/>
      <c r="BJ349" s="780"/>
      <c r="BK349" s="780"/>
      <c r="BL349" s="780"/>
      <c r="BM349" s="780"/>
    </row>
    <row r="350" ht="12.75" customHeight="1">
      <c r="A350" s="521"/>
      <c r="B350" s="521"/>
      <c r="C350" s="515"/>
      <c r="D350" s="515"/>
      <c r="E350" s="515"/>
      <c r="F350" s="515"/>
      <c r="G350" s="515"/>
      <c r="H350" s="515"/>
      <c r="I350" s="515"/>
      <c r="J350" s="515"/>
      <c r="K350" s="515"/>
      <c r="L350" s="515"/>
      <c r="M350" s="515"/>
      <c r="N350" s="515"/>
      <c r="O350" s="533"/>
      <c r="P350" s="786"/>
      <c r="Q350" s="787"/>
      <c r="R350" s="787"/>
      <c r="S350" s="787"/>
      <c r="T350" s="786"/>
      <c r="U350" s="787"/>
      <c r="V350" s="787"/>
      <c r="W350" s="787"/>
      <c r="X350" s="786"/>
      <c r="Y350" s="787"/>
      <c r="Z350" s="787"/>
      <c r="AA350" s="787"/>
      <c r="AB350" s="786"/>
      <c r="AC350" s="787"/>
      <c r="AD350" s="787"/>
      <c r="AE350" s="787"/>
      <c r="AF350" s="786"/>
      <c r="AG350" s="787"/>
      <c r="AH350" s="787"/>
      <c r="AI350" s="787"/>
      <c r="AJ350" s="786"/>
      <c r="AK350" s="787"/>
      <c r="AL350" s="787"/>
      <c r="AM350" s="787"/>
      <c r="AN350" s="786"/>
      <c r="AO350" s="787"/>
      <c r="AP350" s="787"/>
      <c r="AQ350" s="787"/>
      <c r="AR350" s="786"/>
      <c r="AS350" s="787"/>
      <c r="AT350" s="787"/>
      <c r="AU350" s="787"/>
      <c r="AV350" s="786"/>
      <c r="AW350" s="787"/>
      <c r="AX350" s="787"/>
      <c r="AY350" s="787"/>
      <c r="AZ350" s="780"/>
      <c r="BA350" s="780"/>
      <c r="BB350" s="780"/>
      <c r="BC350" s="780"/>
      <c r="BD350" s="541"/>
      <c r="BE350" s="541"/>
      <c r="BF350" s="541"/>
      <c r="BG350" s="541"/>
      <c r="BH350" s="780"/>
      <c r="BI350" s="780"/>
      <c r="BJ350" s="780"/>
      <c r="BK350" s="780"/>
      <c r="BL350" s="780"/>
      <c r="BM350" s="780"/>
    </row>
    <row r="351" ht="12.75" customHeight="1">
      <c r="A351" s="521"/>
      <c r="B351" s="521"/>
      <c r="C351" s="515"/>
      <c r="D351" s="515"/>
      <c r="E351" s="515"/>
      <c r="F351" s="515"/>
      <c r="G351" s="515"/>
      <c r="H351" s="515"/>
      <c r="I351" s="515"/>
      <c r="J351" s="515"/>
      <c r="K351" s="515"/>
      <c r="L351" s="515"/>
      <c r="M351" s="515"/>
      <c r="N351" s="515"/>
      <c r="O351" s="533"/>
      <c r="P351" s="786"/>
      <c r="Q351" s="787"/>
      <c r="R351" s="787"/>
      <c r="S351" s="787"/>
      <c r="T351" s="786"/>
      <c r="U351" s="787"/>
      <c r="V351" s="787"/>
      <c r="W351" s="787"/>
      <c r="X351" s="786"/>
      <c r="Y351" s="787"/>
      <c r="Z351" s="787"/>
      <c r="AA351" s="787"/>
      <c r="AB351" s="786"/>
      <c r="AC351" s="787"/>
      <c r="AD351" s="787"/>
      <c r="AE351" s="787"/>
      <c r="AF351" s="786"/>
      <c r="AG351" s="787"/>
      <c r="AH351" s="787"/>
      <c r="AI351" s="787"/>
      <c r="AJ351" s="786"/>
      <c r="AK351" s="787"/>
      <c r="AL351" s="787"/>
      <c r="AM351" s="787"/>
      <c r="AN351" s="786"/>
      <c r="AO351" s="787"/>
      <c r="AP351" s="787"/>
      <c r="AQ351" s="787"/>
      <c r="AR351" s="786"/>
      <c r="AS351" s="787"/>
      <c r="AT351" s="787"/>
      <c r="AU351" s="787"/>
      <c r="AV351" s="786"/>
      <c r="AW351" s="787"/>
      <c r="AX351" s="787"/>
      <c r="AY351" s="787"/>
      <c r="AZ351" s="780"/>
      <c r="BA351" s="780"/>
      <c r="BB351" s="780"/>
      <c r="BC351" s="780"/>
      <c r="BD351" s="541"/>
      <c r="BE351" s="541"/>
      <c r="BF351" s="541"/>
      <c r="BG351" s="541"/>
      <c r="BH351" s="780"/>
      <c r="BI351" s="780"/>
      <c r="BJ351" s="780"/>
      <c r="BK351" s="780"/>
      <c r="BL351" s="780"/>
      <c r="BM351" s="780"/>
    </row>
    <row r="352" ht="12.75" customHeight="1">
      <c r="A352" s="521"/>
      <c r="B352" s="521"/>
      <c r="C352" s="515"/>
      <c r="D352" s="515"/>
      <c r="E352" s="515"/>
      <c r="F352" s="515"/>
      <c r="G352" s="515"/>
      <c r="H352" s="515"/>
      <c r="I352" s="515"/>
      <c r="J352" s="515"/>
      <c r="K352" s="515"/>
      <c r="L352" s="515"/>
      <c r="M352" s="515"/>
      <c r="N352" s="515"/>
      <c r="O352" s="533"/>
      <c r="P352" s="786"/>
      <c r="Q352" s="787"/>
      <c r="R352" s="787"/>
      <c r="S352" s="787"/>
      <c r="T352" s="786"/>
      <c r="U352" s="787"/>
      <c r="V352" s="787"/>
      <c r="W352" s="787"/>
      <c r="X352" s="786"/>
      <c r="Y352" s="787"/>
      <c r="Z352" s="787"/>
      <c r="AA352" s="787"/>
      <c r="AB352" s="786"/>
      <c r="AC352" s="787"/>
      <c r="AD352" s="787"/>
      <c r="AE352" s="787"/>
      <c r="AF352" s="786"/>
      <c r="AG352" s="787"/>
      <c r="AH352" s="787"/>
      <c r="AI352" s="787"/>
      <c r="AJ352" s="786"/>
      <c r="AK352" s="787"/>
      <c r="AL352" s="787"/>
      <c r="AM352" s="787"/>
      <c r="AN352" s="786"/>
      <c r="AO352" s="787"/>
      <c r="AP352" s="787"/>
      <c r="AQ352" s="787"/>
      <c r="AR352" s="786"/>
      <c r="AS352" s="787"/>
      <c r="AT352" s="787"/>
      <c r="AU352" s="787"/>
      <c r="AV352" s="786"/>
      <c r="AW352" s="787"/>
      <c r="AX352" s="787"/>
      <c r="AY352" s="787"/>
      <c r="AZ352" s="780"/>
      <c r="BA352" s="780"/>
      <c r="BB352" s="780"/>
      <c r="BC352" s="780"/>
      <c r="BD352" s="541"/>
      <c r="BE352" s="541"/>
      <c r="BF352" s="541"/>
      <c r="BG352" s="541"/>
      <c r="BH352" s="780"/>
      <c r="BI352" s="780"/>
      <c r="BJ352" s="780"/>
      <c r="BK352" s="780"/>
      <c r="BL352" s="780"/>
      <c r="BM352" s="780"/>
    </row>
    <row r="353" ht="12.75" customHeight="1">
      <c r="A353" s="521"/>
      <c r="B353" s="521"/>
      <c r="C353" s="515"/>
      <c r="D353" s="515"/>
      <c r="E353" s="515"/>
      <c r="F353" s="515"/>
      <c r="G353" s="515"/>
      <c r="H353" s="515"/>
      <c r="I353" s="515"/>
      <c r="J353" s="515"/>
      <c r="K353" s="515"/>
      <c r="L353" s="515"/>
      <c r="M353" s="515"/>
      <c r="N353" s="515"/>
      <c r="O353" s="533"/>
      <c r="P353" s="786"/>
      <c r="Q353" s="787"/>
      <c r="R353" s="787"/>
      <c r="S353" s="787"/>
      <c r="T353" s="786"/>
      <c r="U353" s="787"/>
      <c r="V353" s="787"/>
      <c r="W353" s="787"/>
      <c r="X353" s="786"/>
      <c r="Y353" s="787"/>
      <c r="Z353" s="787"/>
      <c r="AA353" s="787"/>
      <c r="AB353" s="786"/>
      <c r="AC353" s="787"/>
      <c r="AD353" s="787"/>
      <c r="AE353" s="787"/>
      <c r="AF353" s="786"/>
      <c r="AG353" s="787"/>
      <c r="AH353" s="787"/>
      <c r="AI353" s="787"/>
      <c r="AJ353" s="786"/>
      <c r="AK353" s="787"/>
      <c r="AL353" s="787"/>
      <c r="AM353" s="787"/>
      <c r="AN353" s="786"/>
      <c r="AO353" s="787"/>
      <c r="AP353" s="787"/>
      <c r="AQ353" s="787"/>
      <c r="AR353" s="786"/>
      <c r="AS353" s="787"/>
      <c r="AT353" s="787"/>
      <c r="AU353" s="787"/>
      <c r="AV353" s="786"/>
      <c r="AW353" s="787"/>
      <c r="AX353" s="787"/>
      <c r="AY353" s="787"/>
      <c r="AZ353" s="780"/>
      <c r="BA353" s="780"/>
      <c r="BB353" s="780"/>
      <c r="BC353" s="780"/>
      <c r="BD353" s="541"/>
      <c r="BE353" s="541"/>
      <c r="BF353" s="541"/>
      <c r="BG353" s="541"/>
      <c r="BH353" s="780"/>
      <c r="BI353" s="780"/>
      <c r="BJ353" s="780"/>
      <c r="BK353" s="780"/>
      <c r="BL353" s="780"/>
      <c r="BM353" s="780"/>
    </row>
    <row r="354" ht="12.75" customHeight="1">
      <c r="A354" s="521"/>
      <c r="B354" s="521"/>
      <c r="C354" s="515"/>
      <c r="D354" s="515"/>
      <c r="E354" s="515"/>
      <c r="F354" s="515"/>
      <c r="G354" s="515"/>
      <c r="H354" s="515"/>
      <c r="I354" s="515"/>
      <c r="J354" s="515"/>
      <c r="K354" s="515"/>
      <c r="L354" s="515"/>
      <c r="M354" s="515"/>
      <c r="N354" s="515"/>
      <c r="O354" s="533"/>
      <c r="P354" s="786"/>
      <c r="Q354" s="787"/>
      <c r="R354" s="787"/>
      <c r="S354" s="787"/>
      <c r="T354" s="786"/>
      <c r="U354" s="787"/>
      <c r="V354" s="787"/>
      <c r="W354" s="787"/>
      <c r="X354" s="786"/>
      <c r="Y354" s="787"/>
      <c r="Z354" s="787"/>
      <c r="AA354" s="787"/>
      <c r="AB354" s="786"/>
      <c r="AC354" s="787"/>
      <c r="AD354" s="787"/>
      <c r="AE354" s="787"/>
      <c r="AF354" s="786"/>
      <c r="AG354" s="787"/>
      <c r="AH354" s="787"/>
      <c r="AI354" s="787"/>
      <c r="AJ354" s="786"/>
      <c r="AK354" s="787"/>
      <c r="AL354" s="787"/>
      <c r="AM354" s="787"/>
      <c r="AN354" s="786"/>
      <c r="AO354" s="787"/>
      <c r="AP354" s="787"/>
      <c r="AQ354" s="787"/>
      <c r="AR354" s="786"/>
      <c r="AS354" s="787"/>
      <c r="AT354" s="787"/>
      <c r="AU354" s="787"/>
      <c r="AV354" s="786"/>
      <c r="AW354" s="787"/>
      <c r="AX354" s="787"/>
      <c r="AY354" s="787"/>
      <c r="AZ354" s="780"/>
      <c r="BA354" s="780"/>
      <c r="BB354" s="780"/>
      <c r="BC354" s="780"/>
      <c r="BD354" s="541"/>
      <c r="BE354" s="541"/>
      <c r="BF354" s="541"/>
      <c r="BG354" s="541"/>
      <c r="BH354" s="780"/>
      <c r="BI354" s="780"/>
      <c r="BJ354" s="780"/>
      <c r="BK354" s="780"/>
      <c r="BL354" s="780"/>
      <c r="BM354" s="780"/>
    </row>
    <row r="355" ht="12.75" customHeight="1">
      <c r="A355" s="521"/>
      <c r="B355" s="521"/>
      <c r="C355" s="515"/>
      <c r="D355" s="515"/>
      <c r="E355" s="515"/>
      <c r="F355" s="515"/>
      <c r="G355" s="515"/>
      <c r="H355" s="515"/>
      <c r="I355" s="515"/>
      <c r="J355" s="515"/>
      <c r="K355" s="515"/>
      <c r="L355" s="515"/>
      <c r="M355" s="515"/>
      <c r="N355" s="515"/>
      <c r="O355" s="533"/>
      <c r="P355" s="786"/>
      <c r="Q355" s="787"/>
      <c r="R355" s="787"/>
      <c r="S355" s="787"/>
      <c r="T355" s="786"/>
      <c r="U355" s="787"/>
      <c r="V355" s="787"/>
      <c r="W355" s="787"/>
      <c r="X355" s="786"/>
      <c r="Y355" s="787"/>
      <c r="Z355" s="787"/>
      <c r="AA355" s="787"/>
      <c r="AB355" s="786"/>
      <c r="AC355" s="787"/>
      <c r="AD355" s="787"/>
      <c r="AE355" s="787"/>
      <c r="AF355" s="786"/>
      <c r="AG355" s="787"/>
      <c r="AH355" s="787"/>
      <c r="AI355" s="787"/>
      <c r="AJ355" s="786"/>
      <c r="AK355" s="787"/>
      <c r="AL355" s="787"/>
      <c r="AM355" s="787"/>
      <c r="AN355" s="786"/>
      <c r="AO355" s="787"/>
      <c r="AP355" s="787"/>
      <c r="AQ355" s="787"/>
      <c r="AR355" s="786"/>
      <c r="AS355" s="787"/>
      <c r="AT355" s="787"/>
      <c r="AU355" s="787"/>
      <c r="AV355" s="786"/>
      <c r="AW355" s="787"/>
      <c r="AX355" s="787"/>
      <c r="AY355" s="787"/>
      <c r="AZ355" s="780"/>
      <c r="BA355" s="780"/>
      <c r="BB355" s="780"/>
      <c r="BC355" s="780"/>
      <c r="BD355" s="541"/>
      <c r="BE355" s="541"/>
      <c r="BF355" s="541"/>
      <c r="BG355" s="541"/>
      <c r="BH355" s="780"/>
      <c r="BI355" s="780"/>
      <c r="BJ355" s="780"/>
      <c r="BK355" s="780"/>
      <c r="BL355" s="780"/>
      <c r="BM355" s="780"/>
    </row>
    <row r="356" ht="12.75" customHeight="1">
      <c r="A356" s="521"/>
      <c r="B356" s="521"/>
      <c r="C356" s="515"/>
      <c r="D356" s="515"/>
      <c r="E356" s="515"/>
      <c r="F356" s="515"/>
      <c r="G356" s="515"/>
      <c r="H356" s="515"/>
      <c r="I356" s="515"/>
      <c r="J356" s="515"/>
      <c r="K356" s="515"/>
      <c r="L356" s="515"/>
      <c r="M356" s="515"/>
      <c r="N356" s="515"/>
      <c r="O356" s="533"/>
      <c r="P356" s="786"/>
      <c r="Q356" s="787"/>
      <c r="R356" s="787"/>
      <c r="S356" s="787"/>
      <c r="T356" s="786"/>
      <c r="U356" s="787"/>
      <c r="V356" s="787"/>
      <c r="W356" s="787"/>
      <c r="X356" s="786"/>
      <c r="Y356" s="787"/>
      <c r="Z356" s="787"/>
      <c r="AA356" s="787"/>
      <c r="AB356" s="786"/>
      <c r="AC356" s="787"/>
      <c r="AD356" s="787"/>
      <c r="AE356" s="787"/>
      <c r="AF356" s="786"/>
      <c r="AG356" s="787"/>
      <c r="AH356" s="787"/>
      <c r="AI356" s="787"/>
      <c r="AJ356" s="786"/>
      <c r="AK356" s="787"/>
      <c r="AL356" s="787"/>
      <c r="AM356" s="787"/>
      <c r="AN356" s="786"/>
      <c r="AO356" s="787"/>
      <c r="AP356" s="787"/>
      <c r="AQ356" s="787"/>
      <c r="AR356" s="786"/>
      <c r="AS356" s="787"/>
      <c r="AT356" s="787"/>
      <c r="AU356" s="787"/>
      <c r="AV356" s="786"/>
      <c r="AW356" s="787"/>
      <c r="AX356" s="787"/>
      <c r="AY356" s="787"/>
      <c r="AZ356" s="780"/>
      <c r="BA356" s="780"/>
      <c r="BB356" s="780"/>
      <c r="BC356" s="780"/>
      <c r="BD356" s="541"/>
      <c r="BE356" s="541"/>
      <c r="BF356" s="541"/>
      <c r="BG356" s="541"/>
      <c r="BH356" s="780"/>
      <c r="BI356" s="780"/>
      <c r="BJ356" s="780"/>
      <c r="BK356" s="780"/>
      <c r="BL356" s="780"/>
      <c r="BM356" s="780"/>
    </row>
    <row r="357" ht="12.75" customHeight="1">
      <c r="A357" s="521"/>
      <c r="B357" s="521"/>
      <c r="C357" s="515"/>
      <c r="D357" s="515"/>
      <c r="E357" s="515"/>
      <c r="F357" s="515"/>
      <c r="G357" s="515"/>
      <c r="H357" s="515"/>
      <c r="I357" s="515"/>
      <c r="J357" s="515"/>
      <c r="K357" s="515"/>
      <c r="L357" s="515"/>
      <c r="M357" s="515"/>
      <c r="N357" s="515"/>
      <c r="O357" s="533"/>
      <c r="P357" s="786"/>
      <c r="Q357" s="787"/>
      <c r="R357" s="787"/>
      <c r="S357" s="787"/>
      <c r="T357" s="786"/>
      <c r="U357" s="787"/>
      <c r="V357" s="787"/>
      <c r="W357" s="787"/>
      <c r="X357" s="786"/>
      <c r="Y357" s="787"/>
      <c r="Z357" s="787"/>
      <c r="AA357" s="787"/>
      <c r="AB357" s="786"/>
      <c r="AC357" s="787"/>
      <c r="AD357" s="787"/>
      <c r="AE357" s="787"/>
      <c r="AF357" s="786"/>
      <c r="AG357" s="787"/>
      <c r="AH357" s="787"/>
      <c r="AI357" s="787"/>
      <c r="AJ357" s="786"/>
      <c r="AK357" s="787"/>
      <c r="AL357" s="787"/>
      <c r="AM357" s="787"/>
      <c r="AN357" s="786"/>
      <c r="AO357" s="787"/>
      <c r="AP357" s="787"/>
      <c r="AQ357" s="787"/>
      <c r="AR357" s="786"/>
      <c r="AS357" s="787"/>
      <c r="AT357" s="787"/>
      <c r="AU357" s="787"/>
      <c r="AV357" s="786"/>
      <c r="AW357" s="787"/>
      <c r="AX357" s="787"/>
      <c r="AY357" s="787"/>
      <c r="AZ357" s="780"/>
      <c r="BA357" s="780"/>
      <c r="BB357" s="780"/>
      <c r="BC357" s="780"/>
      <c r="BD357" s="541"/>
      <c r="BE357" s="541"/>
      <c r="BF357" s="541"/>
      <c r="BG357" s="541"/>
      <c r="BH357" s="780"/>
      <c r="BI357" s="780"/>
      <c r="BJ357" s="780"/>
      <c r="BK357" s="780"/>
      <c r="BL357" s="780"/>
      <c r="BM357" s="780"/>
    </row>
    <row r="358" ht="12.75" customHeight="1">
      <c r="A358" s="521"/>
      <c r="B358" s="521"/>
      <c r="C358" s="515"/>
      <c r="D358" s="515"/>
      <c r="E358" s="515"/>
      <c r="F358" s="515"/>
      <c r="G358" s="515"/>
      <c r="H358" s="515"/>
      <c r="I358" s="515"/>
      <c r="J358" s="515"/>
      <c r="K358" s="515"/>
      <c r="L358" s="515"/>
      <c r="M358" s="515"/>
      <c r="N358" s="515"/>
      <c r="O358" s="533"/>
      <c r="P358" s="786"/>
      <c r="Q358" s="787"/>
      <c r="R358" s="787"/>
      <c r="S358" s="787"/>
      <c r="T358" s="786"/>
      <c r="U358" s="787"/>
      <c r="V358" s="787"/>
      <c r="W358" s="787"/>
      <c r="X358" s="786"/>
      <c r="Y358" s="787"/>
      <c r="Z358" s="787"/>
      <c r="AA358" s="787"/>
      <c r="AB358" s="786"/>
      <c r="AC358" s="787"/>
      <c r="AD358" s="787"/>
      <c r="AE358" s="787"/>
      <c r="AF358" s="786"/>
      <c r="AG358" s="787"/>
      <c r="AH358" s="787"/>
      <c r="AI358" s="787"/>
      <c r="AJ358" s="786"/>
      <c r="AK358" s="787"/>
      <c r="AL358" s="787"/>
      <c r="AM358" s="787"/>
      <c r="AN358" s="786"/>
      <c r="AO358" s="787"/>
      <c r="AP358" s="787"/>
      <c r="AQ358" s="787"/>
      <c r="AR358" s="786"/>
      <c r="AS358" s="787"/>
      <c r="AT358" s="787"/>
      <c r="AU358" s="787"/>
      <c r="AV358" s="786"/>
      <c r="AW358" s="787"/>
      <c r="AX358" s="787"/>
      <c r="AY358" s="787"/>
      <c r="AZ358" s="780"/>
      <c r="BA358" s="780"/>
      <c r="BB358" s="780"/>
      <c r="BC358" s="780"/>
      <c r="BD358" s="541"/>
      <c r="BE358" s="541"/>
      <c r="BF358" s="541"/>
      <c r="BG358" s="541"/>
      <c r="BH358" s="780"/>
      <c r="BI358" s="780"/>
      <c r="BJ358" s="780"/>
      <c r="BK358" s="780"/>
      <c r="BL358" s="780"/>
      <c r="BM358" s="780"/>
    </row>
    <row r="359" ht="12.75" customHeight="1">
      <c r="A359" s="521"/>
      <c r="B359" s="521"/>
      <c r="C359" s="515"/>
      <c r="D359" s="515"/>
      <c r="E359" s="515"/>
      <c r="F359" s="515"/>
      <c r="G359" s="515"/>
      <c r="H359" s="515"/>
      <c r="I359" s="515"/>
      <c r="J359" s="515"/>
      <c r="K359" s="515"/>
      <c r="L359" s="515"/>
      <c r="M359" s="515"/>
      <c r="N359" s="515"/>
      <c r="O359" s="533"/>
      <c r="P359" s="786"/>
      <c r="Q359" s="787"/>
      <c r="R359" s="787"/>
      <c r="S359" s="787"/>
      <c r="T359" s="786"/>
      <c r="U359" s="787"/>
      <c r="V359" s="787"/>
      <c r="W359" s="787"/>
      <c r="X359" s="786"/>
      <c r="Y359" s="787"/>
      <c r="Z359" s="787"/>
      <c r="AA359" s="787"/>
      <c r="AB359" s="786"/>
      <c r="AC359" s="787"/>
      <c r="AD359" s="787"/>
      <c r="AE359" s="787"/>
      <c r="AF359" s="786"/>
      <c r="AG359" s="787"/>
      <c r="AH359" s="787"/>
      <c r="AI359" s="787"/>
      <c r="AJ359" s="786"/>
      <c r="AK359" s="787"/>
      <c r="AL359" s="787"/>
      <c r="AM359" s="787"/>
      <c r="AN359" s="786"/>
      <c r="AO359" s="787"/>
      <c r="AP359" s="787"/>
      <c r="AQ359" s="787"/>
      <c r="AR359" s="786"/>
      <c r="AS359" s="787"/>
      <c r="AT359" s="787"/>
      <c r="AU359" s="787"/>
      <c r="AV359" s="786"/>
      <c r="AW359" s="787"/>
      <c r="AX359" s="787"/>
      <c r="AY359" s="787"/>
      <c r="AZ359" s="780"/>
      <c r="BA359" s="780"/>
      <c r="BB359" s="780"/>
      <c r="BC359" s="780"/>
      <c r="BD359" s="541"/>
      <c r="BE359" s="541"/>
      <c r="BF359" s="541"/>
      <c r="BG359" s="541"/>
      <c r="BH359" s="780"/>
      <c r="BI359" s="780"/>
      <c r="BJ359" s="780"/>
      <c r="BK359" s="780"/>
      <c r="BL359" s="780"/>
      <c r="BM359" s="780"/>
    </row>
    <row r="360" ht="12.75" customHeight="1">
      <c r="A360" s="521"/>
      <c r="B360" s="521"/>
      <c r="C360" s="515"/>
      <c r="D360" s="515"/>
      <c r="E360" s="515"/>
      <c r="F360" s="515"/>
      <c r="G360" s="515"/>
      <c r="H360" s="515"/>
      <c r="I360" s="515"/>
      <c r="J360" s="515"/>
      <c r="K360" s="515"/>
      <c r="L360" s="515"/>
      <c r="M360" s="515"/>
      <c r="N360" s="515"/>
      <c r="O360" s="533"/>
      <c r="P360" s="786"/>
      <c r="Q360" s="787"/>
      <c r="R360" s="787"/>
      <c r="S360" s="787"/>
      <c r="T360" s="786"/>
      <c r="U360" s="787"/>
      <c r="V360" s="787"/>
      <c r="W360" s="787"/>
      <c r="X360" s="786"/>
      <c r="Y360" s="787"/>
      <c r="Z360" s="787"/>
      <c r="AA360" s="787"/>
      <c r="AB360" s="786"/>
      <c r="AC360" s="787"/>
      <c r="AD360" s="787"/>
      <c r="AE360" s="787"/>
      <c r="AF360" s="786"/>
      <c r="AG360" s="787"/>
      <c r="AH360" s="787"/>
      <c r="AI360" s="787"/>
      <c r="AJ360" s="786"/>
      <c r="AK360" s="787"/>
      <c r="AL360" s="787"/>
      <c r="AM360" s="787"/>
      <c r="AN360" s="786"/>
      <c r="AO360" s="787"/>
      <c r="AP360" s="787"/>
      <c r="AQ360" s="787"/>
      <c r="AR360" s="786"/>
      <c r="AS360" s="787"/>
      <c r="AT360" s="787"/>
      <c r="AU360" s="787"/>
      <c r="AV360" s="786"/>
      <c r="AW360" s="787"/>
      <c r="AX360" s="787"/>
      <c r="AY360" s="787"/>
      <c r="AZ360" s="780"/>
      <c r="BA360" s="780"/>
      <c r="BB360" s="780"/>
      <c r="BC360" s="780"/>
      <c r="BD360" s="541"/>
      <c r="BE360" s="541"/>
      <c r="BF360" s="541"/>
      <c r="BG360" s="541"/>
      <c r="BH360" s="780"/>
      <c r="BI360" s="780"/>
      <c r="BJ360" s="780"/>
      <c r="BK360" s="780"/>
      <c r="BL360" s="780"/>
      <c r="BM360" s="780"/>
    </row>
    <row r="361" ht="12.75" customHeight="1">
      <c r="A361" s="521"/>
      <c r="B361" s="521"/>
      <c r="C361" s="515"/>
      <c r="D361" s="515"/>
      <c r="E361" s="515"/>
      <c r="F361" s="515"/>
      <c r="G361" s="515"/>
      <c r="H361" s="515"/>
      <c r="I361" s="515"/>
      <c r="J361" s="515"/>
      <c r="K361" s="515"/>
      <c r="L361" s="515"/>
      <c r="M361" s="515"/>
      <c r="N361" s="515"/>
      <c r="O361" s="533"/>
      <c r="P361" s="786"/>
      <c r="Q361" s="787"/>
      <c r="R361" s="787"/>
      <c r="S361" s="787"/>
      <c r="T361" s="786"/>
      <c r="U361" s="787"/>
      <c r="V361" s="787"/>
      <c r="W361" s="787"/>
      <c r="X361" s="786"/>
      <c r="Y361" s="787"/>
      <c r="Z361" s="787"/>
      <c r="AA361" s="787"/>
      <c r="AB361" s="786"/>
      <c r="AC361" s="787"/>
      <c r="AD361" s="787"/>
      <c r="AE361" s="787"/>
      <c r="AF361" s="786"/>
      <c r="AG361" s="787"/>
      <c r="AH361" s="787"/>
      <c r="AI361" s="787"/>
      <c r="AJ361" s="786"/>
      <c r="AK361" s="787"/>
      <c r="AL361" s="787"/>
      <c r="AM361" s="787"/>
      <c r="AN361" s="786"/>
      <c r="AO361" s="787"/>
      <c r="AP361" s="787"/>
      <c r="AQ361" s="787"/>
      <c r="AR361" s="786"/>
      <c r="AS361" s="787"/>
      <c r="AT361" s="787"/>
      <c r="AU361" s="787"/>
      <c r="AV361" s="786"/>
      <c r="AW361" s="787"/>
      <c r="AX361" s="787"/>
      <c r="AY361" s="787"/>
      <c r="AZ361" s="780"/>
      <c r="BA361" s="780"/>
      <c r="BB361" s="780"/>
      <c r="BC361" s="780"/>
      <c r="BD361" s="541"/>
      <c r="BE361" s="541"/>
      <c r="BF361" s="541"/>
      <c r="BG361" s="541"/>
      <c r="BH361" s="780"/>
      <c r="BI361" s="780"/>
      <c r="BJ361" s="780"/>
      <c r="BK361" s="780"/>
      <c r="BL361" s="780"/>
      <c r="BM361" s="780"/>
    </row>
    <row r="362" ht="12.75" customHeight="1">
      <c r="A362" s="521"/>
      <c r="B362" s="521"/>
      <c r="C362" s="515"/>
      <c r="D362" s="515"/>
      <c r="E362" s="515"/>
      <c r="F362" s="515"/>
      <c r="G362" s="515"/>
      <c r="H362" s="515"/>
      <c r="I362" s="515"/>
      <c r="J362" s="515"/>
      <c r="K362" s="515"/>
      <c r="L362" s="515"/>
      <c r="M362" s="515"/>
      <c r="N362" s="515"/>
      <c r="O362" s="533"/>
      <c r="P362" s="786"/>
      <c r="Q362" s="787"/>
      <c r="R362" s="787"/>
      <c r="S362" s="787"/>
      <c r="T362" s="786"/>
      <c r="U362" s="787"/>
      <c r="V362" s="787"/>
      <c r="W362" s="787"/>
      <c r="X362" s="786"/>
      <c r="Y362" s="787"/>
      <c r="Z362" s="787"/>
      <c r="AA362" s="787"/>
      <c r="AB362" s="786"/>
      <c r="AC362" s="787"/>
      <c r="AD362" s="787"/>
      <c r="AE362" s="787"/>
      <c r="AF362" s="786"/>
      <c r="AG362" s="787"/>
      <c r="AH362" s="787"/>
      <c r="AI362" s="787"/>
      <c r="AJ362" s="786"/>
      <c r="AK362" s="787"/>
      <c r="AL362" s="787"/>
      <c r="AM362" s="787"/>
      <c r="AN362" s="786"/>
      <c r="AO362" s="787"/>
      <c r="AP362" s="787"/>
      <c r="AQ362" s="787"/>
      <c r="AR362" s="786"/>
      <c r="AS362" s="787"/>
      <c r="AT362" s="787"/>
      <c r="AU362" s="787"/>
      <c r="AV362" s="786"/>
      <c r="AW362" s="787"/>
      <c r="AX362" s="787"/>
      <c r="AY362" s="787"/>
      <c r="AZ362" s="780"/>
      <c r="BA362" s="780"/>
      <c r="BB362" s="780"/>
      <c r="BC362" s="780"/>
      <c r="BD362" s="541"/>
      <c r="BE362" s="541"/>
      <c r="BF362" s="541"/>
      <c r="BG362" s="541"/>
      <c r="BH362" s="780"/>
      <c r="BI362" s="780"/>
      <c r="BJ362" s="780"/>
      <c r="BK362" s="780"/>
      <c r="BL362" s="780"/>
      <c r="BM362" s="780"/>
    </row>
    <row r="363" ht="12.75" customHeight="1">
      <c r="A363" s="521"/>
      <c r="B363" s="521"/>
      <c r="C363" s="515"/>
      <c r="D363" s="515"/>
      <c r="E363" s="515"/>
      <c r="F363" s="515"/>
      <c r="G363" s="515"/>
      <c r="H363" s="515"/>
      <c r="I363" s="515"/>
      <c r="J363" s="515"/>
      <c r="K363" s="515"/>
      <c r="L363" s="515"/>
      <c r="M363" s="515"/>
      <c r="N363" s="515"/>
      <c r="O363" s="533"/>
      <c r="P363" s="786"/>
      <c r="Q363" s="787"/>
      <c r="R363" s="787"/>
      <c r="S363" s="787"/>
      <c r="T363" s="786"/>
      <c r="U363" s="787"/>
      <c r="V363" s="787"/>
      <c r="W363" s="787"/>
      <c r="X363" s="786"/>
      <c r="Y363" s="787"/>
      <c r="Z363" s="787"/>
      <c r="AA363" s="787"/>
      <c r="AB363" s="786"/>
      <c r="AC363" s="787"/>
      <c r="AD363" s="787"/>
      <c r="AE363" s="787"/>
      <c r="AF363" s="786"/>
      <c r="AG363" s="787"/>
      <c r="AH363" s="787"/>
      <c r="AI363" s="787"/>
      <c r="AJ363" s="786"/>
      <c r="AK363" s="787"/>
      <c r="AL363" s="787"/>
      <c r="AM363" s="787"/>
      <c r="AN363" s="786"/>
      <c r="AO363" s="787"/>
      <c r="AP363" s="787"/>
      <c r="AQ363" s="787"/>
      <c r="AR363" s="786"/>
      <c r="AS363" s="787"/>
      <c r="AT363" s="787"/>
      <c r="AU363" s="787"/>
      <c r="AV363" s="786"/>
      <c r="AW363" s="787"/>
      <c r="AX363" s="787"/>
      <c r="AY363" s="787"/>
      <c r="AZ363" s="780"/>
      <c r="BA363" s="780"/>
      <c r="BB363" s="780"/>
      <c r="BC363" s="780"/>
      <c r="BD363" s="541"/>
      <c r="BE363" s="541"/>
      <c r="BF363" s="541"/>
      <c r="BG363" s="541"/>
      <c r="BH363" s="780"/>
      <c r="BI363" s="780"/>
      <c r="BJ363" s="780"/>
      <c r="BK363" s="780"/>
      <c r="BL363" s="780"/>
      <c r="BM363" s="780"/>
    </row>
    <row r="364" ht="12.75" customHeight="1">
      <c r="A364" s="521"/>
      <c r="B364" s="521"/>
      <c r="C364" s="515"/>
      <c r="D364" s="515"/>
      <c r="E364" s="515"/>
      <c r="F364" s="515"/>
      <c r="G364" s="515"/>
      <c r="H364" s="515"/>
      <c r="I364" s="515"/>
      <c r="J364" s="515"/>
      <c r="K364" s="515"/>
      <c r="L364" s="515"/>
      <c r="M364" s="515"/>
      <c r="N364" s="515"/>
      <c r="O364" s="533"/>
      <c r="P364" s="786"/>
      <c r="Q364" s="787"/>
      <c r="R364" s="787"/>
      <c r="S364" s="787"/>
      <c r="T364" s="786"/>
      <c r="U364" s="787"/>
      <c r="V364" s="787"/>
      <c r="W364" s="787"/>
      <c r="X364" s="786"/>
      <c r="Y364" s="787"/>
      <c r="Z364" s="787"/>
      <c r="AA364" s="787"/>
      <c r="AB364" s="786"/>
      <c r="AC364" s="787"/>
      <c r="AD364" s="787"/>
      <c r="AE364" s="787"/>
      <c r="AF364" s="786"/>
      <c r="AG364" s="787"/>
      <c r="AH364" s="787"/>
      <c r="AI364" s="787"/>
      <c r="AJ364" s="786"/>
      <c r="AK364" s="787"/>
      <c r="AL364" s="787"/>
      <c r="AM364" s="787"/>
      <c r="AN364" s="786"/>
      <c r="AO364" s="787"/>
      <c r="AP364" s="787"/>
      <c r="AQ364" s="787"/>
      <c r="AR364" s="786"/>
      <c r="AS364" s="787"/>
      <c r="AT364" s="787"/>
      <c r="AU364" s="787"/>
      <c r="AV364" s="786"/>
      <c r="AW364" s="787"/>
      <c r="AX364" s="787"/>
      <c r="AY364" s="787"/>
      <c r="AZ364" s="780"/>
      <c r="BA364" s="780"/>
      <c r="BB364" s="780"/>
      <c r="BC364" s="780"/>
      <c r="BD364" s="541"/>
      <c r="BE364" s="541"/>
      <c r="BF364" s="541"/>
      <c r="BG364" s="541"/>
      <c r="BH364" s="780"/>
      <c r="BI364" s="780"/>
      <c r="BJ364" s="780"/>
      <c r="BK364" s="780"/>
      <c r="BL364" s="780"/>
      <c r="BM364" s="780"/>
    </row>
    <row r="365" ht="12.75" customHeight="1">
      <c r="A365" s="521"/>
      <c r="B365" s="521"/>
      <c r="C365" s="515"/>
      <c r="D365" s="515"/>
      <c r="E365" s="515"/>
      <c r="F365" s="515"/>
      <c r="G365" s="515"/>
      <c r="H365" s="515"/>
      <c r="I365" s="515"/>
      <c r="J365" s="515"/>
      <c r="K365" s="515"/>
      <c r="L365" s="515"/>
      <c r="M365" s="515"/>
      <c r="N365" s="515"/>
      <c r="O365" s="533"/>
      <c r="P365" s="786"/>
      <c r="Q365" s="787"/>
      <c r="R365" s="787"/>
      <c r="S365" s="787"/>
      <c r="T365" s="786"/>
      <c r="U365" s="787"/>
      <c r="V365" s="787"/>
      <c r="W365" s="787"/>
      <c r="X365" s="786"/>
      <c r="Y365" s="787"/>
      <c r="Z365" s="787"/>
      <c r="AA365" s="787"/>
      <c r="AB365" s="786"/>
      <c r="AC365" s="787"/>
      <c r="AD365" s="787"/>
      <c r="AE365" s="787"/>
      <c r="AF365" s="786"/>
      <c r="AG365" s="787"/>
      <c r="AH365" s="787"/>
      <c r="AI365" s="787"/>
      <c r="AJ365" s="786"/>
      <c r="AK365" s="787"/>
      <c r="AL365" s="787"/>
      <c r="AM365" s="787"/>
      <c r="AN365" s="786"/>
      <c r="AO365" s="787"/>
      <c r="AP365" s="787"/>
      <c r="AQ365" s="787"/>
      <c r="AR365" s="786"/>
      <c r="AS365" s="787"/>
      <c r="AT365" s="787"/>
      <c r="AU365" s="787"/>
      <c r="AV365" s="786"/>
      <c r="AW365" s="787"/>
      <c r="AX365" s="787"/>
      <c r="AY365" s="787"/>
      <c r="AZ365" s="780"/>
      <c r="BA365" s="780"/>
      <c r="BB365" s="780"/>
      <c r="BC365" s="780"/>
      <c r="BD365" s="541"/>
      <c r="BE365" s="541"/>
      <c r="BF365" s="541"/>
      <c r="BG365" s="541"/>
      <c r="BH365" s="780"/>
      <c r="BI365" s="780"/>
      <c r="BJ365" s="780"/>
      <c r="BK365" s="780"/>
      <c r="BL365" s="780"/>
      <c r="BM365" s="780"/>
    </row>
    <row r="366" ht="12.75" customHeight="1">
      <c r="A366" s="521"/>
      <c r="B366" s="521"/>
      <c r="C366" s="515"/>
      <c r="D366" s="515"/>
      <c r="E366" s="515"/>
      <c r="F366" s="515"/>
      <c r="G366" s="515"/>
      <c r="H366" s="515"/>
      <c r="I366" s="515"/>
      <c r="J366" s="515"/>
      <c r="K366" s="515"/>
      <c r="L366" s="515"/>
      <c r="M366" s="515"/>
      <c r="N366" s="515"/>
      <c r="O366" s="533"/>
      <c r="P366" s="786"/>
      <c r="Q366" s="787"/>
      <c r="R366" s="787"/>
      <c r="S366" s="787"/>
      <c r="T366" s="786"/>
      <c r="U366" s="787"/>
      <c r="V366" s="787"/>
      <c r="W366" s="787"/>
      <c r="X366" s="786"/>
      <c r="Y366" s="787"/>
      <c r="Z366" s="787"/>
      <c r="AA366" s="787"/>
      <c r="AB366" s="786"/>
      <c r="AC366" s="787"/>
      <c r="AD366" s="787"/>
      <c r="AE366" s="787"/>
      <c r="AF366" s="786"/>
      <c r="AG366" s="787"/>
      <c r="AH366" s="787"/>
      <c r="AI366" s="787"/>
      <c r="AJ366" s="786"/>
      <c r="AK366" s="787"/>
      <c r="AL366" s="787"/>
      <c r="AM366" s="787"/>
      <c r="AN366" s="786"/>
      <c r="AO366" s="787"/>
      <c r="AP366" s="787"/>
      <c r="AQ366" s="787"/>
      <c r="AR366" s="786"/>
      <c r="AS366" s="787"/>
      <c r="AT366" s="787"/>
      <c r="AU366" s="787"/>
      <c r="AV366" s="786"/>
      <c r="AW366" s="787"/>
      <c r="AX366" s="787"/>
      <c r="AY366" s="787"/>
      <c r="AZ366" s="780"/>
      <c r="BA366" s="780"/>
      <c r="BB366" s="780"/>
      <c r="BC366" s="780"/>
      <c r="BD366" s="541"/>
      <c r="BE366" s="541"/>
      <c r="BF366" s="541"/>
      <c r="BG366" s="541"/>
      <c r="BH366" s="780"/>
      <c r="BI366" s="780"/>
      <c r="BJ366" s="780"/>
      <c r="BK366" s="780"/>
      <c r="BL366" s="780"/>
      <c r="BM366" s="780"/>
    </row>
    <row r="367" ht="12.75" customHeight="1">
      <c r="A367" s="521"/>
      <c r="B367" s="521"/>
      <c r="C367" s="515"/>
      <c r="D367" s="515"/>
      <c r="E367" s="515"/>
      <c r="F367" s="515"/>
      <c r="G367" s="515"/>
      <c r="H367" s="515"/>
      <c r="I367" s="515"/>
      <c r="J367" s="515"/>
      <c r="K367" s="515"/>
      <c r="L367" s="515"/>
      <c r="M367" s="515"/>
      <c r="N367" s="515"/>
      <c r="O367" s="533"/>
      <c r="P367" s="786"/>
      <c r="Q367" s="787"/>
      <c r="R367" s="787"/>
      <c r="S367" s="787"/>
      <c r="T367" s="786"/>
      <c r="U367" s="787"/>
      <c r="V367" s="787"/>
      <c r="W367" s="787"/>
      <c r="X367" s="786"/>
      <c r="Y367" s="787"/>
      <c r="Z367" s="787"/>
      <c r="AA367" s="787"/>
      <c r="AB367" s="786"/>
      <c r="AC367" s="787"/>
      <c r="AD367" s="787"/>
      <c r="AE367" s="787"/>
      <c r="AF367" s="786"/>
      <c r="AG367" s="787"/>
      <c r="AH367" s="787"/>
      <c r="AI367" s="787"/>
      <c r="AJ367" s="786"/>
      <c r="AK367" s="787"/>
      <c r="AL367" s="787"/>
      <c r="AM367" s="787"/>
      <c r="AN367" s="786"/>
      <c r="AO367" s="787"/>
      <c r="AP367" s="787"/>
      <c r="AQ367" s="787"/>
      <c r="AR367" s="786"/>
      <c r="AS367" s="787"/>
      <c r="AT367" s="787"/>
      <c r="AU367" s="787"/>
      <c r="AV367" s="786"/>
      <c r="AW367" s="787"/>
      <c r="AX367" s="787"/>
      <c r="AY367" s="787"/>
      <c r="AZ367" s="780"/>
      <c r="BA367" s="780"/>
      <c r="BB367" s="780"/>
      <c r="BC367" s="780"/>
      <c r="BD367" s="541"/>
      <c r="BE367" s="541"/>
      <c r="BF367" s="541"/>
      <c r="BG367" s="541"/>
      <c r="BH367" s="780"/>
      <c r="BI367" s="780"/>
      <c r="BJ367" s="780"/>
      <c r="BK367" s="780"/>
      <c r="BL367" s="780"/>
      <c r="BM367" s="780"/>
    </row>
    <row r="368" ht="12.75" customHeight="1">
      <c r="A368" s="521"/>
      <c r="B368" s="521"/>
      <c r="C368" s="515"/>
      <c r="D368" s="515"/>
      <c r="E368" s="515"/>
      <c r="F368" s="515"/>
      <c r="G368" s="515"/>
      <c r="H368" s="515"/>
      <c r="I368" s="515"/>
      <c r="J368" s="515"/>
      <c r="K368" s="515"/>
      <c r="L368" s="515"/>
      <c r="M368" s="515"/>
      <c r="N368" s="515"/>
      <c r="O368" s="533"/>
      <c r="P368" s="786"/>
      <c r="Q368" s="787"/>
      <c r="R368" s="787"/>
      <c r="S368" s="787"/>
      <c r="T368" s="786"/>
      <c r="U368" s="787"/>
      <c r="V368" s="787"/>
      <c r="W368" s="787"/>
      <c r="X368" s="786"/>
      <c r="Y368" s="787"/>
      <c r="Z368" s="787"/>
      <c r="AA368" s="787"/>
      <c r="AB368" s="786"/>
      <c r="AC368" s="787"/>
      <c r="AD368" s="787"/>
      <c r="AE368" s="787"/>
      <c r="AF368" s="786"/>
      <c r="AG368" s="787"/>
      <c r="AH368" s="787"/>
      <c r="AI368" s="787"/>
      <c r="AJ368" s="786"/>
      <c r="AK368" s="787"/>
      <c r="AL368" s="787"/>
      <c r="AM368" s="787"/>
      <c r="AN368" s="786"/>
      <c r="AO368" s="787"/>
      <c r="AP368" s="787"/>
      <c r="AQ368" s="787"/>
      <c r="AR368" s="786"/>
      <c r="AS368" s="787"/>
      <c r="AT368" s="787"/>
      <c r="AU368" s="787"/>
      <c r="AV368" s="786"/>
      <c r="AW368" s="787"/>
      <c r="AX368" s="787"/>
      <c r="AY368" s="787"/>
      <c r="AZ368" s="780"/>
      <c r="BA368" s="780"/>
      <c r="BB368" s="780"/>
      <c r="BC368" s="780"/>
      <c r="BD368" s="541"/>
      <c r="BE368" s="541"/>
      <c r="BF368" s="541"/>
      <c r="BG368" s="541"/>
      <c r="BH368" s="780"/>
      <c r="BI368" s="780"/>
      <c r="BJ368" s="780"/>
      <c r="BK368" s="780"/>
      <c r="BL368" s="780"/>
      <c r="BM368" s="780"/>
    </row>
    <row r="369" ht="12.75" customHeight="1">
      <c r="A369" s="521"/>
      <c r="B369" s="521"/>
      <c r="C369" s="515"/>
      <c r="D369" s="515"/>
      <c r="E369" s="515"/>
      <c r="F369" s="515"/>
      <c r="G369" s="515"/>
      <c r="H369" s="515"/>
      <c r="I369" s="515"/>
      <c r="J369" s="515"/>
      <c r="K369" s="515"/>
      <c r="L369" s="515"/>
      <c r="M369" s="515"/>
      <c r="N369" s="515"/>
      <c r="O369" s="533"/>
      <c r="P369" s="786"/>
      <c r="Q369" s="787"/>
      <c r="R369" s="787"/>
      <c r="S369" s="787"/>
      <c r="T369" s="786"/>
      <c r="U369" s="787"/>
      <c r="V369" s="787"/>
      <c r="W369" s="787"/>
      <c r="X369" s="786"/>
      <c r="Y369" s="787"/>
      <c r="Z369" s="787"/>
      <c r="AA369" s="787"/>
      <c r="AB369" s="786"/>
      <c r="AC369" s="787"/>
      <c r="AD369" s="787"/>
      <c r="AE369" s="787"/>
      <c r="AF369" s="786"/>
      <c r="AG369" s="787"/>
      <c r="AH369" s="787"/>
      <c r="AI369" s="787"/>
      <c r="AJ369" s="786"/>
      <c r="AK369" s="787"/>
      <c r="AL369" s="787"/>
      <c r="AM369" s="787"/>
      <c r="AN369" s="786"/>
      <c r="AO369" s="787"/>
      <c r="AP369" s="787"/>
      <c r="AQ369" s="787"/>
      <c r="AR369" s="786"/>
      <c r="AS369" s="787"/>
      <c r="AT369" s="787"/>
      <c r="AU369" s="787"/>
      <c r="AV369" s="786"/>
      <c r="AW369" s="787"/>
      <c r="AX369" s="787"/>
      <c r="AY369" s="787"/>
      <c r="AZ369" s="780"/>
      <c r="BA369" s="780"/>
      <c r="BB369" s="780"/>
      <c r="BC369" s="780"/>
      <c r="BD369" s="541"/>
      <c r="BE369" s="541"/>
      <c r="BF369" s="541"/>
      <c r="BG369" s="541"/>
      <c r="BH369" s="780"/>
      <c r="BI369" s="780"/>
      <c r="BJ369" s="780"/>
      <c r="BK369" s="780"/>
      <c r="BL369" s="780"/>
      <c r="BM369" s="780"/>
    </row>
    <row r="370" ht="12.75" customHeight="1">
      <c r="A370" s="521"/>
      <c r="B370" s="521"/>
      <c r="C370" s="515"/>
      <c r="D370" s="515"/>
      <c r="E370" s="515"/>
      <c r="F370" s="515"/>
      <c r="G370" s="515"/>
      <c r="H370" s="515"/>
      <c r="I370" s="515"/>
      <c r="J370" s="515"/>
      <c r="K370" s="515"/>
      <c r="L370" s="515"/>
      <c r="M370" s="515"/>
      <c r="N370" s="515"/>
      <c r="O370" s="533"/>
      <c r="P370" s="786"/>
      <c r="Q370" s="787"/>
      <c r="R370" s="787"/>
      <c r="S370" s="787"/>
      <c r="T370" s="786"/>
      <c r="U370" s="787"/>
      <c r="V370" s="787"/>
      <c r="W370" s="787"/>
      <c r="X370" s="786"/>
      <c r="Y370" s="787"/>
      <c r="Z370" s="787"/>
      <c r="AA370" s="787"/>
      <c r="AB370" s="786"/>
      <c r="AC370" s="787"/>
      <c r="AD370" s="787"/>
      <c r="AE370" s="787"/>
      <c r="AF370" s="786"/>
      <c r="AG370" s="787"/>
      <c r="AH370" s="787"/>
      <c r="AI370" s="787"/>
      <c r="AJ370" s="786"/>
      <c r="AK370" s="787"/>
      <c r="AL370" s="787"/>
      <c r="AM370" s="787"/>
      <c r="AN370" s="786"/>
      <c r="AO370" s="787"/>
      <c r="AP370" s="787"/>
      <c r="AQ370" s="787"/>
      <c r="AR370" s="786"/>
      <c r="AS370" s="787"/>
      <c r="AT370" s="787"/>
      <c r="AU370" s="787"/>
      <c r="AV370" s="786"/>
      <c r="AW370" s="787"/>
      <c r="AX370" s="787"/>
      <c r="AY370" s="787"/>
      <c r="AZ370" s="780"/>
      <c r="BA370" s="780"/>
      <c r="BB370" s="780"/>
      <c r="BC370" s="780"/>
      <c r="BD370" s="541"/>
      <c r="BE370" s="541"/>
      <c r="BF370" s="541"/>
      <c r="BG370" s="541"/>
      <c r="BH370" s="780"/>
      <c r="BI370" s="780"/>
      <c r="BJ370" s="780"/>
      <c r="BK370" s="780"/>
      <c r="BL370" s="780"/>
      <c r="BM370" s="780"/>
    </row>
    <row r="371" ht="12.75" customHeight="1">
      <c r="A371" s="521"/>
      <c r="B371" s="521"/>
      <c r="C371" s="515"/>
      <c r="D371" s="515"/>
      <c r="E371" s="515"/>
      <c r="F371" s="515"/>
      <c r="G371" s="515"/>
      <c r="H371" s="515"/>
      <c r="I371" s="515"/>
      <c r="J371" s="515"/>
      <c r="K371" s="515"/>
      <c r="L371" s="515"/>
      <c r="M371" s="515"/>
      <c r="N371" s="515"/>
      <c r="O371" s="533"/>
      <c r="P371" s="786"/>
      <c r="Q371" s="787"/>
      <c r="R371" s="787"/>
      <c r="S371" s="787"/>
      <c r="T371" s="786"/>
      <c r="U371" s="787"/>
      <c r="V371" s="787"/>
      <c r="W371" s="787"/>
      <c r="X371" s="786"/>
      <c r="Y371" s="787"/>
      <c r="Z371" s="787"/>
      <c r="AA371" s="787"/>
      <c r="AB371" s="786"/>
      <c r="AC371" s="787"/>
      <c r="AD371" s="787"/>
      <c r="AE371" s="787"/>
      <c r="AF371" s="786"/>
      <c r="AG371" s="787"/>
      <c r="AH371" s="787"/>
      <c r="AI371" s="787"/>
      <c r="AJ371" s="786"/>
      <c r="AK371" s="787"/>
      <c r="AL371" s="787"/>
      <c r="AM371" s="787"/>
      <c r="AN371" s="786"/>
      <c r="AO371" s="787"/>
      <c r="AP371" s="787"/>
      <c r="AQ371" s="787"/>
      <c r="AR371" s="786"/>
      <c r="AS371" s="787"/>
      <c r="AT371" s="787"/>
      <c r="AU371" s="787"/>
      <c r="AV371" s="786"/>
      <c r="AW371" s="787"/>
      <c r="AX371" s="787"/>
      <c r="AY371" s="787"/>
      <c r="AZ371" s="780"/>
      <c r="BA371" s="780"/>
      <c r="BB371" s="780"/>
      <c r="BC371" s="780"/>
      <c r="BD371" s="541"/>
      <c r="BE371" s="541"/>
      <c r="BF371" s="541"/>
      <c r="BG371" s="541"/>
      <c r="BH371" s="780"/>
      <c r="BI371" s="780"/>
      <c r="BJ371" s="780"/>
      <c r="BK371" s="780"/>
      <c r="BL371" s="780"/>
      <c r="BM371" s="780"/>
    </row>
    <row r="372" ht="12.75" customHeight="1">
      <c r="A372" s="521"/>
      <c r="B372" s="521"/>
      <c r="C372" s="515"/>
      <c r="D372" s="515"/>
      <c r="E372" s="515"/>
      <c r="F372" s="515"/>
      <c r="G372" s="515"/>
      <c r="H372" s="515"/>
      <c r="I372" s="515"/>
      <c r="J372" s="515"/>
      <c r="K372" s="515"/>
      <c r="L372" s="515"/>
      <c r="M372" s="515"/>
      <c r="N372" s="515"/>
      <c r="O372" s="533"/>
      <c r="P372" s="786"/>
      <c r="Q372" s="787"/>
      <c r="R372" s="787"/>
      <c r="S372" s="787"/>
      <c r="T372" s="786"/>
      <c r="U372" s="787"/>
      <c r="V372" s="787"/>
      <c r="W372" s="787"/>
      <c r="X372" s="786"/>
      <c r="Y372" s="787"/>
      <c r="Z372" s="787"/>
      <c r="AA372" s="787"/>
      <c r="AB372" s="786"/>
      <c r="AC372" s="787"/>
      <c r="AD372" s="787"/>
      <c r="AE372" s="787"/>
      <c r="AF372" s="786"/>
      <c r="AG372" s="787"/>
      <c r="AH372" s="787"/>
      <c r="AI372" s="787"/>
      <c r="AJ372" s="786"/>
      <c r="AK372" s="787"/>
      <c r="AL372" s="787"/>
      <c r="AM372" s="787"/>
      <c r="AN372" s="786"/>
      <c r="AO372" s="787"/>
      <c r="AP372" s="787"/>
      <c r="AQ372" s="787"/>
      <c r="AR372" s="786"/>
      <c r="AS372" s="787"/>
      <c r="AT372" s="787"/>
      <c r="AU372" s="787"/>
      <c r="AV372" s="786"/>
      <c r="AW372" s="787"/>
      <c r="AX372" s="787"/>
      <c r="AY372" s="787"/>
      <c r="AZ372" s="780"/>
      <c r="BA372" s="780"/>
      <c r="BB372" s="780"/>
      <c r="BC372" s="780"/>
      <c r="BD372" s="541"/>
      <c r="BE372" s="541"/>
      <c r="BF372" s="541"/>
      <c r="BG372" s="541"/>
      <c r="BH372" s="780"/>
      <c r="BI372" s="780"/>
      <c r="BJ372" s="780"/>
      <c r="BK372" s="780"/>
      <c r="BL372" s="780"/>
      <c r="BM372" s="780"/>
    </row>
    <row r="373" ht="12.75" customHeight="1">
      <c r="A373" s="521"/>
      <c r="B373" s="521"/>
      <c r="C373" s="515"/>
      <c r="D373" s="515"/>
      <c r="E373" s="515"/>
      <c r="F373" s="515"/>
      <c r="G373" s="515"/>
      <c r="H373" s="515"/>
      <c r="I373" s="515"/>
      <c r="J373" s="515"/>
      <c r="K373" s="515"/>
      <c r="L373" s="515"/>
      <c r="M373" s="515"/>
      <c r="N373" s="515"/>
      <c r="O373" s="533"/>
      <c r="P373" s="786"/>
      <c r="Q373" s="787"/>
      <c r="R373" s="787"/>
      <c r="S373" s="787"/>
      <c r="T373" s="786"/>
      <c r="U373" s="787"/>
      <c r="V373" s="787"/>
      <c r="W373" s="787"/>
      <c r="X373" s="786"/>
      <c r="Y373" s="787"/>
      <c r="Z373" s="787"/>
      <c r="AA373" s="787"/>
      <c r="AB373" s="786"/>
      <c r="AC373" s="787"/>
      <c r="AD373" s="787"/>
      <c r="AE373" s="787"/>
      <c r="AF373" s="786"/>
      <c r="AG373" s="787"/>
      <c r="AH373" s="787"/>
      <c r="AI373" s="787"/>
      <c r="AJ373" s="786"/>
      <c r="AK373" s="787"/>
      <c r="AL373" s="787"/>
      <c r="AM373" s="787"/>
      <c r="AN373" s="786"/>
      <c r="AO373" s="787"/>
      <c r="AP373" s="787"/>
      <c r="AQ373" s="787"/>
      <c r="AR373" s="786"/>
      <c r="AS373" s="787"/>
      <c r="AT373" s="787"/>
      <c r="AU373" s="787"/>
      <c r="AV373" s="786"/>
      <c r="AW373" s="787"/>
      <c r="AX373" s="787"/>
      <c r="AY373" s="787"/>
      <c r="AZ373" s="780"/>
      <c r="BA373" s="780"/>
      <c r="BB373" s="780"/>
      <c r="BC373" s="780"/>
      <c r="BD373" s="541"/>
      <c r="BE373" s="541"/>
      <c r="BF373" s="541"/>
      <c r="BG373" s="541"/>
      <c r="BH373" s="780"/>
      <c r="BI373" s="780"/>
      <c r="BJ373" s="780"/>
      <c r="BK373" s="780"/>
      <c r="BL373" s="780"/>
      <c r="BM373" s="780"/>
    </row>
    <row r="374" ht="12.75" customHeight="1">
      <c r="A374" s="521"/>
      <c r="B374" s="521"/>
      <c r="C374" s="515"/>
      <c r="D374" s="515"/>
      <c r="E374" s="515"/>
      <c r="F374" s="515"/>
      <c r="G374" s="515"/>
      <c r="H374" s="515"/>
      <c r="I374" s="515"/>
      <c r="J374" s="515"/>
      <c r="K374" s="515"/>
      <c r="L374" s="515"/>
      <c r="M374" s="515"/>
      <c r="N374" s="515"/>
      <c r="O374" s="533"/>
      <c r="P374" s="786"/>
      <c r="Q374" s="787"/>
      <c r="R374" s="787"/>
      <c r="S374" s="787"/>
      <c r="T374" s="786"/>
      <c r="U374" s="787"/>
      <c r="V374" s="787"/>
      <c r="W374" s="787"/>
      <c r="X374" s="786"/>
      <c r="Y374" s="787"/>
      <c r="Z374" s="787"/>
      <c r="AA374" s="787"/>
      <c r="AB374" s="786"/>
      <c r="AC374" s="787"/>
      <c r="AD374" s="787"/>
      <c r="AE374" s="787"/>
      <c r="AF374" s="786"/>
      <c r="AG374" s="787"/>
      <c r="AH374" s="787"/>
      <c r="AI374" s="787"/>
      <c r="AJ374" s="786"/>
      <c r="AK374" s="787"/>
      <c r="AL374" s="787"/>
      <c r="AM374" s="787"/>
      <c r="AN374" s="786"/>
      <c r="AO374" s="787"/>
      <c r="AP374" s="787"/>
      <c r="AQ374" s="787"/>
      <c r="AR374" s="786"/>
      <c r="AS374" s="787"/>
      <c r="AT374" s="787"/>
      <c r="AU374" s="787"/>
      <c r="AV374" s="786"/>
      <c r="AW374" s="787"/>
      <c r="AX374" s="787"/>
      <c r="AY374" s="787"/>
      <c r="AZ374" s="780"/>
      <c r="BA374" s="780"/>
      <c r="BB374" s="780"/>
      <c r="BC374" s="780"/>
      <c r="BD374" s="541"/>
      <c r="BE374" s="541"/>
      <c r="BF374" s="541"/>
      <c r="BG374" s="541"/>
      <c r="BH374" s="780"/>
      <c r="BI374" s="780"/>
      <c r="BJ374" s="780"/>
      <c r="BK374" s="780"/>
      <c r="BL374" s="780"/>
      <c r="BM374" s="780"/>
    </row>
    <row r="375" ht="12.75" customHeight="1">
      <c r="A375" s="521"/>
      <c r="B375" s="521"/>
      <c r="C375" s="515"/>
      <c r="D375" s="515"/>
      <c r="E375" s="515"/>
      <c r="F375" s="515"/>
      <c r="G375" s="515"/>
      <c r="H375" s="515"/>
      <c r="I375" s="515"/>
      <c r="J375" s="515"/>
      <c r="K375" s="515"/>
      <c r="L375" s="515"/>
      <c r="M375" s="515"/>
      <c r="N375" s="515"/>
      <c r="O375" s="533"/>
      <c r="P375" s="786"/>
      <c r="Q375" s="787"/>
      <c r="R375" s="787"/>
      <c r="S375" s="787"/>
      <c r="T375" s="786"/>
      <c r="U375" s="787"/>
      <c r="V375" s="787"/>
      <c r="W375" s="787"/>
      <c r="X375" s="786"/>
      <c r="Y375" s="787"/>
      <c r="Z375" s="787"/>
      <c r="AA375" s="787"/>
      <c r="AB375" s="786"/>
      <c r="AC375" s="787"/>
      <c r="AD375" s="787"/>
      <c r="AE375" s="787"/>
      <c r="AF375" s="786"/>
      <c r="AG375" s="787"/>
      <c r="AH375" s="787"/>
      <c r="AI375" s="787"/>
      <c r="AJ375" s="786"/>
      <c r="AK375" s="787"/>
      <c r="AL375" s="787"/>
      <c r="AM375" s="787"/>
      <c r="AN375" s="786"/>
      <c r="AO375" s="787"/>
      <c r="AP375" s="787"/>
      <c r="AQ375" s="787"/>
      <c r="AR375" s="786"/>
      <c r="AS375" s="787"/>
      <c r="AT375" s="787"/>
      <c r="AU375" s="787"/>
      <c r="AV375" s="786"/>
      <c r="AW375" s="787"/>
      <c r="AX375" s="787"/>
      <c r="AY375" s="787"/>
      <c r="AZ375" s="780"/>
      <c r="BA375" s="780"/>
      <c r="BB375" s="780"/>
      <c r="BC375" s="780"/>
      <c r="BD375" s="541"/>
      <c r="BE375" s="541"/>
      <c r="BF375" s="541"/>
      <c r="BG375" s="541"/>
      <c r="BH375" s="780"/>
      <c r="BI375" s="780"/>
      <c r="BJ375" s="780"/>
      <c r="BK375" s="780"/>
      <c r="BL375" s="780"/>
      <c r="BM375" s="780"/>
    </row>
    <row r="376" ht="12.75" customHeight="1">
      <c r="A376" s="521"/>
      <c r="B376" s="521"/>
      <c r="C376" s="515"/>
      <c r="D376" s="515"/>
      <c r="E376" s="515"/>
      <c r="F376" s="515"/>
      <c r="G376" s="515"/>
      <c r="H376" s="515"/>
      <c r="I376" s="515"/>
      <c r="J376" s="515"/>
      <c r="K376" s="515"/>
      <c r="L376" s="515"/>
      <c r="M376" s="515"/>
      <c r="N376" s="515"/>
      <c r="O376" s="533"/>
      <c r="P376" s="786"/>
      <c r="Q376" s="787"/>
      <c r="R376" s="787"/>
      <c r="S376" s="787"/>
      <c r="T376" s="786"/>
      <c r="U376" s="787"/>
      <c r="V376" s="787"/>
      <c r="W376" s="787"/>
      <c r="X376" s="786"/>
      <c r="Y376" s="787"/>
      <c r="Z376" s="787"/>
      <c r="AA376" s="787"/>
      <c r="AB376" s="786"/>
      <c r="AC376" s="787"/>
      <c r="AD376" s="787"/>
      <c r="AE376" s="787"/>
      <c r="AF376" s="786"/>
      <c r="AG376" s="787"/>
      <c r="AH376" s="787"/>
      <c r="AI376" s="787"/>
      <c r="AJ376" s="786"/>
      <c r="AK376" s="787"/>
      <c r="AL376" s="787"/>
      <c r="AM376" s="787"/>
      <c r="AN376" s="786"/>
      <c r="AO376" s="787"/>
      <c r="AP376" s="787"/>
      <c r="AQ376" s="787"/>
      <c r="AR376" s="786"/>
      <c r="AS376" s="787"/>
      <c r="AT376" s="787"/>
      <c r="AU376" s="787"/>
      <c r="AV376" s="786"/>
      <c r="AW376" s="787"/>
      <c r="AX376" s="787"/>
      <c r="AY376" s="787"/>
      <c r="AZ376" s="780"/>
      <c r="BA376" s="780"/>
      <c r="BB376" s="780"/>
      <c r="BC376" s="780"/>
      <c r="BD376" s="541"/>
      <c r="BE376" s="541"/>
      <c r="BF376" s="541"/>
      <c r="BG376" s="541"/>
      <c r="BH376" s="780"/>
      <c r="BI376" s="780"/>
      <c r="BJ376" s="780"/>
      <c r="BK376" s="780"/>
      <c r="BL376" s="780"/>
      <c r="BM376" s="780"/>
    </row>
    <row r="377" ht="12.75" customHeight="1">
      <c r="A377" s="521"/>
      <c r="B377" s="521"/>
      <c r="C377" s="515"/>
      <c r="D377" s="515"/>
      <c r="E377" s="515"/>
      <c r="F377" s="515"/>
      <c r="G377" s="515"/>
      <c r="H377" s="515"/>
      <c r="I377" s="515"/>
      <c r="J377" s="515"/>
      <c r="K377" s="515"/>
      <c r="L377" s="515"/>
      <c r="M377" s="515"/>
      <c r="N377" s="515"/>
      <c r="O377" s="533"/>
      <c r="P377" s="786"/>
      <c r="Q377" s="787"/>
      <c r="R377" s="787"/>
      <c r="S377" s="787"/>
      <c r="T377" s="786"/>
      <c r="U377" s="787"/>
      <c r="V377" s="787"/>
      <c r="W377" s="787"/>
      <c r="X377" s="786"/>
      <c r="Y377" s="787"/>
      <c r="Z377" s="787"/>
      <c r="AA377" s="787"/>
      <c r="AB377" s="786"/>
      <c r="AC377" s="787"/>
      <c r="AD377" s="787"/>
      <c r="AE377" s="787"/>
      <c r="AF377" s="786"/>
      <c r="AG377" s="787"/>
      <c r="AH377" s="787"/>
      <c r="AI377" s="787"/>
      <c r="AJ377" s="786"/>
      <c r="AK377" s="787"/>
      <c r="AL377" s="787"/>
      <c r="AM377" s="787"/>
      <c r="AN377" s="786"/>
      <c r="AO377" s="787"/>
      <c r="AP377" s="787"/>
      <c r="AQ377" s="787"/>
      <c r="AR377" s="786"/>
      <c r="AS377" s="787"/>
      <c r="AT377" s="787"/>
      <c r="AU377" s="787"/>
      <c r="AV377" s="786"/>
      <c r="AW377" s="787"/>
      <c r="AX377" s="787"/>
      <c r="AY377" s="787"/>
      <c r="AZ377" s="780"/>
      <c r="BA377" s="780"/>
      <c r="BB377" s="780"/>
      <c r="BC377" s="780"/>
      <c r="BD377" s="541"/>
      <c r="BE377" s="541"/>
      <c r="BF377" s="541"/>
      <c r="BG377" s="541"/>
      <c r="BH377" s="780"/>
      <c r="BI377" s="780"/>
      <c r="BJ377" s="780"/>
      <c r="BK377" s="780"/>
      <c r="BL377" s="780"/>
      <c r="BM377" s="780"/>
    </row>
    <row r="378" ht="12.75" customHeight="1">
      <c r="A378" s="521"/>
      <c r="B378" s="521"/>
      <c r="C378" s="515"/>
      <c r="D378" s="515"/>
      <c r="E378" s="515"/>
      <c r="F378" s="515"/>
      <c r="G378" s="515"/>
      <c r="H378" s="515"/>
      <c r="I378" s="515"/>
      <c r="J378" s="515"/>
      <c r="K378" s="515"/>
      <c r="L378" s="515"/>
      <c r="M378" s="515"/>
      <c r="N378" s="515"/>
      <c r="O378" s="533"/>
      <c r="P378" s="786"/>
      <c r="Q378" s="787"/>
      <c r="R378" s="787"/>
      <c r="S378" s="787"/>
      <c r="T378" s="786"/>
      <c r="U378" s="787"/>
      <c r="V378" s="787"/>
      <c r="W378" s="787"/>
      <c r="X378" s="786"/>
      <c r="Y378" s="787"/>
      <c r="Z378" s="787"/>
      <c r="AA378" s="787"/>
      <c r="AB378" s="786"/>
      <c r="AC378" s="787"/>
      <c r="AD378" s="787"/>
      <c r="AE378" s="787"/>
      <c r="AF378" s="786"/>
      <c r="AG378" s="787"/>
      <c r="AH378" s="787"/>
      <c r="AI378" s="787"/>
      <c r="AJ378" s="786"/>
      <c r="AK378" s="787"/>
      <c r="AL378" s="787"/>
      <c r="AM378" s="787"/>
      <c r="AN378" s="786"/>
      <c r="AO378" s="787"/>
      <c r="AP378" s="787"/>
      <c r="AQ378" s="787"/>
      <c r="AR378" s="786"/>
      <c r="AS378" s="787"/>
      <c r="AT378" s="787"/>
      <c r="AU378" s="787"/>
      <c r="AV378" s="786"/>
      <c r="AW378" s="787"/>
      <c r="AX378" s="787"/>
      <c r="AY378" s="787"/>
      <c r="AZ378" s="780"/>
      <c r="BA378" s="780"/>
      <c r="BB378" s="780"/>
      <c r="BC378" s="780"/>
      <c r="BD378" s="541"/>
      <c r="BE378" s="541"/>
      <c r="BF378" s="541"/>
      <c r="BG378" s="541"/>
      <c r="BH378" s="780"/>
      <c r="BI378" s="780"/>
      <c r="BJ378" s="780"/>
      <c r="BK378" s="780"/>
      <c r="BL378" s="780"/>
      <c r="BM378" s="780"/>
    </row>
    <row r="379" ht="12.75" customHeight="1">
      <c r="A379" s="521"/>
      <c r="B379" s="521"/>
      <c r="C379" s="515"/>
      <c r="D379" s="515"/>
      <c r="E379" s="515"/>
      <c r="F379" s="515"/>
      <c r="G379" s="515"/>
      <c r="H379" s="515"/>
      <c r="I379" s="515"/>
      <c r="J379" s="515"/>
      <c r="K379" s="515"/>
      <c r="L379" s="515"/>
      <c r="M379" s="515"/>
      <c r="N379" s="515"/>
      <c r="O379" s="533"/>
      <c r="P379" s="786"/>
      <c r="Q379" s="787"/>
      <c r="R379" s="787"/>
      <c r="S379" s="787"/>
      <c r="T379" s="786"/>
      <c r="U379" s="787"/>
      <c r="V379" s="787"/>
      <c r="W379" s="787"/>
      <c r="X379" s="786"/>
      <c r="Y379" s="787"/>
      <c r="Z379" s="787"/>
      <c r="AA379" s="787"/>
      <c r="AB379" s="786"/>
      <c r="AC379" s="787"/>
      <c r="AD379" s="787"/>
      <c r="AE379" s="787"/>
      <c r="AF379" s="786"/>
      <c r="AG379" s="787"/>
      <c r="AH379" s="787"/>
      <c r="AI379" s="787"/>
      <c r="AJ379" s="786"/>
      <c r="AK379" s="787"/>
      <c r="AL379" s="787"/>
      <c r="AM379" s="787"/>
      <c r="AN379" s="786"/>
      <c r="AO379" s="787"/>
      <c r="AP379" s="787"/>
      <c r="AQ379" s="787"/>
      <c r="AR379" s="786"/>
      <c r="AS379" s="787"/>
      <c r="AT379" s="787"/>
      <c r="AU379" s="787"/>
      <c r="AV379" s="786"/>
      <c r="AW379" s="787"/>
      <c r="AX379" s="787"/>
      <c r="AY379" s="787"/>
      <c r="AZ379" s="780"/>
      <c r="BA379" s="780"/>
      <c r="BB379" s="780"/>
      <c r="BC379" s="780"/>
      <c r="BD379" s="541"/>
      <c r="BE379" s="541"/>
      <c r="BF379" s="541"/>
      <c r="BG379" s="541"/>
      <c r="BH379" s="780"/>
      <c r="BI379" s="780"/>
      <c r="BJ379" s="780"/>
      <c r="BK379" s="780"/>
      <c r="BL379" s="780"/>
      <c r="BM379" s="780"/>
    </row>
    <row r="380" ht="12.75" customHeight="1">
      <c r="A380" s="521"/>
      <c r="B380" s="521"/>
      <c r="C380" s="515"/>
      <c r="D380" s="515"/>
      <c r="E380" s="515"/>
      <c r="F380" s="515"/>
      <c r="G380" s="515"/>
      <c r="H380" s="515"/>
      <c r="I380" s="515"/>
      <c r="J380" s="515"/>
      <c r="K380" s="515"/>
      <c r="L380" s="515"/>
      <c r="M380" s="515"/>
      <c r="N380" s="515"/>
      <c r="O380" s="533"/>
      <c r="P380" s="786"/>
      <c r="Q380" s="787"/>
      <c r="R380" s="787"/>
      <c r="S380" s="787"/>
      <c r="T380" s="786"/>
      <c r="U380" s="787"/>
      <c r="V380" s="787"/>
      <c r="W380" s="787"/>
      <c r="X380" s="786"/>
      <c r="Y380" s="787"/>
      <c r="Z380" s="787"/>
      <c r="AA380" s="787"/>
      <c r="AB380" s="786"/>
      <c r="AC380" s="787"/>
      <c r="AD380" s="787"/>
      <c r="AE380" s="787"/>
      <c r="AF380" s="786"/>
      <c r="AG380" s="787"/>
      <c r="AH380" s="787"/>
      <c r="AI380" s="787"/>
      <c r="AJ380" s="786"/>
      <c r="AK380" s="787"/>
      <c r="AL380" s="787"/>
      <c r="AM380" s="787"/>
      <c r="AN380" s="786"/>
      <c r="AO380" s="787"/>
      <c r="AP380" s="787"/>
      <c r="AQ380" s="787"/>
      <c r="AR380" s="786"/>
      <c r="AS380" s="787"/>
      <c r="AT380" s="787"/>
      <c r="AU380" s="787"/>
      <c r="AV380" s="786"/>
      <c r="AW380" s="787"/>
      <c r="AX380" s="787"/>
      <c r="AY380" s="787"/>
      <c r="AZ380" s="780"/>
      <c r="BA380" s="780"/>
      <c r="BB380" s="780"/>
      <c r="BC380" s="780"/>
      <c r="BD380" s="541"/>
      <c r="BE380" s="541"/>
      <c r="BF380" s="541"/>
      <c r="BG380" s="541"/>
      <c r="BH380" s="780"/>
      <c r="BI380" s="780"/>
      <c r="BJ380" s="780"/>
      <c r="BK380" s="780"/>
      <c r="BL380" s="780"/>
      <c r="BM380" s="780"/>
    </row>
    <row r="381" ht="12.75" customHeight="1">
      <c r="A381" s="521"/>
      <c r="B381" s="521"/>
      <c r="C381" s="515"/>
      <c r="D381" s="515"/>
      <c r="E381" s="515"/>
      <c r="F381" s="515"/>
      <c r="G381" s="515"/>
      <c r="H381" s="515"/>
      <c r="I381" s="515"/>
      <c r="J381" s="515"/>
      <c r="K381" s="515"/>
      <c r="L381" s="515"/>
      <c r="M381" s="515"/>
      <c r="N381" s="515"/>
      <c r="O381" s="533"/>
      <c r="P381" s="786"/>
      <c r="Q381" s="787"/>
      <c r="R381" s="787"/>
      <c r="S381" s="787"/>
      <c r="T381" s="786"/>
      <c r="U381" s="787"/>
      <c r="V381" s="787"/>
      <c r="W381" s="787"/>
      <c r="X381" s="786"/>
      <c r="Y381" s="787"/>
      <c r="Z381" s="787"/>
      <c r="AA381" s="787"/>
      <c r="AB381" s="786"/>
      <c r="AC381" s="787"/>
      <c r="AD381" s="787"/>
      <c r="AE381" s="787"/>
      <c r="AF381" s="786"/>
      <c r="AG381" s="787"/>
      <c r="AH381" s="787"/>
      <c r="AI381" s="787"/>
      <c r="AJ381" s="786"/>
      <c r="AK381" s="787"/>
      <c r="AL381" s="787"/>
      <c r="AM381" s="787"/>
      <c r="AN381" s="786"/>
      <c r="AO381" s="787"/>
      <c r="AP381" s="787"/>
      <c r="AQ381" s="787"/>
      <c r="AR381" s="786"/>
      <c r="AS381" s="787"/>
      <c r="AT381" s="787"/>
      <c r="AU381" s="787"/>
      <c r="AV381" s="786"/>
      <c r="AW381" s="787"/>
      <c r="AX381" s="787"/>
      <c r="AY381" s="787"/>
      <c r="AZ381" s="780"/>
      <c r="BA381" s="780"/>
      <c r="BB381" s="780"/>
      <c r="BC381" s="780"/>
      <c r="BD381" s="541"/>
      <c r="BE381" s="541"/>
      <c r="BF381" s="541"/>
      <c r="BG381" s="541"/>
      <c r="BH381" s="780"/>
      <c r="BI381" s="780"/>
      <c r="BJ381" s="780"/>
      <c r="BK381" s="780"/>
      <c r="BL381" s="780"/>
      <c r="BM381" s="780"/>
    </row>
    <row r="382" ht="12.75" customHeight="1">
      <c r="A382" s="521"/>
      <c r="B382" s="521"/>
      <c r="C382" s="515"/>
      <c r="D382" s="515"/>
      <c r="E382" s="515"/>
      <c r="F382" s="515"/>
      <c r="G382" s="515"/>
      <c r="H382" s="515"/>
      <c r="I382" s="515"/>
      <c r="J382" s="515"/>
      <c r="K382" s="515"/>
      <c r="L382" s="515"/>
      <c r="M382" s="515"/>
      <c r="N382" s="515"/>
      <c r="O382" s="533"/>
      <c r="P382" s="786"/>
      <c r="Q382" s="787"/>
      <c r="R382" s="787"/>
      <c r="S382" s="787"/>
      <c r="T382" s="786"/>
      <c r="U382" s="787"/>
      <c r="V382" s="787"/>
      <c r="W382" s="787"/>
      <c r="X382" s="786"/>
      <c r="Y382" s="787"/>
      <c r="Z382" s="787"/>
      <c r="AA382" s="787"/>
      <c r="AB382" s="786"/>
      <c r="AC382" s="787"/>
      <c r="AD382" s="787"/>
      <c r="AE382" s="787"/>
      <c r="AF382" s="786"/>
      <c r="AG382" s="787"/>
      <c r="AH382" s="787"/>
      <c r="AI382" s="787"/>
      <c r="AJ382" s="786"/>
      <c r="AK382" s="787"/>
      <c r="AL382" s="787"/>
      <c r="AM382" s="787"/>
      <c r="AN382" s="786"/>
      <c r="AO382" s="787"/>
      <c r="AP382" s="787"/>
      <c r="AQ382" s="787"/>
      <c r="AR382" s="786"/>
      <c r="AS382" s="787"/>
      <c r="AT382" s="787"/>
      <c r="AU382" s="787"/>
      <c r="AV382" s="786"/>
      <c r="AW382" s="787"/>
      <c r="AX382" s="787"/>
      <c r="AY382" s="787"/>
      <c r="AZ382" s="780"/>
      <c r="BA382" s="780"/>
      <c r="BB382" s="780"/>
      <c r="BC382" s="780"/>
      <c r="BD382" s="541"/>
      <c r="BE382" s="541"/>
      <c r="BF382" s="541"/>
      <c r="BG382" s="541"/>
      <c r="BH382" s="780"/>
      <c r="BI382" s="780"/>
      <c r="BJ382" s="780"/>
      <c r="BK382" s="780"/>
      <c r="BL382" s="780"/>
      <c r="BM382" s="780"/>
    </row>
    <row r="383" ht="12.75" customHeight="1">
      <c r="A383" s="521"/>
      <c r="B383" s="521"/>
      <c r="C383" s="515"/>
      <c r="D383" s="515"/>
      <c r="E383" s="515"/>
      <c r="F383" s="515"/>
      <c r="G383" s="515"/>
      <c r="H383" s="515"/>
      <c r="I383" s="515"/>
      <c r="J383" s="515"/>
      <c r="K383" s="515"/>
      <c r="L383" s="515"/>
      <c r="M383" s="515"/>
      <c r="N383" s="515"/>
      <c r="O383" s="533"/>
      <c r="P383" s="786"/>
      <c r="Q383" s="787"/>
      <c r="R383" s="787"/>
      <c r="S383" s="787"/>
      <c r="T383" s="786"/>
      <c r="U383" s="787"/>
      <c r="V383" s="787"/>
      <c r="W383" s="787"/>
      <c r="X383" s="786"/>
      <c r="Y383" s="787"/>
      <c r="Z383" s="787"/>
      <c r="AA383" s="787"/>
      <c r="AB383" s="786"/>
      <c r="AC383" s="787"/>
      <c r="AD383" s="787"/>
      <c r="AE383" s="787"/>
      <c r="AF383" s="786"/>
      <c r="AG383" s="787"/>
      <c r="AH383" s="787"/>
      <c r="AI383" s="787"/>
      <c r="AJ383" s="786"/>
      <c r="AK383" s="787"/>
      <c r="AL383" s="787"/>
      <c r="AM383" s="787"/>
      <c r="AN383" s="786"/>
      <c r="AO383" s="787"/>
      <c r="AP383" s="787"/>
      <c r="AQ383" s="787"/>
      <c r="AR383" s="786"/>
      <c r="AS383" s="787"/>
      <c r="AT383" s="787"/>
      <c r="AU383" s="787"/>
      <c r="AV383" s="786"/>
      <c r="AW383" s="787"/>
      <c r="AX383" s="787"/>
      <c r="AY383" s="787"/>
      <c r="AZ383" s="780"/>
      <c r="BA383" s="780"/>
      <c r="BB383" s="780"/>
      <c r="BC383" s="780"/>
      <c r="BD383" s="541"/>
      <c r="BE383" s="541"/>
      <c r="BF383" s="541"/>
      <c r="BG383" s="541"/>
      <c r="BH383" s="780"/>
      <c r="BI383" s="780"/>
      <c r="BJ383" s="780"/>
      <c r="BK383" s="780"/>
      <c r="BL383" s="780"/>
      <c r="BM383" s="780"/>
    </row>
    <row r="384" ht="12.75" customHeight="1">
      <c r="A384" s="521"/>
      <c r="B384" s="521"/>
      <c r="C384" s="515"/>
      <c r="D384" s="515"/>
      <c r="E384" s="515"/>
      <c r="F384" s="515"/>
      <c r="G384" s="515"/>
      <c r="H384" s="515"/>
      <c r="I384" s="515"/>
      <c r="J384" s="515"/>
      <c r="K384" s="515"/>
      <c r="L384" s="515"/>
      <c r="M384" s="515"/>
      <c r="N384" s="515"/>
      <c r="O384" s="533"/>
      <c r="P384" s="786"/>
      <c r="Q384" s="787"/>
      <c r="R384" s="787"/>
      <c r="S384" s="787"/>
      <c r="T384" s="786"/>
      <c r="U384" s="787"/>
      <c r="V384" s="787"/>
      <c r="W384" s="787"/>
      <c r="X384" s="786"/>
      <c r="Y384" s="787"/>
      <c r="Z384" s="787"/>
      <c r="AA384" s="787"/>
      <c r="AB384" s="786"/>
      <c r="AC384" s="787"/>
      <c r="AD384" s="787"/>
      <c r="AE384" s="787"/>
      <c r="AF384" s="786"/>
      <c r="AG384" s="787"/>
      <c r="AH384" s="787"/>
      <c r="AI384" s="787"/>
      <c r="AJ384" s="786"/>
      <c r="AK384" s="787"/>
      <c r="AL384" s="787"/>
      <c r="AM384" s="787"/>
      <c r="AN384" s="786"/>
      <c r="AO384" s="787"/>
      <c r="AP384" s="787"/>
      <c r="AQ384" s="787"/>
      <c r="AR384" s="786"/>
      <c r="AS384" s="787"/>
      <c r="AT384" s="787"/>
      <c r="AU384" s="787"/>
      <c r="AV384" s="786"/>
      <c r="AW384" s="787"/>
      <c r="AX384" s="787"/>
      <c r="AY384" s="787"/>
      <c r="AZ384" s="780"/>
      <c r="BA384" s="780"/>
      <c r="BB384" s="780"/>
      <c r="BC384" s="780"/>
      <c r="BD384" s="541"/>
      <c r="BE384" s="541"/>
      <c r="BF384" s="541"/>
      <c r="BG384" s="541"/>
      <c r="BH384" s="780"/>
      <c r="BI384" s="780"/>
      <c r="BJ384" s="780"/>
      <c r="BK384" s="780"/>
      <c r="BL384" s="780"/>
      <c r="BM384" s="780"/>
    </row>
    <row r="385" ht="12.75" customHeight="1">
      <c r="A385" s="521"/>
      <c r="B385" s="521"/>
      <c r="C385" s="515"/>
      <c r="D385" s="515"/>
      <c r="E385" s="515"/>
      <c r="F385" s="515"/>
      <c r="G385" s="515"/>
      <c r="H385" s="515"/>
      <c r="I385" s="515"/>
      <c r="J385" s="515"/>
      <c r="K385" s="515"/>
      <c r="L385" s="515"/>
      <c r="M385" s="515"/>
      <c r="N385" s="515"/>
      <c r="O385" s="533"/>
      <c r="P385" s="786"/>
      <c r="Q385" s="787"/>
      <c r="R385" s="787"/>
      <c r="S385" s="787"/>
      <c r="T385" s="786"/>
      <c r="U385" s="787"/>
      <c r="V385" s="787"/>
      <c r="W385" s="787"/>
      <c r="X385" s="786"/>
      <c r="Y385" s="787"/>
      <c r="Z385" s="787"/>
      <c r="AA385" s="787"/>
      <c r="AB385" s="786"/>
      <c r="AC385" s="787"/>
      <c r="AD385" s="787"/>
      <c r="AE385" s="787"/>
      <c r="AF385" s="786"/>
      <c r="AG385" s="787"/>
      <c r="AH385" s="787"/>
      <c r="AI385" s="787"/>
      <c r="AJ385" s="786"/>
      <c r="AK385" s="787"/>
      <c r="AL385" s="787"/>
      <c r="AM385" s="787"/>
      <c r="AN385" s="786"/>
      <c r="AO385" s="787"/>
      <c r="AP385" s="787"/>
      <c r="AQ385" s="787"/>
      <c r="AR385" s="786"/>
      <c r="AS385" s="787"/>
      <c r="AT385" s="787"/>
      <c r="AU385" s="787"/>
      <c r="AV385" s="786"/>
      <c r="AW385" s="787"/>
      <c r="AX385" s="787"/>
      <c r="AY385" s="787"/>
      <c r="AZ385" s="780"/>
      <c r="BA385" s="780"/>
      <c r="BB385" s="780"/>
      <c r="BC385" s="780"/>
      <c r="BD385" s="541"/>
      <c r="BE385" s="541"/>
      <c r="BF385" s="541"/>
      <c r="BG385" s="541"/>
      <c r="BH385" s="780"/>
      <c r="BI385" s="780"/>
      <c r="BJ385" s="780"/>
      <c r="BK385" s="780"/>
      <c r="BL385" s="780"/>
      <c r="BM385" s="780"/>
    </row>
    <row r="386" ht="12.75" customHeight="1">
      <c r="A386" s="521"/>
      <c r="B386" s="521"/>
      <c r="C386" s="515"/>
      <c r="D386" s="515"/>
      <c r="E386" s="515"/>
      <c r="F386" s="515"/>
      <c r="G386" s="515"/>
      <c r="H386" s="515"/>
      <c r="I386" s="515"/>
      <c r="J386" s="515"/>
      <c r="K386" s="515"/>
      <c r="L386" s="515"/>
      <c r="M386" s="515"/>
      <c r="N386" s="515"/>
      <c r="O386" s="533"/>
      <c r="P386" s="786"/>
      <c r="Q386" s="787"/>
      <c r="R386" s="787"/>
      <c r="S386" s="787"/>
      <c r="T386" s="786"/>
      <c r="U386" s="787"/>
      <c r="V386" s="787"/>
      <c r="W386" s="787"/>
      <c r="X386" s="786"/>
      <c r="Y386" s="787"/>
      <c r="Z386" s="787"/>
      <c r="AA386" s="787"/>
      <c r="AB386" s="786"/>
      <c r="AC386" s="787"/>
      <c r="AD386" s="787"/>
      <c r="AE386" s="787"/>
      <c r="AF386" s="786"/>
      <c r="AG386" s="787"/>
      <c r="AH386" s="787"/>
      <c r="AI386" s="787"/>
      <c r="AJ386" s="786"/>
      <c r="AK386" s="787"/>
      <c r="AL386" s="787"/>
      <c r="AM386" s="787"/>
      <c r="AN386" s="786"/>
      <c r="AO386" s="787"/>
      <c r="AP386" s="787"/>
      <c r="AQ386" s="787"/>
      <c r="AR386" s="786"/>
      <c r="AS386" s="787"/>
      <c r="AT386" s="787"/>
      <c r="AU386" s="787"/>
      <c r="AV386" s="786"/>
      <c r="AW386" s="787"/>
      <c r="AX386" s="787"/>
      <c r="AY386" s="787"/>
      <c r="AZ386" s="780"/>
      <c r="BA386" s="780"/>
      <c r="BB386" s="780"/>
      <c r="BC386" s="780"/>
      <c r="BD386" s="541"/>
      <c r="BE386" s="541"/>
      <c r="BF386" s="541"/>
      <c r="BG386" s="541"/>
      <c r="BH386" s="780"/>
      <c r="BI386" s="780"/>
      <c r="BJ386" s="780"/>
      <c r="BK386" s="780"/>
      <c r="BL386" s="780"/>
      <c r="BM386" s="780"/>
    </row>
    <row r="387" ht="12.75" customHeight="1">
      <c r="A387" s="521"/>
      <c r="B387" s="521"/>
      <c r="C387" s="515"/>
      <c r="D387" s="515"/>
      <c r="E387" s="515"/>
      <c r="F387" s="515"/>
      <c r="G387" s="515"/>
      <c r="H387" s="515"/>
      <c r="I387" s="515"/>
      <c r="J387" s="515"/>
      <c r="K387" s="515"/>
      <c r="L387" s="515"/>
      <c r="M387" s="515"/>
      <c r="N387" s="515"/>
      <c r="O387" s="533"/>
      <c r="P387" s="786"/>
      <c r="Q387" s="787"/>
      <c r="R387" s="787"/>
      <c r="S387" s="787"/>
      <c r="T387" s="786"/>
      <c r="U387" s="787"/>
      <c r="V387" s="787"/>
      <c r="W387" s="787"/>
      <c r="X387" s="786"/>
      <c r="Y387" s="787"/>
      <c r="Z387" s="787"/>
      <c r="AA387" s="787"/>
      <c r="AB387" s="786"/>
      <c r="AC387" s="787"/>
      <c r="AD387" s="787"/>
      <c r="AE387" s="787"/>
      <c r="AF387" s="786"/>
      <c r="AG387" s="787"/>
      <c r="AH387" s="787"/>
      <c r="AI387" s="787"/>
      <c r="AJ387" s="786"/>
      <c r="AK387" s="787"/>
      <c r="AL387" s="787"/>
      <c r="AM387" s="787"/>
      <c r="AN387" s="786"/>
      <c r="AO387" s="787"/>
      <c r="AP387" s="787"/>
      <c r="AQ387" s="787"/>
      <c r="AR387" s="786"/>
      <c r="AS387" s="787"/>
      <c r="AT387" s="787"/>
      <c r="AU387" s="787"/>
      <c r="AV387" s="786"/>
      <c r="AW387" s="787"/>
      <c r="AX387" s="787"/>
      <c r="AY387" s="787"/>
      <c r="AZ387" s="780"/>
      <c r="BA387" s="780"/>
      <c r="BB387" s="780"/>
      <c r="BC387" s="780"/>
      <c r="BD387" s="541"/>
      <c r="BE387" s="541"/>
      <c r="BF387" s="541"/>
      <c r="BG387" s="541"/>
      <c r="BH387" s="780"/>
      <c r="BI387" s="780"/>
      <c r="BJ387" s="780"/>
      <c r="BK387" s="780"/>
      <c r="BL387" s="780"/>
      <c r="BM387" s="780"/>
    </row>
    <row r="388" ht="12.75" customHeight="1">
      <c r="A388" s="521"/>
      <c r="B388" s="521"/>
      <c r="C388" s="515"/>
      <c r="D388" s="515"/>
      <c r="E388" s="515"/>
      <c r="F388" s="515"/>
      <c r="G388" s="515"/>
      <c r="H388" s="515"/>
      <c r="I388" s="515"/>
      <c r="J388" s="515"/>
      <c r="K388" s="515"/>
      <c r="L388" s="515"/>
      <c r="M388" s="515"/>
      <c r="N388" s="515"/>
      <c r="O388" s="533"/>
      <c r="P388" s="786"/>
      <c r="Q388" s="787"/>
      <c r="R388" s="787"/>
      <c r="S388" s="787"/>
      <c r="T388" s="786"/>
      <c r="U388" s="787"/>
      <c r="V388" s="787"/>
      <c r="W388" s="787"/>
      <c r="X388" s="786"/>
      <c r="Y388" s="787"/>
      <c r="Z388" s="787"/>
      <c r="AA388" s="787"/>
      <c r="AB388" s="786"/>
      <c r="AC388" s="787"/>
      <c r="AD388" s="787"/>
      <c r="AE388" s="787"/>
      <c r="AF388" s="786"/>
      <c r="AG388" s="787"/>
      <c r="AH388" s="787"/>
      <c r="AI388" s="787"/>
      <c r="AJ388" s="786"/>
      <c r="AK388" s="787"/>
      <c r="AL388" s="787"/>
      <c r="AM388" s="787"/>
      <c r="AN388" s="786"/>
      <c r="AO388" s="787"/>
      <c r="AP388" s="787"/>
      <c r="AQ388" s="787"/>
      <c r="AR388" s="786"/>
      <c r="AS388" s="787"/>
      <c r="AT388" s="787"/>
      <c r="AU388" s="787"/>
      <c r="AV388" s="786"/>
      <c r="AW388" s="787"/>
      <c r="AX388" s="787"/>
      <c r="AY388" s="787"/>
      <c r="AZ388" s="780"/>
      <c r="BA388" s="780"/>
      <c r="BB388" s="780"/>
      <c r="BC388" s="780"/>
      <c r="BD388" s="541"/>
      <c r="BE388" s="541"/>
      <c r="BF388" s="541"/>
      <c r="BG388" s="541"/>
      <c r="BH388" s="780"/>
      <c r="BI388" s="780"/>
      <c r="BJ388" s="780"/>
      <c r="BK388" s="780"/>
      <c r="BL388" s="780"/>
      <c r="BM388" s="780"/>
    </row>
    <row r="389" ht="12.75" customHeight="1">
      <c r="A389" s="521"/>
      <c r="B389" s="521"/>
      <c r="C389" s="515"/>
      <c r="D389" s="515"/>
      <c r="E389" s="515"/>
      <c r="F389" s="515"/>
      <c r="G389" s="515"/>
      <c r="H389" s="515"/>
      <c r="I389" s="515"/>
      <c r="J389" s="515"/>
      <c r="K389" s="515"/>
      <c r="L389" s="515"/>
      <c r="M389" s="515"/>
      <c r="N389" s="515"/>
      <c r="O389" s="533"/>
      <c r="P389" s="786"/>
      <c r="Q389" s="787"/>
      <c r="R389" s="787"/>
      <c r="S389" s="787"/>
      <c r="T389" s="786"/>
      <c r="U389" s="787"/>
      <c r="V389" s="787"/>
      <c r="W389" s="787"/>
      <c r="X389" s="786"/>
      <c r="Y389" s="787"/>
      <c r="Z389" s="787"/>
      <c r="AA389" s="787"/>
      <c r="AB389" s="786"/>
      <c r="AC389" s="787"/>
      <c r="AD389" s="787"/>
      <c r="AE389" s="787"/>
      <c r="AF389" s="786"/>
      <c r="AG389" s="787"/>
      <c r="AH389" s="787"/>
      <c r="AI389" s="787"/>
      <c r="AJ389" s="786"/>
      <c r="AK389" s="787"/>
      <c r="AL389" s="787"/>
      <c r="AM389" s="787"/>
      <c r="AN389" s="786"/>
      <c r="AO389" s="787"/>
      <c r="AP389" s="787"/>
      <c r="AQ389" s="787"/>
      <c r="AR389" s="786"/>
      <c r="AS389" s="787"/>
      <c r="AT389" s="787"/>
      <c r="AU389" s="787"/>
      <c r="AV389" s="786"/>
      <c r="AW389" s="787"/>
      <c r="AX389" s="787"/>
      <c r="AY389" s="787"/>
      <c r="AZ389" s="780"/>
      <c r="BA389" s="780"/>
      <c r="BB389" s="780"/>
      <c r="BC389" s="780"/>
      <c r="BD389" s="541"/>
      <c r="BE389" s="541"/>
      <c r="BF389" s="541"/>
      <c r="BG389" s="541"/>
      <c r="BH389" s="780"/>
      <c r="BI389" s="780"/>
      <c r="BJ389" s="780"/>
      <c r="BK389" s="780"/>
      <c r="BL389" s="780"/>
      <c r="BM389" s="780"/>
    </row>
    <row r="390" ht="12.75" customHeight="1">
      <c r="A390" s="521"/>
      <c r="B390" s="521"/>
      <c r="C390" s="515"/>
      <c r="D390" s="515"/>
      <c r="E390" s="515"/>
      <c r="F390" s="515"/>
      <c r="G390" s="515"/>
      <c r="H390" s="515"/>
      <c r="I390" s="515"/>
      <c r="J390" s="515"/>
      <c r="K390" s="515"/>
      <c r="L390" s="515"/>
      <c r="M390" s="515"/>
      <c r="N390" s="515"/>
      <c r="O390" s="533"/>
      <c r="P390" s="786"/>
      <c r="Q390" s="787"/>
      <c r="R390" s="787"/>
      <c r="S390" s="787"/>
      <c r="T390" s="786"/>
      <c r="U390" s="787"/>
      <c r="V390" s="787"/>
      <c r="W390" s="787"/>
      <c r="X390" s="786"/>
      <c r="Y390" s="787"/>
      <c r="Z390" s="787"/>
      <c r="AA390" s="787"/>
      <c r="AB390" s="786"/>
      <c r="AC390" s="787"/>
      <c r="AD390" s="787"/>
      <c r="AE390" s="787"/>
      <c r="AF390" s="786"/>
      <c r="AG390" s="787"/>
      <c r="AH390" s="787"/>
      <c r="AI390" s="787"/>
      <c r="AJ390" s="786"/>
      <c r="AK390" s="787"/>
      <c r="AL390" s="787"/>
      <c r="AM390" s="787"/>
      <c r="AN390" s="786"/>
      <c r="AO390" s="787"/>
      <c r="AP390" s="787"/>
      <c r="AQ390" s="787"/>
      <c r="AR390" s="786"/>
      <c r="AS390" s="787"/>
      <c r="AT390" s="787"/>
      <c r="AU390" s="787"/>
      <c r="AV390" s="786"/>
      <c r="AW390" s="787"/>
      <c r="AX390" s="787"/>
      <c r="AY390" s="787"/>
      <c r="AZ390" s="780"/>
      <c r="BA390" s="780"/>
      <c r="BB390" s="780"/>
      <c r="BC390" s="780"/>
      <c r="BD390" s="541"/>
      <c r="BE390" s="541"/>
      <c r="BF390" s="541"/>
      <c r="BG390" s="541"/>
      <c r="BH390" s="780"/>
      <c r="BI390" s="780"/>
      <c r="BJ390" s="780"/>
      <c r="BK390" s="780"/>
      <c r="BL390" s="780"/>
      <c r="BM390" s="780"/>
    </row>
    <row r="391" ht="12.75" customHeight="1">
      <c r="A391" s="521"/>
      <c r="B391" s="521"/>
      <c r="C391" s="515"/>
      <c r="D391" s="515"/>
      <c r="E391" s="515"/>
      <c r="F391" s="515"/>
      <c r="G391" s="515"/>
      <c r="H391" s="515"/>
      <c r="I391" s="515"/>
      <c r="J391" s="515"/>
      <c r="K391" s="515"/>
      <c r="L391" s="515"/>
      <c r="M391" s="515"/>
      <c r="N391" s="515"/>
      <c r="O391" s="533"/>
      <c r="P391" s="786"/>
      <c r="Q391" s="787"/>
      <c r="R391" s="787"/>
      <c r="S391" s="787"/>
      <c r="T391" s="786"/>
      <c r="U391" s="787"/>
      <c r="V391" s="787"/>
      <c r="W391" s="787"/>
      <c r="X391" s="786"/>
      <c r="Y391" s="787"/>
      <c r="Z391" s="787"/>
      <c r="AA391" s="787"/>
      <c r="AB391" s="786"/>
      <c r="AC391" s="787"/>
      <c r="AD391" s="787"/>
      <c r="AE391" s="787"/>
      <c r="AF391" s="786"/>
      <c r="AG391" s="787"/>
      <c r="AH391" s="787"/>
      <c r="AI391" s="787"/>
      <c r="AJ391" s="786"/>
      <c r="AK391" s="787"/>
      <c r="AL391" s="787"/>
      <c r="AM391" s="787"/>
      <c r="AN391" s="786"/>
      <c r="AO391" s="787"/>
      <c r="AP391" s="787"/>
      <c r="AQ391" s="787"/>
      <c r="AR391" s="786"/>
      <c r="AS391" s="787"/>
      <c r="AT391" s="787"/>
      <c r="AU391" s="787"/>
      <c r="AV391" s="786"/>
      <c r="AW391" s="787"/>
      <c r="AX391" s="787"/>
      <c r="AY391" s="787"/>
      <c r="AZ391" s="780"/>
      <c r="BA391" s="780"/>
      <c r="BB391" s="780"/>
      <c r="BC391" s="780"/>
      <c r="BD391" s="541"/>
      <c r="BE391" s="541"/>
      <c r="BF391" s="541"/>
      <c r="BG391" s="541"/>
      <c r="BH391" s="780"/>
      <c r="BI391" s="780"/>
      <c r="BJ391" s="780"/>
      <c r="BK391" s="780"/>
      <c r="BL391" s="780"/>
      <c r="BM391" s="780"/>
    </row>
    <row r="392" ht="12.75" customHeight="1">
      <c r="A392" s="521"/>
      <c r="B392" s="521"/>
      <c r="C392" s="515"/>
      <c r="D392" s="515"/>
      <c r="E392" s="515"/>
      <c r="F392" s="515"/>
      <c r="G392" s="515"/>
      <c r="H392" s="515"/>
      <c r="I392" s="515"/>
      <c r="J392" s="515"/>
      <c r="K392" s="515"/>
      <c r="L392" s="515"/>
      <c r="M392" s="515"/>
      <c r="N392" s="515"/>
      <c r="O392" s="533"/>
      <c r="P392" s="786"/>
      <c r="Q392" s="787"/>
      <c r="R392" s="787"/>
      <c r="S392" s="787"/>
      <c r="T392" s="786"/>
      <c r="U392" s="787"/>
      <c r="V392" s="787"/>
      <c r="W392" s="787"/>
      <c r="X392" s="786"/>
      <c r="Y392" s="787"/>
      <c r="Z392" s="787"/>
      <c r="AA392" s="787"/>
      <c r="AB392" s="786"/>
      <c r="AC392" s="787"/>
      <c r="AD392" s="787"/>
      <c r="AE392" s="787"/>
      <c r="AF392" s="786"/>
      <c r="AG392" s="787"/>
      <c r="AH392" s="787"/>
      <c r="AI392" s="787"/>
      <c r="AJ392" s="786"/>
      <c r="AK392" s="787"/>
      <c r="AL392" s="787"/>
      <c r="AM392" s="787"/>
      <c r="AN392" s="786"/>
      <c r="AO392" s="787"/>
      <c r="AP392" s="787"/>
      <c r="AQ392" s="787"/>
      <c r="AR392" s="786"/>
      <c r="AS392" s="787"/>
      <c r="AT392" s="787"/>
      <c r="AU392" s="787"/>
      <c r="AV392" s="786"/>
      <c r="AW392" s="787"/>
      <c r="AX392" s="787"/>
      <c r="AY392" s="787"/>
      <c r="AZ392" s="780"/>
      <c r="BA392" s="780"/>
      <c r="BB392" s="780"/>
      <c r="BC392" s="780"/>
      <c r="BD392" s="541"/>
      <c r="BE392" s="541"/>
      <c r="BF392" s="541"/>
      <c r="BG392" s="541"/>
      <c r="BH392" s="780"/>
      <c r="BI392" s="780"/>
      <c r="BJ392" s="780"/>
      <c r="BK392" s="780"/>
      <c r="BL392" s="780"/>
      <c r="BM392" s="780"/>
    </row>
    <row r="393" ht="12.75" customHeight="1">
      <c r="A393" s="521"/>
      <c r="B393" s="521"/>
      <c r="C393" s="515"/>
      <c r="D393" s="515"/>
      <c r="E393" s="515"/>
      <c r="F393" s="515"/>
      <c r="G393" s="515"/>
      <c r="H393" s="515"/>
      <c r="I393" s="515"/>
      <c r="J393" s="515"/>
      <c r="K393" s="515"/>
      <c r="L393" s="515"/>
      <c r="M393" s="515"/>
      <c r="N393" s="515"/>
      <c r="O393" s="533"/>
      <c r="P393" s="786"/>
      <c r="Q393" s="787"/>
      <c r="R393" s="787"/>
      <c r="S393" s="787"/>
      <c r="T393" s="786"/>
      <c r="U393" s="787"/>
      <c r="V393" s="787"/>
      <c r="W393" s="787"/>
      <c r="X393" s="786"/>
      <c r="Y393" s="787"/>
      <c r="Z393" s="787"/>
      <c r="AA393" s="787"/>
      <c r="AB393" s="786"/>
      <c r="AC393" s="787"/>
      <c r="AD393" s="787"/>
      <c r="AE393" s="787"/>
      <c r="AF393" s="786"/>
      <c r="AG393" s="787"/>
      <c r="AH393" s="787"/>
      <c r="AI393" s="787"/>
      <c r="AJ393" s="786"/>
      <c r="AK393" s="787"/>
      <c r="AL393" s="787"/>
      <c r="AM393" s="787"/>
      <c r="AN393" s="786"/>
      <c r="AO393" s="787"/>
      <c r="AP393" s="787"/>
      <c r="AQ393" s="787"/>
      <c r="AR393" s="786"/>
      <c r="AS393" s="787"/>
      <c r="AT393" s="787"/>
      <c r="AU393" s="787"/>
      <c r="AV393" s="786"/>
      <c r="AW393" s="787"/>
      <c r="AX393" s="787"/>
      <c r="AY393" s="787"/>
      <c r="AZ393" s="780"/>
      <c r="BA393" s="780"/>
      <c r="BB393" s="780"/>
      <c r="BC393" s="780"/>
      <c r="BD393" s="541"/>
      <c r="BE393" s="541"/>
      <c r="BF393" s="541"/>
      <c r="BG393" s="541"/>
      <c r="BH393" s="780"/>
      <c r="BI393" s="780"/>
      <c r="BJ393" s="780"/>
      <c r="BK393" s="780"/>
      <c r="BL393" s="780"/>
      <c r="BM393" s="780"/>
    </row>
    <row r="394" ht="12.75" customHeight="1">
      <c r="A394" s="521"/>
      <c r="B394" s="521"/>
      <c r="C394" s="515"/>
      <c r="D394" s="515"/>
      <c r="E394" s="515"/>
      <c r="F394" s="515"/>
      <c r="G394" s="515"/>
      <c r="H394" s="515"/>
      <c r="I394" s="515"/>
      <c r="J394" s="515"/>
      <c r="K394" s="515"/>
      <c r="L394" s="515"/>
      <c r="M394" s="515"/>
      <c r="N394" s="515"/>
      <c r="O394" s="533"/>
      <c r="P394" s="786"/>
      <c r="Q394" s="787"/>
      <c r="R394" s="787"/>
      <c r="S394" s="787"/>
      <c r="T394" s="786"/>
      <c r="U394" s="787"/>
      <c r="V394" s="787"/>
      <c r="W394" s="787"/>
      <c r="X394" s="786"/>
      <c r="Y394" s="787"/>
      <c r="Z394" s="787"/>
      <c r="AA394" s="787"/>
      <c r="AB394" s="786"/>
      <c r="AC394" s="787"/>
      <c r="AD394" s="787"/>
      <c r="AE394" s="787"/>
      <c r="AF394" s="786"/>
      <c r="AG394" s="787"/>
      <c r="AH394" s="787"/>
      <c r="AI394" s="787"/>
      <c r="AJ394" s="786"/>
      <c r="AK394" s="787"/>
      <c r="AL394" s="787"/>
      <c r="AM394" s="787"/>
      <c r="AN394" s="786"/>
      <c r="AO394" s="787"/>
      <c r="AP394" s="787"/>
      <c r="AQ394" s="787"/>
      <c r="AR394" s="786"/>
      <c r="AS394" s="787"/>
      <c r="AT394" s="787"/>
      <c r="AU394" s="787"/>
      <c r="AV394" s="786"/>
      <c r="AW394" s="787"/>
      <c r="AX394" s="787"/>
      <c r="AY394" s="787"/>
      <c r="AZ394" s="780"/>
      <c r="BA394" s="780"/>
      <c r="BB394" s="780"/>
      <c r="BC394" s="780"/>
      <c r="BD394" s="541"/>
      <c r="BE394" s="541"/>
      <c r="BF394" s="541"/>
      <c r="BG394" s="541"/>
      <c r="BH394" s="780"/>
      <c r="BI394" s="780"/>
      <c r="BJ394" s="780"/>
      <c r="BK394" s="780"/>
      <c r="BL394" s="780"/>
      <c r="BM394" s="780"/>
    </row>
    <row r="395" ht="12.75" customHeight="1">
      <c r="A395" s="521"/>
      <c r="B395" s="521"/>
      <c r="C395" s="515"/>
      <c r="D395" s="515"/>
      <c r="E395" s="515"/>
      <c r="F395" s="515"/>
      <c r="G395" s="515"/>
      <c r="H395" s="515"/>
      <c r="I395" s="515"/>
      <c r="J395" s="515"/>
      <c r="K395" s="515"/>
      <c r="L395" s="515"/>
      <c r="M395" s="515"/>
      <c r="N395" s="515"/>
      <c r="O395" s="533"/>
      <c r="P395" s="786"/>
      <c r="Q395" s="787"/>
      <c r="R395" s="787"/>
      <c r="S395" s="787"/>
      <c r="T395" s="786"/>
      <c r="U395" s="787"/>
      <c r="V395" s="787"/>
      <c r="W395" s="787"/>
      <c r="X395" s="786"/>
      <c r="Y395" s="787"/>
      <c r="Z395" s="787"/>
      <c r="AA395" s="787"/>
      <c r="AB395" s="786"/>
      <c r="AC395" s="787"/>
      <c r="AD395" s="787"/>
      <c r="AE395" s="787"/>
      <c r="AF395" s="786"/>
      <c r="AG395" s="787"/>
      <c r="AH395" s="787"/>
      <c r="AI395" s="787"/>
      <c r="AJ395" s="786"/>
      <c r="AK395" s="787"/>
      <c r="AL395" s="787"/>
      <c r="AM395" s="787"/>
      <c r="AN395" s="786"/>
      <c r="AO395" s="787"/>
      <c r="AP395" s="787"/>
      <c r="AQ395" s="787"/>
      <c r="AR395" s="786"/>
      <c r="AS395" s="787"/>
      <c r="AT395" s="787"/>
      <c r="AU395" s="787"/>
      <c r="AV395" s="786"/>
      <c r="AW395" s="787"/>
      <c r="AX395" s="787"/>
      <c r="AY395" s="787"/>
      <c r="AZ395" s="780"/>
      <c r="BA395" s="780"/>
      <c r="BB395" s="780"/>
      <c r="BC395" s="780"/>
      <c r="BD395" s="541"/>
      <c r="BE395" s="541"/>
      <c r="BF395" s="541"/>
      <c r="BG395" s="541"/>
      <c r="BH395" s="780"/>
      <c r="BI395" s="780"/>
      <c r="BJ395" s="780"/>
      <c r="BK395" s="780"/>
      <c r="BL395" s="780"/>
      <c r="BM395" s="780"/>
    </row>
    <row r="396" ht="12.75" customHeight="1">
      <c r="A396" s="521"/>
      <c r="B396" s="521"/>
      <c r="C396" s="515"/>
      <c r="D396" s="515"/>
      <c r="E396" s="515"/>
      <c r="F396" s="515"/>
      <c r="G396" s="515"/>
      <c r="H396" s="515"/>
      <c r="I396" s="515"/>
      <c r="J396" s="515"/>
      <c r="K396" s="515"/>
      <c r="L396" s="515"/>
      <c r="M396" s="515"/>
      <c r="N396" s="515"/>
      <c r="O396" s="533"/>
      <c r="P396" s="786"/>
      <c r="Q396" s="787"/>
      <c r="R396" s="787"/>
      <c r="S396" s="787"/>
      <c r="T396" s="786"/>
      <c r="U396" s="787"/>
      <c r="V396" s="787"/>
      <c r="W396" s="787"/>
      <c r="X396" s="786"/>
      <c r="Y396" s="787"/>
      <c r="Z396" s="787"/>
      <c r="AA396" s="787"/>
      <c r="AB396" s="786"/>
      <c r="AC396" s="787"/>
      <c r="AD396" s="787"/>
      <c r="AE396" s="787"/>
      <c r="AF396" s="786"/>
      <c r="AG396" s="787"/>
      <c r="AH396" s="787"/>
      <c r="AI396" s="787"/>
      <c r="AJ396" s="786"/>
      <c r="AK396" s="787"/>
      <c r="AL396" s="787"/>
      <c r="AM396" s="787"/>
      <c r="AN396" s="786"/>
      <c r="AO396" s="787"/>
      <c r="AP396" s="787"/>
      <c r="AQ396" s="787"/>
      <c r="AR396" s="786"/>
      <c r="AS396" s="787"/>
      <c r="AT396" s="787"/>
      <c r="AU396" s="787"/>
      <c r="AV396" s="786"/>
      <c r="AW396" s="787"/>
      <c r="AX396" s="787"/>
      <c r="AY396" s="787"/>
      <c r="AZ396" s="780"/>
      <c r="BA396" s="780"/>
      <c r="BB396" s="780"/>
      <c r="BC396" s="780"/>
      <c r="BD396" s="541"/>
      <c r="BE396" s="541"/>
      <c r="BF396" s="541"/>
      <c r="BG396" s="541"/>
      <c r="BH396" s="780"/>
      <c r="BI396" s="780"/>
      <c r="BJ396" s="780"/>
      <c r="BK396" s="780"/>
      <c r="BL396" s="780"/>
      <c r="BM396" s="780"/>
    </row>
    <row r="397" ht="12.75" customHeight="1">
      <c r="A397" s="521"/>
      <c r="B397" s="521"/>
      <c r="C397" s="515"/>
      <c r="D397" s="515"/>
      <c r="E397" s="515"/>
      <c r="F397" s="515"/>
      <c r="G397" s="515"/>
      <c r="H397" s="515"/>
      <c r="I397" s="515"/>
      <c r="J397" s="515"/>
      <c r="K397" s="515"/>
      <c r="L397" s="515"/>
      <c r="M397" s="515"/>
      <c r="N397" s="515"/>
      <c r="O397" s="533"/>
      <c r="P397" s="786"/>
      <c r="Q397" s="787"/>
      <c r="R397" s="787"/>
      <c r="S397" s="787"/>
      <c r="T397" s="786"/>
      <c r="U397" s="787"/>
      <c r="V397" s="787"/>
      <c r="W397" s="787"/>
      <c r="X397" s="786"/>
      <c r="Y397" s="787"/>
      <c r="Z397" s="787"/>
      <c r="AA397" s="787"/>
      <c r="AB397" s="786"/>
      <c r="AC397" s="787"/>
      <c r="AD397" s="787"/>
      <c r="AE397" s="787"/>
      <c r="AF397" s="786"/>
      <c r="AG397" s="787"/>
      <c r="AH397" s="787"/>
      <c r="AI397" s="787"/>
      <c r="AJ397" s="786"/>
      <c r="AK397" s="787"/>
      <c r="AL397" s="787"/>
      <c r="AM397" s="787"/>
      <c r="AN397" s="786"/>
      <c r="AO397" s="787"/>
      <c r="AP397" s="787"/>
      <c r="AQ397" s="787"/>
      <c r="AR397" s="786"/>
      <c r="AS397" s="787"/>
      <c r="AT397" s="787"/>
      <c r="AU397" s="787"/>
      <c r="AV397" s="786"/>
      <c r="AW397" s="787"/>
      <c r="AX397" s="787"/>
      <c r="AY397" s="787"/>
      <c r="AZ397" s="780"/>
      <c r="BA397" s="780"/>
      <c r="BB397" s="780"/>
      <c r="BC397" s="780"/>
      <c r="BD397" s="541"/>
      <c r="BE397" s="541"/>
      <c r="BF397" s="541"/>
      <c r="BG397" s="541"/>
      <c r="BH397" s="780"/>
      <c r="BI397" s="780"/>
      <c r="BJ397" s="780"/>
      <c r="BK397" s="780"/>
      <c r="BL397" s="780"/>
      <c r="BM397" s="780"/>
    </row>
    <row r="398" ht="12.75" customHeight="1">
      <c r="A398" s="521"/>
      <c r="B398" s="521"/>
      <c r="C398" s="515"/>
      <c r="D398" s="515"/>
      <c r="E398" s="515"/>
      <c r="F398" s="515"/>
      <c r="G398" s="515"/>
      <c r="H398" s="515"/>
      <c r="I398" s="515"/>
      <c r="J398" s="515"/>
      <c r="K398" s="515"/>
      <c r="L398" s="515"/>
      <c r="M398" s="515"/>
      <c r="N398" s="515"/>
      <c r="O398" s="533"/>
      <c r="P398" s="786"/>
      <c r="Q398" s="787"/>
      <c r="R398" s="787"/>
      <c r="S398" s="787"/>
      <c r="T398" s="786"/>
      <c r="U398" s="787"/>
      <c r="V398" s="787"/>
      <c r="W398" s="787"/>
      <c r="X398" s="786"/>
      <c r="Y398" s="787"/>
      <c r="Z398" s="787"/>
      <c r="AA398" s="787"/>
      <c r="AB398" s="786"/>
      <c r="AC398" s="787"/>
      <c r="AD398" s="787"/>
      <c r="AE398" s="787"/>
      <c r="AF398" s="786"/>
      <c r="AG398" s="787"/>
      <c r="AH398" s="787"/>
      <c r="AI398" s="787"/>
      <c r="AJ398" s="786"/>
      <c r="AK398" s="787"/>
      <c r="AL398" s="787"/>
      <c r="AM398" s="787"/>
      <c r="AN398" s="786"/>
      <c r="AO398" s="787"/>
      <c r="AP398" s="787"/>
      <c r="AQ398" s="787"/>
      <c r="AR398" s="786"/>
      <c r="AS398" s="787"/>
      <c r="AT398" s="787"/>
      <c r="AU398" s="787"/>
      <c r="AV398" s="786"/>
      <c r="AW398" s="787"/>
      <c r="AX398" s="787"/>
      <c r="AY398" s="787"/>
      <c r="AZ398" s="780"/>
      <c r="BA398" s="780"/>
      <c r="BB398" s="780"/>
      <c r="BC398" s="780"/>
      <c r="BD398" s="541"/>
      <c r="BE398" s="541"/>
      <c r="BF398" s="541"/>
      <c r="BG398" s="541"/>
      <c r="BH398" s="780"/>
      <c r="BI398" s="780"/>
      <c r="BJ398" s="780"/>
      <c r="BK398" s="780"/>
      <c r="BL398" s="780"/>
      <c r="BM398" s="780"/>
    </row>
    <row r="399" ht="12.75" customHeight="1">
      <c r="A399" s="521"/>
      <c r="B399" s="521"/>
      <c r="C399" s="515"/>
      <c r="D399" s="515"/>
      <c r="E399" s="515"/>
      <c r="F399" s="515"/>
      <c r="G399" s="515"/>
      <c r="H399" s="515"/>
      <c r="I399" s="515"/>
      <c r="J399" s="515"/>
      <c r="K399" s="515"/>
      <c r="L399" s="515"/>
      <c r="M399" s="515"/>
      <c r="N399" s="515"/>
      <c r="O399" s="533"/>
      <c r="P399" s="786"/>
      <c r="Q399" s="787"/>
      <c r="R399" s="787"/>
      <c r="S399" s="787"/>
      <c r="T399" s="786"/>
      <c r="U399" s="787"/>
      <c r="V399" s="787"/>
      <c r="W399" s="787"/>
      <c r="X399" s="786"/>
      <c r="Y399" s="787"/>
      <c r="Z399" s="787"/>
      <c r="AA399" s="787"/>
      <c r="AB399" s="786"/>
      <c r="AC399" s="787"/>
      <c r="AD399" s="787"/>
      <c r="AE399" s="787"/>
      <c r="AF399" s="786"/>
      <c r="AG399" s="787"/>
      <c r="AH399" s="787"/>
      <c r="AI399" s="787"/>
      <c r="AJ399" s="786"/>
      <c r="AK399" s="787"/>
      <c r="AL399" s="787"/>
      <c r="AM399" s="787"/>
      <c r="AN399" s="786"/>
      <c r="AO399" s="787"/>
      <c r="AP399" s="787"/>
      <c r="AQ399" s="787"/>
      <c r="AR399" s="786"/>
      <c r="AS399" s="787"/>
      <c r="AT399" s="787"/>
      <c r="AU399" s="787"/>
      <c r="AV399" s="786"/>
      <c r="AW399" s="787"/>
      <c r="AX399" s="787"/>
      <c r="AY399" s="787"/>
      <c r="AZ399" s="780"/>
      <c r="BA399" s="780"/>
      <c r="BB399" s="780"/>
      <c r="BC399" s="780"/>
      <c r="BD399" s="541"/>
      <c r="BE399" s="541"/>
      <c r="BF399" s="541"/>
      <c r="BG399" s="541"/>
      <c r="BH399" s="780"/>
      <c r="BI399" s="780"/>
      <c r="BJ399" s="780"/>
      <c r="BK399" s="780"/>
      <c r="BL399" s="780"/>
      <c r="BM399" s="780"/>
    </row>
    <row r="400" ht="12.75" customHeight="1">
      <c r="A400" s="521"/>
      <c r="B400" s="521"/>
      <c r="C400" s="515"/>
      <c r="D400" s="515"/>
      <c r="E400" s="515"/>
      <c r="F400" s="515"/>
      <c r="G400" s="515"/>
      <c r="H400" s="515"/>
      <c r="I400" s="515"/>
      <c r="J400" s="515"/>
      <c r="K400" s="515"/>
      <c r="L400" s="515"/>
      <c r="M400" s="515"/>
      <c r="N400" s="515"/>
      <c r="O400" s="533"/>
      <c r="P400" s="786"/>
      <c r="Q400" s="787"/>
      <c r="R400" s="787"/>
      <c r="S400" s="787"/>
      <c r="T400" s="786"/>
      <c r="U400" s="787"/>
      <c r="V400" s="787"/>
      <c r="W400" s="787"/>
      <c r="X400" s="786"/>
      <c r="Y400" s="787"/>
      <c r="Z400" s="787"/>
      <c r="AA400" s="787"/>
      <c r="AB400" s="786"/>
      <c r="AC400" s="787"/>
      <c r="AD400" s="787"/>
      <c r="AE400" s="787"/>
      <c r="AF400" s="786"/>
      <c r="AG400" s="787"/>
      <c r="AH400" s="787"/>
      <c r="AI400" s="787"/>
      <c r="AJ400" s="786"/>
      <c r="AK400" s="787"/>
      <c r="AL400" s="787"/>
      <c r="AM400" s="787"/>
      <c r="AN400" s="786"/>
      <c r="AO400" s="787"/>
      <c r="AP400" s="787"/>
      <c r="AQ400" s="787"/>
      <c r="AR400" s="786"/>
      <c r="AS400" s="787"/>
      <c r="AT400" s="787"/>
      <c r="AU400" s="787"/>
      <c r="AV400" s="786"/>
      <c r="AW400" s="787"/>
      <c r="AX400" s="787"/>
      <c r="AY400" s="787"/>
      <c r="AZ400" s="780"/>
      <c r="BA400" s="780"/>
      <c r="BB400" s="780"/>
      <c r="BC400" s="780"/>
      <c r="BD400" s="541"/>
      <c r="BE400" s="541"/>
      <c r="BF400" s="541"/>
      <c r="BG400" s="541"/>
      <c r="BH400" s="780"/>
      <c r="BI400" s="780"/>
      <c r="BJ400" s="780"/>
      <c r="BK400" s="780"/>
      <c r="BL400" s="780"/>
      <c r="BM400" s="780"/>
    </row>
    <row r="401" ht="12.75" customHeight="1">
      <c r="A401" s="521"/>
      <c r="B401" s="521"/>
      <c r="C401" s="515"/>
      <c r="D401" s="515"/>
      <c r="E401" s="515"/>
      <c r="F401" s="515"/>
      <c r="G401" s="515"/>
      <c r="H401" s="515"/>
      <c r="I401" s="515"/>
      <c r="J401" s="515"/>
      <c r="K401" s="515"/>
      <c r="L401" s="515"/>
      <c r="M401" s="515"/>
      <c r="N401" s="515"/>
      <c r="O401" s="533"/>
      <c r="P401" s="786"/>
      <c r="Q401" s="787"/>
      <c r="R401" s="787"/>
      <c r="S401" s="787"/>
      <c r="T401" s="786"/>
      <c r="U401" s="787"/>
      <c r="V401" s="787"/>
      <c r="W401" s="787"/>
      <c r="X401" s="786"/>
      <c r="Y401" s="787"/>
      <c r="Z401" s="787"/>
      <c r="AA401" s="787"/>
      <c r="AB401" s="786"/>
      <c r="AC401" s="787"/>
      <c r="AD401" s="787"/>
      <c r="AE401" s="787"/>
      <c r="AF401" s="786"/>
      <c r="AG401" s="787"/>
      <c r="AH401" s="787"/>
      <c r="AI401" s="787"/>
      <c r="AJ401" s="786"/>
      <c r="AK401" s="787"/>
      <c r="AL401" s="787"/>
      <c r="AM401" s="787"/>
      <c r="AN401" s="786"/>
      <c r="AO401" s="787"/>
      <c r="AP401" s="787"/>
      <c r="AQ401" s="787"/>
      <c r="AR401" s="786"/>
      <c r="AS401" s="787"/>
      <c r="AT401" s="787"/>
      <c r="AU401" s="787"/>
      <c r="AV401" s="786"/>
      <c r="AW401" s="787"/>
      <c r="AX401" s="787"/>
      <c r="AY401" s="787"/>
      <c r="AZ401" s="780"/>
      <c r="BA401" s="780"/>
      <c r="BB401" s="780"/>
      <c r="BC401" s="780"/>
      <c r="BD401" s="541"/>
      <c r="BE401" s="541"/>
      <c r="BF401" s="541"/>
      <c r="BG401" s="541"/>
      <c r="BH401" s="780"/>
      <c r="BI401" s="780"/>
      <c r="BJ401" s="780"/>
      <c r="BK401" s="780"/>
      <c r="BL401" s="780"/>
      <c r="BM401" s="780"/>
    </row>
    <row r="402" ht="12.75" customHeight="1">
      <c r="A402" s="521"/>
      <c r="B402" s="521"/>
      <c r="C402" s="515"/>
      <c r="D402" s="515"/>
      <c r="E402" s="515"/>
      <c r="F402" s="515"/>
      <c r="G402" s="515"/>
      <c r="H402" s="515"/>
      <c r="I402" s="515"/>
      <c r="J402" s="515"/>
      <c r="K402" s="515"/>
      <c r="L402" s="515"/>
      <c r="M402" s="515"/>
      <c r="N402" s="515"/>
      <c r="O402" s="533"/>
      <c r="P402" s="786"/>
      <c r="Q402" s="787"/>
      <c r="R402" s="787"/>
      <c r="S402" s="787"/>
      <c r="T402" s="786"/>
      <c r="U402" s="787"/>
      <c r="V402" s="787"/>
      <c r="W402" s="787"/>
      <c r="X402" s="786"/>
      <c r="Y402" s="787"/>
      <c r="Z402" s="787"/>
      <c r="AA402" s="787"/>
      <c r="AB402" s="786"/>
      <c r="AC402" s="787"/>
      <c r="AD402" s="787"/>
      <c r="AE402" s="787"/>
      <c r="AF402" s="786"/>
      <c r="AG402" s="787"/>
      <c r="AH402" s="787"/>
      <c r="AI402" s="787"/>
      <c r="AJ402" s="786"/>
      <c r="AK402" s="787"/>
      <c r="AL402" s="787"/>
      <c r="AM402" s="787"/>
      <c r="AN402" s="786"/>
      <c r="AO402" s="787"/>
      <c r="AP402" s="787"/>
      <c r="AQ402" s="787"/>
      <c r="AR402" s="786"/>
      <c r="AS402" s="787"/>
      <c r="AT402" s="787"/>
      <c r="AU402" s="787"/>
      <c r="AV402" s="786"/>
      <c r="AW402" s="787"/>
      <c r="AX402" s="787"/>
      <c r="AY402" s="787"/>
      <c r="AZ402" s="780"/>
      <c r="BA402" s="780"/>
      <c r="BB402" s="780"/>
      <c r="BC402" s="780"/>
      <c r="BD402" s="541"/>
      <c r="BE402" s="541"/>
      <c r="BF402" s="541"/>
      <c r="BG402" s="541"/>
      <c r="BH402" s="780"/>
      <c r="BI402" s="780"/>
      <c r="BJ402" s="780"/>
      <c r="BK402" s="780"/>
      <c r="BL402" s="780"/>
      <c r="BM402" s="780"/>
    </row>
    <row r="403" ht="12.75" customHeight="1">
      <c r="A403" s="521"/>
      <c r="B403" s="521"/>
      <c r="C403" s="515"/>
      <c r="D403" s="515"/>
      <c r="E403" s="515"/>
      <c r="F403" s="515"/>
      <c r="G403" s="515"/>
      <c r="H403" s="515"/>
      <c r="I403" s="515"/>
      <c r="J403" s="515"/>
      <c r="K403" s="515"/>
      <c r="L403" s="515"/>
      <c r="M403" s="515"/>
      <c r="N403" s="515"/>
      <c r="O403" s="533"/>
      <c r="P403" s="786"/>
      <c r="Q403" s="787"/>
      <c r="R403" s="787"/>
      <c r="S403" s="787"/>
      <c r="T403" s="786"/>
      <c r="U403" s="787"/>
      <c r="V403" s="787"/>
      <c r="W403" s="787"/>
      <c r="X403" s="786"/>
      <c r="Y403" s="787"/>
      <c r="Z403" s="787"/>
      <c r="AA403" s="787"/>
      <c r="AB403" s="786"/>
      <c r="AC403" s="787"/>
      <c r="AD403" s="787"/>
      <c r="AE403" s="787"/>
      <c r="AF403" s="786"/>
      <c r="AG403" s="787"/>
      <c r="AH403" s="787"/>
      <c r="AI403" s="787"/>
      <c r="AJ403" s="786"/>
      <c r="AK403" s="787"/>
      <c r="AL403" s="787"/>
      <c r="AM403" s="787"/>
      <c r="AN403" s="786"/>
      <c r="AO403" s="787"/>
      <c r="AP403" s="787"/>
      <c r="AQ403" s="787"/>
      <c r="AR403" s="786"/>
      <c r="AS403" s="787"/>
      <c r="AT403" s="787"/>
      <c r="AU403" s="787"/>
      <c r="AV403" s="786"/>
      <c r="AW403" s="787"/>
      <c r="AX403" s="787"/>
      <c r="AY403" s="787"/>
      <c r="AZ403" s="780"/>
      <c r="BA403" s="780"/>
      <c r="BB403" s="780"/>
      <c r="BC403" s="780"/>
      <c r="BD403" s="541"/>
      <c r="BE403" s="541"/>
      <c r="BF403" s="541"/>
      <c r="BG403" s="541"/>
      <c r="BH403" s="780"/>
      <c r="BI403" s="780"/>
      <c r="BJ403" s="780"/>
      <c r="BK403" s="780"/>
      <c r="BL403" s="780"/>
      <c r="BM403" s="780"/>
    </row>
    <row r="404" ht="12.75" customHeight="1">
      <c r="A404" s="521"/>
      <c r="B404" s="521"/>
      <c r="C404" s="515"/>
      <c r="D404" s="515"/>
      <c r="E404" s="515"/>
      <c r="F404" s="515"/>
      <c r="G404" s="515"/>
      <c r="H404" s="515"/>
      <c r="I404" s="515"/>
      <c r="J404" s="515"/>
      <c r="K404" s="515"/>
      <c r="L404" s="515"/>
      <c r="M404" s="515"/>
      <c r="N404" s="515"/>
      <c r="O404" s="533"/>
      <c r="P404" s="786"/>
      <c r="Q404" s="787"/>
      <c r="R404" s="787"/>
      <c r="S404" s="787"/>
      <c r="T404" s="786"/>
      <c r="U404" s="787"/>
      <c r="V404" s="787"/>
      <c r="W404" s="787"/>
      <c r="X404" s="786"/>
      <c r="Y404" s="787"/>
      <c r="Z404" s="787"/>
      <c r="AA404" s="787"/>
      <c r="AB404" s="786"/>
      <c r="AC404" s="787"/>
      <c r="AD404" s="787"/>
      <c r="AE404" s="787"/>
      <c r="AF404" s="786"/>
      <c r="AG404" s="787"/>
      <c r="AH404" s="787"/>
      <c r="AI404" s="787"/>
      <c r="AJ404" s="786"/>
      <c r="AK404" s="787"/>
      <c r="AL404" s="787"/>
      <c r="AM404" s="787"/>
      <c r="AN404" s="786"/>
      <c r="AO404" s="787"/>
      <c r="AP404" s="787"/>
      <c r="AQ404" s="787"/>
      <c r="AR404" s="786"/>
      <c r="AS404" s="787"/>
      <c r="AT404" s="787"/>
      <c r="AU404" s="787"/>
      <c r="AV404" s="786"/>
      <c r="AW404" s="787"/>
      <c r="AX404" s="787"/>
      <c r="AY404" s="787"/>
      <c r="AZ404" s="780"/>
      <c r="BA404" s="780"/>
      <c r="BB404" s="780"/>
      <c r="BC404" s="780"/>
      <c r="BD404" s="541"/>
      <c r="BE404" s="541"/>
      <c r="BF404" s="541"/>
      <c r="BG404" s="541"/>
      <c r="BH404" s="780"/>
      <c r="BI404" s="780"/>
      <c r="BJ404" s="780"/>
      <c r="BK404" s="780"/>
      <c r="BL404" s="780"/>
      <c r="BM404" s="780"/>
    </row>
    <row r="405" ht="12.75" customHeight="1">
      <c r="A405" s="521"/>
      <c r="B405" s="521"/>
      <c r="C405" s="515"/>
      <c r="D405" s="515"/>
      <c r="E405" s="515"/>
      <c r="F405" s="515"/>
      <c r="G405" s="515"/>
      <c r="H405" s="515"/>
      <c r="I405" s="515"/>
      <c r="J405" s="515"/>
      <c r="K405" s="515"/>
      <c r="L405" s="515"/>
      <c r="M405" s="515"/>
      <c r="N405" s="515"/>
      <c r="O405" s="533"/>
      <c r="P405" s="786"/>
      <c r="Q405" s="787"/>
      <c r="R405" s="787"/>
      <c r="S405" s="787"/>
      <c r="T405" s="786"/>
      <c r="U405" s="787"/>
      <c r="V405" s="787"/>
      <c r="W405" s="787"/>
      <c r="X405" s="786"/>
      <c r="Y405" s="787"/>
      <c r="Z405" s="787"/>
      <c r="AA405" s="787"/>
      <c r="AB405" s="786"/>
      <c r="AC405" s="787"/>
      <c r="AD405" s="787"/>
      <c r="AE405" s="787"/>
      <c r="AF405" s="786"/>
      <c r="AG405" s="787"/>
      <c r="AH405" s="787"/>
      <c r="AI405" s="787"/>
      <c r="AJ405" s="786"/>
      <c r="AK405" s="787"/>
      <c r="AL405" s="787"/>
      <c r="AM405" s="787"/>
      <c r="AN405" s="786"/>
      <c r="AO405" s="787"/>
      <c r="AP405" s="787"/>
      <c r="AQ405" s="787"/>
      <c r="AR405" s="786"/>
      <c r="AS405" s="787"/>
      <c r="AT405" s="787"/>
      <c r="AU405" s="787"/>
      <c r="AV405" s="786"/>
      <c r="AW405" s="787"/>
      <c r="AX405" s="787"/>
      <c r="AY405" s="787"/>
      <c r="AZ405" s="780"/>
      <c r="BA405" s="780"/>
      <c r="BB405" s="780"/>
      <c r="BC405" s="780"/>
      <c r="BD405" s="541"/>
      <c r="BE405" s="541"/>
      <c r="BF405" s="541"/>
      <c r="BG405" s="541"/>
      <c r="BH405" s="780"/>
      <c r="BI405" s="780"/>
      <c r="BJ405" s="780"/>
      <c r="BK405" s="780"/>
      <c r="BL405" s="780"/>
      <c r="BM405" s="780"/>
    </row>
    <row r="406" ht="12.75" customHeight="1">
      <c r="A406" s="521"/>
      <c r="B406" s="521"/>
      <c r="C406" s="515"/>
      <c r="D406" s="515"/>
      <c r="E406" s="515"/>
      <c r="F406" s="515"/>
      <c r="G406" s="515"/>
      <c r="H406" s="515"/>
      <c r="I406" s="515"/>
      <c r="J406" s="515"/>
      <c r="K406" s="515"/>
      <c r="L406" s="515"/>
      <c r="M406" s="515"/>
      <c r="N406" s="515"/>
      <c r="O406" s="533"/>
      <c r="P406" s="786"/>
      <c r="Q406" s="787"/>
      <c r="R406" s="787"/>
      <c r="S406" s="787"/>
      <c r="T406" s="786"/>
      <c r="U406" s="787"/>
      <c r="V406" s="787"/>
      <c r="W406" s="787"/>
      <c r="X406" s="786"/>
      <c r="Y406" s="787"/>
      <c r="Z406" s="787"/>
      <c r="AA406" s="787"/>
      <c r="AB406" s="786"/>
      <c r="AC406" s="787"/>
      <c r="AD406" s="787"/>
      <c r="AE406" s="787"/>
      <c r="AF406" s="786"/>
      <c r="AG406" s="787"/>
      <c r="AH406" s="787"/>
      <c r="AI406" s="787"/>
      <c r="AJ406" s="786"/>
      <c r="AK406" s="787"/>
      <c r="AL406" s="787"/>
      <c r="AM406" s="787"/>
      <c r="AN406" s="786"/>
      <c r="AO406" s="787"/>
      <c r="AP406" s="787"/>
      <c r="AQ406" s="787"/>
      <c r="AR406" s="786"/>
      <c r="AS406" s="787"/>
      <c r="AT406" s="787"/>
      <c r="AU406" s="787"/>
      <c r="AV406" s="786"/>
      <c r="AW406" s="787"/>
      <c r="AX406" s="787"/>
      <c r="AY406" s="787"/>
      <c r="AZ406" s="780"/>
      <c r="BA406" s="780"/>
      <c r="BB406" s="780"/>
      <c r="BC406" s="780"/>
      <c r="BD406" s="541"/>
      <c r="BE406" s="541"/>
      <c r="BF406" s="541"/>
      <c r="BG406" s="541"/>
      <c r="BH406" s="780"/>
      <c r="BI406" s="780"/>
      <c r="BJ406" s="780"/>
      <c r="BK406" s="780"/>
      <c r="BL406" s="780"/>
      <c r="BM406" s="780"/>
    </row>
    <row r="407" ht="12.75" customHeight="1">
      <c r="A407" s="521"/>
      <c r="B407" s="521"/>
      <c r="C407" s="515"/>
      <c r="D407" s="515"/>
      <c r="E407" s="515"/>
      <c r="F407" s="515"/>
      <c r="G407" s="515"/>
      <c r="H407" s="515"/>
      <c r="I407" s="515"/>
      <c r="J407" s="515"/>
      <c r="K407" s="515"/>
      <c r="L407" s="515"/>
      <c r="M407" s="515"/>
      <c r="N407" s="515"/>
      <c r="O407" s="533"/>
      <c r="P407" s="786"/>
      <c r="Q407" s="787"/>
      <c r="R407" s="787"/>
      <c r="S407" s="787"/>
      <c r="T407" s="786"/>
      <c r="U407" s="787"/>
      <c r="V407" s="787"/>
      <c r="W407" s="787"/>
      <c r="X407" s="786"/>
      <c r="Y407" s="787"/>
      <c r="Z407" s="787"/>
      <c r="AA407" s="787"/>
      <c r="AB407" s="786"/>
      <c r="AC407" s="787"/>
      <c r="AD407" s="787"/>
      <c r="AE407" s="787"/>
      <c r="AF407" s="786"/>
      <c r="AG407" s="787"/>
      <c r="AH407" s="787"/>
      <c r="AI407" s="787"/>
      <c r="AJ407" s="786"/>
      <c r="AK407" s="787"/>
      <c r="AL407" s="787"/>
      <c r="AM407" s="787"/>
      <c r="AN407" s="786"/>
      <c r="AO407" s="787"/>
      <c r="AP407" s="787"/>
      <c r="AQ407" s="787"/>
      <c r="AR407" s="786"/>
      <c r="AS407" s="787"/>
      <c r="AT407" s="787"/>
      <c r="AU407" s="787"/>
      <c r="AV407" s="786"/>
      <c r="AW407" s="787"/>
      <c r="AX407" s="787"/>
      <c r="AY407" s="787"/>
      <c r="AZ407" s="780"/>
      <c r="BA407" s="780"/>
      <c r="BB407" s="780"/>
      <c r="BC407" s="780"/>
      <c r="BD407" s="541"/>
      <c r="BE407" s="541"/>
      <c r="BF407" s="541"/>
      <c r="BG407" s="541"/>
      <c r="BH407" s="780"/>
      <c r="BI407" s="780"/>
      <c r="BJ407" s="780"/>
      <c r="BK407" s="780"/>
      <c r="BL407" s="780"/>
      <c r="BM407" s="780"/>
    </row>
    <row r="408" ht="12.75" customHeight="1">
      <c r="A408" s="521"/>
      <c r="B408" s="521"/>
      <c r="C408" s="515"/>
      <c r="D408" s="515"/>
      <c r="E408" s="515"/>
      <c r="F408" s="515"/>
      <c r="G408" s="515"/>
      <c r="H408" s="515"/>
      <c r="I408" s="515"/>
      <c r="J408" s="515"/>
      <c r="K408" s="515"/>
      <c r="L408" s="515"/>
      <c r="M408" s="515"/>
      <c r="N408" s="515"/>
      <c r="O408" s="533"/>
      <c r="P408" s="786"/>
      <c r="Q408" s="787"/>
      <c r="R408" s="787"/>
      <c r="S408" s="787"/>
      <c r="T408" s="786"/>
      <c r="U408" s="787"/>
      <c r="V408" s="787"/>
      <c r="W408" s="787"/>
      <c r="X408" s="786"/>
      <c r="Y408" s="787"/>
      <c r="Z408" s="787"/>
      <c r="AA408" s="787"/>
      <c r="AB408" s="786"/>
      <c r="AC408" s="787"/>
      <c r="AD408" s="787"/>
      <c r="AE408" s="787"/>
      <c r="AF408" s="786"/>
      <c r="AG408" s="787"/>
      <c r="AH408" s="787"/>
      <c r="AI408" s="787"/>
      <c r="AJ408" s="786"/>
      <c r="AK408" s="787"/>
      <c r="AL408" s="787"/>
      <c r="AM408" s="787"/>
      <c r="AN408" s="786"/>
      <c r="AO408" s="787"/>
      <c r="AP408" s="787"/>
      <c r="AQ408" s="787"/>
      <c r="AR408" s="786"/>
      <c r="AS408" s="787"/>
      <c r="AT408" s="787"/>
      <c r="AU408" s="787"/>
      <c r="AV408" s="786"/>
      <c r="AW408" s="787"/>
      <c r="AX408" s="787"/>
      <c r="AY408" s="787"/>
      <c r="AZ408" s="780"/>
      <c r="BA408" s="780"/>
      <c r="BB408" s="780"/>
      <c r="BC408" s="780"/>
      <c r="BD408" s="541"/>
      <c r="BE408" s="541"/>
      <c r="BF408" s="541"/>
      <c r="BG408" s="541"/>
      <c r="BH408" s="780"/>
      <c r="BI408" s="780"/>
      <c r="BJ408" s="780"/>
      <c r="BK408" s="780"/>
      <c r="BL408" s="780"/>
      <c r="BM408" s="780"/>
    </row>
    <row r="409" ht="12.75" customHeight="1">
      <c r="A409" s="521"/>
      <c r="B409" s="521"/>
      <c r="C409" s="515"/>
      <c r="D409" s="515"/>
      <c r="E409" s="515"/>
      <c r="F409" s="515"/>
      <c r="G409" s="515"/>
      <c r="H409" s="515"/>
      <c r="I409" s="515"/>
      <c r="J409" s="515"/>
      <c r="K409" s="515"/>
      <c r="L409" s="515"/>
      <c r="M409" s="515"/>
      <c r="N409" s="515"/>
      <c r="O409" s="533"/>
      <c r="P409" s="786"/>
      <c r="Q409" s="787"/>
      <c r="R409" s="787"/>
      <c r="S409" s="787"/>
      <c r="T409" s="786"/>
      <c r="U409" s="787"/>
      <c r="V409" s="787"/>
      <c r="W409" s="787"/>
      <c r="X409" s="786"/>
      <c r="Y409" s="787"/>
      <c r="Z409" s="787"/>
      <c r="AA409" s="787"/>
      <c r="AB409" s="786"/>
      <c r="AC409" s="787"/>
      <c r="AD409" s="787"/>
      <c r="AE409" s="787"/>
      <c r="AF409" s="786"/>
      <c r="AG409" s="787"/>
      <c r="AH409" s="787"/>
      <c r="AI409" s="787"/>
      <c r="AJ409" s="786"/>
      <c r="AK409" s="787"/>
      <c r="AL409" s="787"/>
      <c r="AM409" s="787"/>
      <c r="AN409" s="786"/>
      <c r="AO409" s="787"/>
      <c r="AP409" s="787"/>
      <c r="AQ409" s="787"/>
      <c r="AR409" s="786"/>
      <c r="AS409" s="787"/>
      <c r="AT409" s="787"/>
      <c r="AU409" s="787"/>
      <c r="AV409" s="786"/>
      <c r="AW409" s="787"/>
      <c r="AX409" s="787"/>
      <c r="AY409" s="787"/>
      <c r="AZ409" s="780"/>
      <c r="BA409" s="780"/>
      <c r="BB409" s="780"/>
      <c r="BC409" s="780"/>
      <c r="BD409" s="541"/>
      <c r="BE409" s="541"/>
      <c r="BF409" s="541"/>
      <c r="BG409" s="541"/>
      <c r="BH409" s="780"/>
      <c r="BI409" s="780"/>
      <c r="BJ409" s="780"/>
      <c r="BK409" s="780"/>
      <c r="BL409" s="780"/>
      <c r="BM409" s="780"/>
    </row>
    <row r="410" ht="12.75" customHeight="1">
      <c r="A410" s="521"/>
      <c r="B410" s="521"/>
      <c r="C410" s="515"/>
      <c r="D410" s="515"/>
      <c r="E410" s="515"/>
      <c r="F410" s="515"/>
      <c r="G410" s="515"/>
      <c r="H410" s="515"/>
      <c r="I410" s="515"/>
      <c r="J410" s="515"/>
      <c r="K410" s="515"/>
      <c r="L410" s="515"/>
      <c r="M410" s="515"/>
      <c r="N410" s="515"/>
      <c r="O410" s="533"/>
      <c r="P410" s="786"/>
      <c r="Q410" s="787"/>
      <c r="R410" s="787"/>
      <c r="S410" s="787"/>
      <c r="T410" s="786"/>
      <c r="U410" s="787"/>
      <c r="V410" s="787"/>
      <c r="W410" s="787"/>
      <c r="X410" s="786"/>
      <c r="Y410" s="787"/>
      <c r="Z410" s="787"/>
      <c r="AA410" s="787"/>
      <c r="AB410" s="786"/>
      <c r="AC410" s="787"/>
      <c r="AD410" s="787"/>
      <c r="AE410" s="787"/>
      <c r="AF410" s="786"/>
      <c r="AG410" s="787"/>
      <c r="AH410" s="787"/>
      <c r="AI410" s="787"/>
      <c r="AJ410" s="786"/>
      <c r="AK410" s="787"/>
      <c r="AL410" s="787"/>
      <c r="AM410" s="787"/>
      <c r="AN410" s="786"/>
      <c r="AO410" s="787"/>
      <c r="AP410" s="787"/>
      <c r="AQ410" s="787"/>
      <c r="AR410" s="786"/>
      <c r="AS410" s="787"/>
      <c r="AT410" s="787"/>
      <c r="AU410" s="787"/>
      <c r="AV410" s="786"/>
      <c r="AW410" s="787"/>
      <c r="AX410" s="787"/>
      <c r="AY410" s="787"/>
      <c r="AZ410" s="780"/>
      <c r="BA410" s="780"/>
      <c r="BB410" s="780"/>
      <c r="BC410" s="780"/>
      <c r="BD410" s="541"/>
      <c r="BE410" s="541"/>
      <c r="BF410" s="541"/>
      <c r="BG410" s="541"/>
      <c r="BH410" s="780"/>
      <c r="BI410" s="780"/>
      <c r="BJ410" s="780"/>
      <c r="BK410" s="780"/>
      <c r="BL410" s="780"/>
      <c r="BM410" s="780"/>
    </row>
    <row r="411" ht="12.75" customHeight="1">
      <c r="A411" s="521"/>
      <c r="B411" s="521"/>
      <c r="C411" s="515"/>
      <c r="D411" s="515"/>
      <c r="E411" s="515"/>
      <c r="F411" s="515"/>
      <c r="G411" s="515"/>
      <c r="H411" s="515"/>
      <c r="I411" s="515"/>
      <c r="J411" s="515"/>
      <c r="K411" s="515"/>
      <c r="L411" s="515"/>
      <c r="M411" s="515"/>
      <c r="N411" s="515"/>
      <c r="O411" s="533"/>
      <c r="P411" s="786"/>
      <c r="Q411" s="787"/>
      <c r="R411" s="787"/>
      <c r="S411" s="787"/>
      <c r="T411" s="786"/>
      <c r="U411" s="787"/>
      <c r="V411" s="787"/>
      <c r="W411" s="787"/>
      <c r="X411" s="786"/>
      <c r="Y411" s="787"/>
      <c r="Z411" s="787"/>
      <c r="AA411" s="787"/>
      <c r="AB411" s="786"/>
      <c r="AC411" s="787"/>
      <c r="AD411" s="787"/>
      <c r="AE411" s="787"/>
      <c r="AF411" s="786"/>
      <c r="AG411" s="787"/>
      <c r="AH411" s="787"/>
      <c r="AI411" s="787"/>
      <c r="AJ411" s="786"/>
      <c r="AK411" s="787"/>
      <c r="AL411" s="787"/>
      <c r="AM411" s="787"/>
      <c r="AN411" s="786"/>
      <c r="AO411" s="787"/>
      <c r="AP411" s="787"/>
      <c r="AQ411" s="787"/>
      <c r="AR411" s="786"/>
      <c r="AS411" s="787"/>
      <c r="AT411" s="787"/>
      <c r="AU411" s="787"/>
      <c r="AV411" s="786"/>
      <c r="AW411" s="787"/>
      <c r="AX411" s="787"/>
      <c r="AY411" s="787"/>
      <c r="AZ411" s="780"/>
      <c r="BA411" s="780"/>
      <c r="BB411" s="780"/>
      <c r="BC411" s="780"/>
      <c r="BD411" s="541"/>
      <c r="BE411" s="541"/>
      <c r="BF411" s="541"/>
      <c r="BG411" s="541"/>
      <c r="BH411" s="780"/>
      <c r="BI411" s="780"/>
      <c r="BJ411" s="780"/>
      <c r="BK411" s="780"/>
      <c r="BL411" s="780"/>
      <c r="BM411" s="780"/>
    </row>
    <row r="412" ht="12.75" customHeight="1">
      <c r="A412" s="521"/>
      <c r="B412" s="521"/>
      <c r="C412" s="515"/>
      <c r="D412" s="515"/>
      <c r="E412" s="515"/>
      <c r="F412" s="515"/>
      <c r="G412" s="515"/>
      <c r="H412" s="515"/>
      <c r="I412" s="515"/>
      <c r="J412" s="515"/>
      <c r="K412" s="515"/>
      <c r="L412" s="515"/>
      <c r="M412" s="515"/>
      <c r="N412" s="515"/>
      <c r="O412" s="533"/>
      <c r="P412" s="786"/>
      <c r="Q412" s="787"/>
      <c r="R412" s="787"/>
      <c r="S412" s="787"/>
      <c r="T412" s="786"/>
      <c r="U412" s="787"/>
      <c r="V412" s="787"/>
      <c r="W412" s="787"/>
      <c r="X412" s="786"/>
      <c r="Y412" s="787"/>
      <c r="Z412" s="787"/>
      <c r="AA412" s="787"/>
      <c r="AB412" s="786"/>
      <c r="AC412" s="787"/>
      <c r="AD412" s="787"/>
      <c r="AE412" s="787"/>
      <c r="AF412" s="786"/>
      <c r="AG412" s="787"/>
      <c r="AH412" s="787"/>
      <c r="AI412" s="787"/>
      <c r="AJ412" s="786"/>
      <c r="AK412" s="787"/>
      <c r="AL412" s="787"/>
      <c r="AM412" s="787"/>
      <c r="AN412" s="786"/>
      <c r="AO412" s="787"/>
      <c r="AP412" s="787"/>
      <c r="AQ412" s="787"/>
      <c r="AR412" s="786"/>
      <c r="AS412" s="787"/>
      <c r="AT412" s="787"/>
      <c r="AU412" s="787"/>
      <c r="AV412" s="786"/>
      <c r="AW412" s="787"/>
      <c r="AX412" s="787"/>
      <c r="AY412" s="787"/>
      <c r="AZ412" s="780"/>
      <c r="BA412" s="780"/>
      <c r="BB412" s="780"/>
      <c r="BC412" s="780"/>
      <c r="BD412" s="541"/>
      <c r="BE412" s="541"/>
      <c r="BF412" s="541"/>
      <c r="BG412" s="541"/>
      <c r="BH412" s="780"/>
      <c r="BI412" s="780"/>
      <c r="BJ412" s="780"/>
      <c r="BK412" s="780"/>
      <c r="BL412" s="780"/>
      <c r="BM412" s="780"/>
    </row>
    <row r="413" ht="12.75" customHeight="1">
      <c r="A413" s="521"/>
      <c r="B413" s="521"/>
      <c r="C413" s="515"/>
      <c r="D413" s="515"/>
      <c r="E413" s="515"/>
      <c r="F413" s="515"/>
      <c r="G413" s="515"/>
      <c r="H413" s="515"/>
      <c r="I413" s="515"/>
      <c r="J413" s="515"/>
      <c r="K413" s="515"/>
      <c r="L413" s="515"/>
      <c r="M413" s="515"/>
      <c r="N413" s="515"/>
      <c r="O413" s="533"/>
      <c r="P413" s="786"/>
      <c r="Q413" s="787"/>
      <c r="R413" s="787"/>
      <c r="S413" s="787"/>
      <c r="T413" s="786"/>
      <c r="U413" s="787"/>
      <c r="V413" s="787"/>
      <c r="W413" s="787"/>
      <c r="X413" s="786"/>
      <c r="Y413" s="787"/>
      <c r="Z413" s="787"/>
      <c r="AA413" s="787"/>
      <c r="AB413" s="786"/>
      <c r="AC413" s="787"/>
      <c r="AD413" s="787"/>
      <c r="AE413" s="787"/>
      <c r="AF413" s="786"/>
      <c r="AG413" s="787"/>
      <c r="AH413" s="787"/>
      <c r="AI413" s="787"/>
      <c r="AJ413" s="786"/>
      <c r="AK413" s="787"/>
      <c r="AL413" s="787"/>
      <c r="AM413" s="787"/>
      <c r="AN413" s="786"/>
      <c r="AO413" s="787"/>
      <c r="AP413" s="787"/>
      <c r="AQ413" s="787"/>
      <c r="AR413" s="786"/>
      <c r="AS413" s="787"/>
      <c r="AT413" s="787"/>
      <c r="AU413" s="787"/>
      <c r="AV413" s="786"/>
      <c r="AW413" s="787"/>
      <c r="AX413" s="787"/>
      <c r="AY413" s="787"/>
      <c r="AZ413" s="780"/>
      <c r="BA413" s="780"/>
      <c r="BB413" s="780"/>
      <c r="BC413" s="780"/>
      <c r="BD413" s="541"/>
      <c r="BE413" s="541"/>
      <c r="BF413" s="541"/>
      <c r="BG413" s="541"/>
      <c r="BH413" s="780"/>
      <c r="BI413" s="780"/>
      <c r="BJ413" s="780"/>
      <c r="BK413" s="780"/>
      <c r="BL413" s="780"/>
      <c r="BM413" s="780"/>
    </row>
    <row r="414" ht="12.75" customHeight="1">
      <c r="A414" s="521"/>
      <c r="B414" s="521"/>
      <c r="C414" s="515"/>
      <c r="D414" s="515"/>
      <c r="E414" s="515"/>
      <c r="F414" s="515"/>
      <c r="G414" s="515"/>
      <c r="H414" s="515"/>
      <c r="I414" s="515"/>
      <c r="J414" s="515"/>
      <c r="K414" s="515"/>
      <c r="L414" s="515"/>
      <c r="M414" s="515"/>
      <c r="N414" s="515"/>
      <c r="O414" s="533"/>
      <c r="P414" s="786"/>
      <c r="Q414" s="787"/>
      <c r="R414" s="787"/>
      <c r="S414" s="787"/>
      <c r="T414" s="786"/>
      <c r="U414" s="787"/>
      <c r="V414" s="787"/>
      <c r="W414" s="787"/>
      <c r="X414" s="786"/>
      <c r="Y414" s="787"/>
      <c r="Z414" s="787"/>
      <c r="AA414" s="787"/>
      <c r="AB414" s="786"/>
      <c r="AC414" s="787"/>
      <c r="AD414" s="787"/>
      <c r="AE414" s="787"/>
      <c r="AF414" s="786"/>
      <c r="AG414" s="787"/>
      <c r="AH414" s="787"/>
      <c r="AI414" s="787"/>
      <c r="AJ414" s="786"/>
      <c r="AK414" s="787"/>
      <c r="AL414" s="787"/>
      <c r="AM414" s="787"/>
      <c r="AN414" s="786"/>
      <c r="AO414" s="787"/>
      <c r="AP414" s="787"/>
      <c r="AQ414" s="787"/>
      <c r="AR414" s="786"/>
      <c r="AS414" s="787"/>
      <c r="AT414" s="787"/>
      <c r="AU414" s="787"/>
      <c r="AV414" s="786"/>
      <c r="AW414" s="787"/>
      <c r="AX414" s="787"/>
      <c r="AY414" s="787"/>
      <c r="AZ414" s="780"/>
      <c r="BA414" s="780"/>
      <c r="BB414" s="780"/>
      <c r="BC414" s="780"/>
      <c r="BD414" s="541"/>
      <c r="BE414" s="541"/>
      <c r="BF414" s="541"/>
      <c r="BG414" s="541"/>
      <c r="BH414" s="780"/>
      <c r="BI414" s="780"/>
      <c r="BJ414" s="780"/>
      <c r="BK414" s="780"/>
      <c r="BL414" s="780"/>
      <c r="BM414" s="780"/>
    </row>
    <row r="415" ht="12.75" customHeight="1">
      <c r="A415" s="521"/>
      <c r="B415" s="521"/>
      <c r="C415" s="515"/>
      <c r="D415" s="515"/>
      <c r="E415" s="515"/>
      <c r="F415" s="515"/>
      <c r="G415" s="515"/>
      <c r="H415" s="515"/>
      <c r="I415" s="515"/>
      <c r="J415" s="515"/>
      <c r="K415" s="515"/>
      <c r="L415" s="515"/>
      <c r="M415" s="515"/>
      <c r="N415" s="515"/>
      <c r="O415" s="533"/>
      <c r="P415" s="786"/>
      <c r="Q415" s="787"/>
      <c r="R415" s="787"/>
      <c r="S415" s="787"/>
      <c r="T415" s="786"/>
      <c r="U415" s="787"/>
      <c r="V415" s="787"/>
      <c r="W415" s="787"/>
      <c r="X415" s="786"/>
      <c r="Y415" s="787"/>
      <c r="Z415" s="787"/>
      <c r="AA415" s="787"/>
      <c r="AB415" s="786"/>
      <c r="AC415" s="787"/>
      <c r="AD415" s="787"/>
      <c r="AE415" s="787"/>
      <c r="AF415" s="786"/>
      <c r="AG415" s="787"/>
      <c r="AH415" s="787"/>
      <c r="AI415" s="787"/>
      <c r="AJ415" s="786"/>
      <c r="AK415" s="787"/>
      <c r="AL415" s="787"/>
      <c r="AM415" s="787"/>
      <c r="AN415" s="786"/>
      <c r="AO415" s="787"/>
      <c r="AP415" s="787"/>
      <c r="AQ415" s="787"/>
      <c r="AR415" s="786"/>
      <c r="AS415" s="787"/>
      <c r="AT415" s="787"/>
      <c r="AU415" s="787"/>
      <c r="AV415" s="786"/>
      <c r="AW415" s="787"/>
      <c r="AX415" s="787"/>
      <c r="AY415" s="787"/>
      <c r="AZ415" s="780"/>
      <c r="BA415" s="780"/>
      <c r="BB415" s="780"/>
      <c r="BC415" s="780"/>
      <c r="BD415" s="541"/>
      <c r="BE415" s="541"/>
      <c r="BF415" s="541"/>
      <c r="BG415" s="541"/>
      <c r="BH415" s="780"/>
      <c r="BI415" s="780"/>
      <c r="BJ415" s="780"/>
      <c r="BK415" s="780"/>
      <c r="BL415" s="780"/>
      <c r="BM415" s="780"/>
    </row>
    <row r="416" ht="12.75" customHeight="1">
      <c r="A416" s="521"/>
      <c r="B416" s="521"/>
      <c r="C416" s="515"/>
      <c r="D416" s="515"/>
      <c r="E416" s="515"/>
      <c r="F416" s="515"/>
      <c r="G416" s="515"/>
      <c r="H416" s="515"/>
      <c r="I416" s="515"/>
      <c r="J416" s="515"/>
      <c r="K416" s="515"/>
      <c r="L416" s="515"/>
      <c r="M416" s="515"/>
      <c r="N416" s="515"/>
      <c r="O416" s="533"/>
      <c r="P416" s="786"/>
      <c r="Q416" s="787"/>
      <c r="R416" s="787"/>
      <c r="S416" s="787"/>
      <c r="T416" s="786"/>
      <c r="U416" s="787"/>
      <c r="V416" s="787"/>
      <c r="W416" s="787"/>
      <c r="X416" s="786"/>
      <c r="Y416" s="787"/>
      <c r="Z416" s="787"/>
      <c r="AA416" s="787"/>
      <c r="AB416" s="786"/>
      <c r="AC416" s="787"/>
      <c r="AD416" s="787"/>
      <c r="AE416" s="787"/>
      <c r="AF416" s="786"/>
      <c r="AG416" s="787"/>
      <c r="AH416" s="787"/>
      <c r="AI416" s="787"/>
      <c r="AJ416" s="786"/>
      <c r="AK416" s="787"/>
      <c r="AL416" s="787"/>
      <c r="AM416" s="787"/>
      <c r="AN416" s="786"/>
      <c r="AO416" s="787"/>
      <c r="AP416" s="787"/>
      <c r="AQ416" s="787"/>
      <c r="AR416" s="786"/>
      <c r="AS416" s="787"/>
      <c r="AT416" s="787"/>
      <c r="AU416" s="787"/>
      <c r="AV416" s="786"/>
      <c r="AW416" s="787"/>
      <c r="AX416" s="787"/>
      <c r="AY416" s="787"/>
      <c r="AZ416" s="780"/>
      <c r="BA416" s="780"/>
      <c r="BB416" s="780"/>
      <c r="BC416" s="780"/>
      <c r="BD416" s="541"/>
      <c r="BE416" s="541"/>
      <c r="BF416" s="541"/>
      <c r="BG416" s="541"/>
      <c r="BH416" s="780"/>
      <c r="BI416" s="780"/>
      <c r="BJ416" s="780"/>
      <c r="BK416" s="780"/>
      <c r="BL416" s="780"/>
      <c r="BM416" s="780"/>
    </row>
    <row r="417" ht="12.75" customHeight="1">
      <c r="A417" s="521"/>
      <c r="B417" s="521"/>
      <c r="C417" s="515"/>
      <c r="D417" s="515"/>
      <c r="E417" s="515"/>
      <c r="F417" s="515"/>
      <c r="G417" s="515"/>
      <c r="H417" s="515"/>
      <c r="I417" s="515"/>
      <c r="J417" s="515"/>
      <c r="K417" s="515"/>
      <c r="L417" s="515"/>
      <c r="M417" s="515"/>
      <c r="N417" s="515"/>
      <c r="O417" s="533"/>
      <c r="P417" s="786"/>
      <c r="Q417" s="787"/>
      <c r="R417" s="787"/>
      <c r="S417" s="787"/>
      <c r="T417" s="786"/>
      <c r="U417" s="787"/>
      <c r="V417" s="787"/>
      <c r="W417" s="787"/>
      <c r="X417" s="786"/>
      <c r="Y417" s="787"/>
      <c r="Z417" s="787"/>
      <c r="AA417" s="787"/>
      <c r="AB417" s="786"/>
      <c r="AC417" s="787"/>
      <c r="AD417" s="787"/>
      <c r="AE417" s="787"/>
      <c r="AF417" s="786"/>
      <c r="AG417" s="787"/>
      <c r="AH417" s="787"/>
      <c r="AI417" s="787"/>
      <c r="AJ417" s="786"/>
      <c r="AK417" s="787"/>
      <c r="AL417" s="787"/>
      <c r="AM417" s="787"/>
      <c r="AN417" s="786"/>
      <c r="AO417" s="787"/>
      <c r="AP417" s="787"/>
      <c r="AQ417" s="787"/>
      <c r="AR417" s="786"/>
      <c r="AS417" s="787"/>
      <c r="AT417" s="787"/>
      <c r="AU417" s="787"/>
      <c r="AV417" s="786"/>
      <c r="AW417" s="787"/>
      <c r="AX417" s="787"/>
      <c r="AY417" s="787"/>
      <c r="AZ417" s="780"/>
      <c r="BA417" s="780"/>
      <c r="BB417" s="780"/>
      <c r="BC417" s="780"/>
      <c r="BD417" s="541"/>
      <c r="BE417" s="541"/>
      <c r="BF417" s="541"/>
      <c r="BG417" s="541"/>
      <c r="BH417" s="780"/>
      <c r="BI417" s="780"/>
      <c r="BJ417" s="780"/>
      <c r="BK417" s="780"/>
      <c r="BL417" s="780"/>
      <c r="BM417" s="780"/>
    </row>
    <row r="418" ht="12.75" customHeight="1">
      <c r="A418" s="521"/>
      <c r="B418" s="521"/>
      <c r="C418" s="515"/>
      <c r="D418" s="515"/>
      <c r="E418" s="515"/>
      <c r="F418" s="515"/>
      <c r="G418" s="515"/>
      <c r="H418" s="515"/>
      <c r="I418" s="515"/>
      <c r="J418" s="515"/>
      <c r="K418" s="515"/>
      <c r="L418" s="515"/>
      <c r="M418" s="515"/>
      <c r="N418" s="515"/>
      <c r="O418" s="533"/>
      <c r="P418" s="786"/>
      <c r="Q418" s="787"/>
      <c r="R418" s="787"/>
      <c r="S418" s="787"/>
      <c r="T418" s="786"/>
      <c r="U418" s="787"/>
      <c r="V418" s="787"/>
      <c r="W418" s="787"/>
      <c r="X418" s="786"/>
      <c r="Y418" s="787"/>
      <c r="Z418" s="787"/>
      <c r="AA418" s="787"/>
      <c r="AB418" s="786"/>
      <c r="AC418" s="787"/>
      <c r="AD418" s="787"/>
      <c r="AE418" s="787"/>
      <c r="AF418" s="786"/>
      <c r="AG418" s="787"/>
      <c r="AH418" s="787"/>
      <c r="AI418" s="787"/>
      <c r="AJ418" s="786"/>
      <c r="AK418" s="787"/>
      <c r="AL418" s="787"/>
      <c r="AM418" s="787"/>
      <c r="AN418" s="786"/>
      <c r="AO418" s="787"/>
      <c r="AP418" s="787"/>
      <c r="AQ418" s="787"/>
      <c r="AR418" s="786"/>
      <c r="AS418" s="787"/>
      <c r="AT418" s="787"/>
      <c r="AU418" s="787"/>
      <c r="AV418" s="786"/>
      <c r="AW418" s="787"/>
      <c r="AX418" s="787"/>
      <c r="AY418" s="787"/>
      <c r="AZ418" s="780"/>
      <c r="BA418" s="780"/>
      <c r="BB418" s="780"/>
      <c r="BC418" s="780"/>
      <c r="BD418" s="541"/>
      <c r="BE418" s="541"/>
      <c r="BF418" s="541"/>
      <c r="BG418" s="541"/>
      <c r="BH418" s="780"/>
      <c r="BI418" s="780"/>
      <c r="BJ418" s="780"/>
      <c r="BK418" s="780"/>
      <c r="BL418" s="780"/>
      <c r="BM418" s="780"/>
    </row>
    <row r="419" ht="12.75" customHeight="1">
      <c r="A419" s="521"/>
      <c r="B419" s="521"/>
      <c r="C419" s="515"/>
      <c r="D419" s="515"/>
      <c r="E419" s="515"/>
      <c r="F419" s="515"/>
      <c r="G419" s="515"/>
      <c r="H419" s="515"/>
      <c r="I419" s="515"/>
      <c r="J419" s="515"/>
      <c r="K419" s="515"/>
      <c r="L419" s="515"/>
      <c r="M419" s="515"/>
      <c r="N419" s="515"/>
      <c r="O419" s="533"/>
      <c r="P419" s="786"/>
      <c r="Q419" s="787"/>
      <c r="R419" s="787"/>
      <c r="S419" s="787"/>
      <c r="T419" s="786"/>
      <c r="U419" s="787"/>
      <c r="V419" s="787"/>
      <c r="W419" s="787"/>
      <c r="X419" s="786"/>
      <c r="Y419" s="787"/>
      <c r="Z419" s="787"/>
      <c r="AA419" s="787"/>
      <c r="AB419" s="786"/>
      <c r="AC419" s="787"/>
      <c r="AD419" s="787"/>
      <c r="AE419" s="787"/>
      <c r="AF419" s="786"/>
      <c r="AG419" s="787"/>
      <c r="AH419" s="787"/>
      <c r="AI419" s="787"/>
      <c r="AJ419" s="786"/>
      <c r="AK419" s="787"/>
      <c r="AL419" s="787"/>
      <c r="AM419" s="787"/>
      <c r="AN419" s="786"/>
      <c r="AO419" s="787"/>
      <c r="AP419" s="787"/>
      <c r="AQ419" s="787"/>
      <c r="AR419" s="786"/>
      <c r="AS419" s="787"/>
      <c r="AT419" s="787"/>
      <c r="AU419" s="787"/>
      <c r="AV419" s="786"/>
      <c r="AW419" s="787"/>
      <c r="AX419" s="787"/>
      <c r="AY419" s="787"/>
      <c r="AZ419" s="780"/>
      <c r="BA419" s="780"/>
      <c r="BB419" s="780"/>
      <c r="BC419" s="780"/>
      <c r="BD419" s="541"/>
      <c r="BE419" s="541"/>
      <c r="BF419" s="541"/>
      <c r="BG419" s="541"/>
      <c r="BH419" s="780"/>
      <c r="BI419" s="780"/>
      <c r="BJ419" s="780"/>
      <c r="BK419" s="780"/>
      <c r="BL419" s="780"/>
      <c r="BM419" s="780"/>
    </row>
    <row r="420" ht="12.75" customHeight="1">
      <c r="A420" s="521"/>
      <c r="B420" s="521"/>
      <c r="C420" s="515"/>
      <c r="D420" s="515"/>
      <c r="E420" s="515"/>
      <c r="F420" s="515"/>
      <c r="G420" s="515"/>
      <c r="H420" s="515"/>
      <c r="I420" s="515"/>
      <c r="J420" s="515"/>
      <c r="K420" s="515"/>
      <c r="L420" s="515"/>
      <c r="M420" s="515"/>
      <c r="N420" s="515"/>
      <c r="O420" s="533"/>
      <c r="P420" s="786"/>
      <c r="Q420" s="787"/>
      <c r="R420" s="787"/>
      <c r="S420" s="787"/>
      <c r="T420" s="786"/>
      <c r="U420" s="787"/>
      <c r="V420" s="787"/>
      <c r="W420" s="787"/>
      <c r="X420" s="786"/>
      <c r="Y420" s="787"/>
      <c r="Z420" s="787"/>
      <c r="AA420" s="787"/>
      <c r="AB420" s="786"/>
      <c r="AC420" s="787"/>
      <c r="AD420" s="787"/>
      <c r="AE420" s="787"/>
      <c r="AF420" s="786"/>
      <c r="AG420" s="787"/>
      <c r="AH420" s="787"/>
      <c r="AI420" s="787"/>
      <c r="AJ420" s="786"/>
      <c r="AK420" s="787"/>
      <c r="AL420" s="787"/>
      <c r="AM420" s="787"/>
      <c r="AN420" s="786"/>
      <c r="AO420" s="787"/>
      <c r="AP420" s="787"/>
      <c r="AQ420" s="787"/>
      <c r="AR420" s="786"/>
      <c r="AS420" s="787"/>
      <c r="AT420" s="787"/>
      <c r="AU420" s="787"/>
      <c r="AV420" s="786"/>
      <c r="AW420" s="787"/>
      <c r="AX420" s="787"/>
      <c r="AY420" s="787"/>
      <c r="AZ420" s="780"/>
      <c r="BA420" s="780"/>
      <c r="BB420" s="780"/>
      <c r="BC420" s="780"/>
      <c r="BD420" s="541"/>
      <c r="BE420" s="541"/>
      <c r="BF420" s="541"/>
      <c r="BG420" s="541"/>
      <c r="BH420" s="780"/>
      <c r="BI420" s="780"/>
      <c r="BJ420" s="780"/>
      <c r="BK420" s="780"/>
      <c r="BL420" s="780"/>
      <c r="BM420" s="780"/>
    </row>
    <row r="421" ht="12.75" customHeight="1">
      <c r="A421" s="521"/>
      <c r="B421" s="521"/>
      <c r="C421" s="515"/>
      <c r="D421" s="515"/>
      <c r="E421" s="515"/>
      <c r="F421" s="515"/>
      <c r="G421" s="515"/>
      <c r="H421" s="515"/>
      <c r="I421" s="515"/>
      <c r="J421" s="515"/>
      <c r="K421" s="515"/>
      <c r="L421" s="515"/>
      <c r="M421" s="515"/>
      <c r="N421" s="515"/>
      <c r="O421" s="533"/>
      <c r="P421" s="786"/>
      <c r="Q421" s="787"/>
      <c r="R421" s="787"/>
      <c r="S421" s="787"/>
      <c r="T421" s="786"/>
      <c r="U421" s="787"/>
      <c r="V421" s="787"/>
      <c r="W421" s="787"/>
      <c r="X421" s="786"/>
      <c r="Y421" s="787"/>
      <c r="Z421" s="787"/>
      <c r="AA421" s="787"/>
      <c r="AB421" s="786"/>
      <c r="AC421" s="787"/>
      <c r="AD421" s="787"/>
      <c r="AE421" s="787"/>
      <c r="AF421" s="786"/>
      <c r="AG421" s="787"/>
      <c r="AH421" s="787"/>
      <c r="AI421" s="787"/>
      <c r="AJ421" s="786"/>
      <c r="AK421" s="787"/>
      <c r="AL421" s="787"/>
      <c r="AM421" s="787"/>
      <c r="AN421" s="786"/>
      <c r="AO421" s="787"/>
      <c r="AP421" s="787"/>
      <c r="AQ421" s="787"/>
      <c r="AR421" s="786"/>
      <c r="AS421" s="787"/>
      <c r="AT421" s="787"/>
      <c r="AU421" s="787"/>
      <c r="AV421" s="786"/>
      <c r="AW421" s="787"/>
      <c r="AX421" s="787"/>
      <c r="AY421" s="787"/>
      <c r="AZ421" s="780"/>
      <c r="BA421" s="780"/>
      <c r="BB421" s="780"/>
      <c r="BC421" s="780"/>
      <c r="BD421" s="541"/>
      <c r="BE421" s="541"/>
      <c r="BF421" s="541"/>
      <c r="BG421" s="541"/>
      <c r="BH421" s="780"/>
      <c r="BI421" s="780"/>
      <c r="BJ421" s="780"/>
      <c r="BK421" s="780"/>
      <c r="BL421" s="780"/>
      <c r="BM421" s="780"/>
    </row>
    <row r="422" ht="12.75" customHeight="1">
      <c r="A422" s="521"/>
      <c r="B422" s="521"/>
      <c r="C422" s="515"/>
      <c r="D422" s="515"/>
      <c r="E422" s="515"/>
      <c r="F422" s="515"/>
      <c r="G422" s="515"/>
      <c r="H422" s="515"/>
      <c r="I422" s="515"/>
      <c r="J422" s="515"/>
      <c r="K422" s="515"/>
      <c r="L422" s="515"/>
      <c r="M422" s="515"/>
      <c r="N422" s="515"/>
      <c r="O422" s="533"/>
      <c r="P422" s="786"/>
      <c r="Q422" s="787"/>
      <c r="R422" s="787"/>
      <c r="S422" s="787"/>
      <c r="T422" s="786"/>
      <c r="U422" s="787"/>
      <c r="V422" s="787"/>
      <c r="W422" s="787"/>
      <c r="X422" s="786"/>
      <c r="Y422" s="787"/>
      <c r="Z422" s="787"/>
      <c r="AA422" s="787"/>
      <c r="AB422" s="786"/>
      <c r="AC422" s="787"/>
      <c r="AD422" s="787"/>
      <c r="AE422" s="787"/>
      <c r="AF422" s="786"/>
      <c r="AG422" s="787"/>
      <c r="AH422" s="787"/>
      <c r="AI422" s="787"/>
      <c r="AJ422" s="786"/>
      <c r="AK422" s="787"/>
      <c r="AL422" s="787"/>
      <c r="AM422" s="787"/>
      <c r="AN422" s="786"/>
      <c r="AO422" s="787"/>
      <c r="AP422" s="787"/>
      <c r="AQ422" s="787"/>
      <c r="AR422" s="786"/>
      <c r="AS422" s="787"/>
      <c r="AT422" s="787"/>
      <c r="AU422" s="787"/>
      <c r="AV422" s="786"/>
      <c r="AW422" s="787"/>
      <c r="AX422" s="787"/>
      <c r="AY422" s="787"/>
      <c r="AZ422" s="780"/>
      <c r="BA422" s="780"/>
      <c r="BB422" s="780"/>
      <c r="BC422" s="780"/>
      <c r="BD422" s="541"/>
      <c r="BE422" s="541"/>
      <c r="BF422" s="541"/>
      <c r="BG422" s="541"/>
      <c r="BH422" s="780"/>
      <c r="BI422" s="780"/>
      <c r="BJ422" s="780"/>
      <c r="BK422" s="780"/>
      <c r="BL422" s="780"/>
      <c r="BM422" s="780"/>
    </row>
    <row r="423" ht="12.75" customHeight="1">
      <c r="A423" s="521"/>
      <c r="B423" s="521"/>
      <c r="C423" s="515"/>
      <c r="D423" s="515"/>
      <c r="E423" s="515"/>
      <c r="F423" s="515"/>
      <c r="G423" s="515"/>
      <c r="H423" s="515"/>
      <c r="I423" s="515"/>
      <c r="J423" s="515"/>
      <c r="K423" s="515"/>
      <c r="L423" s="515"/>
      <c r="M423" s="515"/>
      <c r="N423" s="515"/>
      <c r="O423" s="533"/>
      <c r="P423" s="786"/>
      <c r="Q423" s="787"/>
      <c r="R423" s="787"/>
      <c r="S423" s="787"/>
      <c r="T423" s="786"/>
      <c r="U423" s="787"/>
      <c r="V423" s="787"/>
      <c r="W423" s="787"/>
      <c r="X423" s="786"/>
      <c r="Y423" s="787"/>
      <c r="Z423" s="787"/>
      <c r="AA423" s="787"/>
      <c r="AB423" s="786"/>
      <c r="AC423" s="787"/>
      <c r="AD423" s="787"/>
      <c r="AE423" s="787"/>
      <c r="AF423" s="786"/>
      <c r="AG423" s="787"/>
      <c r="AH423" s="787"/>
      <c r="AI423" s="787"/>
      <c r="AJ423" s="786"/>
      <c r="AK423" s="787"/>
      <c r="AL423" s="787"/>
      <c r="AM423" s="787"/>
      <c r="AN423" s="786"/>
      <c r="AO423" s="787"/>
      <c r="AP423" s="787"/>
      <c r="AQ423" s="787"/>
      <c r="AR423" s="786"/>
      <c r="AS423" s="787"/>
      <c r="AT423" s="787"/>
      <c r="AU423" s="787"/>
      <c r="AV423" s="786"/>
      <c r="AW423" s="787"/>
      <c r="AX423" s="787"/>
      <c r="AY423" s="787"/>
      <c r="AZ423" s="780"/>
      <c r="BA423" s="780"/>
      <c r="BB423" s="780"/>
      <c r="BC423" s="780"/>
      <c r="BD423" s="541"/>
      <c r="BE423" s="541"/>
      <c r="BF423" s="541"/>
      <c r="BG423" s="541"/>
      <c r="BH423" s="780"/>
      <c r="BI423" s="780"/>
      <c r="BJ423" s="780"/>
      <c r="BK423" s="780"/>
      <c r="BL423" s="780"/>
      <c r="BM423" s="780"/>
    </row>
    <row r="424" ht="12.75" customHeight="1">
      <c r="A424" s="521"/>
      <c r="B424" s="521"/>
      <c r="C424" s="515"/>
      <c r="D424" s="515"/>
      <c r="E424" s="515"/>
      <c r="F424" s="515"/>
      <c r="G424" s="515"/>
      <c r="H424" s="515"/>
      <c r="I424" s="515"/>
      <c r="J424" s="515"/>
      <c r="K424" s="515"/>
      <c r="L424" s="515"/>
      <c r="M424" s="515"/>
      <c r="N424" s="515"/>
      <c r="O424" s="533"/>
      <c r="P424" s="786"/>
      <c r="Q424" s="787"/>
      <c r="R424" s="787"/>
      <c r="S424" s="787"/>
      <c r="T424" s="786"/>
      <c r="U424" s="787"/>
      <c r="V424" s="787"/>
      <c r="W424" s="787"/>
      <c r="X424" s="786"/>
      <c r="Y424" s="787"/>
      <c r="Z424" s="787"/>
      <c r="AA424" s="787"/>
      <c r="AB424" s="786"/>
      <c r="AC424" s="787"/>
      <c r="AD424" s="787"/>
      <c r="AE424" s="787"/>
      <c r="AF424" s="786"/>
      <c r="AG424" s="787"/>
      <c r="AH424" s="787"/>
      <c r="AI424" s="787"/>
      <c r="AJ424" s="786"/>
      <c r="AK424" s="787"/>
      <c r="AL424" s="787"/>
      <c r="AM424" s="787"/>
      <c r="AN424" s="786"/>
      <c r="AO424" s="787"/>
      <c r="AP424" s="787"/>
      <c r="AQ424" s="787"/>
      <c r="AR424" s="786"/>
      <c r="AS424" s="787"/>
      <c r="AT424" s="787"/>
      <c r="AU424" s="787"/>
      <c r="AV424" s="786"/>
      <c r="AW424" s="787"/>
      <c r="AX424" s="787"/>
      <c r="AY424" s="787"/>
      <c r="AZ424" s="780"/>
      <c r="BA424" s="780"/>
      <c r="BB424" s="780"/>
      <c r="BC424" s="780"/>
      <c r="BD424" s="541"/>
      <c r="BE424" s="541"/>
      <c r="BF424" s="541"/>
      <c r="BG424" s="541"/>
      <c r="BH424" s="780"/>
      <c r="BI424" s="780"/>
      <c r="BJ424" s="780"/>
      <c r="BK424" s="780"/>
      <c r="BL424" s="780"/>
      <c r="BM424" s="780"/>
    </row>
    <row r="425" ht="12.75" customHeight="1">
      <c r="A425" s="521"/>
      <c r="B425" s="521"/>
      <c r="C425" s="515"/>
      <c r="D425" s="515"/>
      <c r="E425" s="515"/>
      <c r="F425" s="515"/>
      <c r="G425" s="515"/>
      <c r="H425" s="515"/>
      <c r="I425" s="515"/>
      <c r="J425" s="515"/>
      <c r="K425" s="515"/>
      <c r="L425" s="515"/>
      <c r="M425" s="515"/>
      <c r="N425" s="515"/>
      <c r="O425" s="533"/>
      <c r="P425" s="786"/>
      <c r="Q425" s="787"/>
      <c r="R425" s="787"/>
      <c r="S425" s="787"/>
      <c r="T425" s="786"/>
      <c r="U425" s="787"/>
      <c r="V425" s="787"/>
      <c r="W425" s="787"/>
      <c r="X425" s="786"/>
      <c r="Y425" s="787"/>
      <c r="Z425" s="787"/>
      <c r="AA425" s="787"/>
      <c r="AB425" s="786"/>
      <c r="AC425" s="787"/>
      <c r="AD425" s="787"/>
      <c r="AE425" s="787"/>
      <c r="AF425" s="786"/>
      <c r="AG425" s="787"/>
      <c r="AH425" s="787"/>
      <c r="AI425" s="787"/>
      <c r="AJ425" s="786"/>
      <c r="AK425" s="787"/>
      <c r="AL425" s="787"/>
      <c r="AM425" s="787"/>
      <c r="AN425" s="786"/>
      <c r="AO425" s="787"/>
      <c r="AP425" s="787"/>
      <c r="AQ425" s="787"/>
      <c r="AR425" s="786"/>
      <c r="AS425" s="787"/>
      <c r="AT425" s="787"/>
      <c r="AU425" s="787"/>
      <c r="AV425" s="786"/>
      <c r="AW425" s="787"/>
      <c r="AX425" s="787"/>
      <c r="AY425" s="787"/>
      <c r="AZ425" s="780"/>
      <c r="BA425" s="780"/>
      <c r="BB425" s="780"/>
      <c r="BC425" s="780"/>
      <c r="BD425" s="541"/>
      <c r="BE425" s="541"/>
      <c r="BF425" s="541"/>
      <c r="BG425" s="541"/>
      <c r="BH425" s="780"/>
      <c r="BI425" s="780"/>
      <c r="BJ425" s="780"/>
      <c r="BK425" s="780"/>
      <c r="BL425" s="780"/>
      <c r="BM425" s="780"/>
    </row>
    <row r="426" ht="12.75" customHeight="1">
      <c r="A426" s="521"/>
      <c r="B426" s="521"/>
      <c r="C426" s="515"/>
      <c r="D426" s="515"/>
      <c r="E426" s="515"/>
      <c r="F426" s="515"/>
      <c r="G426" s="515"/>
      <c r="H426" s="515"/>
      <c r="I426" s="515"/>
      <c r="J426" s="515"/>
      <c r="K426" s="515"/>
      <c r="L426" s="515"/>
      <c r="M426" s="515"/>
      <c r="N426" s="515"/>
      <c r="O426" s="533"/>
      <c r="P426" s="786"/>
      <c r="Q426" s="787"/>
      <c r="R426" s="787"/>
      <c r="S426" s="787"/>
      <c r="T426" s="786"/>
      <c r="U426" s="787"/>
      <c r="V426" s="787"/>
      <c r="W426" s="787"/>
      <c r="X426" s="786"/>
      <c r="Y426" s="787"/>
      <c r="Z426" s="787"/>
      <c r="AA426" s="787"/>
      <c r="AB426" s="786"/>
      <c r="AC426" s="787"/>
      <c r="AD426" s="787"/>
      <c r="AE426" s="787"/>
      <c r="AF426" s="786"/>
      <c r="AG426" s="787"/>
      <c r="AH426" s="787"/>
      <c r="AI426" s="787"/>
      <c r="AJ426" s="786"/>
      <c r="AK426" s="787"/>
      <c r="AL426" s="787"/>
      <c r="AM426" s="787"/>
      <c r="AN426" s="786"/>
      <c r="AO426" s="787"/>
      <c r="AP426" s="787"/>
      <c r="AQ426" s="787"/>
      <c r="AR426" s="786"/>
      <c r="AS426" s="787"/>
      <c r="AT426" s="787"/>
      <c r="AU426" s="787"/>
      <c r="AV426" s="786"/>
      <c r="AW426" s="787"/>
      <c r="AX426" s="787"/>
      <c r="AY426" s="787"/>
      <c r="AZ426" s="780"/>
      <c r="BA426" s="780"/>
      <c r="BB426" s="780"/>
      <c r="BC426" s="780"/>
      <c r="BD426" s="541"/>
      <c r="BE426" s="541"/>
      <c r="BF426" s="541"/>
      <c r="BG426" s="541"/>
      <c r="BH426" s="780"/>
      <c r="BI426" s="780"/>
      <c r="BJ426" s="780"/>
      <c r="BK426" s="780"/>
      <c r="BL426" s="780"/>
      <c r="BM426" s="780"/>
    </row>
    <row r="427" ht="12.75" customHeight="1">
      <c r="A427" s="521"/>
      <c r="B427" s="521"/>
      <c r="C427" s="515"/>
      <c r="D427" s="515"/>
      <c r="E427" s="515"/>
      <c r="F427" s="515"/>
      <c r="G427" s="515"/>
      <c r="H427" s="515"/>
      <c r="I427" s="515"/>
      <c r="J427" s="515"/>
      <c r="K427" s="515"/>
      <c r="L427" s="515"/>
      <c r="M427" s="515"/>
      <c r="N427" s="515"/>
      <c r="O427" s="533"/>
      <c r="P427" s="786"/>
      <c r="Q427" s="787"/>
      <c r="R427" s="787"/>
      <c r="S427" s="787"/>
      <c r="T427" s="786"/>
      <c r="U427" s="787"/>
      <c r="V427" s="787"/>
      <c r="W427" s="787"/>
      <c r="X427" s="786"/>
      <c r="Y427" s="787"/>
      <c r="Z427" s="787"/>
      <c r="AA427" s="787"/>
      <c r="AB427" s="786"/>
      <c r="AC427" s="787"/>
      <c r="AD427" s="787"/>
      <c r="AE427" s="787"/>
      <c r="AF427" s="786"/>
      <c r="AG427" s="787"/>
      <c r="AH427" s="787"/>
      <c r="AI427" s="787"/>
      <c r="AJ427" s="786"/>
      <c r="AK427" s="787"/>
      <c r="AL427" s="787"/>
      <c r="AM427" s="787"/>
      <c r="AN427" s="786"/>
      <c r="AO427" s="787"/>
      <c r="AP427" s="787"/>
      <c r="AQ427" s="787"/>
      <c r="AR427" s="786"/>
      <c r="AS427" s="787"/>
      <c r="AT427" s="787"/>
      <c r="AU427" s="787"/>
      <c r="AV427" s="786"/>
      <c r="AW427" s="787"/>
      <c r="AX427" s="787"/>
      <c r="AY427" s="787"/>
      <c r="AZ427" s="780"/>
      <c r="BA427" s="780"/>
      <c r="BB427" s="780"/>
      <c r="BC427" s="780"/>
      <c r="BD427" s="541"/>
      <c r="BE427" s="541"/>
      <c r="BF427" s="541"/>
      <c r="BG427" s="541"/>
      <c r="BH427" s="780"/>
      <c r="BI427" s="780"/>
      <c r="BJ427" s="780"/>
      <c r="BK427" s="780"/>
      <c r="BL427" s="780"/>
      <c r="BM427" s="780"/>
    </row>
    <row r="428" ht="12.75" customHeight="1">
      <c r="A428" s="521"/>
      <c r="B428" s="521"/>
      <c r="C428" s="515"/>
      <c r="D428" s="515"/>
      <c r="E428" s="515"/>
      <c r="F428" s="515"/>
      <c r="G428" s="515"/>
      <c r="H428" s="515"/>
      <c r="I428" s="515"/>
      <c r="J428" s="515"/>
      <c r="K428" s="515"/>
      <c r="L428" s="515"/>
      <c r="M428" s="515"/>
      <c r="N428" s="515"/>
      <c r="O428" s="533"/>
      <c r="P428" s="786"/>
      <c r="Q428" s="787"/>
      <c r="R428" s="787"/>
      <c r="S428" s="787"/>
      <c r="T428" s="786"/>
      <c r="U428" s="787"/>
      <c r="V428" s="787"/>
      <c r="W428" s="787"/>
      <c r="X428" s="786"/>
      <c r="Y428" s="787"/>
      <c r="Z428" s="787"/>
      <c r="AA428" s="787"/>
      <c r="AB428" s="786"/>
      <c r="AC428" s="787"/>
      <c r="AD428" s="787"/>
      <c r="AE428" s="787"/>
      <c r="AF428" s="786"/>
      <c r="AG428" s="787"/>
      <c r="AH428" s="787"/>
      <c r="AI428" s="787"/>
      <c r="AJ428" s="786"/>
      <c r="AK428" s="787"/>
      <c r="AL428" s="787"/>
      <c r="AM428" s="787"/>
      <c r="AN428" s="786"/>
      <c r="AO428" s="787"/>
      <c r="AP428" s="787"/>
      <c r="AQ428" s="787"/>
      <c r="AR428" s="786"/>
      <c r="AS428" s="787"/>
      <c r="AT428" s="787"/>
      <c r="AU428" s="787"/>
      <c r="AV428" s="786"/>
      <c r="AW428" s="787"/>
      <c r="AX428" s="787"/>
      <c r="AY428" s="787"/>
      <c r="AZ428" s="780"/>
      <c r="BA428" s="780"/>
      <c r="BB428" s="780"/>
      <c r="BC428" s="780"/>
      <c r="BD428" s="541"/>
      <c r="BE428" s="541"/>
      <c r="BF428" s="541"/>
      <c r="BG428" s="541"/>
      <c r="BH428" s="780"/>
      <c r="BI428" s="780"/>
      <c r="BJ428" s="780"/>
      <c r="BK428" s="780"/>
      <c r="BL428" s="780"/>
      <c r="BM428" s="780"/>
    </row>
    <row r="429" ht="12.75" customHeight="1">
      <c r="A429" s="521"/>
      <c r="B429" s="521"/>
      <c r="C429" s="515"/>
      <c r="D429" s="515"/>
      <c r="E429" s="515"/>
      <c r="F429" s="515"/>
      <c r="G429" s="515"/>
      <c r="H429" s="515"/>
      <c r="I429" s="515"/>
      <c r="J429" s="515"/>
      <c r="K429" s="515"/>
      <c r="L429" s="515"/>
      <c r="M429" s="515"/>
      <c r="N429" s="515"/>
      <c r="O429" s="533"/>
      <c r="P429" s="786"/>
      <c r="Q429" s="787"/>
      <c r="R429" s="787"/>
      <c r="S429" s="787"/>
      <c r="T429" s="786"/>
      <c r="U429" s="787"/>
      <c r="V429" s="787"/>
      <c r="W429" s="787"/>
      <c r="X429" s="786"/>
      <c r="Y429" s="787"/>
      <c r="Z429" s="787"/>
      <c r="AA429" s="787"/>
      <c r="AB429" s="786"/>
      <c r="AC429" s="787"/>
      <c r="AD429" s="787"/>
      <c r="AE429" s="787"/>
      <c r="AF429" s="786"/>
      <c r="AG429" s="787"/>
      <c r="AH429" s="787"/>
      <c r="AI429" s="787"/>
      <c r="AJ429" s="786"/>
      <c r="AK429" s="787"/>
      <c r="AL429" s="787"/>
      <c r="AM429" s="787"/>
      <c r="AN429" s="786"/>
      <c r="AO429" s="787"/>
      <c r="AP429" s="787"/>
      <c r="AQ429" s="787"/>
      <c r="AR429" s="786"/>
      <c r="AS429" s="787"/>
      <c r="AT429" s="787"/>
      <c r="AU429" s="787"/>
      <c r="AV429" s="786"/>
      <c r="AW429" s="787"/>
      <c r="AX429" s="787"/>
      <c r="AY429" s="787"/>
      <c r="AZ429" s="780"/>
      <c r="BA429" s="780"/>
      <c r="BB429" s="780"/>
      <c r="BC429" s="780"/>
      <c r="BD429" s="541"/>
      <c r="BE429" s="541"/>
      <c r="BF429" s="541"/>
      <c r="BG429" s="541"/>
      <c r="BH429" s="780"/>
      <c r="BI429" s="780"/>
      <c r="BJ429" s="780"/>
      <c r="BK429" s="780"/>
      <c r="BL429" s="780"/>
      <c r="BM429" s="780"/>
    </row>
    <row r="430" ht="12.75" customHeight="1">
      <c r="A430" s="521"/>
      <c r="B430" s="521"/>
      <c r="C430" s="515"/>
      <c r="D430" s="515"/>
      <c r="E430" s="515"/>
      <c r="F430" s="515"/>
      <c r="G430" s="515"/>
      <c r="H430" s="515"/>
      <c r="I430" s="515"/>
      <c r="J430" s="515"/>
      <c r="K430" s="515"/>
      <c r="L430" s="515"/>
      <c r="M430" s="515"/>
      <c r="N430" s="515"/>
      <c r="O430" s="533"/>
      <c r="P430" s="786"/>
      <c r="Q430" s="787"/>
      <c r="R430" s="787"/>
      <c r="S430" s="787"/>
      <c r="T430" s="786"/>
      <c r="U430" s="787"/>
      <c r="V430" s="787"/>
      <c r="W430" s="787"/>
      <c r="X430" s="786"/>
      <c r="Y430" s="787"/>
      <c r="Z430" s="787"/>
      <c r="AA430" s="787"/>
      <c r="AB430" s="786"/>
      <c r="AC430" s="787"/>
      <c r="AD430" s="787"/>
      <c r="AE430" s="787"/>
      <c r="AF430" s="786"/>
      <c r="AG430" s="787"/>
      <c r="AH430" s="787"/>
      <c r="AI430" s="787"/>
      <c r="AJ430" s="786"/>
      <c r="AK430" s="787"/>
      <c r="AL430" s="787"/>
      <c r="AM430" s="787"/>
      <c r="AN430" s="786"/>
      <c r="AO430" s="787"/>
      <c r="AP430" s="787"/>
      <c r="AQ430" s="787"/>
      <c r="AR430" s="786"/>
      <c r="AS430" s="787"/>
      <c r="AT430" s="787"/>
      <c r="AU430" s="787"/>
      <c r="AV430" s="786"/>
      <c r="AW430" s="787"/>
      <c r="AX430" s="787"/>
      <c r="AY430" s="787"/>
      <c r="AZ430" s="780"/>
      <c r="BA430" s="780"/>
      <c r="BB430" s="780"/>
      <c r="BC430" s="780"/>
      <c r="BD430" s="541"/>
      <c r="BE430" s="541"/>
      <c r="BF430" s="541"/>
      <c r="BG430" s="541"/>
      <c r="BH430" s="780"/>
      <c r="BI430" s="780"/>
      <c r="BJ430" s="780"/>
      <c r="BK430" s="780"/>
      <c r="BL430" s="780"/>
      <c r="BM430" s="780"/>
    </row>
    <row r="431" ht="12.75" customHeight="1">
      <c r="A431" s="521"/>
      <c r="B431" s="521"/>
      <c r="C431" s="515"/>
      <c r="D431" s="515"/>
      <c r="E431" s="515"/>
      <c r="F431" s="515"/>
      <c r="G431" s="515"/>
      <c r="H431" s="515"/>
      <c r="I431" s="515"/>
      <c r="J431" s="515"/>
      <c r="K431" s="515"/>
      <c r="L431" s="515"/>
      <c r="M431" s="515"/>
      <c r="N431" s="515"/>
      <c r="O431" s="533"/>
      <c r="P431" s="786"/>
      <c r="Q431" s="787"/>
      <c r="R431" s="787"/>
      <c r="S431" s="787"/>
      <c r="T431" s="786"/>
      <c r="U431" s="787"/>
      <c r="V431" s="787"/>
      <c r="W431" s="787"/>
      <c r="X431" s="786"/>
      <c r="Y431" s="787"/>
      <c r="Z431" s="787"/>
      <c r="AA431" s="787"/>
      <c r="AB431" s="786"/>
      <c r="AC431" s="787"/>
      <c r="AD431" s="787"/>
      <c r="AE431" s="787"/>
      <c r="AF431" s="786"/>
      <c r="AG431" s="787"/>
      <c r="AH431" s="787"/>
      <c r="AI431" s="787"/>
      <c r="AJ431" s="786"/>
      <c r="AK431" s="787"/>
      <c r="AL431" s="787"/>
      <c r="AM431" s="787"/>
      <c r="AN431" s="786"/>
      <c r="AO431" s="787"/>
      <c r="AP431" s="787"/>
      <c r="AQ431" s="787"/>
      <c r="AR431" s="786"/>
      <c r="AS431" s="787"/>
      <c r="AT431" s="787"/>
      <c r="AU431" s="787"/>
      <c r="AV431" s="786"/>
      <c r="AW431" s="787"/>
      <c r="AX431" s="787"/>
      <c r="AY431" s="787"/>
      <c r="AZ431" s="780"/>
      <c r="BA431" s="780"/>
      <c r="BB431" s="780"/>
      <c r="BC431" s="780"/>
      <c r="BD431" s="541"/>
      <c r="BE431" s="541"/>
      <c r="BF431" s="541"/>
      <c r="BG431" s="541"/>
      <c r="BH431" s="780"/>
      <c r="BI431" s="780"/>
      <c r="BJ431" s="780"/>
      <c r="BK431" s="780"/>
      <c r="BL431" s="780"/>
      <c r="BM431" s="780"/>
    </row>
    <row r="432" ht="12.75" customHeight="1">
      <c r="A432" s="521"/>
      <c r="B432" s="521"/>
      <c r="C432" s="515"/>
      <c r="D432" s="515"/>
      <c r="E432" s="515"/>
      <c r="F432" s="515"/>
      <c r="G432" s="515"/>
      <c r="H432" s="515"/>
      <c r="I432" s="515"/>
      <c r="J432" s="515"/>
      <c r="K432" s="515"/>
      <c r="L432" s="515"/>
      <c r="M432" s="515"/>
      <c r="N432" s="515"/>
      <c r="O432" s="533"/>
      <c r="P432" s="786"/>
      <c r="Q432" s="787"/>
      <c r="R432" s="787"/>
      <c r="S432" s="787"/>
      <c r="T432" s="786"/>
      <c r="U432" s="787"/>
      <c r="V432" s="787"/>
      <c r="W432" s="787"/>
      <c r="X432" s="786"/>
      <c r="Y432" s="787"/>
      <c r="Z432" s="787"/>
      <c r="AA432" s="787"/>
      <c r="AB432" s="786"/>
      <c r="AC432" s="787"/>
      <c r="AD432" s="787"/>
      <c r="AE432" s="787"/>
      <c r="AF432" s="786"/>
      <c r="AG432" s="787"/>
      <c r="AH432" s="787"/>
      <c r="AI432" s="787"/>
      <c r="AJ432" s="786"/>
      <c r="AK432" s="787"/>
      <c r="AL432" s="787"/>
      <c r="AM432" s="787"/>
      <c r="AN432" s="786"/>
      <c r="AO432" s="787"/>
      <c r="AP432" s="787"/>
      <c r="AQ432" s="787"/>
      <c r="AR432" s="786"/>
      <c r="AS432" s="787"/>
      <c r="AT432" s="787"/>
      <c r="AU432" s="787"/>
      <c r="AV432" s="786"/>
      <c r="AW432" s="787"/>
      <c r="AX432" s="787"/>
      <c r="AY432" s="787"/>
      <c r="AZ432" s="780"/>
      <c r="BA432" s="780"/>
      <c r="BB432" s="780"/>
      <c r="BC432" s="780"/>
      <c r="BD432" s="541"/>
      <c r="BE432" s="541"/>
      <c r="BF432" s="541"/>
      <c r="BG432" s="541"/>
      <c r="BH432" s="780"/>
      <c r="BI432" s="780"/>
      <c r="BJ432" s="780"/>
      <c r="BK432" s="780"/>
      <c r="BL432" s="780"/>
      <c r="BM432" s="780"/>
    </row>
    <row r="433" ht="12.75" customHeight="1">
      <c r="A433" s="521"/>
      <c r="B433" s="521"/>
      <c r="C433" s="515"/>
      <c r="D433" s="515"/>
      <c r="E433" s="515"/>
      <c r="F433" s="515"/>
      <c r="G433" s="515"/>
      <c r="H433" s="515"/>
      <c r="I433" s="515"/>
      <c r="J433" s="515"/>
      <c r="K433" s="515"/>
      <c r="L433" s="515"/>
      <c r="M433" s="515"/>
      <c r="N433" s="515"/>
      <c r="O433" s="533"/>
      <c r="P433" s="786"/>
      <c r="Q433" s="787"/>
      <c r="R433" s="787"/>
      <c r="S433" s="787"/>
      <c r="T433" s="786"/>
      <c r="U433" s="787"/>
      <c r="V433" s="787"/>
      <c r="W433" s="787"/>
      <c r="X433" s="786"/>
      <c r="Y433" s="787"/>
      <c r="Z433" s="787"/>
      <c r="AA433" s="787"/>
      <c r="AB433" s="786"/>
      <c r="AC433" s="787"/>
      <c r="AD433" s="787"/>
      <c r="AE433" s="787"/>
      <c r="AF433" s="786"/>
      <c r="AG433" s="787"/>
      <c r="AH433" s="787"/>
      <c r="AI433" s="787"/>
      <c r="AJ433" s="786"/>
      <c r="AK433" s="787"/>
      <c r="AL433" s="787"/>
      <c r="AM433" s="787"/>
      <c r="AN433" s="786"/>
      <c r="AO433" s="787"/>
      <c r="AP433" s="787"/>
      <c r="AQ433" s="787"/>
      <c r="AR433" s="786"/>
      <c r="AS433" s="787"/>
      <c r="AT433" s="787"/>
      <c r="AU433" s="787"/>
      <c r="AV433" s="786"/>
      <c r="AW433" s="787"/>
      <c r="AX433" s="787"/>
      <c r="AY433" s="787"/>
      <c r="AZ433" s="780"/>
      <c r="BA433" s="780"/>
      <c r="BB433" s="780"/>
      <c r="BC433" s="780"/>
      <c r="BD433" s="541"/>
      <c r="BE433" s="541"/>
      <c r="BF433" s="541"/>
      <c r="BG433" s="541"/>
      <c r="BH433" s="780"/>
      <c r="BI433" s="780"/>
      <c r="BJ433" s="780"/>
      <c r="BK433" s="780"/>
      <c r="BL433" s="780"/>
      <c r="BM433" s="780"/>
    </row>
    <row r="434" ht="12.75" customHeight="1">
      <c r="A434" s="521"/>
      <c r="B434" s="521"/>
      <c r="C434" s="515"/>
      <c r="D434" s="515"/>
      <c r="E434" s="515"/>
      <c r="F434" s="515"/>
      <c r="G434" s="515"/>
      <c r="H434" s="515"/>
      <c r="I434" s="515"/>
      <c r="J434" s="515"/>
      <c r="K434" s="515"/>
      <c r="L434" s="515"/>
      <c r="M434" s="515"/>
      <c r="N434" s="515"/>
      <c r="O434" s="533"/>
      <c r="P434" s="786"/>
      <c r="Q434" s="787"/>
      <c r="R434" s="787"/>
      <c r="S434" s="787"/>
      <c r="T434" s="786"/>
      <c r="U434" s="787"/>
      <c r="V434" s="787"/>
      <c r="W434" s="787"/>
      <c r="X434" s="786"/>
      <c r="Y434" s="787"/>
      <c r="Z434" s="787"/>
      <c r="AA434" s="787"/>
      <c r="AB434" s="786"/>
      <c r="AC434" s="787"/>
      <c r="AD434" s="787"/>
      <c r="AE434" s="787"/>
      <c r="AF434" s="786"/>
      <c r="AG434" s="787"/>
      <c r="AH434" s="787"/>
      <c r="AI434" s="787"/>
      <c r="AJ434" s="786"/>
      <c r="AK434" s="787"/>
      <c r="AL434" s="787"/>
      <c r="AM434" s="787"/>
      <c r="AN434" s="786"/>
      <c r="AO434" s="787"/>
      <c r="AP434" s="787"/>
      <c r="AQ434" s="787"/>
      <c r="AR434" s="786"/>
      <c r="AS434" s="787"/>
      <c r="AT434" s="787"/>
      <c r="AU434" s="787"/>
      <c r="AV434" s="786"/>
      <c r="AW434" s="787"/>
      <c r="AX434" s="787"/>
      <c r="AY434" s="787"/>
      <c r="AZ434" s="780"/>
      <c r="BA434" s="780"/>
      <c r="BB434" s="780"/>
      <c r="BC434" s="780"/>
      <c r="BD434" s="541"/>
      <c r="BE434" s="541"/>
      <c r="BF434" s="541"/>
      <c r="BG434" s="541"/>
      <c r="BH434" s="780"/>
      <c r="BI434" s="780"/>
      <c r="BJ434" s="780"/>
      <c r="BK434" s="780"/>
      <c r="BL434" s="780"/>
      <c r="BM434" s="780"/>
    </row>
    <row r="435" ht="12.75" customHeight="1">
      <c r="A435" s="521"/>
      <c r="B435" s="521"/>
      <c r="C435" s="515"/>
      <c r="D435" s="515"/>
      <c r="E435" s="515"/>
      <c r="F435" s="515"/>
      <c r="G435" s="515"/>
      <c r="H435" s="515"/>
      <c r="I435" s="515"/>
      <c r="J435" s="515"/>
      <c r="K435" s="515"/>
      <c r="L435" s="515"/>
      <c r="M435" s="515"/>
      <c r="N435" s="515"/>
      <c r="O435" s="533"/>
      <c r="P435" s="786"/>
      <c r="Q435" s="787"/>
      <c r="R435" s="787"/>
      <c r="S435" s="787"/>
      <c r="T435" s="786"/>
      <c r="U435" s="787"/>
      <c r="V435" s="787"/>
      <c r="W435" s="787"/>
      <c r="X435" s="786"/>
      <c r="Y435" s="787"/>
      <c r="Z435" s="787"/>
      <c r="AA435" s="787"/>
      <c r="AB435" s="786"/>
      <c r="AC435" s="787"/>
      <c r="AD435" s="787"/>
      <c r="AE435" s="787"/>
      <c r="AF435" s="786"/>
      <c r="AG435" s="787"/>
      <c r="AH435" s="787"/>
      <c r="AI435" s="787"/>
      <c r="AJ435" s="786"/>
      <c r="AK435" s="787"/>
      <c r="AL435" s="787"/>
      <c r="AM435" s="787"/>
      <c r="AN435" s="786"/>
      <c r="AO435" s="787"/>
      <c r="AP435" s="787"/>
      <c r="AQ435" s="787"/>
      <c r="AR435" s="786"/>
      <c r="AS435" s="787"/>
      <c r="AT435" s="787"/>
      <c r="AU435" s="787"/>
      <c r="AV435" s="786"/>
      <c r="AW435" s="787"/>
      <c r="AX435" s="787"/>
      <c r="AY435" s="787"/>
      <c r="AZ435" s="780"/>
      <c r="BA435" s="780"/>
      <c r="BB435" s="780"/>
      <c r="BC435" s="780"/>
      <c r="BD435" s="541"/>
      <c r="BE435" s="541"/>
      <c r="BF435" s="541"/>
      <c r="BG435" s="541"/>
      <c r="BH435" s="780"/>
      <c r="BI435" s="780"/>
      <c r="BJ435" s="780"/>
      <c r="BK435" s="780"/>
      <c r="BL435" s="780"/>
      <c r="BM435" s="780"/>
    </row>
    <row r="436" ht="12.75" customHeight="1">
      <c r="A436" s="521"/>
      <c r="B436" s="521"/>
      <c r="C436" s="515"/>
      <c r="D436" s="515"/>
      <c r="E436" s="515"/>
      <c r="F436" s="515"/>
      <c r="G436" s="515"/>
      <c r="H436" s="515"/>
      <c r="I436" s="515"/>
      <c r="J436" s="515"/>
      <c r="K436" s="515"/>
      <c r="L436" s="515"/>
      <c r="M436" s="515"/>
      <c r="N436" s="515"/>
      <c r="O436" s="533"/>
      <c r="P436" s="786"/>
      <c r="Q436" s="787"/>
      <c r="R436" s="787"/>
      <c r="S436" s="787"/>
      <c r="T436" s="786"/>
      <c r="U436" s="787"/>
      <c r="V436" s="787"/>
      <c r="W436" s="787"/>
      <c r="X436" s="786"/>
      <c r="Y436" s="787"/>
      <c r="Z436" s="787"/>
      <c r="AA436" s="787"/>
      <c r="AB436" s="786"/>
      <c r="AC436" s="787"/>
      <c r="AD436" s="787"/>
      <c r="AE436" s="787"/>
      <c r="AF436" s="786"/>
      <c r="AG436" s="787"/>
      <c r="AH436" s="787"/>
      <c r="AI436" s="787"/>
      <c r="AJ436" s="786"/>
      <c r="AK436" s="787"/>
      <c r="AL436" s="787"/>
      <c r="AM436" s="787"/>
      <c r="AN436" s="786"/>
      <c r="AO436" s="787"/>
      <c r="AP436" s="787"/>
      <c r="AQ436" s="787"/>
      <c r="AR436" s="786"/>
      <c r="AS436" s="787"/>
      <c r="AT436" s="787"/>
      <c r="AU436" s="787"/>
      <c r="AV436" s="786"/>
      <c r="AW436" s="787"/>
      <c r="AX436" s="787"/>
      <c r="AY436" s="787"/>
      <c r="AZ436" s="780"/>
      <c r="BA436" s="780"/>
      <c r="BB436" s="780"/>
      <c r="BC436" s="780"/>
      <c r="BD436" s="541"/>
      <c r="BE436" s="541"/>
      <c r="BF436" s="541"/>
      <c r="BG436" s="541"/>
      <c r="BH436" s="780"/>
      <c r="BI436" s="780"/>
      <c r="BJ436" s="780"/>
      <c r="BK436" s="780"/>
      <c r="BL436" s="780"/>
      <c r="BM436" s="780"/>
    </row>
    <row r="437" ht="12.75" customHeight="1">
      <c r="A437" s="521"/>
      <c r="B437" s="521"/>
      <c r="C437" s="515"/>
      <c r="D437" s="515"/>
      <c r="E437" s="515"/>
      <c r="F437" s="515"/>
      <c r="G437" s="515"/>
      <c r="H437" s="515"/>
      <c r="I437" s="515"/>
      <c r="J437" s="515"/>
      <c r="K437" s="515"/>
      <c r="L437" s="515"/>
      <c r="M437" s="515"/>
      <c r="N437" s="515"/>
      <c r="O437" s="533"/>
      <c r="P437" s="786"/>
      <c r="Q437" s="787"/>
      <c r="R437" s="787"/>
      <c r="S437" s="787"/>
      <c r="T437" s="786"/>
      <c r="U437" s="787"/>
      <c r="V437" s="787"/>
      <c r="W437" s="787"/>
      <c r="X437" s="786"/>
      <c r="Y437" s="787"/>
      <c r="Z437" s="787"/>
      <c r="AA437" s="787"/>
      <c r="AB437" s="786"/>
      <c r="AC437" s="787"/>
      <c r="AD437" s="787"/>
      <c r="AE437" s="787"/>
      <c r="AF437" s="786"/>
      <c r="AG437" s="787"/>
      <c r="AH437" s="787"/>
      <c r="AI437" s="787"/>
      <c r="AJ437" s="786"/>
      <c r="AK437" s="787"/>
      <c r="AL437" s="787"/>
      <c r="AM437" s="787"/>
      <c r="AN437" s="786"/>
      <c r="AO437" s="787"/>
      <c r="AP437" s="787"/>
      <c r="AQ437" s="787"/>
      <c r="AR437" s="786"/>
      <c r="AS437" s="787"/>
      <c r="AT437" s="787"/>
      <c r="AU437" s="787"/>
      <c r="AV437" s="786"/>
      <c r="AW437" s="787"/>
      <c r="AX437" s="787"/>
      <c r="AY437" s="787"/>
      <c r="AZ437" s="780"/>
      <c r="BA437" s="780"/>
      <c r="BB437" s="780"/>
      <c r="BC437" s="780"/>
      <c r="BD437" s="541"/>
      <c r="BE437" s="541"/>
      <c r="BF437" s="541"/>
      <c r="BG437" s="541"/>
      <c r="BH437" s="780"/>
      <c r="BI437" s="780"/>
      <c r="BJ437" s="780"/>
      <c r="BK437" s="780"/>
      <c r="BL437" s="780"/>
      <c r="BM437" s="780"/>
    </row>
    <row r="438" ht="12.75" customHeight="1">
      <c r="A438" s="521"/>
      <c r="B438" s="521"/>
      <c r="C438" s="515"/>
      <c r="D438" s="515"/>
      <c r="E438" s="515"/>
      <c r="F438" s="515"/>
      <c r="G438" s="515"/>
      <c r="H438" s="515"/>
      <c r="I438" s="515"/>
      <c r="J438" s="515"/>
      <c r="K438" s="515"/>
      <c r="L438" s="515"/>
      <c r="M438" s="515"/>
      <c r="N438" s="515"/>
      <c r="O438" s="533"/>
      <c r="P438" s="786"/>
      <c r="Q438" s="787"/>
      <c r="R438" s="787"/>
      <c r="S438" s="787"/>
      <c r="T438" s="786"/>
      <c r="U438" s="787"/>
      <c r="V438" s="787"/>
      <c r="W438" s="787"/>
      <c r="X438" s="786"/>
      <c r="Y438" s="787"/>
      <c r="Z438" s="787"/>
      <c r="AA438" s="787"/>
      <c r="AB438" s="786"/>
      <c r="AC438" s="787"/>
      <c r="AD438" s="787"/>
      <c r="AE438" s="787"/>
      <c r="AF438" s="786"/>
      <c r="AG438" s="787"/>
      <c r="AH438" s="787"/>
      <c r="AI438" s="787"/>
      <c r="AJ438" s="786"/>
      <c r="AK438" s="787"/>
      <c r="AL438" s="787"/>
      <c r="AM438" s="787"/>
      <c r="AN438" s="786"/>
      <c r="AO438" s="787"/>
      <c r="AP438" s="787"/>
      <c r="AQ438" s="787"/>
      <c r="AR438" s="786"/>
      <c r="AS438" s="787"/>
      <c r="AT438" s="787"/>
      <c r="AU438" s="787"/>
      <c r="AV438" s="786"/>
      <c r="AW438" s="787"/>
      <c r="AX438" s="787"/>
      <c r="AY438" s="787"/>
      <c r="AZ438" s="780"/>
      <c r="BA438" s="780"/>
      <c r="BB438" s="780"/>
      <c r="BC438" s="780"/>
      <c r="BD438" s="541"/>
      <c r="BE438" s="541"/>
      <c r="BF438" s="541"/>
      <c r="BG438" s="541"/>
      <c r="BH438" s="780"/>
      <c r="BI438" s="780"/>
      <c r="BJ438" s="780"/>
      <c r="BK438" s="780"/>
      <c r="BL438" s="780"/>
      <c r="BM438" s="780"/>
    </row>
    <row r="439" ht="12.75" customHeight="1">
      <c r="A439" s="521"/>
      <c r="B439" s="521"/>
      <c r="C439" s="515"/>
      <c r="D439" s="515"/>
      <c r="E439" s="515"/>
      <c r="F439" s="515"/>
      <c r="G439" s="515"/>
      <c r="H439" s="515"/>
      <c r="I439" s="515"/>
      <c r="J439" s="515"/>
      <c r="K439" s="515"/>
      <c r="L439" s="515"/>
      <c r="M439" s="515"/>
      <c r="N439" s="515"/>
      <c r="O439" s="533"/>
      <c r="P439" s="786"/>
      <c r="Q439" s="787"/>
      <c r="R439" s="787"/>
      <c r="S439" s="787"/>
      <c r="T439" s="786"/>
      <c r="U439" s="787"/>
      <c r="V439" s="787"/>
      <c r="W439" s="787"/>
      <c r="X439" s="786"/>
      <c r="Y439" s="787"/>
      <c r="Z439" s="787"/>
      <c r="AA439" s="787"/>
      <c r="AB439" s="786"/>
      <c r="AC439" s="787"/>
      <c r="AD439" s="787"/>
      <c r="AE439" s="787"/>
      <c r="AF439" s="786"/>
      <c r="AG439" s="787"/>
      <c r="AH439" s="787"/>
      <c r="AI439" s="787"/>
      <c r="AJ439" s="786"/>
      <c r="AK439" s="787"/>
      <c r="AL439" s="787"/>
      <c r="AM439" s="787"/>
      <c r="AN439" s="786"/>
      <c r="AO439" s="787"/>
      <c r="AP439" s="787"/>
      <c r="AQ439" s="787"/>
      <c r="AR439" s="786"/>
      <c r="AS439" s="787"/>
      <c r="AT439" s="787"/>
      <c r="AU439" s="787"/>
      <c r="AV439" s="786"/>
      <c r="AW439" s="787"/>
      <c r="AX439" s="787"/>
      <c r="AY439" s="787"/>
      <c r="AZ439" s="780"/>
      <c r="BA439" s="780"/>
      <c r="BB439" s="780"/>
      <c r="BC439" s="780"/>
      <c r="BD439" s="541"/>
      <c r="BE439" s="541"/>
      <c r="BF439" s="541"/>
      <c r="BG439" s="541"/>
      <c r="BH439" s="780"/>
      <c r="BI439" s="780"/>
      <c r="BJ439" s="780"/>
      <c r="BK439" s="780"/>
      <c r="BL439" s="780"/>
      <c r="BM439" s="780"/>
    </row>
    <row r="440" ht="12.75" customHeight="1">
      <c r="A440" s="521"/>
      <c r="B440" s="521"/>
      <c r="C440" s="515"/>
      <c r="D440" s="515"/>
      <c r="E440" s="515"/>
      <c r="F440" s="515"/>
      <c r="G440" s="515"/>
      <c r="H440" s="515"/>
      <c r="I440" s="515"/>
      <c r="J440" s="515"/>
      <c r="K440" s="515"/>
      <c r="L440" s="515"/>
      <c r="M440" s="515"/>
      <c r="N440" s="515"/>
      <c r="O440" s="533"/>
      <c r="P440" s="786"/>
      <c r="Q440" s="787"/>
      <c r="R440" s="787"/>
      <c r="S440" s="787"/>
      <c r="T440" s="786"/>
      <c r="U440" s="787"/>
      <c r="V440" s="787"/>
      <c r="W440" s="787"/>
      <c r="X440" s="786"/>
      <c r="Y440" s="787"/>
      <c r="Z440" s="787"/>
      <c r="AA440" s="787"/>
      <c r="AB440" s="786"/>
      <c r="AC440" s="787"/>
      <c r="AD440" s="787"/>
      <c r="AE440" s="787"/>
      <c r="AF440" s="786"/>
      <c r="AG440" s="787"/>
      <c r="AH440" s="787"/>
      <c r="AI440" s="787"/>
      <c r="AJ440" s="786"/>
      <c r="AK440" s="787"/>
      <c r="AL440" s="787"/>
      <c r="AM440" s="787"/>
      <c r="AN440" s="786"/>
      <c r="AO440" s="787"/>
      <c r="AP440" s="787"/>
      <c r="AQ440" s="787"/>
      <c r="AR440" s="786"/>
      <c r="AS440" s="787"/>
      <c r="AT440" s="787"/>
      <c r="AU440" s="787"/>
      <c r="AV440" s="786"/>
      <c r="AW440" s="787"/>
      <c r="AX440" s="787"/>
      <c r="AY440" s="787"/>
      <c r="AZ440" s="780"/>
      <c r="BA440" s="780"/>
      <c r="BB440" s="780"/>
      <c r="BC440" s="780"/>
      <c r="BD440" s="541"/>
      <c r="BE440" s="541"/>
      <c r="BF440" s="541"/>
      <c r="BG440" s="541"/>
      <c r="BH440" s="780"/>
      <c r="BI440" s="780"/>
      <c r="BJ440" s="780"/>
      <c r="BK440" s="780"/>
      <c r="BL440" s="780"/>
      <c r="BM440" s="780"/>
    </row>
    <row r="441" ht="12.75" customHeight="1">
      <c r="A441" s="521"/>
      <c r="B441" s="521"/>
      <c r="C441" s="515"/>
      <c r="D441" s="515"/>
      <c r="E441" s="515"/>
      <c r="F441" s="515"/>
      <c r="G441" s="515"/>
      <c r="H441" s="515"/>
      <c r="I441" s="515"/>
      <c r="J441" s="515"/>
      <c r="K441" s="515"/>
      <c r="L441" s="515"/>
      <c r="M441" s="515"/>
      <c r="N441" s="515"/>
      <c r="O441" s="533"/>
      <c r="P441" s="786"/>
      <c r="Q441" s="787"/>
      <c r="R441" s="787"/>
      <c r="S441" s="787"/>
      <c r="T441" s="786"/>
      <c r="U441" s="787"/>
      <c r="V441" s="787"/>
      <c r="W441" s="787"/>
      <c r="X441" s="786"/>
      <c r="Y441" s="787"/>
      <c r="Z441" s="787"/>
      <c r="AA441" s="787"/>
      <c r="AB441" s="786"/>
      <c r="AC441" s="787"/>
      <c r="AD441" s="787"/>
      <c r="AE441" s="787"/>
      <c r="AF441" s="786"/>
      <c r="AG441" s="787"/>
      <c r="AH441" s="787"/>
      <c r="AI441" s="787"/>
      <c r="AJ441" s="786"/>
      <c r="AK441" s="787"/>
      <c r="AL441" s="787"/>
      <c r="AM441" s="787"/>
      <c r="AN441" s="786"/>
      <c r="AO441" s="787"/>
      <c r="AP441" s="787"/>
      <c r="AQ441" s="787"/>
      <c r="AR441" s="786"/>
      <c r="AS441" s="787"/>
      <c r="AT441" s="787"/>
      <c r="AU441" s="787"/>
      <c r="AV441" s="786"/>
      <c r="AW441" s="787"/>
      <c r="AX441" s="787"/>
      <c r="AY441" s="787"/>
      <c r="AZ441" s="780"/>
      <c r="BA441" s="780"/>
      <c r="BB441" s="780"/>
      <c r="BC441" s="780"/>
      <c r="BD441" s="541"/>
      <c r="BE441" s="541"/>
      <c r="BF441" s="541"/>
      <c r="BG441" s="541"/>
      <c r="BH441" s="780"/>
      <c r="BI441" s="780"/>
      <c r="BJ441" s="780"/>
      <c r="BK441" s="780"/>
      <c r="BL441" s="780"/>
      <c r="BM441" s="780"/>
    </row>
    <row r="442" ht="12.75" customHeight="1">
      <c r="A442" s="521"/>
      <c r="B442" s="521"/>
      <c r="C442" s="515"/>
      <c r="D442" s="515"/>
      <c r="E442" s="515"/>
      <c r="F442" s="515"/>
      <c r="G442" s="515"/>
      <c r="H442" s="515"/>
      <c r="I442" s="515"/>
      <c r="J442" s="515"/>
      <c r="K442" s="515"/>
      <c r="L442" s="515"/>
      <c r="M442" s="515"/>
      <c r="N442" s="515"/>
      <c r="O442" s="533"/>
      <c r="P442" s="786"/>
      <c r="Q442" s="787"/>
      <c r="R442" s="787"/>
      <c r="S442" s="787"/>
      <c r="T442" s="786"/>
      <c r="U442" s="787"/>
      <c r="V442" s="787"/>
      <c r="W442" s="787"/>
      <c r="X442" s="786"/>
      <c r="Y442" s="787"/>
      <c r="Z442" s="787"/>
      <c r="AA442" s="787"/>
      <c r="AB442" s="786"/>
      <c r="AC442" s="787"/>
      <c r="AD442" s="787"/>
      <c r="AE442" s="787"/>
      <c r="AF442" s="786"/>
      <c r="AG442" s="787"/>
      <c r="AH442" s="787"/>
      <c r="AI442" s="787"/>
      <c r="AJ442" s="786"/>
      <c r="AK442" s="787"/>
      <c r="AL442" s="787"/>
      <c r="AM442" s="787"/>
      <c r="AN442" s="786"/>
      <c r="AO442" s="787"/>
      <c r="AP442" s="787"/>
      <c r="AQ442" s="787"/>
      <c r="AR442" s="786"/>
      <c r="AS442" s="787"/>
      <c r="AT442" s="787"/>
      <c r="AU442" s="787"/>
      <c r="AV442" s="786"/>
      <c r="AW442" s="787"/>
      <c r="AX442" s="787"/>
      <c r="AY442" s="787"/>
      <c r="AZ442" s="780"/>
      <c r="BA442" s="780"/>
      <c r="BB442" s="780"/>
      <c r="BC442" s="780"/>
      <c r="BD442" s="541"/>
      <c r="BE442" s="541"/>
      <c r="BF442" s="541"/>
      <c r="BG442" s="541"/>
      <c r="BH442" s="780"/>
      <c r="BI442" s="780"/>
      <c r="BJ442" s="780"/>
      <c r="BK442" s="780"/>
      <c r="BL442" s="780"/>
      <c r="BM442" s="780"/>
    </row>
    <row r="443" ht="12.75" customHeight="1">
      <c r="A443" s="521"/>
      <c r="B443" s="521"/>
      <c r="C443" s="515"/>
      <c r="D443" s="515"/>
      <c r="E443" s="515"/>
      <c r="F443" s="515"/>
      <c r="G443" s="515"/>
      <c r="H443" s="515"/>
      <c r="I443" s="515"/>
      <c r="J443" s="515"/>
      <c r="K443" s="515"/>
      <c r="L443" s="515"/>
      <c r="M443" s="515"/>
      <c r="N443" s="515"/>
      <c r="O443" s="533"/>
      <c r="P443" s="786"/>
      <c r="Q443" s="787"/>
      <c r="R443" s="787"/>
      <c r="S443" s="787"/>
      <c r="T443" s="786"/>
      <c r="U443" s="787"/>
      <c r="V443" s="787"/>
      <c r="W443" s="787"/>
      <c r="X443" s="786"/>
      <c r="Y443" s="787"/>
      <c r="Z443" s="787"/>
      <c r="AA443" s="787"/>
      <c r="AB443" s="786"/>
      <c r="AC443" s="787"/>
      <c r="AD443" s="787"/>
      <c r="AE443" s="787"/>
      <c r="AF443" s="786"/>
      <c r="AG443" s="787"/>
      <c r="AH443" s="787"/>
      <c r="AI443" s="787"/>
      <c r="AJ443" s="786"/>
      <c r="AK443" s="787"/>
      <c r="AL443" s="787"/>
      <c r="AM443" s="787"/>
      <c r="AN443" s="786"/>
      <c r="AO443" s="787"/>
      <c r="AP443" s="787"/>
      <c r="AQ443" s="787"/>
      <c r="AR443" s="786"/>
      <c r="AS443" s="787"/>
      <c r="AT443" s="787"/>
      <c r="AU443" s="787"/>
      <c r="AV443" s="786"/>
      <c r="AW443" s="787"/>
      <c r="AX443" s="787"/>
      <c r="AY443" s="787"/>
      <c r="AZ443" s="780"/>
      <c r="BA443" s="780"/>
      <c r="BB443" s="780"/>
      <c r="BC443" s="780"/>
      <c r="BD443" s="541"/>
      <c r="BE443" s="541"/>
      <c r="BF443" s="541"/>
      <c r="BG443" s="541"/>
      <c r="BH443" s="780"/>
      <c r="BI443" s="780"/>
      <c r="BJ443" s="780"/>
      <c r="BK443" s="780"/>
      <c r="BL443" s="780"/>
      <c r="BM443" s="780"/>
    </row>
    <row r="444" ht="12.75" customHeight="1">
      <c r="A444" s="521"/>
      <c r="B444" s="521"/>
      <c r="C444" s="515"/>
      <c r="D444" s="515"/>
      <c r="E444" s="515"/>
      <c r="F444" s="515"/>
      <c r="G444" s="515"/>
      <c r="H444" s="515"/>
      <c r="I444" s="515"/>
      <c r="J444" s="515"/>
      <c r="K444" s="515"/>
      <c r="L444" s="515"/>
      <c r="M444" s="515"/>
      <c r="N444" s="515"/>
      <c r="O444" s="533"/>
      <c r="P444" s="786"/>
      <c r="Q444" s="787"/>
      <c r="R444" s="787"/>
      <c r="S444" s="787"/>
      <c r="T444" s="786"/>
      <c r="U444" s="787"/>
      <c r="V444" s="787"/>
      <c r="W444" s="787"/>
      <c r="X444" s="786"/>
      <c r="Y444" s="787"/>
      <c r="Z444" s="787"/>
      <c r="AA444" s="787"/>
      <c r="AB444" s="786"/>
      <c r="AC444" s="787"/>
      <c r="AD444" s="787"/>
      <c r="AE444" s="787"/>
      <c r="AF444" s="786"/>
      <c r="AG444" s="787"/>
      <c r="AH444" s="787"/>
      <c r="AI444" s="787"/>
      <c r="AJ444" s="786"/>
      <c r="AK444" s="787"/>
      <c r="AL444" s="787"/>
      <c r="AM444" s="787"/>
      <c r="AN444" s="786"/>
      <c r="AO444" s="787"/>
      <c r="AP444" s="787"/>
      <c r="AQ444" s="787"/>
      <c r="AR444" s="786"/>
      <c r="AS444" s="787"/>
      <c r="AT444" s="787"/>
      <c r="AU444" s="787"/>
      <c r="AV444" s="786"/>
      <c r="AW444" s="787"/>
      <c r="AX444" s="787"/>
      <c r="AY444" s="787"/>
      <c r="AZ444" s="780"/>
      <c r="BA444" s="780"/>
      <c r="BB444" s="780"/>
      <c r="BC444" s="780"/>
      <c r="BD444" s="541"/>
      <c r="BE444" s="541"/>
      <c r="BF444" s="541"/>
      <c r="BG444" s="541"/>
      <c r="BH444" s="780"/>
      <c r="BI444" s="780"/>
      <c r="BJ444" s="780"/>
      <c r="BK444" s="780"/>
      <c r="BL444" s="780"/>
      <c r="BM444" s="780"/>
    </row>
    <row r="445" ht="12.75" customHeight="1">
      <c r="A445" s="521"/>
      <c r="B445" s="521"/>
      <c r="C445" s="515"/>
      <c r="D445" s="515"/>
      <c r="E445" s="515"/>
      <c r="F445" s="515"/>
      <c r="G445" s="515"/>
      <c r="H445" s="515"/>
      <c r="I445" s="515"/>
      <c r="J445" s="515"/>
      <c r="K445" s="515"/>
      <c r="L445" s="515"/>
      <c r="M445" s="515"/>
      <c r="N445" s="515"/>
      <c r="O445" s="533"/>
      <c r="P445" s="786"/>
      <c r="Q445" s="787"/>
      <c r="R445" s="787"/>
      <c r="S445" s="787"/>
      <c r="T445" s="786"/>
      <c r="U445" s="787"/>
      <c r="V445" s="787"/>
      <c r="W445" s="787"/>
      <c r="X445" s="786"/>
      <c r="Y445" s="787"/>
      <c r="Z445" s="787"/>
      <c r="AA445" s="787"/>
      <c r="AB445" s="786"/>
      <c r="AC445" s="787"/>
      <c r="AD445" s="787"/>
      <c r="AE445" s="787"/>
      <c r="AF445" s="786"/>
      <c r="AG445" s="787"/>
      <c r="AH445" s="787"/>
      <c r="AI445" s="787"/>
      <c r="AJ445" s="786"/>
      <c r="AK445" s="787"/>
      <c r="AL445" s="787"/>
      <c r="AM445" s="787"/>
      <c r="AN445" s="786"/>
      <c r="AO445" s="787"/>
      <c r="AP445" s="787"/>
      <c r="AQ445" s="787"/>
      <c r="AR445" s="786"/>
      <c r="AS445" s="787"/>
      <c r="AT445" s="787"/>
      <c r="AU445" s="787"/>
      <c r="AV445" s="786"/>
      <c r="AW445" s="787"/>
      <c r="AX445" s="787"/>
      <c r="AY445" s="787"/>
      <c r="AZ445" s="780"/>
      <c r="BA445" s="780"/>
      <c r="BB445" s="780"/>
      <c r="BC445" s="780"/>
      <c r="BD445" s="541"/>
      <c r="BE445" s="541"/>
      <c r="BF445" s="541"/>
      <c r="BG445" s="541"/>
      <c r="BH445" s="780"/>
      <c r="BI445" s="780"/>
      <c r="BJ445" s="780"/>
      <c r="BK445" s="780"/>
      <c r="BL445" s="780"/>
      <c r="BM445" s="780"/>
    </row>
    <row r="446" ht="12.75" customHeight="1">
      <c r="A446" s="521"/>
      <c r="B446" s="521"/>
      <c r="C446" s="515"/>
      <c r="D446" s="515"/>
      <c r="E446" s="515"/>
      <c r="F446" s="515"/>
      <c r="G446" s="515"/>
      <c r="H446" s="515"/>
      <c r="I446" s="515"/>
      <c r="J446" s="515"/>
      <c r="K446" s="515"/>
      <c r="L446" s="515"/>
      <c r="M446" s="515"/>
      <c r="N446" s="515"/>
      <c r="O446" s="533"/>
      <c r="P446" s="786"/>
      <c r="Q446" s="787"/>
      <c r="R446" s="787"/>
      <c r="S446" s="787"/>
      <c r="T446" s="786"/>
      <c r="U446" s="787"/>
      <c r="V446" s="787"/>
      <c r="W446" s="787"/>
      <c r="X446" s="786"/>
      <c r="Y446" s="787"/>
      <c r="Z446" s="787"/>
      <c r="AA446" s="787"/>
      <c r="AB446" s="786"/>
      <c r="AC446" s="787"/>
      <c r="AD446" s="787"/>
      <c r="AE446" s="787"/>
      <c r="AF446" s="786"/>
      <c r="AG446" s="787"/>
      <c r="AH446" s="787"/>
      <c r="AI446" s="787"/>
      <c r="AJ446" s="786"/>
      <c r="AK446" s="787"/>
      <c r="AL446" s="787"/>
      <c r="AM446" s="787"/>
      <c r="AN446" s="786"/>
      <c r="AO446" s="787"/>
      <c r="AP446" s="787"/>
      <c r="AQ446" s="787"/>
      <c r="AR446" s="786"/>
      <c r="AS446" s="787"/>
      <c r="AT446" s="787"/>
      <c r="AU446" s="787"/>
      <c r="AV446" s="786"/>
      <c r="AW446" s="787"/>
      <c r="AX446" s="787"/>
      <c r="AY446" s="787"/>
      <c r="AZ446" s="780"/>
      <c r="BA446" s="780"/>
      <c r="BB446" s="780"/>
      <c r="BC446" s="780"/>
      <c r="BD446" s="541"/>
      <c r="BE446" s="541"/>
      <c r="BF446" s="541"/>
      <c r="BG446" s="541"/>
      <c r="BH446" s="780"/>
      <c r="BI446" s="780"/>
      <c r="BJ446" s="780"/>
      <c r="BK446" s="780"/>
      <c r="BL446" s="780"/>
      <c r="BM446" s="780"/>
    </row>
    <row r="447" ht="12.75" customHeight="1">
      <c r="A447" s="521"/>
      <c r="B447" s="521"/>
      <c r="C447" s="515"/>
      <c r="D447" s="515"/>
      <c r="E447" s="515"/>
      <c r="F447" s="515"/>
      <c r="G447" s="515"/>
      <c r="H447" s="515"/>
      <c r="I447" s="515"/>
      <c r="J447" s="515"/>
      <c r="K447" s="515"/>
      <c r="L447" s="515"/>
      <c r="M447" s="515"/>
      <c r="N447" s="515"/>
      <c r="O447" s="533"/>
      <c r="P447" s="786"/>
      <c r="Q447" s="787"/>
      <c r="R447" s="787"/>
      <c r="S447" s="787"/>
      <c r="T447" s="786"/>
      <c r="U447" s="787"/>
      <c r="V447" s="787"/>
      <c r="W447" s="787"/>
      <c r="X447" s="786"/>
      <c r="Y447" s="787"/>
      <c r="Z447" s="787"/>
      <c r="AA447" s="787"/>
      <c r="AB447" s="786"/>
      <c r="AC447" s="787"/>
      <c r="AD447" s="787"/>
      <c r="AE447" s="787"/>
      <c r="AF447" s="786"/>
      <c r="AG447" s="787"/>
      <c r="AH447" s="787"/>
      <c r="AI447" s="787"/>
      <c r="AJ447" s="786"/>
      <c r="AK447" s="787"/>
      <c r="AL447" s="787"/>
      <c r="AM447" s="787"/>
      <c r="AN447" s="786"/>
      <c r="AO447" s="787"/>
      <c r="AP447" s="787"/>
      <c r="AQ447" s="787"/>
      <c r="AR447" s="786"/>
      <c r="AS447" s="787"/>
      <c r="AT447" s="787"/>
      <c r="AU447" s="787"/>
      <c r="AV447" s="786"/>
      <c r="AW447" s="787"/>
      <c r="AX447" s="787"/>
      <c r="AY447" s="787"/>
      <c r="AZ447" s="780"/>
      <c r="BA447" s="780"/>
      <c r="BB447" s="780"/>
      <c r="BC447" s="780"/>
      <c r="BD447" s="541"/>
      <c r="BE447" s="541"/>
      <c r="BF447" s="541"/>
      <c r="BG447" s="541"/>
      <c r="BH447" s="780"/>
      <c r="BI447" s="780"/>
      <c r="BJ447" s="780"/>
      <c r="BK447" s="780"/>
      <c r="BL447" s="780"/>
      <c r="BM447" s="780"/>
    </row>
    <row r="448" ht="12.75" customHeight="1">
      <c r="A448" s="521"/>
      <c r="B448" s="521"/>
      <c r="C448" s="515"/>
      <c r="D448" s="515"/>
      <c r="E448" s="515"/>
      <c r="F448" s="515"/>
      <c r="G448" s="515"/>
      <c r="H448" s="515"/>
      <c r="I448" s="515"/>
      <c r="J448" s="515"/>
      <c r="K448" s="515"/>
      <c r="L448" s="515"/>
      <c r="M448" s="515"/>
      <c r="N448" s="515"/>
      <c r="O448" s="533"/>
      <c r="P448" s="786"/>
      <c r="Q448" s="787"/>
      <c r="R448" s="787"/>
      <c r="S448" s="787"/>
      <c r="T448" s="786"/>
      <c r="U448" s="787"/>
      <c r="V448" s="787"/>
      <c r="W448" s="787"/>
      <c r="X448" s="786"/>
      <c r="Y448" s="787"/>
      <c r="Z448" s="787"/>
      <c r="AA448" s="787"/>
      <c r="AB448" s="786"/>
      <c r="AC448" s="787"/>
      <c r="AD448" s="787"/>
      <c r="AE448" s="787"/>
      <c r="AF448" s="786"/>
      <c r="AG448" s="787"/>
      <c r="AH448" s="787"/>
      <c r="AI448" s="787"/>
      <c r="AJ448" s="786"/>
      <c r="AK448" s="787"/>
      <c r="AL448" s="787"/>
      <c r="AM448" s="787"/>
      <c r="AN448" s="786"/>
      <c r="AO448" s="787"/>
      <c r="AP448" s="787"/>
      <c r="AQ448" s="787"/>
      <c r="AR448" s="786"/>
      <c r="AS448" s="787"/>
      <c r="AT448" s="787"/>
      <c r="AU448" s="787"/>
      <c r="AV448" s="786"/>
      <c r="AW448" s="787"/>
      <c r="AX448" s="787"/>
      <c r="AY448" s="787"/>
      <c r="AZ448" s="780"/>
      <c r="BA448" s="780"/>
      <c r="BB448" s="780"/>
      <c r="BC448" s="780"/>
      <c r="BD448" s="541"/>
      <c r="BE448" s="541"/>
      <c r="BF448" s="541"/>
      <c r="BG448" s="541"/>
      <c r="BH448" s="780"/>
      <c r="BI448" s="780"/>
      <c r="BJ448" s="780"/>
      <c r="BK448" s="780"/>
      <c r="BL448" s="780"/>
      <c r="BM448" s="780"/>
    </row>
    <row r="449" ht="12.75" customHeight="1">
      <c r="A449" s="521"/>
      <c r="B449" s="521"/>
      <c r="C449" s="515"/>
      <c r="D449" s="515"/>
      <c r="E449" s="515"/>
      <c r="F449" s="515"/>
      <c r="G449" s="515"/>
      <c r="H449" s="515"/>
      <c r="I449" s="515"/>
      <c r="J449" s="515"/>
      <c r="K449" s="515"/>
      <c r="L449" s="515"/>
      <c r="M449" s="515"/>
      <c r="N449" s="515"/>
      <c r="O449" s="533"/>
      <c r="P449" s="786"/>
      <c r="Q449" s="787"/>
      <c r="R449" s="787"/>
      <c r="S449" s="787"/>
      <c r="T449" s="786"/>
      <c r="U449" s="787"/>
      <c r="V449" s="787"/>
      <c r="W449" s="787"/>
      <c r="X449" s="786"/>
      <c r="Y449" s="787"/>
      <c r="Z449" s="787"/>
      <c r="AA449" s="787"/>
      <c r="AB449" s="786"/>
      <c r="AC449" s="787"/>
      <c r="AD449" s="787"/>
      <c r="AE449" s="787"/>
      <c r="AF449" s="786"/>
      <c r="AG449" s="787"/>
      <c r="AH449" s="787"/>
      <c r="AI449" s="787"/>
      <c r="AJ449" s="786"/>
      <c r="AK449" s="787"/>
      <c r="AL449" s="787"/>
      <c r="AM449" s="787"/>
      <c r="AN449" s="786"/>
      <c r="AO449" s="787"/>
      <c r="AP449" s="787"/>
      <c r="AQ449" s="787"/>
      <c r="AR449" s="786"/>
      <c r="AS449" s="787"/>
      <c r="AT449" s="787"/>
      <c r="AU449" s="787"/>
      <c r="AV449" s="786"/>
      <c r="AW449" s="787"/>
      <c r="AX449" s="787"/>
      <c r="AY449" s="787"/>
      <c r="AZ449" s="780"/>
      <c r="BA449" s="780"/>
      <c r="BB449" s="780"/>
      <c r="BC449" s="780"/>
      <c r="BD449" s="541"/>
      <c r="BE449" s="541"/>
      <c r="BF449" s="541"/>
      <c r="BG449" s="541"/>
      <c r="BH449" s="780"/>
      <c r="BI449" s="780"/>
      <c r="BJ449" s="780"/>
      <c r="BK449" s="780"/>
      <c r="BL449" s="780"/>
      <c r="BM449" s="780"/>
    </row>
    <row r="450" ht="12.75" customHeight="1">
      <c r="A450" s="521"/>
      <c r="B450" s="521"/>
      <c r="C450" s="515"/>
      <c r="D450" s="515"/>
      <c r="E450" s="515"/>
      <c r="F450" s="515"/>
      <c r="G450" s="515"/>
      <c r="H450" s="515"/>
      <c r="I450" s="515"/>
      <c r="J450" s="515"/>
      <c r="K450" s="515"/>
      <c r="L450" s="515"/>
      <c r="M450" s="515"/>
      <c r="N450" s="515"/>
      <c r="O450" s="533"/>
      <c r="P450" s="786"/>
      <c r="Q450" s="787"/>
      <c r="R450" s="787"/>
      <c r="S450" s="787"/>
      <c r="T450" s="786"/>
      <c r="U450" s="787"/>
      <c r="V450" s="787"/>
      <c r="W450" s="787"/>
      <c r="X450" s="786"/>
      <c r="Y450" s="787"/>
      <c r="Z450" s="787"/>
      <c r="AA450" s="787"/>
      <c r="AB450" s="786"/>
      <c r="AC450" s="787"/>
      <c r="AD450" s="787"/>
      <c r="AE450" s="787"/>
      <c r="AF450" s="786"/>
      <c r="AG450" s="787"/>
      <c r="AH450" s="787"/>
      <c r="AI450" s="787"/>
      <c r="AJ450" s="786"/>
      <c r="AK450" s="787"/>
      <c r="AL450" s="787"/>
      <c r="AM450" s="787"/>
      <c r="AN450" s="786"/>
      <c r="AO450" s="787"/>
      <c r="AP450" s="787"/>
      <c r="AQ450" s="787"/>
      <c r="AR450" s="786"/>
      <c r="AS450" s="787"/>
      <c r="AT450" s="787"/>
      <c r="AU450" s="787"/>
      <c r="AV450" s="786"/>
      <c r="AW450" s="787"/>
      <c r="AX450" s="787"/>
      <c r="AY450" s="787"/>
      <c r="AZ450" s="780"/>
      <c r="BA450" s="780"/>
      <c r="BB450" s="780"/>
      <c r="BC450" s="780"/>
      <c r="BD450" s="541"/>
      <c r="BE450" s="541"/>
      <c r="BF450" s="541"/>
      <c r="BG450" s="541"/>
      <c r="BH450" s="780"/>
      <c r="BI450" s="780"/>
      <c r="BJ450" s="780"/>
      <c r="BK450" s="780"/>
      <c r="BL450" s="780"/>
      <c r="BM450" s="780"/>
    </row>
    <row r="451" ht="12.75" customHeight="1">
      <c r="A451" s="521"/>
      <c r="B451" s="521"/>
      <c r="C451" s="515"/>
      <c r="D451" s="515"/>
      <c r="E451" s="515"/>
      <c r="F451" s="515"/>
      <c r="G451" s="515"/>
      <c r="H451" s="515"/>
      <c r="I451" s="515"/>
      <c r="J451" s="515"/>
      <c r="K451" s="515"/>
      <c r="L451" s="515"/>
      <c r="M451" s="515"/>
      <c r="N451" s="515"/>
      <c r="O451" s="533"/>
      <c r="P451" s="786"/>
      <c r="Q451" s="787"/>
      <c r="R451" s="787"/>
      <c r="S451" s="787"/>
      <c r="T451" s="786"/>
      <c r="U451" s="787"/>
      <c r="V451" s="787"/>
      <c r="W451" s="787"/>
      <c r="X451" s="786"/>
      <c r="Y451" s="787"/>
      <c r="Z451" s="787"/>
      <c r="AA451" s="787"/>
      <c r="AB451" s="786"/>
      <c r="AC451" s="787"/>
      <c r="AD451" s="787"/>
      <c r="AE451" s="787"/>
      <c r="AF451" s="786"/>
      <c r="AG451" s="787"/>
      <c r="AH451" s="787"/>
      <c r="AI451" s="787"/>
      <c r="AJ451" s="786"/>
      <c r="AK451" s="787"/>
      <c r="AL451" s="787"/>
      <c r="AM451" s="787"/>
      <c r="AN451" s="786"/>
      <c r="AO451" s="787"/>
      <c r="AP451" s="787"/>
      <c r="AQ451" s="787"/>
      <c r="AR451" s="786"/>
      <c r="AS451" s="787"/>
      <c r="AT451" s="787"/>
      <c r="AU451" s="787"/>
      <c r="AV451" s="786"/>
      <c r="AW451" s="787"/>
      <c r="AX451" s="787"/>
      <c r="AY451" s="787"/>
      <c r="AZ451" s="780"/>
      <c r="BA451" s="780"/>
      <c r="BB451" s="780"/>
      <c r="BC451" s="780"/>
      <c r="BD451" s="541"/>
      <c r="BE451" s="541"/>
      <c r="BF451" s="541"/>
      <c r="BG451" s="541"/>
      <c r="BH451" s="780"/>
      <c r="BI451" s="780"/>
      <c r="BJ451" s="780"/>
      <c r="BK451" s="780"/>
      <c r="BL451" s="780"/>
      <c r="BM451" s="780"/>
    </row>
    <row r="452" ht="12.75" customHeight="1">
      <c r="A452" s="521"/>
      <c r="B452" s="521"/>
      <c r="C452" s="515"/>
      <c r="D452" s="515"/>
      <c r="E452" s="515"/>
      <c r="F452" s="515"/>
      <c r="G452" s="515"/>
      <c r="H452" s="515"/>
      <c r="I452" s="515"/>
      <c r="J452" s="515"/>
      <c r="K452" s="515"/>
      <c r="L452" s="515"/>
      <c r="M452" s="515"/>
      <c r="N452" s="515"/>
      <c r="O452" s="533"/>
      <c r="P452" s="786"/>
      <c r="Q452" s="787"/>
      <c r="R452" s="787"/>
      <c r="S452" s="787"/>
      <c r="T452" s="786"/>
      <c r="U452" s="787"/>
      <c r="V452" s="787"/>
      <c r="W452" s="787"/>
      <c r="X452" s="786"/>
      <c r="Y452" s="787"/>
      <c r="Z452" s="787"/>
      <c r="AA452" s="787"/>
      <c r="AB452" s="786"/>
      <c r="AC452" s="787"/>
      <c r="AD452" s="787"/>
      <c r="AE452" s="787"/>
      <c r="AF452" s="786"/>
      <c r="AG452" s="787"/>
      <c r="AH452" s="787"/>
      <c r="AI452" s="787"/>
      <c r="AJ452" s="786"/>
      <c r="AK452" s="787"/>
      <c r="AL452" s="787"/>
      <c r="AM452" s="787"/>
      <c r="AN452" s="786"/>
      <c r="AO452" s="787"/>
      <c r="AP452" s="787"/>
      <c r="AQ452" s="787"/>
      <c r="AR452" s="786"/>
      <c r="AS452" s="787"/>
      <c r="AT452" s="787"/>
      <c r="AU452" s="787"/>
      <c r="AV452" s="786"/>
      <c r="AW452" s="787"/>
      <c r="AX452" s="787"/>
      <c r="AY452" s="787"/>
      <c r="AZ452" s="780"/>
      <c r="BA452" s="780"/>
      <c r="BB452" s="780"/>
      <c r="BC452" s="780"/>
      <c r="BD452" s="541"/>
      <c r="BE452" s="541"/>
      <c r="BF452" s="541"/>
      <c r="BG452" s="541"/>
      <c r="BH452" s="780"/>
      <c r="BI452" s="780"/>
      <c r="BJ452" s="780"/>
      <c r="BK452" s="780"/>
      <c r="BL452" s="780"/>
      <c r="BM452" s="780"/>
    </row>
    <row r="453" ht="12.75" customHeight="1">
      <c r="A453" s="521"/>
      <c r="B453" s="521"/>
      <c r="C453" s="515"/>
      <c r="D453" s="515"/>
      <c r="E453" s="515"/>
      <c r="F453" s="515"/>
      <c r="G453" s="515"/>
      <c r="H453" s="515"/>
      <c r="I453" s="515"/>
      <c r="J453" s="515"/>
      <c r="K453" s="515"/>
      <c r="L453" s="515"/>
      <c r="M453" s="515"/>
      <c r="N453" s="515"/>
      <c r="O453" s="533"/>
      <c r="P453" s="786"/>
      <c r="Q453" s="787"/>
      <c r="R453" s="787"/>
      <c r="S453" s="787"/>
      <c r="T453" s="786"/>
      <c r="U453" s="787"/>
      <c r="V453" s="787"/>
      <c r="W453" s="787"/>
      <c r="X453" s="786"/>
      <c r="Y453" s="787"/>
      <c r="Z453" s="787"/>
      <c r="AA453" s="787"/>
      <c r="AB453" s="786"/>
      <c r="AC453" s="787"/>
      <c r="AD453" s="787"/>
      <c r="AE453" s="787"/>
      <c r="AF453" s="786"/>
      <c r="AG453" s="787"/>
      <c r="AH453" s="787"/>
      <c r="AI453" s="787"/>
      <c r="AJ453" s="786"/>
      <c r="AK453" s="787"/>
      <c r="AL453" s="787"/>
      <c r="AM453" s="787"/>
      <c r="AN453" s="786"/>
      <c r="AO453" s="787"/>
      <c r="AP453" s="787"/>
      <c r="AQ453" s="787"/>
      <c r="AR453" s="786"/>
      <c r="AS453" s="787"/>
      <c r="AT453" s="787"/>
      <c r="AU453" s="787"/>
      <c r="AV453" s="786"/>
      <c r="AW453" s="787"/>
      <c r="AX453" s="787"/>
      <c r="AY453" s="787"/>
      <c r="AZ453" s="780"/>
      <c r="BA453" s="780"/>
      <c r="BB453" s="780"/>
      <c r="BC453" s="780"/>
      <c r="BD453" s="541"/>
      <c r="BE453" s="541"/>
      <c r="BF453" s="541"/>
      <c r="BG453" s="541"/>
      <c r="BH453" s="780"/>
      <c r="BI453" s="780"/>
      <c r="BJ453" s="780"/>
      <c r="BK453" s="780"/>
      <c r="BL453" s="780"/>
      <c r="BM453" s="780"/>
    </row>
    <row r="454" ht="12.75" customHeight="1">
      <c r="A454" s="521"/>
      <c r="B454" s="521"/>
      <c r="C454" s="515"/>
      <c r="D454" s="515"/>
      <c r="E454" s="515"/>
      <c r="F454" s="515"/>
      <c r="G454" s="515"/>
      <c r="H454" s="515"/>
      <c r="I454" s="515"/>
      <c r="J454" s="515"/>
      <c r="K454" s="515"/>
      <c r="L454" s="515"/>
      <c r="M454" s="515"/>
      <c r="N454" s="515"/>
      <c r="O454" s="533"/>
      <c r="P454" s="786"/>
      <c r="Q454" s="787"/>
      <c r="R454" s="787"/>
      <c r="S454" s="787"/>
      <c r="T454" s="786"/>
      <c r="U454" s="787"/>
      <c r="V454" s="787"/>
      <c r="W454" s="787"/>
      <c r="X454" s="786"/>
      <c r="Y454" s="787"/>
      <c r="Z454" s="787"/>
      <c r="AA454" s="787"/>
      <c r="AB454" s="786"/>
      <c r="AC454" s="787"/>
      <c r="AD454" s="787"/>
      <c r="AE454" s="787"/>
      <c r="AF454" s="786"/>
      <c r="AG454" s="787"/>
      <c r="AH454" s="787"/>
      <c r="AI454" s="787"/>
      <c r="AJ454" s="786"/>
      <c r="AK454" s="787"/>
      <c r="AL454" s="787"/>
      <c r="AM454" s="787"/>
      <c r="AN454" s="786"/>
      <c r="AO454" s="787"/>
      <c r="AP454" s="787"/>
      <c r="AQ454" s="787"/>
      <c r="AR454" s="786"/>
      <c r="AS454" s="787"/>
      <c r="AT454" s="787"/>
      <c r="AU454" s="787"/>
      <c r="AV454" s="786"/>
      <c r="AW454" s="787"/>
      <c r="AX454" s="787"/>
      <c r="AY454" s="787"/>
      <c r="AZ454" s="780"/>
      <c r="BA454" s="780"/>
      <c r="BB454" s="780"/>
      <c r="BC454" s="780"/>
      <c r="BD454" s="541"/>
      <c r="BE454" s="541"/>
      <c r="BF454" s="541"/>
      <c r="BG454" s="541"/>
      <c r="BH454" s="780"/>
      <c r="BI454" s="780"/>
      <c r="BJ454" s="780"/>
      <c r="BK454" s="780"/>
      <c r="BL454" s="780"/>
      <c r="BM454" s="780"/>
    </row>
    <row r="455" ht="12.75" customHeight="1">
      <c r="A455" s="521"/>
      <c r="B455" s="521"/>
      <c r="C455" s="515"/>
      <c r="D455" s="515"/>
      <c r="E455" s="515"/>
      <c r="F455" s="515"/>
      <c r="G455" s="515"/>
      <c r="H455" s="515"/>
      <c r="I455" s="515"/>
      <c r="J455" s="515"/>
      <c r="K455" s="515"/>
      <c r="L455" s="515"/>
      <c r="M455" s="515"/>
      <c r="N455" s="515"/>
      <c r="O455" s="533"/>
      <c r="P455" s="786"/>
      <c r="Q455" s="787"/>
      <c r="R455" s="787"/>
      <c r="S455" s="787"/>
      <c r="T455" s="786"/>
      <c r="U455" s="787"/>
      <c r="V455" s="787"/>
      <c r="W455" s="787"/>
      <c r="X455" s="786"/>
      <c r="Y455" s="787"/>
      <c r="Z455" s="787"/>
      <c r="AA455" s="787"/>
      <c r="AB455" s="786"/>
      <c r="AC455" s="787"/>
      <c r="AD455" s="787"/>
      <c r="AE455" s="787"/>
      <c r="AF455" s="786"/>
      <c r="AG455" s="787"/>
      <c r="AH455" s="787"/>
      <c r="AI455" s="787"/>
      <c r="AJ455" s="786"/>
      <c r="AK455" s="787"/>
      <c r="AL455" s="787"/>
      <c r="AM455" s="787"/>
      <c r="AN455" s="786"/>
      <c r="AO455" s="787"/>
      <c r="AP455" s="787"/>
      <c r="AQ455" s="787"/>
      <c r="AR455" s="786"/>
      <c r="AS455" s="787"/>
      <c r="AT455" s="787"/>
      <c r="AU455" s="787"/>
      <c r="AV455" s="786"/>
      <c r="AW455" s="787"/>
      <c r="AX455" s="787"/>
      <c r="AY455" s="787"/>
      <c r="AZ455" s="780"/>
      <c r="BA455" s="780"/>
      <c r="BB455" s="780"/>
      <c r="BC455" s="780"/>
      <c r="BD455" s="541"/>
      <c r="BE455" s="541"/>
      <c r="BF455" s="541"/>
      <c r="BG455" s="541"/>
      <c r="BH455" s="780"/>
      <c r="BI455" s="780"/>
      <c r="BJ455" s="780"/>
      <c r="BK455" s="780"/>
      <c r="BL455" s="780"/>
      <c r="BM455" s="780"/>
    </row>
    <row r="456" ht="12.75" customHeight="1">
      <c r="A456" s="521"/>
      <c r="B456" s="521"/>
      <c r="C456" s="515"/>
      <c r="D456" s="515"/>
      <c r="E456" s="515"/>
      <c r="F456" s="515"/>
      <c r="G456" s="515"/>
      <c r="H456" s="515"/>
      <c r="I456" s="515"/>
      <c r="J456" s="515"/>
      <c r="K456" s="515"/>
      <c r="L456" s="515"/>
      <c r="M456" s="515"/>
      <c r="N456" s="515"/>
      <c r="O456" s="533"/>
      <c r="P456" s="786"/>
      <c r="Q456" s="787"/>
      <c r="R456" s="787"/>
      <c r="S456" s="787"/>
      <c r="T456" s="786"/>
      <c r="U456" s="787"/>
      <c r="V456" s="787"/>
      <c r="W456" s="787"/>
      <c r="X456" s="786"/>
      <c r="Y456" s="787"/>
      <c r="Z456" s="787"/>
      <c r="AA456" s="787"/>
      <c r="AB456" s="786"/>
      <c r="AC456" s="787"/>
      <c r="AD456" s="787"/>
      <c r="AE456" s="787"/>
      <c r="AF456" s="786"/>
      <c r="AG456" s="787"/>
      <c r="AH456" s="787"/>
      <c r="AI456" s="787"/>
      <c r="AJ456" s="786"/>
      <c r="AK456" s="787"/>
      <c r="AL456" s="787"/>
      <c r="AM456" s="787"/>
      <c r="AN456" s="786"/>
      <c r="AO456" s="787"/>
      <c r="AP456" s="787"/>
      <c r="AQ456" s="787"/>
      <c r="AR456" s="786"/>
      <c r="AS456" s="787"/>
      <c r="AT456" s="787"/>
      <c r="AU456" s="787"/>
      <c r="AV456" s="786"/>
      <c r="AW456" s="787"/>
      <c r="AX456" s="787"/>
      <c r="AY456" s="787"/>
      <c r="AZ456" s="780"/>
      <c r="BA456" s="780"/>
      <c r="BB456" s="780"/>
      <c r="BC456" s="780"/>
      <c r="BD456" s="541"/>
      <c r="BE456" s="541"/>
      <c r="BF456" s="541"/>
      <c r="BG456" s="541"/>
      <c r="BH456" s="780"/>
      <c r="BI456" s="780"/>
      <c r="BJ456" s="780"/>
      <c r="BK456" s="780"/>
      <c r="BL456" s="780"/>
      <c r="BM456" s="780"/>
    </row>
    <row r="457" ht="12.75" customHeight="1">
      <c r="A457" s="521"/>
      <c r="B457" s="521"/>
      <c r="C457" s="515"/>
      <c r="D457" s="515"/>
      <c r="E457" s="515"/>
      <c r="F457" s="515"/>
      <c r="G457" s="515"/>
      <c r="H457" s="515"/>
      <c r="I457" s="515"/>
      <c r="J457" s="515"/>
      <c r="K457" s="515"/>
      <c r="L457" s="515"/>
      <c r="M457" s="515"/>
      <c r="N457" s="515"/>
      <c r="O457" s="533"/>
      <c r="P457" s="786"/>
      <c r="Q457" s="787"/>
      <c r="R457" s="787"/>
      <c r="S457" s="787"/>
      <c r="T457" s="786"/>
      <c r="U457" s="787"/>
      <c r="V457" s="787"/>
      <c r="W457" s="787"/>
      <c r="X457" s="786"/>
      <c r="Y457" s="787"/>
      <c r="Z457" s="787"/>
      <c r="AA457" s="787"/>
      <c r="AB457" s="786"/>
      <c r="AC457" s="787"/>
      <c r="AD457" s="787"/>
      <c r="AE457" s="787"/>
      <c r="AF457" s="786"/>
      <c r="AG457" s="787"/>
      <c r="AH457" s="787"/>
      <c r="AI457" s="787"/>
      <c r="AJ457" s="786"/>
      <c r="AK457" s="787"/>
      <c r="AL457" s="787"/>
      <c r="AM457" s="787"/>
      <c r="AN457" s="786"/>
      <c r="AO457" s="787"/>
      <c r="AP457" s="787"/>
      <c r="AQ457" s="787"/>
      <c r="AR457" s="786"/>
      <c r="AS457" s="787"/>
      <c r="AT457" s="787"/>
      <c r="AU457" s="787"/>
      <c r="AV457" s="786"/>
      <c r="AW457" s="787"/>
      <c r="AX457" s="787"/>
      <c r="AY457" s="787"/>
      <c r="AZ457" s="780"/>
      <c r="BA457" s="780"/>
      <c r="BB457" s="780"/>
      <c r="BC457" s="780"/>
      <c r="BD457" s="541"/>
      <c r="BE457" s="541"/>
      <c r="BF457" s="541"/>
      <c r="BG457" s="541"/>
      <c r="BH457" s="780"/>
      <c r="BI457" s="780"/>
      <c r="BJ457" s="780"/>
      <c r="BK457" s="780"/>
      <c r="BL457" s="780"/>
      <c r="BM457" s="780"/>
    </row>
    <row r="458" ht="12.75" customHeight="1">
      <c r="A458" s="521"/>
      <c r="B458" s="521"/>
      <c r="C458" s="515"/>
      <c r="D458" s="515"/>
      <c r="E458" s="515"/>
      <c r="F458" s="515"/>
      <c r="G458" s="515"/>
      <c r="H458" s="515"/>
      <c r="I458" s="515"/>
      <c r="J458" s="515"/>
      <c r="K458" s="515"/>
      <c r="L458" s="515"/>
      <c r="M458" s="515"/>
      <c r="N458" s="515"/>
      <c r="O458" s="533"/>
      <c r="P458" s="786"/>
      <c r="Q458" s="787"/>
      <c r="R458" s="787"/>
      <c r="S458" s="787"/>
      <c r="T458" s="786"/>
      <c r="U458" s="787"/>
      <c r="V458" s="787"/>
      <c r="W458" s="787"/>
      <c r="X458" s="786"/>
      <c r="Y458" s="787"/>
      <c r="Z458" s="787"/>
      <c r="AA458" s="787"/>
      <c r="AB458" s="786"/>
      <c r="AC458" s="787"/>
      <c r="AD458" s="787"/>
      <c r="AE458" s="787"/>
      <c r="AF458" s="786"/>
      <c r="AG458" s="787"/>
      <c r="AH458" s="787"/>
      <c r="AI458" s="787"/>
      <c r="AJ458" s="786"/>
      <c r="AK458" s="787"/>
      <c r="AL458" s="787"/>
      <c r="AM458" s="787"/>
      <c r="AN458" s="786"/>
      <c r="AO458" s="787"/>
      <c r="AP458" s="787"/>
      <c r="AQ458" s="787"/>
      <c r="AR458" s="786"/>
      <c r="AS458" s="787"/>
      <c r="AT458" s="787"/>
      <c r="AU458" s="787"/>
      <c r="AV458" s="786"/>
      <c r="AW458" s="787"/>
      <c r="AX458" s="787"/>
      <c r="AY458" s="787"/>
      <c r="AZ458" s="780"/>
      <c r="BA458" s="780"/>
      <c r="BB458" s="780"/>
      <c r="BC458" s="780"/>
      <c r="BD458" s="541"/>
      <c r="BE458" s="541"/>
      <c r="BF458" s="541"/>
      <c r="BG458" s="541"/>
      <c r="BH458" s="780"/>
      <c r="BI458" s="780"/>
      <c r="BJ458" s="780"/>
      <c r="BK458" s="780"/>
      <c r="BL458" s="780"/>
      <c r="BM458" s="780"/>
    </row>
    <row r="459" ht="12.75" customHeight="1">
      <c r="A459" s="521"/>
      <c r="B459" s="521"/>
      <c r="C459" s="515"/>
      <c r="D459" s="515"/>
      <c r="E459" s="515"/>
      <c r="F459" s="515"/>
      <c r="G459" s="515"/>
      <c r="H459" s="515"/>
      <c r="I459" s="515"/>
      <c r="J459" s="515"/>
      <c r="K459" s="515"/>
      <c r="L459" s="515"/>
      <c r="M459" s="515"/>
      <c r="N459" s="515"/>
      <c r="O459" s="533"/>
      <c r="P459" s="786"/>
      <c r="Q459" s="787"/>
      <c r="R459" s="787"/>
      <c r="S459" s="787"/>
      <c r="T459" s="786"/>
      <c r="U459" s="787"/>
      <c r="V459" s="787"/>
      <c r="W459" s="787"/>
      <c r="X459" s="786"/>
      <c r="Y459" s="787"/>
      <c r="Z459" s="787"/>
      <c r="AA459" s="787"/>
      <c r="AB459" s="786"/>
      <c r="AC459" s="787"/>
      <c r="AD459" s="787"/>
      <c r="AE459" s="787"/>
      <c r="AF459" s="786"/>
      <c r="AG459" s="787"/>
      <c r="AH459" s="787"/>
      <c r="AI459" s="787"/>
      <c r="AJ459" s="786"/>
      <c r="AK459" s="787"/>
      <c r="AL459" s="787"/>
      <c r="AM459" s="787"/>
      <c r="AN459" s="786"/>
      <c r="AO459" s="787"/>
      <c r="AP459" s="787"/>
      <c r="AQ459" s="787"/>
      <c r="AR459" s="786"/>
      <c r="AS459" s="787"/>
      <c r="AT459" s="787"/>
      <c r="AU459" s="787"/>
      <c r="AV459" s="786"/>
      <c r="AW459" s="787"/>
      <c r="AX459" s="787"/>
      <c r="AY459" s="787"/>
      <c r="AZ459" s="780"/>
      <c r="BA459" s="780"/>
      <c r="BB459" s="780"/>
      <c r="BC459" s="780"/>
      <c r="BD459" s="541"/>
      <c r="BE459" s="541"/>
      <c r="BF459" s="541"/>
      <c r="BG459" s="541"/>
      <c r="BH459" s="780"/>
      <c r="BI459" s="780"/>
      <c r="BJ459" s="780"/>
      <c r="BK459" s="780"/>
      <c r="BL459" s="780"/>
      <c r="BM459" s="780"/>
    </row>
    <row r="460" ht="12.75" customHeight="1">
      <c r="A460" s="521"/>
      <c r="B460" s="521"/>
      <c r="C460" s="515"/>
      <c r="D460" s="515"/>
      <c r="E460" s="515"/>
      <c r="F460" s="515"/>
      <c r="G460" s="515"/>
      <c r="H460" s="515"/>
      <c r="I460" s="515"/>
      <c r="J460" s="515"/>
      <c r="K460" s="515"/>
      <c r="L460" s="515"/>
      <c r="M460" s="515"/>
      <c r="N460" s="515"/>
      <c r="O460" s="533"/>
      <c r="P460" s="786"/>
      <c r="Q460" s="787"/>
      <c r="R460" s="787"/>
      <c r="S460" s="787"/>
      <c r="T460" s="786"/>
      <c r="U460" s="787"/>
      <c r="V460" s="787"/>
      <c r="W460" s="787"/>
      <c r="X460" s="786"/>
      <c r="Y460" s="787"/>
      <c r="Z460" s="787"/>
      <c r="AA460" s="787"/>
      <c r="AB460" s="786"/>
      <c r="AC460" s="787"/>
      <c r="AD460" s="787"/>
      <c r="AE460" s="787"/>
      <c r="AF460" s="786"/>
      <c r="AG460" s="787"/>
      <c r="AH460" s="787"/>
      <c r="AI460" s="787"/>
      <c r="AJ460" s="786"/>
      <c r="AK460" s="787"/>
      <c r="AL460" s="787"/>
      <c r="AM460" s="787"/>
      <c r="AN460" s="786"/>
      <c r="AO460" s="787"/>
      <c r="AP460" s="787"/>
      <c r="AQ460" s="787"/>
      <c r="AR460" s="786"/>
      <c r="AS460" s="787"/>
      <c r="AT460" s="787"/>
      <c r="AU460" s="787"/>
      <c r="AV460" s="786"/>
      <c r="AW460" s="787"/>
      <c r="AX460" s="787"/>
      <c r="AY460" s="787"/>
      <c r="AZ460" s="780"/>
      <c r="BA460" s="780"/>
      <c r="BB460" s="780"/>
      <c r="BC460" s="780"/>
      <c r="BD460" s="541"/>
      <c r="BE460" s="541"/>
      <c r="BF460" s="541"/>
      <c r="BG460" s="541"/>
      <c r="BH460" s="780"/>
      <c r="BI460" s="780"/>
      <c r="BJ460" s="780"/>
      <c r="BK460" s="780"/>
      <c r="BL460" s="780"/>
      <c r="BM460" s="780"/>
    </row>
    <row r="461" ht="12.75" customHeight="1">
      <c r="A461" s="521"/>
      <c r="B461" s="521"/>
      <c r="C461" s="515"/>
      <c r="D461" s="515"/>
      <c r="E461" s="515"/>
      <c r="F461" s="515"/>
      <c r="G461" s="515"/>
      <c r="H461" s="515"/>
      <c r="I461" s="515"/>
      <c r="J461" s="515"/>
      <c r="K461" s="515"/>
      <c r="L461" s="515"/>
      <c r="M461" s="515"/>
      <c r="N461" s="515"/>
      <c r="O461" s="533"/>
      <c r="P461" s="786"/>
      <c r="Q461" s="787"/>
      <c r="R461" s="787"/>
      <c r="S461" s="787"/>
      <c r="T461" s="786"/>
      <c r="U461" s="787"/>
      <c r="V461" s="787"/>
      <c r="W461" s="787"/>
      <c r="X461" s="786"/>
      <c r="Y461" s="787"/>
      <c r="Z461" s="787"/>
      <c r="AA461" s="787"/>
      <c r="AB461" s="786"/>
      <c r="AC461" s="787"/>
      <c r="AD461" s="787"/>
      <c r="AE461" s="787"/>
      <c r="AF461" s="786"/>
      <c r="AG461" s="787"/>
      <c r="AH461" s="787"/>
      <c r="AI461" s="787"/>
      <c r="AJ461" s="786"/>
      <c r="AK461" s="787"/>
      <c r="AL461" s="787"/>
      <c r="AM461" s="787"/>
      <c r="AN461" s="786"/>
      <c r="AO461" s="787"/>
      <c r="AP461" s="787"/>
      <c r="AQ461" s="787"/>
      <c r="AR461" s="786"/>
      <c r="AS461" s="787"/>
      <c r="AT461" s="787"/>
      <c r="AU461" s="787"/>
      <c r="AV461" s="786"/>
      <c r="AW461" s="787"/>
      <c r="AX461" s="787"/>
      <c r="AY461" s="787"/>
      <c r="AZ461" s="780"/>
      <c r="BA461" s="780"/>
      <c r="BB461" s="780"/>
      <c r="BC461" s="780"/>
      <c r="BD461" s="541"/>
      <c r="BE461" s="541"/>
      <c r="BF461" s="541"/>
      <c r="BG461" s="541"/>
      <c r="BH461" s="780"/>
      <c r="BI461" s="780"/>
      <c r="BJ461" s="780"/>
      <c r="BK461" s="780"/>
      <c r="BL461" s="780"/>
      <c r="BM461" s="780"/>
    </row>
    <row r="462" ht="12.75" customHeight="1">
      <c r="A462" s="521"/>
      <c r="B462" s="521"/>
      <c r="C462" s="515"/>
      <c r="D462" s="515"/>
      <c r="E462" s="515"/>
      <c r="F462" s="515"/>
      <c r="G462" s="515"/>
      <c r="H462" s="515"/>
      <c r="I462" s="515"/>
      <c r="J462" s="515"/>
      <c r="K462" s="515"/>
      <c r="L462" s="515"/>
      <c r="M462" s="515"/>
      <c r="N462" s="515"/>
      <c r="O462" s="533"/>
      <c r="P462" s="786"/>
      <c r="Q462" s="787"/>
      <c r="R462" s="787"/>
      <c r="S462" s="787"/>
      <c r="T462" s="786"/>
      <c r="U462" s="787"/>
      <c r="V462" s="787"/>
      <c r="W462" s="787"/>
      <c r="X462" s="786"/>
      <c r="Y462" s="787"/>
      <c r="Z462" s="787"/>
      <c r="AA462" s="787"/>
      <c r="AB462" s="786"/>
      <c r="AC462" s="787"/>
      <c r="AD462" s="787"/>
      <c r="AE462" s="787"/>
      <c r="AF462" s="786"/>
      <c r="AG462" s="787"/>
      <c r="AH462" s="787"/>
      <c r="AI462" s="787"/>
      <c r="AJ462" s="786"/>
      <c r="AK462" s="787"/>
      <c r="AL462" s="787"/>
      <c r="AM462" s="787"/>
      <c r="AN462" s="786"/>
      <c r="AO462" s="787"/>
      <c r="AP462" s="787"/>
      <c r="AQ462" s="787"/>
      <c r="AR462" s="786"/>
      <c r="AS462" s="787"/>
      <c r="AT462" s="787"/>
      <c r="AU462" s="787"/>
      <c r="AV462" s="786"/>
      <c r="AW462" s="787"/>
      <c r="AX462" s="787"/>
      <c r="AY462" s="787"/>
      <c r="AZ462" s="780"/>
      <c r="BA462" s="780"/>
      <c r="BB462" s="780"/>
      <c r="BC462" s="780"/>
      <c r="BD462" s="541"/>
      <c r="BE462" s="541"/>
      <c r="BF462" s="541"/>
      <c r="BG462" s="541"/>
      <c r="BH462" s="780"/>
      <c r="BI462" s="780"/>
      <c r="BJ462" s="780"/>
      <c r="BK462" s="780"/>
      <c r="BL462" s="780"/>
      <c r="BM462" s="780"/>
    </row>
    <row r="463" ht="12.75" customHeight="1">
      <c r="A463" s="521"/>
      <c r="B463" s="521"/>
      <c r="C463" s="515"/>
      <c r="D463" s="515"/>
      <c r="E463" s="515"/>
      <c r="F463" s="515"/>
      <c r="G463" s="515"/>
      <c r="H463" s="515"/>
      <c r="I463" s="515"/>
      <c r="J463" s="515"/>
      <c r="K463" s="515"/>
      <c r="L463" s="515"/>
      <c r="M463" s="515"/>
      <c r="N463" s="515"/>
      <c r="O463" s="533"/>
      <c r="P463" s="786"/>
      <c r="Q463" s="787"/>
      <c r="R463" s="787"/>
      <c r="S463" s="787"/>
      <c r="T463" s="786"/>
      <c r="U463" s="787"/>
      <c r="V463" s="787"/>
      <c r="W463" s="787"/>
      <c r="X463" s="786"/>
      <c r="Y463" s="787"/>
      <c r="Z463" s="787"/>
      <c r="AA463" s="787"/>
      <c r="AB463" s="786"/>
      <c r="AC463" s="787"/>
      <c r="AD463" s="787"/>
      <c r="AE463" s="787"/>
      <c r="AF463" s="786"/>
      <c r="AG463" s="787"/>
      <c r="AH463" s="787"/>
      <c r="AI463" s="787"/>
      <c r="AJ463" s="786"/>
      <c r="AK463" s="787"/>
      <c r="AL463" s="787"/>
      <c r="AM463" s="787"/>
      <c r="AN463" s="786"/>
      <c r="AO463" s="787"/>
      <c r="AP463" s="787"/>
      <c r="AQ463" s="787"/>
      <c r="AR463" s="786"/>
      <c r="AS463" s="787"/>
      <c r="AT463" s="787"/>
      <c r="AU463" s="787"/>
      <c r="AV463" s="786"/>
      <c r="AW463" s="787"/>
      <c r="AX463" s="787"/>
      <c r="AY463" s="787"/>
      <c r="AZ463" s="780"/>
      <c r="BA463" s="780"/>
      <c r="BB463" s="780"/>
      <c r="BC463" s="780"/>
      <c r="BD463" s="541"/>
      <c r="BE463" s="541"/>
      <c r="BF463" s="541"/>
      <c r="BG463" s="541"/>
      <c r="BH463" s="780"/>
      <c r="BI463" s="780"/>
      <c r="BJ463" s="780"/>
      <c r="BK463" s="780"/>
      <c r="BL463" s="780"/>
      <c r="BM463" s="780"/>
    </row>
    <row r="464" ht="12.75" customHeight="1">
      <c r="A464" s="521"/>
      <c r="B464" s="521"/>
      <c r="C464" s="515"/>
      <c r="D464" s="515"/>
      <c r="E464" s="515"/>
      <c r="F464" s="515"/>
      <c r="G464" s="515"/>
      <c r="H464" s="515"/>
      <c r="I464" s="515"/>
      <c r="J464" s="515"/>
      <c r="K464" s="515"/>
      <c r="L464" s="515"/>
      <c r="M464" s="515"/>
      <c r="N464" s="515"/>
      <c r="O464" s="533"/>
      <c r="P464" s="786"/>
      <c r="Q464" s="787"/>
      <c r="R464" s="787"/>
      <c r="S464" s="787"/>
      <c r="T464" s="786"/>
      <c r="U464" s="787"/>
      <c r="V464" s="787"/>
      <c r="W464" s="787"/>
      <c r="X464" s="786"/>
      <c r="Y464" s="787"/>
      <c r="Z464" s="787"/>
      <c r="AA464" s="787"/>
      <c r="AB464" s="786"/>
      <c r="AC464" s="787"/>
      <c r="AD464" s="787"/>
      <c r="AE464" s="787"/>
      <c r="AF464" s="786"/>
      <c r="AG464" s="787"/>
      <c r="AH464" s="787"/>
      <c r="AI464" s="787"/>
      <c r="AJ464" s="786"/>
      <c r="AK464" s="787"/>
      <c r="AL464" s="787"/>
      <c r="AM464" s="787"/>
      <c r="AN464" s="786"/>
      <c r="AO464" s="787"/>
      <c r="AP464" s="787"/>
      <c r="AQ464" s="787"/>
      <c r="AR464" s="786"/>
      <c r="AS464" s="787"/>
      <c r="AT464" s="787"/>
      <c r="AU464" s="787"/>
      <c r="AV464" s="786"/>
      <c r="AW464" s="787"/>
      <c r="AX464" s="787"/>
      <c r="AY464" s="787"/>
      <c r="AZ464" s="780"/>
      <c r="BA464" s="780"/>
      <c r="BB464" s="780"/>
      <c r="BC464" s="780"/>
      <c r="BD464" s="541"/>
      <c r="BE464" s="541"/>
      <c r="BF464" s="541"/>
      <c r="BG464" s="541"/>
      <c r="BH464" s="780"/>
      <c r="BI464" s="780"/>
      <c r="BJ464" s="780"/>
      <c r="BK464" s="780"/>
      <c r="BL464" s="780"/>
      <c r="BM464" s="780"/>
    </row>
    <row r="465" ht="12.75" customHeight="1">
      <c r="A465" s="521"/>
      <c r="B465" s="521"/>
      <c r="C465" s="515"/>
      <c r="D465" s="515"/>
      <c r="E465" s="515"/>
      <c r="F465" s="515"/>
      <c r="G465" s="515"/>
      <c r="H465" s="515"/>
      <c r="I465" s="515"/>
      <c r="J465" s="515"/>
      <c r="K465" s="515"/>
      <c r="L465" s="515"/>
      <c r="M465" s="515"/>
      <c r="N465" s="515"/>
      <c r="O465" s="533"/>
      <c r="P465" s="786"/>
      <c r="Q465" s="787"/>
      <c r="R465" s="787"/>
      <c r="S465" s="787"/>
      <c r="T465" s="786"/>
      <c r="U465" s="787"/>
      <c r="V465" s="787"/>
      <c r="W465" s="787"/>
      <c r="X465" s="786"/>
      <c r="Y465" s="787"/>
      <c r="Z465" s="787"/>
      <c r="AA465" s="787"/>
      <c r="AB465" s="786"/>
      <c r="AC465" s="787"/>
      <c r="AD465" s="787"/>
      <c r="AE465" s="787"/>
      <c r="AF465" s="786"/>
      <c r="AG465" s="787"/>
      <c r="AH465" s="787"/>
      <c r="AI465" s="787"/>
      <c r="AJ465" s="786"/>
      <c r="AK465" s="787"/>
      <c r="AL465" s="787"/>
      <c r="AM465" s="787"/>
      <c r="AN465" s="786"/>
      <c r="AO465" s="787"/>
      <c r="AP465" s="787"/>
      <c r="AQ465" s="787"/>
      <c r="AR465" s="786"/>
      <c r="AS465" s="787"/>
      <c r="AT465" s="787"/>
      <c r="AU465" s="787"/>
      <c r="AV465" s="786"/>
      <c r="AW465" s="787"/>
      <c r="AX465" s="787"/>
      <c r="AY465" s="787"/>
      <c r="AZ465" s="780"/>
      <c r="BA465" s="780"/>
      <c r="BB465" s="780"/>
      <c r="BC465" s="780"/>
      <c r="BD465" s="541"/>
      <c r="BE465" s="541"/>
      <c r="BF465" s="541"/>
      <c r="BG465" s="541"/>
      <c r="BH465" s="780"/>
      <c r="BI465" s="780"/>
      <c r="BJ465" s="780"/>
      <c r="BK465" s="780"/>
      <c r="BL465" s="780"/>
      <c r="BM465" s="780"/>
    </row>
    <row r="466" ht="12.75" customHeight="1">
      <c r="A466" s="521"/>
      <c r="B466" s="521"/>
      <c r="C466" s="515"/>
      <c r="D466" s="515"/>
      <c r="E466" s="515"/>
      <c r="F466" s="515"/>
      <c r="G466" s="515"/>
      <c r="H466" s="515"/>
      <c r="I466" s="515"/>
      <c r="J466" s="515"/>
      <c r="K466" s="515"/>
      <c r="L466" s="515"/>
      <c r="M466" s="515"/>
      <c r="N466" s="515"/>
      <c r="O466" s="533"/>
      <c r="P466" s="786"/>
      <c r="Q466" s="787"/>
      <c r="R466" s="787"/>
      <c r="S466" s="787"/>
      <c r="T466" s="786"/>
      <c r="U466" s="787"/>
      <c r="V466" s="787"/>
      <c r="W466" s="787"/>
      <c r="X466" s="786"/>
      <c r="Y466" s="787"/>
      <c r="Z466" s="787"/>
      <c r="AA466" s="787"/>
      <c r="AB466" s="786"/>
      <c r="AC466" s="787"/>
      <c r="AD466" s="787"/>
      <c r="AE466" s="787"/>
      <c r="AF466" s="786"/>
      <c r="AG466" s="787"/>
      <c r="AH466" s="787"/>
      <c r="AI466" s="787"/>
      <c r="AJ466" s="786"/>
      <c r="AK466" s="787"/>
      <c r="AL466" s="787"/>
      <c r="AM466" s="787"/>
      <c r="AN466" s="786"/>
      <c r="AO466" s="787"/>
      <c r="AP466" s="787"/>
      <c r="AQ466" s="787"/>
      <c r="AR466" s="786"/>
      <c r="AS466" s="787"/>
      <c r="AT466" s="787"/>
      <c r="AU466" s="787"/>
      <c r="AV466" s="786"/>
      <c r="AW466" s="787"/>
      <c r="AX466" s="787"/>
      <c r="AY466" s="787"/>
      <c r="AZ466" s="780"/>
      <c r="BA466" s="780"/>
      <c r="BB466" s="780"/>
      <c r="BC466" s="780"/>
      <c r="BD466" s="541"/>
      <c r="BE466" s="541"/>
      <c r="BF466" s="541"/>
      <c r="BG466" s="541"/>
      <c r="BH466" s="780"/>
      <c r="BI466" s="780"/>
      <c r="BJ466" s="780"/>
      <c r="BK466" s="780"/>
      <c r="BL466" s="780"/>
      <c r="BM466" s="780"/>
    </row>
    <row r="467" ht="12.75" customHeight="1">
      <c r="A467" s="521"/>
      <c r="B467" s="521"/>
      <c r="C467" s="515"/>
      <c r="D467" s="515"/>
      <c r="E467" s="515"/>
      <c r="F467" s="515"/>
      <c r="G467" s="515"/>
      <c r="H467" s="515"/>
      <c r="I467" s="515"/>
      <c r="J467" s="515"/>
      <c r="K467" s="515"/>
      <c r="L467" s="515"/>
      <c r="M467" s="515"/>
      <c r="N467" s="515"/>
      <c r="O467" s="533"/>
      <c r="P467" s="786"/>
      <c r="Q467" s="787"/>
      <c r="R467" s="787"/>
      <c r="S467" s="787"/>
      <c r="T467" s="786"/>
      <c r="U467" s="787"/>
      <c r="V467" s="787"/>
      <c r="W467" s="787"/>
      <c r="X467" s="786"/>
      <c r="Y467" s="787"/>
      <c r="Z467" s="787"/>
      <c r="AA467" s="787"/>
      <c r="AB467" s="786"/>
      <c r="AC467" s="787"/>
      <c r="AD467" s="787"/>
      <c r="AE467" s="787"/>
      <c r="AF467" s="786"/>
      <c r="AG467" s="787"/>
      <c r="AH467" s="787"/>
      <c r="AI467" s="787"/>
      <c r="AJ467" s="786"/>
      <c r="AK467" s="787"/>
      <c r="AL467" s="787"/>
      <c r="AM467" s="787"/>
      <c r="AN467" s="786"/>
      <c r="AO467" s="787"/>
      <c r="AP467" s="787"/>
      <c r="AQ467" s="787"/>
      <c r="AR467" s="786"/>
      <c r="AS467" s="787"/>
      <c r="AT467" s="787"/>
      <c r="AU467" s="787"/>
      <c r="AV467" s="786"/>
      <c r="AW467" s="787"/>
      <c r="AX467" s="787"/>
      <c r="AY467" s="787"/>
      <c r="AZ467" s="780"/>
      <c r="BA467" s="780"/>
      <c r="BB467" s="780"/>
      <c r="BC467" s="780"/>
      <c r="BD467" s="541"/>
      <c r="BE467" s="541"/>
      <c r="BF467" s="541"/>
      <c r="BG467" s="541"/>
      <c r="BH467" s="780"/>
      <c r="BI467" s="780"/>
      <c r="BJ467" s="780"/>
      <c r="BK467" s="780"/>
      <c r="BL467" s="780"/>
      <c r="BM467" s="780"/>
    </row>
    <row r="468" ht="12.75" customHeight="1">
      <c r="A468" s="521"/>
      <c r="B468" s="521"/>
      <c r="C468" s="515"/>
      <c r="D468" s="515"/>
      <c r="E468" s="515"/>
      <c r="F468" s="515"/>
      <c r="G468" s="515"/>
      <c r="H468" s="515"/>
      <c r="I468" s="515"/>
      <c r="J468" s="515"/>
      <c r="K468" s="515"/>
      <c r="L468" s="515"/>
      <c r="M468" s="515"/>
      <c r="N468" s="515"/>
      <c r="O468" s="533"/>
      <c r="P468" s="786"/>
      <c r="Q468" s="787"/>
      <c r="R468" s="787"/>
      <c r="S468" s="787"/>
      <c r="T468" s="786"/>
      <c r="U468" s="787"/>
      <c r="V468" s="787"/>
      <c r="W468" s="787"/>
      <c r="X468" s="786"/>
      <c r="Y468" s="787"/>
      <c r="Z468" s="787"/>
      <c r="AA468" s="787"/>
      <c r="AB468" s="786"/>
      <c r="AC468" s="787"/>
      <c r="AD468" s="787"/>
      <c r="AE468" s="787"/>
      <c r="AF468" s="786"/>
      <c r="AG468" s="787"/>
      <c r="AH468" s="787"/>
      <c r="AI468" s="787"/>
      <c r="AJ468" s="786"/>
      <c r="AK468" s="787"/>
      <c r="AL468" s="787"/>
      <c r="AM468" s="787"/>
      <c r="AN468" s="786"/>
      <c r="AO468" s="787"/>
      <c r="AP468" s="787"/>
      <c r="AQ468" s="787"/>
      <c r="AR468" s="786"/>
      <c r="AS468" s="787"/>
      <c r="AT468" s="787"/>
      <c r="AU468" s="787"/>
      <c r="AV468" s="786"/>
      <c r="AW468" s="787"/>
      <c r="AX468" s="787"/>
      <c r="AY468" s="787"/>
      <c r="AZ468" s="780"/>
      <c r="BA468" s="780"/>
      <c r="BB468" s="780"/>
      <c r="BC468" s="780"/>
      <c r="BD468" s="541"/>
      <c r="BE468" s="541"/>
      <c r="BF468" s="541"/>
      <c r="BG468" s="541"/>
      <c r="BH468" s="780"/>
      <c r="BI468" s="780"/>
      <c r="BJ468" s="780"/>
      <c r="BK468" s="780"/>
      <c r="BL468" s="780"/>
      <c r="BM468" s="780"/>
    </row>
    <row r="469" ht="12.75" customHeight="1">
      <c r="A469" s="521"/>
      <c r="B469" s="521"/>
      <c r="C469" s="515"/>
      <c r="D469" s="515"/>
      <c r="E469" s="515"/>
      <c r="F469" s="515"/>
      <c r="G469" s="515"/>
      <c r="H469" s="515"/>
      <c r="I469" s="515"/>
      <c r="J469" s="515"/>
      <c r="K469" s="515"/>
      <c r="L469" s="515"/>
      <c r="M469" s="515"/>
      <c r="N469" s="515"/>
      <c r="O469" s="533"/>
      <c r="P469" s="786"/>
      <c r="Q469" s="787"/>
      <c r="R469" s="787"/>
      <c r="S469" s="787"/>
      <c r="T469" s="786"/>
      <c r="U469" s="787"/>
      <c r="V469" s="787"/>
      <c r="W469" s="787"/>
      <c r="X469" s="786"/>
      <c r="Y469" s="787"/>
      <c r="Z469" s="787"/>
      <c r="AA469" s="787"/>
      <c r="AB469" s="786"/>
      <c r="AC469" s="787"/>
      <c r="AD469" s="787"/>
      <c r="AE469" s="787"/>
      <c r="AF469" s="786"/>
      <c r="AG469" s="787"/>
      <c r="AH469" s="787"/>
      <c r="AI469" s="787"/>
      <c r="AJ469" s="786"/>
      <c r="AK469" s="787"/>
      <c r="AL469" s="787"/>
      <c r="AM469" s="787"/>
      <c r="AN469" s="786"/>
      <c r="AO469" s="787"/>
      <c r="AP469" s="787"/>
      <c r="AQ469" s="787"/>
      <c r="AR469" s="786"/>
      <c r="AS469" s="787"/>
      <c r="AT469" s="787"/>
      <c r="AU469" s="787"/>
      <c r="AV469" s="786"/>
      <c r="AW469" s="787"/>
      <c r="AX469" s="787"/>
      <c r="AY469" s="787"/>
      <c r="AZ469" s="780"/>
      <c r="BA469" s="780"/>
      <c r="BB469" s="780"/>
      <c r="BC469" s="780"/>
      <c r="BD469" s="541"/>
      <c r="BE469" s="541"/>
      <c r="BF469" s="541"/>
      <c r="BG469" s="541"/>
      <c r="BH469" s="780"/>
      <c r="BI469" s="780"/>
      <c r="BJ469" s="780"/>
      <c r="BK469" s="780"/>
      <c r="BL469" s="780"/>
      <c r="BM469" s="780"/>
    </row>
    <row r="470" ht="12.75" customHeight="1">
      <c r="A470" s="521"/>
      <c r="B470" s="521"/>
      <c r="C470" s="515"/>
      <c r="D470" s="515"/>
      <c r="E470" s="515"/>
      <c r="F470" s="515"/>
      <c r="G470" s="515"/>
      <c r="H470" s="515"/>
      <c r="I470" s="515"/>
      <c r="J470" s="515"/>
      <c r="K470" s="515"/>
      <c r="L470" s="515"/>
      <c r="M470" s="515"/>
      <c r="N470" s="515"/>
      <c r="O470" s="533"/>
      <c r="P470" s="786"/>
      <c r="Q470" s="787"/>
      <c r="R470" s="787"/>
      <c r="S470" s="787"/>
      <c r="T470" s="786"/>
      <c r="U470" s="787"/>
      <c r="V470" s="787"/>
      <c r="W470" s="787"/>
      <c r="X470" s="786"/>
      <c r="Y470" s="787"/>
      <c r="Z470" s="787"/>
      <c r="AA470" s="787"/>
      <c r="AB470" s="786"/>
      <c r="AC470" s="787"/>
      <c r="AD470" s="787"/>
      <c r="AE470" s="787"/>
      <c r="AF470" s="786"/>
      <c r="AG470" s="787"/>
      <c r="AH470" s="787"/>
      <c r="AI470" s="787"/>
      <c r="AJ470" s="786"/>
      <c r="AK470" s="787"/>
      <c r="AL470" s="787"/>
      <c r="AM470" s="787"/>
      <c r="AN470" s="786"/>
      <c r="AO470" s="787"/>
      <c r="AP470" s="787"/>
      <c r="AQ470" s="787"/>
      <c r="AR470" s="786"/>
      <c r="AS470" s="787"/>
      <c r="AT470" s="787"/>
      <c r="AU470" s="787"/>
      <c r="AV470" s="786"/>
      <c r="AW470" s="787"/>
      <c r="AX470" s="787"/>
      <c r="AY470" s="787"/>
      <c r="AZ470" s="780"/>
      <c r="BA470" s="780"/>
      <c r="BB470" s="780"/>
      <c r="BC470" s="780"/>
      <c r="BD470" s="541"/>
      <c r="BE470" s="541"/>
      <c r="BF470" s="541"/>
      <c r="BG470" s="541"/>
      <c r="BH470" s="780"/>
      <c r="BI470" s="780"/>
      <c r="BJ470" s="780"/>
      <c r="BK470" s="780"/>
      <c r="BL470" s="780"/>
      <c r="BM470" s="780"/>
    </row>
    <row r="471" ht="12.75" customHeight="1">
      <c r="A471" s="521"/>
      <c r="B471" s="521"/>
      <c r="C471" s="515"/>
      <c r="D471" s="515"/>
      <c r="E471" s="515"/>
      <c r="F471" s="515"/>
      <c r="G471" s="515"/>
      <c r="H471" s="515"/>
      <c r="I471" s="515"/>
      <c r="J471" s="515"/>
      <c r="K471" s="515"/>
      <c r="L471" s="515"/>
      <c r="M471" s="515"/>
      <c r="N471" s="515"/>
      <c r="O471" s="533"/>
      <c r="P471" s="786"/>
      <c r="Q471" s="787"/>
      <c r="R471" s="787"/>
      <c r="S471" s="787"/>
      <c r="T471" s="786"/>
      <c r="U471" s="787"/>
      <c r="V471" s="787"/>
      <c r="W471" s="787"/>
      <c r="X471" s="786"/>
      <c r="Y471" s="787"/>
      <c r="Z471" s="787"/>
      <c r="AA471" s="787"/>
      <c r="AB471" s="786"/>
      <c r="AC471" s="787"/>
      <c r="AD471" s="787"/>
      <c r="AE471" s="787"/>
      <c r="AF471" s="786"/>
      <c r="AG471" s="787"/>
      <c r="AH471" s="787"/>
      <c r="AI471" s="787"/>
      <c r="AJ471" s="786"/>
      <c r="AK471" s="787"/>
      <c r="AL471" s="787"/>
      <c r="AM471" s="787"/>
      <c r="AN471" s="786"/>
      <c r="AO471" s="787"/>
      <c r="AP471" s="787"/>
      <c r="AQ471" s="787"/>
      <c r="AR471" s="786"/>
      <c r="AS471" s="787"/>
      <c r="AT471" s="787"/>
      <c r="AU471" s="787"/>
      <c r="AV471" s="786"/>
      <c r="AW471" s="787"/>
      <c r="AX471" s="787"/>
      <c r="AY471" s="787"/>
      <c r="AZ471" s="780"/>
      <c r="BA471" s="780"/>
      <c r="BB471" s="780"/>
      <c r="BC471" s="780"/>
      <c r="BD471" s="541"/>
      <c r="BE471" s="541"/>
      <c r="BF471" s="541"/>
      <c r="BG471" s="541"/>
      <c r="BH471" s="780"/>
      <c r="BI471" s="780"/>
      <c r="BJ471" s="780"/>
      <c r="BK471" s="780"/>
      <c r="BL471" s="780"/>
      <c r="BM471" s="780"/>
    </row>
    <row r="472" ht="12.75" customHeight="1">
      <c r="A472" s="521"/>
      <c r="B472" s="521"/>
      <c r="C472" s="515"/>
      <c r="D472" s="515"/>
      <c r="E472" s="515"/>
      <c r="F472" s="515"/>
      <c r="G472" s="515"/>
      <c r="H472" s="515"/>
      <c r="I472" s="515"/>
      <c r="J472" s="515"/>
      <c r="K472" s="515"/>
      <c r="L472" s="515"/>
      <c r="M472" s="515"/>
      <c r="N472" s="515"/>
      <c r="O472" s="533"/>
      <c r="P472" s="786"/>
      <c r="Q472" s="787"/>
      <c r="R472" s="787"/>
      <c r="S472" s="787"/>
      <c r="T472" s="786"/>
      <c r="U472" s="787"/>
      <c r="V472" s="787"/>
      <c r="W472" s="787"/>
      <c r="X472" s="786"/>
      <c r="Y472" s="787"/>
      <c r="Z472" s="787"/>
      <c r="AA472" s="787"/>
      <c r="AB472" s="786"/>
      <c r="AC472" s="787"/>
      <c r="AD472" s="787"/>
      <c r="AE472" s="787"/>
      <c r="AF472" s="786"/>
      <c r="AG472" s="787"/>
      <c r="AH472" s="787"/>
      <c r="AI472" s="787"/>
      <c r="AJ472" s="786"/>
      <c r="AK472" s="787"/>
      <c r="AL472" s="787"/>
      <c r="AM472" s="787"/>
      <c r="AN472" s="786"/>
      <c r="AO472" s="787"/>
      <c r="AP472" s="787"/>
      <c r="AQ472" s="787"/>
      <c r="AR472" s="786"/>
      <c r="AS472" s="787"/>
      <c r="AT472" s="787"/>
      <c r="AU472" s="787"/>
      <c r="AV472" s="786"/>
      <c r="AW472" s="787"/>
      <c r="AX472" s="787"/>
      <c r="AY472" s="787"/>
      <c r="AZ472" s="780"/>
      <c r="BA472" s="780"/>
      <c r="BB472" s="780"/>
      <c r="BC472" s="780"/>
      <c r="BD472" s="541"/>
      <c r="BE472" s="541"/>
      <c r="BF472" s="541"/>
      <c r="BG472" s="541"/>
      <c r="BH472" s="780"/>
      <c r="BI472" s="780"/>
      <c r="BJ472" s="780"/>
      <c r="BK472" s="780"/>
      <c r="BL472" s="780"/>
      <c r="BM472" s="780"/>
    </row>
    <row r="473" ht="12.75" customHeight="1">
      <c r="A473" s="521"/>
      <c r="B473" s="521"/>
      <c r="C473" s="515"/>
      <c r="D473" s="515"/>
      <c r="E473" s="515"/>
      <c r="F473" s="515"/>
      <c r="G473" s="515"/>
      <c r="H473" s="515"/>
      <c r="I473" s="515"/>
      <c r="J473" s="515"/>
      <c r="K473" s="515"/>
      <c r="L473" s="515"/>
      <c r="M473" s="515"/>
      <c r="N473" s="515"/>
      <c r="O473" s="533"/>
      <c r="P473" s="786"/>
      <c r="Q473" s="787"/>
      <c r="R473" s="787"/>
      <c r="S473" s="787"/>
      <c r="T473" s="786"/>
      <c r="U473" s="787"/>
      <c r="V473" s="787"/>
      <c r="W473" s="787"/>
      <c r="X473" s="786"/>
      <c r="Y473" s="787"/>
      <c r="Z473" s="787"/>
      <c r="AA473" s="787"/>
      <c r="AB473" s="786"/>
      <c r="AC473" s="787"/>
      <c r="AD473" s="787"/>
      <c r="AE473" s="787"/>
      <c r="AF473" s="786"/>
      <c r="AG473" s="787"/>
      <c r="AH473" s="787"/>
      <c r="AI473" s="787"/>
      <c r="AJ473" s="786"/>
      <c r="AK473" s="787"/>
      <c r="AL473" s="787"/>
      <c r="AM473" s="787"/>
      <c r="AN473" s="786"/>
      <c r="AO473" s="787"/>
      <c r="AP473" s="787"/>
      <c r="AQ473" s="787"/>
      <c r="AR473" s="786"/>
      <c r="AS473" s="787"/>
      <c r="AT473" s="787"/>
      <c r="AU473" s="787"/>
      <c r="AV473" s="786"/>
      <c r="AW473" s="787"/>
      <c r="AX473" s="787"/>
      <c r="AY473" s="787"/>
      <c r="AZ473" s="780"/>
      <c r="BA473" s="780"/>
      <c r="BB473" s="780"/>
      <c r="BC473" s="780"/>
      <c r="BD473" s="541"/>
      <c r="BE473" s="541"/>
      <c r="BF473" s="541"/>
      <c r="BG473" s="541"/>
      <c r="BH473" s="780"/>
      <c r="BI473" s="780"/>
      <c r="BJ473" s="780"/>
      <c r="BK473" s="780"/>
      <c r="BL473" s="780"/>
      <c r="BM473" s="780"/>
    </row>
    <row r="474" ht="12.75" customHeight="1">
      <c r="A474" s="521"/>
      <c r="B474" s="521"/>
      <c r="C474" s="515"/>
      <c r="D474" s="515"/>
      <c r="E474" s="515"/>
      <c r="F474" s="515"/>
      <c r="G474" s="515"/>
      <c r="H474" s="515"/>
      <c r="I474" s="515"/>
      <c r="J474" s="515"/>
      <c r="K474" s="515"/>
      <c r="L474" s="515"/>
      <c r="M474" s="515"/>
      <c r="N474" s="515"/>
      <c r="O474" s="533"/>
      <c r="P474" s="786"/>
      <c r="Q474" s="787"/>
      <c r="R474" s="787"/>
      <c r="S474" s="787"/>
      <c r="T474" s="786"/>
      <c r="U474" s="787"/>
      <c r="V474" s="787"/>
      <c r="W474" s="787"/>
      <c r="X474" s="786"/>
      <c r="Y474" s="787"/>
      <c r="Z474" s="787"/>
      <c r="AA474" s="787"/>
      <c r="AB474" s="786"/>
      <c r="AC474" s="787"/>
      <c r="AD474" s="787"/>
      <c r="AE474" s="787"/>
      <c r="AF474" s="786"/>
      <c r="AG474" s="787"/>
      <c r="AH474" s="787"/>
      <c r="AI474" s="787"/>
      <c r="AJ474" s="786"/>
      <c r="AK474" s="787"/>
      <c r="AL474" s="787"/>
      <c r="AM474" s="787"/>
      <c r="AN474" s="786"/>
      <c r="AO474" s="787"/>
      <c r="AP474" s="787"/>
      <c r="AQ474" s="787"/>
      <c r="AR474" s="786"/>
      <c r="AS474" s="787"/>
      <c r="AT474" s="787"/>
      <c r="AU474" s="787"/>
      <c r="AV474" s="786"/>
      <c r="AW474" s="787"/>
      <c r="AX474" s="787"/>
      <c r="AY474" s="787"/>
      <c r="AZ474" s="780"/>
      <c r="BA474" s="780"/>
      <c r="BB474" s="780"/>
      <c r="BC474" s="780"/>
      <c r="BD474" s="541"/>
      <c r="BE474" s="541"/>
      <c r="BF474" s="541"/>
      <c r="BG474" s="541"/>
      <c r="BH474" s="780"/>
      <c r="BI474" s="780"/>
      <c r="BJ474" s="780"/>
      <c r="BK474" s="780"/>
      <c r="BL474" s="780"/>
      <c r="BM474" s="780"/>
    </row>
    <row r="475" ht="12.75" customHeight="1">
      <c r="A475" s="521"/>
      <c r="B475" s="521"/>
      <c r="C475" s="515"/>
      <c r="D475" s="515"/>
      <c r="E475" s="515"/>
      <c r="F475" s="515"/>
      <c r="G475" s="515"/>
      <c r="H475" s="515"/>
      <c r="I475" s="515"/>
      <c r="J475" s="515"/>
      <c r="K475" s="515"/>
      <c r="L475" s="515"/>
      <c r="M475" s="515"/>
      <c r="N475" s="515"/>
      <c r="O475" s="533"/>
      <c r="P475" s="786"/>
      <c r="Q475" s="787"/>
      <c r="R475" s="787"/>
      <c r="S475" s="787"/>
      <c r="T475" s="786"/>
      <c r="U475" s="787"/>
      <c r="V475" s="787"/>
      <c r="W475" s="787"/>
      <c r="X475" s="786"/>
      <c r="Y475" s="787"/>
      <c r="Z475" s="787"/>
      <c r="AA475" s="787"/>
      <c r="AB475" s="786"/>
      <c r="AC475" s="787"/>
      <c r="AD475" s="787"/>
      <c r="AE475" s="787"/>
      <c r="AF475" s="786"/>
      <c r="AG475" s="787"/>
      <c r="AH475" s="787"/>
      <c r="AI475" s="787"/>
      <c r="AJ475" s="786"/>
      <c r="AK475" s="787"/>
      <c r="AL475" s="787"/>
      <c r="AM475" s="787"/>
      <c r="AN475" s="786"/>
      <c r="AO475" s="787"/>
      <c r="AP475" s="787"/>
      <c r="AQ475" s="787"/>
      <c r="AR475" s="786"/>
      <c r="AS475" s="787"/>
      <c r="AT475" s="787"/>
      <c r="AU475" s="787"/>
      <c r="AV475" s="786"/>
      <c r="AW475" s="787"/>
      <c r="AX475" s="787"/>
      <c r="AY475" s="787"/>
      <c r="AZ475" s="780"/>
      <c r="BA475" s="780"/>
      <c r="BB475" s="780"/>
      <c r="BC475" s="780"/>
      <c r="BD475" s="541"/>
      <c r="BE475" s="541"/>
      <c r="BF475" s="541"/>
      <c r="BG475" s="541"/>
      <c r="BH475" s="780"/>
      <c r="BI475" s="780"/>
      <c r="BJ475" s="780"/>
      <c r="BK475" s="780"/>
      <c r="BL475" s="780"/>
      <c r="BM475" s="780"/>
    </row>
    <row r="476" ht="12.75" customHeight="1">
      <c r="A476" s="521"/>
      <c r="B476" s="521"/>
      <c r="C476" s="515"/>
      <c r="D476" s="515"/>
      <c r="E476" s="515"/>
      <c r="F476" s="515"/>
      <c r="G476" s="515"/>
      <c r="H476" s="515"/>
      <c r="I476" s="515"/>
      <c r="J476" s="515"/>
      <c r="K476" s="515"/>
      <c r="L476" s="515"/>
      <c r="M476" s="515"/>
      <c r="N476" s="515"/>
      <c r="O476" s="533"/>
      <c r="P476" s="786"/>
      <c r="Q476" s="787"/>
      <c r="R476" s="787"/>
      <c r="S476" s="787"/>
      <c r="T476" s="786"/>
      <c r="U476" s="787"/>
      <c r="V476" s="787"/>
      <c r="W476" s="787"/>
      <c r="X476" s="786"/>
      <c r="Y476" s="787"/>
      <c r="Z476" s="787"/>
      <c r="AA476" s="787"/>
      <c r="AB476" s="786"/>
      <c r="AC476" s="787"/>
      <c r="AD476" s="787"/>
      <c r="AE476" s="787"/>
      <c r="AF476" s="786"/>
      <c r="AG476" s="787"/>
      <c r="AH476" s="787"/>
      <c r="AI476" s="787"/>
      <c r="AJ476" s="786"/>
      <c r="AK476" s="787"/>
      <c r="AL476" s="787"/>
      <c r="AM476" s="787"/>
      <c r="AN476" s="786"/>
      <c r="AO476" s="787"/>
      <c r="AP476" s="787"/>
      <c r="AQ476" s="787"/>
      <c r="AR476" s="786"/>
      <c r="AS476" s="787"/>
      <c r="AT476" s="787"/>
      <c r="AU476" s="787"/>
      <c r="AV476" s="786"/>
      <c r="AW476" s="787"/>
      <c r="AX476" s="787"/>
      <c r="AY476" s="787"/>
      <c r="AZ476" s="780"/>
      <c r="BA476" s="780"/>
      <c r="BB476" s="780"/>
      <c r="BC476" s="780"/>
      <c r="BD476" s="541"/>
      <c r="BE476" s="541"/>
      <c r="BF476" s="541"/>
      <c r="BG476" s="541"/>
      <c r="BH476" s="780"/>
      <c r="BI476" s="780"/>
      <c r="BJ476" s="780"/>
      <c r="BK476" s="780"/>
      <c r="BL476" s="780"/>
      <c r="BM476" s="780"/>
    </row>
    <row r="477" ht="12.75" customHeight="1">
      <c r="A477" s="521"/>
      <c r="B477" s="521"/>
      <c r="C477" s="515"/>
      <c r="D477" s="515"/>
      <c r="E477" s="515"/>
      <c r="F477" s="515"/>
      <c r="G477" s="515"/>
      <c r="H477" s="515"/>
      <c r="I477" s="515"/>
      <c r="J477" s="515"/>
      <c r="K477" s="515"/>
      <c r="L477" s="515"/>
      <c r="M477" s="515"/>
      <c r="N477" s="515"/>
      <c r="O477" s="533"/>
      <c r="P477" s="786"/>
      <c r="Q477" s="787"/>
      <c r="R477" s="787"/>
      <c r="S477" s="787"/>
      <c r="T477" s="786"/>
      <c r="U477" s="787"/>
      <c r="V477" s="787"/>
      <c r="W477" s="787"/>
      <c r="X477" s="786"/>
      <c r="Y477" s="787"/>
      <c r="Z477" s="787"/>
      <c r="AA477" s="787"/>
      <c r="AB477" s="786"/>
      <c r="AC477" s="787"/>
      <c r="AD477" s="787"/>
      <c r="AE477" s="787"/>
      <c r="AF477" s="786"/>
      <c r="AG477" s="787"/>
      <c r="AH477" s="787"/>
      <c r="AI477" s="787"/>
      <c r="AJ477" s="786"/>
      <c r="AK477" s="787"/>
      <c r="AL477" s="787"/>
      <c r="AM477" s="787"/>
      <c r="AN477" s="786"/>
      <c r="AO477" s="787"/>
      <c r="AP477" s="787"/>
      <c r="AQ477" s="787"/>
      <c r="AR477" s="786"/>
      <c r="AS477" s="787"/>
      <c r="AT477" s="787"/>
      <c r="AU477" s="787"/>
      <c r="AV477" s="786"/>
      <c r="AW477" s="787"/>
      <c r="AX477" s="787"/>
      <c r="AY477" s="787"/>
      <c r="AZ477" s="780"/>
      <c r="BA477" s="780"/>
      <c r="BB477" s="780"/>
      <c r="BC477" s="780"/>
      <c r="BD477" s="541"/>
      <c r="BE477" s="541"/>
      <c r="BF477" s="541"/>
      <c r="BG477" s="541"/>
      <c r="BH477" s="780"/>
      <c r="BI477" s="780"/>
      <c r="BJ477" s="780"/>
      <c r="BK477" s="780"/>
      <c r="BL477" s="780"/>
      <c r="BM477" s="780"/>
    </row>
    <row r="478" ht="12.75" customHeight="1">
      <c r="A478" s="521"/>
      <c r="B478" s="521"/>
      <c r="C478" s="515"/>
      <c r="D478" s="515"/>
      <c r="E478" s="515"/>
      <c r="F478" s="515"/>
      <c r="G478" s="515"/>
      <c r="H478" s="515"/>
      <c r="I478" s="515"/>
      <c r="J478" s="515"/>
      <c r="K478" s="515"/>
      <c r="L478" s="515"/>
      <c r="M478" s="515"/>
      <c r="N478" s="515"/>
      <c r="O478" s="533"/>
      <c r="P478" s="786"/>
      <c r="Q478" s="787"/>
      <c r="R478" s="787"/>
      <c r="S478" s="787"/>
      <c r="T478" s="786"/>
      <c r="U478" s="787"/>
      <c r="V478" s="787"/>
      <c r="W478" s="787"/>
      <c r="X478" s="786"/>
      <c r="Y478" s="787"/>
      <c r="Z478" s="787"/>
      <c r="AA478" s="787"/>
      <c r="AB478" s="786"/>
      <c r="AC478" s="787"/>
      <c r="AD478" s="787"/>
      <c r="AE478" s="787"/>
      <c r="AF478" s="786"/>
      <c r="AG478" s="787"/>
      <c r="AH478" s="787"/>
      <c r="AI478" s="787"/>
      <c r="AJ478" s="786"/>
      <c r="AK478" s="787"/>
      <c r="AL478" s="787"/>
      <c r="AM478" s="787"/>
      <c r="AN478" s="786"/>
      <c r="AO478" s="787"/>
      <c r="AP478" s="787"/>
      <c r="AQ478" s="787"/>
      <c r="AR478" s="786"/>
      <c r="AS478" s="787"/>
      <c r="AT478" s="787"/>
      <c r="AU478" s="787"/>
      <c r="AV478" s="786"/>
      <c r="AW478" s="787"/>
      <c r="AX478" s="787"/>
      <c r="AY478" s="787"/>
      <c r="AZ478" s="780"/>
      <c r="BA478" s="780"/>
      <c r="BB478" s="780"/>
      <c r="BC478" s="780"/>
      <c r="BD478" s="541"/>
      <c r="BE478" s="541"/>
      <c r="BF478" s="541"/>
      <c r="BG478" s="541"/>
      <c r="BH478" s="780"/>
      <c r="BI478" s="780"/>
      <c r="BJ478" s="780"/>
      <c r="BK478" s="780"/>
      <c r="BL478" s="780"/>
      <c r="BM478" s="780"/>
    </row>
    <row r="479" ht="12.75" customHeight="1">
      <c r="A479" s="521"/>
      <c r="B479" s="521"/>
      <c r="C479" s="515"/>
      <c r="D479" s="515"/>
      <c r="E479" s="515"/>
      <c r="F479" s="515"/>
      <c r="G479" s="515"/>
      <c r="H479" s="515"/>
      <c r="I479" s="515"/>
      <c r="J479" s="515"/>
      <c r="K479" s="515"/>
      <c r="L479" s="515"/>
      <c r="M479" s="515"/>
      <c r="N479" s="515"/>
      <c r="O479" s="533"/>
      <c r="P479" s="786"/>
      <c r="Q479" s="787"/>
      <c r="R479" s="787"/>
      <c r="S479" s="787"/>
      <c r="T479" s="786"/>
      <c r="U479" s="787"/>
      <c r="V479" s="787"/>
      <c r="W479" s="787"/>
      <c r="X479" s="786"/>
      <c r="Y479" s="787"/>
      <c r="Z479" s="787"/>
      <c r="AA479" s="787"/>
      <c r="AB479" s="786"/>
      <c r="AC479" s="787"/>
      <c r="AD479" s="787"/>
      <c r="AE479" s="787"/>
      <c r="AF479" s="786"/>
      <c r="AG479" s="787"/>
      <c r="AH479" s="787"/>
      <c r="AI479" s="787"/>
      <c r="AJ479" s="786"/>
      <c r="AK479" s="787"/>
      <c r="AL479" s="787"/>
      <c r="AM479" s="787"/>
      <c r="AN479" s="786"/>
      <c r="AO479" s="787"/>
      <c r="AP479" s="787"/>
      <c r="AQ479" s="787"/>
      <c r="AR479" s="786"/>
      <c r="AS479" s="787"/>
      <c r="AT479" s="787"/>
      <c r="AU479" s="787"/>
      <c r="AV479" s="786"/>
      <c r="AW479" s="787"/>
      <c r="AX479" s="787"/>
      <c r="AY479" s="787"/>
      <c r="AZ479" s="780"/>
      <c r="BA479" s="780"/>
      <c r="BB479" s="780"/>
      <c r="BC479" s="780"/>
      <c r="BD479" s="541"/>
      <c r="BE479" s="541"/>
      <c r="BF479" s="541"/>
      <c r="BG479" s="541"/>
      <c r="BH479" s="780"/>
      <c r="BI479" s="780"/>
      <c r="BJ479" s="780"/>
      <c r="BK479" s="780"/>
      <c r="BL479" s="780"/>
      <c r="BM479" s="780"/>
    </row>
    <row r="480" ht="12.75" customHeight="1">
      <c r="A480" s="521"/>
      <c r="B480" s="521"/>
      <c r="C480" s="515"/>
      <c r="D480" s="515"/>
      <c r="E480" s="515"/>
      <c r="F480" s="515"/>
      <c r="G480" s="515"/>
      <c r="H480" s="515"/>
      <c r="I480" s="515"/>
      <c r="J480" s="515"/>
      <c r="K480" s="515"/>
      <c r="L480" s="515"/>
      <c r="M480" s="515"/>
      <c r="N480" s="515"/>
      <c r="O480" s="533"/>
      <c r="P480" s="786"/>
      <c r="Q480" s="787"/>
      <c r="R480" s="787"/>
      <c r="S480" s="787"/>
      <c r="T480" s="786"/>
      <c r="U480" s="787"/>
      <c r="V480" s="787"/>
      <c r="W480" s="787"/>
      <c r="X480" s="786"/>
      <c r="Y480" s="787"/>
      <c r="Z480" s="787"/>
      <c r="AA480" s="787"/>
      <c r="AB480" s="786"/>
      <c r="AC480" s="787"/>
      <c r="AD480" s="787"/>
      <c r="AE480" s="787"/>
      <c r="AF480" s="786"/>
      <c r="AG480" s="787"/>
      <c r="AH480" s="787"/>
      <c r="AI480" s="787"/>
      <c r="AJ480" s="786"/>
      <c r="AK480" s="787"/>
      <c r="AL480" s="787"/>
      <c r="AM480" s="787"/>
      <c r="AN480" s="786"/>
      <c r="AO480" s="787"/>
      <c r="AP480" s="787"/>
      <c r="AQ480" s="787"/>
      <c r="AR480" s="786"/>
      <c r="AS480" s="787"/>
      <c r="AT480" s="787"/>
      <c r="AU480" s="787"/>
      <c r="AV480" s="786"/>
      <c r="AW480" s="787"/>
      <c r="AX480" s="787"/>
      <c r="AY480" s="787"/>
      <c r="AZ480" s="780"/>
      <c r="BA480" s="780"/>
      <c r="BB480" s="780"/>
      <c r="BC480" s="780"/>
      <c r="BD480" s="541"/>
      <c r="BE480" s="541"/>
      <c r="BF480" s="541"/>
      <c r="BG480" s="541"/>
      <c r="BH480" s="780"/>
      <c r="BI480" s="780"/>
      <c r="BJ480" s="780"/>
      <c r="BK480" s="780"/>
      <c r="BL480" s="780"/>
      <c r="BM480" s="780"/>
    </row>
    <row r="481" ht="12.75" customHeight="1">
      <c r="A481" s="521"/>
      <c r="B481" s="521"/>
      <c r="C481" s="515"/>
      <c r="D481" s="515"/>
      <c r="E481" s="515"/>
      <c r="F481" s="515"/>
      <c r="G481" s="515"/>
      <c r="H481" s="515"/>
      <c r="I481" s="515"/>
      <c r="J481" s="515"/>
      <c r="K481" s="515"/>
      <c r="L481" s="515"/>
      <c r="M481" s="515"/>
      <c r="N481" s="515"/>
      <c r="O481" s="533"/>
      <c r="P481" s="786"/>
      <c r="Q481" s="787"/>
      <c r="R481" s="787"/>
      <c r="S481" s="787"/>
      <c r="T481" s="786"/>
      <c r="U481" s="787"/>
      <c r="V481" s="787"/>
      <c r="W481" s="787"/>
      <c r="X481" s="786"/>
      <c r="Y481" s="787"/>
      <c r="Z481" s="787"/>
      <c r="AA481" s="787"/>
      <c r="AB481" s="786"/>
      <c r="AC481" s="787"/>
      <c r="AD481" s="787"/>
      <c r="AE481" s="787"/>
      <c r="AF481" s="786"/>
      <c r="AG481" s="787"/>
      <c r="AH481" s="787"/>
      <c r="AI481" s="787"/>
      <c r="AJ481" s="786"/>
      <c r="AK481" s="787"/>
      <c r="AL481" s="787"/>
      <c r="AM481" s="787"/>
      <c r="AN481" s="786"/>
      <c r="AO481" s="787"/>
      <c r="AP481" s="787"/>
      <c r="AQ481" s="787"/>
      <c r="AR481" s="786"/>
      <c r="AS481" s="787"/>
      <c r="AT481" s="787"/>
      <c r="AU481" s="787"/>
      <c r="AV481" s="786"/>
      <c r="AW481" s="787"/>
      <c r="AX481" s="787"/>
      <c r="AY481" s="787"/>
      <c r="AZ481" s="780"/>
      <c r="BA481" s="780"/>
      <c r="BB481" s="780"/>
      <c r="BC481" s="780"/>
      <c r="BD481" s="541"/>
      <c r="BE481" s="541"/>
      <c r="BF481" s="541"/>
      <c r="BG481" s="541"/>
      <c r="BH481" s="780"/>
      <c r="BI481" s="780"/>
      <c r="BJ481" s="780"/>
      <c r="BK481" s="780"/>
      <c r="BL481" s="780"/>
      <c r="BM481" s="780"/>
    </row>
    <row r="482" ht="12.75" customHeight="1">
      <c r="A482" s="521"/>
      <c r="B482" s="521"/>
      <c r="C482" s="515"/>
      <c r="D482" s="515"/>
      <c r="E482" s="515"/>
      <c r="F482" s="515"/>
      <c r="G482" s="515"/>
      <c r="H482" s="515"/>
      <c r="I482" s="515"/>
      <c r="J482" s="515"/>
      <c r="K482" s="515"/>
      <c r="L482" s="515"/>
      <c r="M482" s="515"/>
      <c r="N482" s="515"/>
      <c r="O482" s="533"/>
      <c r="P482" s="786"/>
      <c r="Q482" s="787"/>
      <c r="R482" s="787"/>
      <c r="S482" s="787"/>
      <c r="T482" s="786"/>
      <c r="U482" s="787"/>
      <c r="V482" s="787"/>
      <c r="W482" s="787"/>
      <c r="X482" s="786"/>
      <c r="Y482" s="787"/>
      <c r="Z482" s="787"/>
      <c r="AA482" s="787"/>
      <c r="AB482" s="786"/>
      <c r="AC482" s="787"/>
      <c r="AD482" s="787"/>
      <c r="AE482" s="787"/>
      <c r="AF482" s="786"/>
      <c r="AG482" s="787"/>
      <c r="AH482" s="787"/>
      <c r="AI482" s="787"/>
      <c r="AJ482" s="786"/>
      <c r="AK482" s="787"/>
      <c r="AL482" s="787"/>
      <c r="AM482" s="787"/>
      <c r="AN482" s="786"/>
      <c r="AO482" s="787"/>
      <c r="AP482" s="787"/>
      <c r="AQ482" s="787"/>
      <c r="AR482" s="786"/>
      <c r="AS482" s="787"/>
      <c r="AT482" s="787"/>
      <c r="AU482" s="787"/>
      <c r="AV482" s="786"/>
      <c r="AW482" s="787"/>
      <c r="AX482" s="787"/>
      <c r="AY482" s="787"/>
      <c r="AZ482" s="780"/>
      <c r="BA482" s="780"/>
      <c r="BB482" s="780"/>
      <c r="BC482" s="780"/>
      <c r="BD482" s="541"/>
      <c r="BE482" s="541"/>
      <c r="BF482" s="541"/>
      <c r="BG482" s="541"/>
      <c r="BH482" s="780"/>
      <c r="BI482" s="780"/>
      <c r="BJ482" s="780"/>
      <c r="BK482" s="780"/>
      <c r="BL482" s="780"/>
      <c r="BM482" s="780"/>
    </row>
    <row r="483" ht="12.75" customHeight="1">
      <c r="A483" s="521"/>
      <c r="B483" s="521"/>
      <c r="C483" s="515"/>
      <c r="D483" s="515"/>
      <c r="E483" s="515"/>
      <c r="F483" s="515"/>
      <c r="G483" s="515"/>
      <c r="H483" s="515"/>
      <c r="I483" s="515"/>
      <c r="J483" s="515"/>
      <c r="K483" s="515"/>
      <c r="L483" s="515"/>
      <c r="M483" s="515"/>
      <c r="N483" s="515"/>
      <c r="O483" s="533"/>
      <c r="P483" s="786"/>
      <c r="Q483" s="787"/>
      <c r="R483" s="787"/>
      <c r="S483" s="787"/>
      <c r="T483" s="786"/>
      <c r="U483" s="787"/>
      <c r="V483" s="787"/>
      <c r="W483" s="787"/>
      <c r="X483" s="786"/>
      <c r="Y483" s="787"/>
      <c r="Z483" s="787"/>
      <c r="AA483" s="787"/>
      <c r="AB483" s="786"/>
      <c r="AC483" s="787"/>
      <c r="AD483" s="787"/>
      <c r="AE483" s="787"/>
      <c r="AF483" s="786"/>
      <c r="AG483" s="787"/>
      <c r="AH483" s="787"/>
      <c r="AI483" s="787"/>
      <c r="AJ483" s="786"/>
      <c r="AK483" s="787"/>
      <c r="AL483" s="787"/>
      <c r="AM483" s="787"/>
      <c r="AN483" s="786"/>
      <c r="AO483" s="787"/>
      <c r="AP483" s="787"/>
      <c r="AQ483" s="787"/>
      <c r="AR483" s="786"/>
      <c r="AS483" s="787"/>
      <c r="AT483" s="787"/>
      <c r="AU483" s="787"/>
      <c r="AV483" s="786"/>
      <c r="AW483" s="787"/>
      <c r="AX483" s="787"/>
      <c r="AY483" s="787"/>
      <c r="AZ483" s="780"/>
      <c r="BA483" s="780"/>
      <c r="BB483" s="780"/>
      <c r="BC483" s="780"/>
      <c r="BD483" s="541"/>
      <c r="BE483" s="541"/>
      <c r="BF483" s="541"/>
      <c r="BG483" s="541"/>
      <c r="BH483" s="780"/>
      <c r="BI483" s="780"/>
      <c r="BJ483" s="780"/>
      <c r="BK483" s="780"/>
      <c r="BL483" s="780"/>
      <c r="BM483" s="780"/>
    </row>
    <row r="484" ht="12.75" customHeight="1">
      <c r="A484" s="521"/>
      <c r="B484" s="521"/>
      <c r="C484" s="515"/>
      <c r="D484" s="515"/>
      <c r="E484" s="515"/>
      <c r="F484" s="515"/>
      <c r="G484" s="515"/>
      <c r="H484" s="515"/>
      <c r="I484" s="515"/>
      <c r="J484" s="515"/>
      <c r="K484" s="515"/>
      <c r="L484" s="515"/>
      <c r="M484" s="515"/>
      <c r="N484" s="515"/>
      <c r="O484" s="533"/>
      <c r="P484" s="786"/>
      <c r="Q484" s="787"/>
      <c r="R484" s="787"/>
      <c r="S484" s="787"/>
      <c r="T484" s="786"/>
      <c r="U484" s="787"/>
      <c r="V484" s="787"/>
      <c r="W484" s="787"/>
      <c r="X484" s="786"/>
      <c r="Y484" s="787"/>
      <c r="Z484" s="787"/>
      <c r="AA484" s="787"/>
      <c r="AB484" s="786"/>
      <c r="AC484" s="787"/>
      <c r="AD484" s="787"/>
      <c r="AE484" s="787"/>
      <c r="AF484" s="786"/>
      <c r="AG484" s="787"/>
      <c r="AH484" s="787"/>
      <c r="AI484" s="787"/>
      <c r="AJ484" s="786"/>
      <c r="AK484" s="787"/>
      <c r="AL484" s="787"/>
      <c r="AM484" s="787"/>
      <c r="AN484" s="786"/>
      <c r="AO484" s="787"/>
      <c r="AP484" s="787"/>
      <c r="AQ484" s="787"/>
      <c r="AR484" s="786"/>
      <c r="AS484" s="787"/>
      <c r="AT484" s="787"/>
      <c r="AU484" s="787"/>
      <c r="AV484" s="786"/>
      <c r="AW484" s="787"/>
      <c r="AX484" s="787"/>
      <c r="AY484" s="787"/>
      <c r="AZ484" s="780"/>
      <c r="BA484" s="780"/>
      <c r="BB484" s="780"/>
      <c r="BC484" s="780"/>
      <c r="BD484" s="541"/>
      <c r="BE484" s="541"/>
      <c r="BF484" s="541"/>
      <c r="BG484" s="541"/>
      <c r="BH484" s="780"/>
      <c r="BI484" s="780"/>
      <c r="BJ484" s="780"/>
      <c r="BK484" s="780"/>
      <c r="BL484" s="780"/>
      <c r="BM484" s="780"/>
    </row>
    <row r="485" ht="12.75" customHeight="1">
      <c r="A485" s="521"/>
      <c r="B485" s="521"/>
      <c r="C485" s="515"/>
      <c r="D485" s="515"/>
      <c r="E485" s="515"/>
      <c r="F485" s="515"/>
      <c r="G485" s="515"/>
      <c r="H485" s="515"/>
      <c r="I485" s="515"/>
      <c r="J485" s="515"/>
      <c r="K485" s="515"/>
      <c r="L485" s="515"/>
      <c r="M485" s="515"/>
      <c r="N485" s="515"/>
      <c r="O485" s="533"/>
      <c r="P485" s="786"/>
      <c r="Q485" s="787"/>
      <c r="R485" s="787"/>
      <c r="S485" s="787"/>
      <c r="T485" s="786"/>
      <c r="U485" s="787"/>
      <c r="V485" s="787"/>
      <c r="W485" s="787"/>
      <c r="X485" s="786"/>
      <c r="Y485" s="787"/>
      <c r="Z485" s="787"/>
      <c r="AA485" s="787"/>
      <c r="AB485" s="786"/>
      <c r="AC485" s="787"/>
      <c r="AD485" s="787"/>
      <c r="AE485" s="787"/>
      <c r="AF485" s="786"/>
      <c r="AG485" s="787"/>
      <c r="AH485" s="787"/>
      <c r="AI485" s="787"/>
      <c r="AJ485" s="786"/>
      <c r="AK485" s="787"/>
      <c r="AL485" s="787"/>
      <c r="AM485" s="787"/>
      <c r="AN485" s="786"/>
      <c r="AO485" s="787"/>
      <c r="AP485" s="787"/>
      <c r="AQ485" s="787"/>
      <c r="AR485" s="786"/>
      <c r="AS485" s="787"/>
      <c r="AT485" s="787"/>
      <c r="AU485" s="787"/>
      <c r="AV485" s="786"/>
      <c r="AW485" s="787"/>
      <c r="AX485" s="787"/>
      <c r="AY485" s="787"/>
      <c r="AZ485" s="780"/>
      <c r="BA485" s="780"/>
      <c r="BB485" s="780"/>
      <c r="BC485" s="780"/>
      <c r="BD485" s="541"/>
      <c r="BE485" s="541"/>
      <c r="BF485" s="541"/>
      <c r="BG485" s="541"/>
      <c r="BH485" s="780"/>
      <c r="BI485" s="780"/>
      <c r="BJ485" s="780"/>
      <c r="BK485" s="780"/>
      <c r="BL485" s="780"/>
      <c r="BM485" s="780"/>
    </row>
    <row r="486" ht="12.75" customHeight="1">
      <c r="A486" s="521"/>
      <c r="B486" s="521"/>
      <c r="C486" s="515"/>
      <c r="D486" s="515"/>
      <c r="E486" s="515"/>
      <c r="F486" s="515"/>
      <c r="G486" s="515"/>
      <c r="H486" s="515"/>
      <c r="I486" s="515"/>
      <c r="J486" s="515"/>
      <c r="K486" s="515"/>
      <c r="L486" s="515"/>
      <c r="M486" s="515"/>
      <c r="N486" s="515"/>
      <c r="O486" s="533"/>
      <c r="P486" s="786"/>
      <c r="Q486" s="787"/>
      <c r="R486" s="787"/>
      <c r="S486" s="787"/>
      <c r="T486" s="786"/>
      <c r="U486" s="787"/>
      <c r="V486" s="787"/>
      <c r="W486" s="787"/>
      <c r="X486" s="786"/>
      <c r="Y486" s="787"/>
      <c r="Z486" s="787"/>
      <c r="AA486" s="787"/>
      <c r="AB486" s="786"/>
      <c r="AC486" s="787"/>
      <c r="AD486" s="787"/>
      <c r="AE486" s="787"/>
      <c r="AF486" s="786"/>
      <c r="AG486" s="787"/>
      <c r="AH486" s="787"/>
      <c r="AI486" s="787"/>
      <c r="AJ486" s="786"/>
      <c r="AK486" s="787"/>
      <c r="AL486" s="787"/>
      <c r="AM486" s="787"/>
      <c r="AN486" s="786"/>
      <c r="AO486" s="787"/>
      <c r="AP486" s="787"/>
      <c r="AQ486" s="787"/>
      <c r="AR486" s="786"/>
      <c r="AS486" s="787"/>
      <c r="AT486" s="787"/>
      <c r="AU486" s="787"/>
      <c r="AV486" s="786"/>
      <c r="AW486" s="787"/>
      <c r="AX486" s="787"/>
      <c r="AY486" s="787"/>
      <c r="AZ486" s="780"/>
      <c r="BA486" s="780"/>
      <c r="BB486" s="780"/>
      <c r="BC486" s="780"/>
      <c r="BD486" s="541"/>
      <c r="BE486" s="541"/>
      <c r="BF486" s="541"/>
      <c r="BG486" s="541"/>
      <c r="BH486" s="780"/>
      <c r="BI486" s="780"/>
      <c r="BJ486" s="780"/>
      <c r="BK486" s="780"/>
      <c r="BL486" s="780"/>
      <c r="BM486" s="780"/>
    </row>
    <row r="487" ht="12.75" customHeight="1">
      <c r="A487" s="521"/>
      <c r="B487" s="521"/>
      <c r="C487" s="515"/>
      <c r="D487" s="515"/>
      <c r="E487" s="515"/>
      <c r="F487" s="515"/>
      <c r="G487" s="515"/>
      <c r="H487" s="515"/>
      <c r="I487" s="515"/>
      <c r="J487" s="515"/>
      <c r="K487" s="515"/>
      <c r="L487" s="515"/>
      <c r="M487" s="515"/>
      <c r="N487" s="515"/>
      <c r="O487" s="533"/>
      <c r="P487" s="786"/>
      <c r="Q487" s="787"/>
      <c r="R487" s="787"/>
      <c r="S487" s="787"/>
      <c r="T487" s="786"/>
      <c r="U487" s="787"/>
      <c r="V487" s="787"/>
      <c r="W487" s="787"/>
      <c r="X487" s="786"/>
      <c r="Y487" s="787"/>
      <c r="Z487" s="787"/>
      <c r="AA487" s="787"/>
      <c r="AB487" s="786"/>
      <c r="AC487" s="787"/>
      <c r="AD487" s="787"/>
      <c r="AE487" s="787"/>
      <c r="AF487" s="786"/>
      <c r="AG487" s="787"/>
      <c r="AH487" s="787"/>
      <c r="AI487" s="787"/>
      <c r="AJ487" s="786"/>
      <c r="AK487" s="787"/>
      <c r="AL487" s="787"/>
      <c r="AM487" s="787"/>
      <c r="AN487" s="786"/>
      <c r="AO487" s="787"/>
      <c r="AP487" s="787"/>
      <c r="AQ487" s="787"/>
      <c r="AR487" s="786"/>
      <c r="AS487" s="787"/>
      <c r="AT487" s="787"/>
      <c r="AU487" s="787"/>
      <c r="AV487" s="786"/>
      <c r="AW487" s="787"/>
      <c r="AX487" s="787"/>
      <c r="AY487" s="787"/>
      <c r="AZ487" s="780"/>
      <c r="BA487" s="780"/>
      <c r="BB487" s="780"/>
      <c r="BC487" s="780"/>
      <c r="BD487" s="541"/>
      <c r="BE487" s="541"/>
      <c r="BF487" s="541"/>
      <c r="BG487" s="541"/>
      <c r="BH487" s="780"/>
      <c r="BI487" s="780"/>
      <c r="BJ487" s="780"/>
      <c r="BK487" s="780"/>
      <c r="BL487" s="780"/>
      <c r="BM487" s="780"/>
    </row>
    <row r="488" ht="12.75" customHeight="1">
      <c r="A488" s="521"/>
      <c r="B488" s="521"/>
      <c r="C488" s="515"/>
      <c r="D488" s="515"/>
      <c r="E488" s="515"/>
      <c r="F488" s="515"/>
      <c r="G488" s="515"/>
      <c r="H488" s="515"/>
      <c r="I488" s="515"/>
      <c r="J488" s="515"/>
      <c r="K488" s="515"/>
      <c r="L488" s="515"/>
      <c r="M488" s="515"/>
      <c r="N488" s="515"/>
      <c r="O488" s="533"/>
      <c r="P488" s="786"/>
      <c r="Q488" s="787"/>
      <c r="R488" s="787"/>
      <c r="S488" s="787"/>
      <c r="T488" s="786"/>
      <c r="U488" s="787"/>
      <c r="V488" s="787"/>
      <c r="W488" s="787"/>
      <c r="X488" s="786"/>
      <c r="Y488" s="787"/>
      <c r="Z488" s="787"/>
      <c r="AA488" s="787"/>
      <c r="AB488" s="786"/>
      <c r="AC488" s="787"/>
      <c r="AD488" s="787"/>
      <c r="AE488" s="787"/>
      <c r="AF488" s="786"/>
      <c r="AG488" s="787"/>
      <c r="AH488" s="787"/>
      <c r="AI488" s="787"/>
      <c r="AJ488" s="786"/>
      <c r="AK488" s="787"/>
      <c r="AL488" s="787"/>
      <c r="AM488" s="787"/>
      <c r="AN488" s="786"/>
      <c r="AO488" s="787"/>
      <c r="AP488" s="787"/>
      <c r="AQ488" s="787"/>
      <c r="AR488" s="786"/>
      <c r="AS488" s="787"/>
      <c r="AT488" s="787"/>
      <c r="AU488" s="787"/>
      <c r="AV488" s="786"/>
      <c r="AW488" s="787"/>
      <c r="AX488" s="787"/>
      <c r="AY488" s="787"/>
      <c r="AZ488" s="780"/>
      <c r="BA488" s="780"/>
      <c r="BB488" s="780"/>
      <c r="BC488" s="780"/>
      <c r="BD488" s="541"/>
      <c r="BE488" s="541"/>
      <c r="BF488" s="541"/>
      <c r="BG488" s="541"/>
      <c r="BH488" s="780"/>
      <c r="BI488" s="780"/>
      <c r="BJ488" s="780"/>
      <c r="BK488" s="780"/>
      <c r="BL488" s="780"/>
      <c r="BM488" s="780"/>
    </row>
    <row r="489" ht="12.75" customHeight="1">
      <c r="A489" s="521"/>
      <c r="B489" s="521"/>
      <c r="C489" s="515"/>
      <c r="D489" s="515"/>
      <c r="E489" s="515"/>
      <c r="F489" s="515"/>
      <c r="G489" s="515"/>
      <c r="H489" s="515"/>
      <c r="I489" s="515"/>
      <c r="J489" s="515"/>
      <c r="K489" s="515"/>
      <c r="L489" s="515"/>
      <c r="M489" s="515"/>
      <c r="N489" s="515"/>
      <c r="O489" s="533"/>
      <c r="P489" s="786"/>
      <c r="Q489" s="787"/>
      <c r="R489" s="787"/>
      <c r="S489" s="787"/>
      <c r="T489" s="786"/>
      <c r="U489" s="787"/>
      <c r="V489" s="787"/>
      <c r="W489" s="787"/>
      <c r="X489" s="786"/>
      <c r="Y489" s="787"/>
      <c r="Z489" s="787"/>
      <c r="AA489" s="787"/>
      <c r="AB489" s="786"/>
      <c r="AC489" s="787"/>
      <c r="AD489" s="787"/>
      <c r="AE489" s="787"/>
      <c r="AF489" s="786"/>
      <c r="AG489" s="787"/>
      <c r="AH489" s="787"/>
      <c r="AI489" s="787"/>
      <c r="AJ489" s="786"/>
      <c r="AK489" s="787"/>
      <c r="AL489" s="787"/>
      <c r="AM489" s="787"/>
      <c r="AN489" s="786"/>
      <c r="AO489" s="787"/>
      <c r="AP489" s="787"/>
      <c r="AQ489" s="787"/>
      <c r="AR489" s="786"/>
      <c r="AS489" s="787"/>
      <c r="AT489" s="787"/>
      <c r="AU489" s="787"/>
      <c r="AV489" s="786"/>
      <c r="AW489" s="787"/>
      <c r="AX489" s="787"/>
      <c r="AY489" s="787"/>
      <c r="AZ489" s="780"/>
      <c r="BA489" s="780"/>
      <c r="BB489" s="780"/>
      <c r="BC489" s="780"/>
      <c r="BD489" s="541"/>
      <c r="BE489" s="541"/>
      <c r="BF489" s="541"/>
      <c r="BG489" s="541"/>
      <c r="BH489" s="780"/>
      <c r="BI489" s="780"/>
      <c r="BJ489" s="780"/>
      <c r="BK489" s="780"/>
      <c r="BL489" s="780"/>
      <c r="BM489" s="780"/>
    </row>
    <row r="490" ht="12.75" customHeight="1">
      <c r="A490" s="521"/>
      <c r="B490" s="521"/>
      <c r="C490" s="515"/>
      <c r="D490" s="515"/>
      <c r="E490" s="515"/>
      <c r="F490" s="515"/>
      <c r="G490" s="515"/>
      <c r="H490" s="515"/>
      <c r="I490" s="515"/>
      <c r="J490" s="515"/>
      <c r="K490" s="515"/>
      <c r="L490" s="515"/>
      <c r="M490" s="515"/>
      <c r="N490" s="515"/>
      <c r="O490" s="533"/>
      <c r="P490" s="786"/>
      <c r="Q490" s="787"/>
      <c r="R490" s="787"/>
      <c r="S490" s="787"/>
      <c r="T490" s="786"/>
      <c r="U490" s="787"/>
      <c r="V490" s="787"/>
      <c r="W490" s="787"/>
      <c r="X490" s="786"/>
      <c r="Y490" s="787"/>
      <c r="Z490" s="787"/>
      <c r="AA490" s="787"/>
      <c r="AB490" s="786"/>
      <c r="AC490" s="787"/>
      <c r="AD490" s="787"/>
      <c r="AE490" s="787"/>
      <c r="AF490" s="786"/>
      <c r="AG490" s="787"/>
      <c r="AH490" s="787"/>
      <c r="AI490" s="787"/>
      <c r="AJ490" s="786"/>
      <c r="AK490" s="787"/>
      <c r="AL490" s="787"/>
      <c r="AM490" s="787"/>
      <c r="AN490" s="786"/>
      <c r="AO490" s="787"/>
      <c r="AP490" s="787"/>
      <c r="AQ490" s="787"/>
      <c r="AR490" s="786"/>
      <c r="AS490" s="787"/>
      <c r="AT490" s="787"/>
      <c r="AU490" s="787"/>
      <c r="AV490" s="786"/>
      <c r="AW490" s="787"/>
      <c r="AX490" s="787"/>
      <c r="AY490" s="787"/>
      <c r="AZ490" s="780"/>
      <c r="BA490" s="780"/>
      <c r="BB490" s="780"/>
      <c r="BC490" s="780"/>
      <c r="BD490" s="541"/>
      <c r="BE490" s="541"/>
      <c r="BF490" s="541"/>
      <c r="BG490" s="541"/>
      <c r="BH490" s="780"/>
      <c r="BI490" s="780"/>
      <c r="BJ490" s="780"/>
      <c r="BK490" s="780"/>
      <c r="BL490" s="780"/>
      <c r="BM490" s="780"/>
    </row>
    <row r="491" ht="12.75" customHeight="1">
      <c r="A491" s="521"/>
      <c r="B491" s="521"/>
      <c r="C491" s="515"/>
      <c r="D491" s="515"/>
      <c r="E491" s="515"/>
      <c r="F491" s="515"/>
      <c r="G491" s="515"/>
      <c r="H491" s="515"/>
      <c r="I491" s="515"/>
      <c r="J491" s="515"/>
      <c r="K491" s="515"/>
      <c r="L491" s="515"/>
      <c r="M491" s="515"/>
      <c r="N491" s="515"/>
      <c r="O491" s="533"/>
      <c r="P491" s="786"/>
      <c r="Q491" s="787"/>
      <c r="R491" s="787"/>
      <c r="S491" s="787"/>
      <c r="T491" s="786"/>
      <c r="U491" s="787"/>
      <c r="V491" s="787"/>
      <c r="W491" s="787"/>
      <c r="X491" s="786"/>
      <c r="Y491" s="787"/>
      <c r="Z491" s="787"/>
      <c r="AA491" s="787"/>
      <c r="AB491" s="786"/>
      <c r="AC491" s="787"/>
      <c r="AD491" s="787"/>
      <c r="AE491" s="787"/>
      <c r="AF491" s="786"/>
      <c r="AG491" s="787"/>
      <c r="AH491" s="787"/>
      <c r="AI491" s="787"/>
      <c r="AJ491" s="786"/>
      <c r="AK491" s="787"/>
      <c r="AL491" s="787"/>
      <c r="AM491" s="787"/>
      <c r="AN491" s="786"/>
      <c r="AO491" s="787"/>
      <c r="AP491" s="787"/>
      <c r="AQ491" s="787"/>
      <c r="AR491" s="786"/>
      <c r="AS491" s="787"/>
      <c r="AT491" s="787"/>
      <c r="AU491" s="787"/>
      <c r="AV491" s="786"/>
      <c r="AW491" s="787"/>
      <c r="AX491" s="787"/>
      <c r="AY491" s="787"/>
      <c r="AZ491" s="780"/>
      <c r="BA491" s="780"/>
      <c r="BB491" s="780"/>
      <c r="BC491" s="780"/>
      <c r="BD491" s="541"/>
      <c r="BE491" s="541"/>
      <c r="BF491" s="541"/>
      <c r="BG491" s="541"/>
      <c r="BH491" s="780"/>
      <c r="BI491" s="780"/>
      <c r="BJ491" s="780"/>
      <c r="BK491" s="780"/>
      <c r="BL491" s="780"/>
      <c r="BM491" s="780"/>
    </row>
    <row r="492" ht="12.75" customHeight="1">
      <c r="A492" s="521"/>
      <c r="B492" s="521"/>
      <c r="C492" s="515"/>
      <c r="D492" s="515"/>
      <c r="E492" s="515"/>
      <c r="F492" s="515"/>
      <c r="G492" s="515"/>
      <c r="H492" s="515"/>
      <c r="I492" s="515"/>
      <c r="J492" s="515"/>
      <c r="K492" s="515"/>
      <c r="L492" s="515"/>
      <c r="M492" s="515"/>
      <c r="N492" s="515"/>
      <c r="O492" s="533"/>
      <c r="P492" s="786"/>
      <c r="Q492" s="787"/>
      <c r="R492" s="787"/>
      <c r="S492" s="787"/>
      <c r="T492" s="786"/>
      <c r="U492" s="787"/>
      <c r="V492" s="787"/>
      <c r="W492" s="787"/>
      <c r="X492" s="786"/>
      <c r="Y492" s="787"/>
      <c r="Z492" s="787"/>
      <c r="AA492" s="787"/>
      <c r="AB492" s="786"/>
      <c r="AC492" s="787"/>
      <c r="AD492" s="787"/>
      <c r="AE492" s="787"/>
      <c r="AF492" s="786"/>
      <c r="AG492" s="787"/>
      <c r="AH492" s="787"/>
      <c r="AI492" s="787"/>
      <c r="AJ492" s="786"/>
      <c r="AK492" s="787"/>
      <c r="AL492" s="787"/>
      <c r="AM492" s="787"/>
      <c r="AN492" s="786"/>
      <c r="AO492" s="787"/>
      <c r="AP492" s="787"/>
      <c r="AQ492" s="787"/>
      <c r="AR492" s="786"/>
      <c r="AS492" s="787"/>
      <c r="AT492" s="787"/>
      <c r="AU492" s="787"/>
      <c r="AV492" s="786"/>
      <c r="AW492" s="787"/>
      <c r="AX492" s="787"/>
      <c r="AY492" s="787"/>
      <c r="AZ492" s="780"/>
      <c r="BA492" s="780"/>
      <c r="BB492" s="780"/>
      <c r="BC492" s="780"/>
      <c r="BD492" s="541"/>
      <c r="BE492" s="541"/>
      <c r="BF492" s="541"/>
      <c r="BG492" s="541"/>
      <c r="BH492" s="780"/>
      <c r="BI492" s="780"/>
      <c r="BJ492" s="780"/>
      <c r="BK492" s="780"/>
      <c r="BL492" s="780"/>
      <c r="BM492" s="780"/>
    </row>
    <row r="493" ht="12.75" customHeight="1">
      <c r="A493" s="521"/>
      <c r="B493" s="521"/>
      <c r="C493" s="515"/>
      <c r="D493" s="515"/>
      <c r="E493" s="515"/>
      <c r="F493" s="515"/>
      <c r="G493" s="515"/>
      <c r="H493" s="515"/>
      <c r="I493" s="515"/>
      <c r="J493" s="515"/>
      <c r="K493" s="515"/>
      <c r="L493" s="515"/>
      <c r="M493" s="515"/>
      <c r="N493" s="515"/>
      <c r="O493" s="533"/>
      <c r="P493" s="786"/>
      <c r="Q493" s="787"/>
      <c r="R493" s="787"/>
      <c r="S493" s="787"/>
      <c r="T493" s="786"/>
      <c r="U493" s="787"/>
      <c r="V493" s="787"/>
      <c r="W493" s="787"/>
      <c r="X493" s="786"/>
      <c r="Y493" s="787"/>
      <c r="Z493" s="787"/>
      <c r="AA493" s="787"/>
      <c r="AB493" s="786"/>
      <c r="AC493" s="787"/>
      <c r="AD493" s="787"/>
      <c r="AE493" s="787"/>
      <c r="AF493" s="786"/>
      <c r="AG493" s="787"/>
      <c r="AH493" s="787"/>
      <c r="AI493" s="787"/>
      <c r="AJ493" s="786"/>
      <c r="AK493" s="787"/>
      <c r="AL493" s="787"/>
      <c r="AM493" s="787"/>
      <c r="AN493" s="786"/>
      <c r="AO493" s="787"/>
      <c r="AP493" s="787"/>
      <c r="AQ493" s="787"/>
      <c r="AR493" s="786"/>
      <c r="AS493" s="787"/>
      <c r="AT493" s="787"/>
      <c r="AU493" s="787"/>
      <c r="AV493" s="786"/>
      <c r="AW493" s="787"/>
      <c r="AX493" s="787"/>
      <c r="AY493" s="787"/>
      <c r="AZ493" s="780"/>
      <c r="BA493" s="780"/>
      <c r="BB493" s="780"/>
      <c r="BC493" s="780"/>
      <c r="BD493" s="541"/>
      <c r="BE493" s="541"/>
      <c r="BF493" s="541"/>
      <c r="BG493" s="541"/>
      <c r="BH493" s="780"/>
      <c r="BI493" s="780"/>
      <c r="BJ493" s="780"/>
      <c r="BK493" s="780"/>
      <c r="BL493" s="780"/>
      <c r="BM493" s="780"/>
    </row>
    <row r="494" ht="12.75" customHeight="1">
      <c r="A494" s="521"/>
      <c r="B494" s="521"/>
      <c r="C494" s="515"/>
      <c r="D494" s="515"/>
      <c r="E494" s="515"/>
      <c r="F494" s="515"/>
      <c r="G494" s="515"/>
      <c r="H494" s="515"/>
      <c r="I494" s="515"/>
      <c r="J494" s="515"/>
      <c r="K494" s="515"/>
      <c r="L494" s="515"/>
      <c r="M494" s="515"/>
      <c r="N494" s="515"/>
      <c r="O494" s="533"/>
      <c r="P494" s="786"/>
      <c r="Q494" s="787"/>
      <c r="R494" s="787"/>
      <c r="S494" s="787"/>
      <c r="T494" s="786"/>
      <c r="U494" s="787"/>
      <c r="V494" s="787"/>
      <c r="W494" s="787"/>
      <c r="X494" s="786"/>
      <c r="Y494" s="787"/>
      <c r="Z494" s="787"/>
      <c r="AA494" s="787"/>
      <c r="AB494" s="786"/>
      <c r="AC494" s="787"/>
      <c r="AD494" s="787"/>
      <c r="AE494" s="787"/>
      <c r="AF494" s="786"/>
      <c r="AG494" s="787"/>
      <c r="AH494" s="787"/>
      <c r="AI494" s="787"/>
      <c r="AJ494" s="786"/>
      <c r="AK494" s="787"/>
      <c r="AL494" s="787"/>
      <c r="AM494" s="787"/>
      <c r="AN494" s="786"/>
      <c r="AO494" s="787"/>
      <c r="AP494" s="787"/>
      <c r="AQ494" s="787"/>
      <c r="AR494" s="786"/>
      <c r="AS494" s="787"/>
      <c r="AT494" s="787"/>
      <c r="AU494" s="787"/>
      <c r="AV494" s="786"/>
      <c r="AW494" s="787"/>
      <c r="AX494" s="787"/>
      <c r="AY494" s="787"/>
      <c r="AZ494" s="780"/>
      <c r="BA494" s="780"/>
      <c r="BB494" s="780"/>
      <c r="BC494" s="780"/>
      <c r="BD494" s="541"/>
      <c r="BE494" s="541"/>
      <c r="BF494" s="541"/>
      <c r="BG494" s="541"/>
      <c r="BH494" s="780"/>
      <c r="BI494" s="780"/>
      <c r="BJ494" s="780"/>
      <c r="BK494" s="780"/>
      <c r="BL494" s="780"/>
      <c r="BM494" s="780"/>
    </row>
    <row r="495" ht="12.75" customHeight="1">
      <c r="A495" s="521"/>
      <c r="B495" s="521"/>
      <c r="C495" s="515"/>
      <c r="D495" s="515"/>
      <c r="E495" s="515"/>
      <c r="F495" s="515"/>
      <c r="G495" s="515"/>
      <c r="H495" s="515"/>
      <c r="I495" s="515"/>
      <c r="J495" s="515"/>
      <c r="K495" s="515"/>
      <c r="L495" s="515"/>
      <c r="M495" s="515"/>
      <c r="N495" s="515"/>
      <c r="O495" s="533"/>
      <c r="P495" s="786"/>
      <c r="Q495" s="787"/>
      <c r="R495" s="787"/>
      <c r="S495" s="787"/>
      <c r="T495" s="786"/>
      <c r="U495" s="787"/>
      <c r="V495" s="787"/>
      <c r="W495" s="787"/>
      <c r="X495" s="786"/>
      <c r="Y495" s="787"/>
      <c r="Z495" s="787"/>
      <c r="AA495" s="787"/>
      <c r="AB495" s="786"/>
      <c r="AC495" s="787"/>
      <c r="AD495" s="787"/>
      <c r="AE495" s="787"/>
      <c r="AF495" s="786"/>
      <c r="AG495" s="787"/>
      <c r="AH495" s="787"/>
      <c r="AI495" s="787"/>
      <c r="AJ495" s="786"/>
      <c r="AK495" s="787"/>
      <c r="AL495" s="787"/>
      <c r="AM495" s="787"/>
      <c r="AN495" s="786"/>
      <c r="AO495" s="787"/>
      <c r="AP495" s="787"/>
      <c r="AQ495" s="787"/>
      <c r="AR495" s="786"/>
      <c r="AS495" s="787"/>
      <c r="AT495" s="787"/>
      <c r="AU495" s="787"/>
      <c r="AV495" s="786"/>
      <c r="AW495" s="787"/>
      <c r="AX495" s="787"/>
      <c r="AY495" s="787"/>
      <c r="AZ495" s="780"/>
      <c r="BA495" s="780"/>
      <c r="BB495" s="780"/>
      <c r="BC495" s="780"/>
      <c r="BD495" s="541"/>
      <c r="BE495" s="541"/>
      <c r="BF495" s="541"/>
      <c r="BG495" s="541"/>
      <c r="BH495" s="780"/>
      <c r="BI495" s="780"/>
      <c r="BJ495" s="780"/>
      <c r="BK495" s="780"/>
      <c r="BL495" s="780"/>
      <c r="BM495" s="780"/>
    </row>
    <row r="496" ht="12.75" customHeight="1">
      <c r="A496" s="521"/>
      <c r="B496" s="521"/>
      <c r="C496" s="515"/>
      <c r="D496" s="515"/>
      <c r="E496" s="515"/>
      <c r="F496" s="515"/>
      <c r="G496" s="515"/>
      <c r="H496" s="515"/>
      <c r="I496" s="515"/>
      <c r="J496" s="515"/>
      <c r="K496" s="515"/>
      <c r="L496" s="515"/>
      <c r="M496" s="515"/>
      <c r="N496" s="515"/>
      <c r="O496" s="533"/>
      <c r="P496" s="786"/>
      <c r="Q496" s="787"/>
      <c r="R496" s="787"/>
      <c r="S496" s="787"/>
      <c r="T496" s="786"/>
      <c r="U496" s="787"/>
      <c r="V496" s="787"/>
      <c r="W496" s="787"/>
      <c r="X496" s="786"/>
      <c r="Y496" s="787"/>
      <c r="Z496" s="787"/>
      <c r="AA496" s="787"/>
      <c r="AB496" s="786"/>
      <c r="AC496" s="787"/>
      <c r="AD496" s="787"/>
      <c r="AE496" s="787"/>
      <c r="AF496" s="786"/>
      <c r="AG496" s="787"/>
      <c r="AH496" s="787"/>
      <c r="AI496" s="787"/>
      <c r="AJ496" s="786"/>
      <c r="AK496" s="787"/>
      <c r="AL496" s="787"/>
      <c r="AM496" s="787"/>
      <c r="AN496" s="786"/>
      <c r="AO496" s="787"/>
      <c r="AP496" s="787"/>
      <c r="AQ496" s="787"/>
      <c r="AR496" s="786"/>
      <c r="AS496" s="787"/>
      <c r="AT496" s="787"/>
      <c r="AU496" s="787"/>
      <c r="AV496" s="786"/>
      <c r="AW496" s="787"/>
      <c r="AX496" s="787"/>
      <c r="AY496" s="787"/>
      <c r="AZ496" s="780"/>
      <c r="BA496" s="780"/>
      <c r="BB496" s="780"/>
      <c r="BC496" s="780"/>
      <c r="BD496" s="541"/>
      <c r="BE496" s="541"/>
      <c r="BF496" s="541"/>
      <c r="BG496" s="541"/>
      <c r="BH496" s="780"/>
      <c r="BI496" s="780"/>
      <c r="BJ496" s="780"/>
      <c r="BK496" s="780"/>
      <c r="BL496" s="780"/>
      <c r="BM496" s="780"/>
    </row>
    <row r="497" ht="12.75" customHeight="1">
      <c r="A497" s="521"/>
      <c r="B497" s="521"/>
      <c r="C497" s="515"/>
      <c r="D497" s="515"/>
      <c r="E497" s="515"/>
      <c r="F497" s="515"/>
      <c r="G497" s="515"/>
      <c r="H497" s="515"/>
      <c r="I497" s="515"/>
      <c r="J497" s="515"/>
      <c r="K497" s="515"/>
      <c r="L497" s="515"/>
      <c r="M497" s="515"/>
      <c r="N497" s="515"/>
      <c r="O497" s="533"/>
      <c r="P497" s="786"/>
      <c r="Q497" s="787"/>
      <c r="R497" s="787"/>
      <c r="S497" s="787"/>
      <c r="T497" s="786"/>
      <c r="U497" s="787"/>
      <c r="V497" s="787"/>
      <c r="W497" s="787"/>
      <c r="X497" s="786"/>
      <c r="Y497" s="787"/>
      <c r="Z497" s="787"/>
      <c r="AA497" s="787"/>
      <c r="AB497" s="786"/>
      <c r="AC497" s="787"/>
      <c r="AD497" s="787"/>
      <c r="AE497" s="787"/>
      <c r="AF497" s="786"/>
      <c r="AG497" s="787"/>
      <c r="AH497" s="787"/>
      <c r="AI497" s="787"/>
      <c r="AJ497" s="786"/>
      <c r="AK497" s="787"/>
      <c r="AL497" s="787"/>
      <c r="AM497" s="787"/>
      <c r="AN497" s="786"/>
      <c r="AO497" s="787"/>
      <c r="AP497" s="787"/>
      <c r="AQ497" s="787"/>
      <c r="AR497" s="786"/>
      <c r="AS497" s="787"/>
      <c r="AT497" s="787"/>
      <c r="AU497" s="787"/>
      <c r="AV497" s="786"/>
      <c r="AW497" s="787"/>
      <c r="AX497" s="787"/>
      <c r="AY497" s="787"/>
      <c r="AZ497" s="780"/>
      <c r="BA497" s="780"/>
      <c r="BB497" s="780"/>
      <c r="BC497" s="780"/>
      <c r="BD497" s="541"/>
      <c r="BE497" s="541"/>
      <c r="BF497" s="541"/>
      <c r="BG497" s="541"/>
      <c r="BH497" s="780"/>
      <c r="BI497" s="780"/>
      <c r="BJ497" s="780"/>
      <c r="BK497" s="780"/>
      <c r="BL497" s="780"/>
      <c r="BM497" s="780"/>
    </row>
    <row r="498" ht="12.75" customHeight="1">
      <c r="A498" s="521"/>
      <c r="B498" s="521"/>
      <c r="C498" s="515"/>
      <c r="D498" s="515"/>
      <c r="E498" s="515"/>
      <c r="F498" s="515"/>
      <c r="G498" s="515"/>
      <c r="H498" s="515"/>
      <c r="I498" s="515"/>
      <c r="J498" s="515"/>
      <c r="K498" s="515"/>
      <c r="L498" s="515"/>
      <c r="M498" s="515"/>
      <c r="N498" s="515"/>
      <c r="O498" s="533"/>
      <c r="P498" s="786"/>
      <c r="Q498" s="787"/>
      <c r="R498" s="787"/>
      <c r="S498" s="787"/>
      <c r="T498" s="786"/>
      <c r="U498" s="787"/>
      <c r="V498" s="787"/>
      <c r="W498" s="787"/>
      <c r="X498" s="786"/>
      <c r="Y498" s="787"/>
      <c r="Z498" s="787"/>
      <c r="AA498" s="787"/>
      <c r="AB498" s="786"/>
      <c r="AC498" s="787"/>
      <c r="AD498" s="787"/>
      <c r="AE498" s="787"/>
      <c r="AF498" s="786"/>
      <c r="AG498" s="787"/>
      <c r="AH498" s="787"/>
      <c r="AI498" s="787"/>
      <c r="AJ498" s="786"/>
      <c r="AK498" s="787"/>
      <c r="AL498" s="787"/>
      <c r="AM498" s="787"/>
      <c r="AN498" s="786"/>
      <c r="AO498" s="787"/>
      <c r="AP498" s="787"/>
      <c r="AQ498" s="787"/>
      <c r="AR498" s="786"/>
      <c r="AS498" s="787"/>
      <c r="AT498" s="787"/>
      <c r="AU498" s="787"/>
      <c r="AV498" s="786"/>
      <c r="AW498" s="787"/>
      <c r="AX498" s="787"/>
      <c r="AY498" s="787"/>
      <c r="AZ498" s="780"/>
      <c r="BA498" s="780"/>
      <c r="BB498" s="780"/>
      <c r="BC498" s="780"/>
      <c r="BD498" s="541"/>
      <c r="BE498" s="541"/>
      <c r="BF498" s="541"/>
      <c r="BG498" s="541"/>
      <c r="BH498" s="780"/>
      <c r="BI498" s="780"/>
      <c r="BJ498" s="780"/>
      <c r="BK498" s="780"/>
      <c r="BL498" s="780"/>
      <c r="BM498" s="780"/>
    </row>
    <row r="499" ht="12.75" customHeight="1">
      <c r="A499" s="521"/>
      <c r="B499" s="521"/>
      <c r="C499" s="515"/>
      <c r="D499" s="515"/>
      <c r="E499" s="515"/>
      <c r="F499" s="515"/>
      <c r="G499" s="515"/>
      <c r="H499" s="515"/>
      <c r="I499" s="515"/>
      <c r="J499" s="515"/>
      <c r="K499" s="515"/>
      <c r="L499" s="515"/>
      <c r="M499" s="515"/>
      <c r="N499" s="515"/>
      <c r="O499" s="533"/>
      <c r="P499" s="786"/>
      <c r="Q499" s="787"/>
      <c r="R499" s="787"/>
      <c r="S499" s="787"/>
      <c r="T499" s="786"/>
      <c r="U499" s="787"/>
      <c r="V499" s="787"/>
      <c r="W499" s="787"/>
      <c r="X499" s="786"/>
      <c r="Y499" s="787"/>
      <c r="Z499" s="787"/>
      <c r="AA499" s="787"/>
      <c r="AB499" s="786"/>
      <c r="AC499" s="787"/>
      <c r="AD499" s="787"/>
      <c r="AE499" s="787"/>
      <c r="AF499" s="786"/>
      <c r="AG499" s="787"/>
      <c r="AH499" s="787"/>
      <c r="AI499" s="787"/>
      <c r="AJ499" s="786"/>
      <c r="AK499" s="787"/>
      <c r="AL499" s="787"/>
      <c r="AM499" s="787"/>
      <c r="AN499" s="786"/>
      <c r="AO499" s="787"/>
      <c r="AP499" s="787"/>
      <c r="AQ499" s="787"/>
      <c r="AR499" s="786"/>
      <c r="AS499" s="787"/>
      <c r="AT499" s="787"/>
      <c r="AU499" s="787"/>
      <c r="AV499" s="786"/>
      <c r="AW499" s="787"/>
      <c r="AX499" s="787"/>
      <c r="AY499" s="787"/>
      <c r="AZ499" s="780"/>
      <c r="BA499" s="780"/>
      <c r="BB499" s="780"/>
      <c r="BC499" s="780"/>
      <c r="BD499" s="541"/>
      <c r="BE499" s="541"/>
      <c r="BF499" s="541"/>
      <c r="BG499" s="541"/>
      <c r="BH499" s="780"/>
      <c r="BI499" s="780"/>
      <c r="BJ499" s="780"/>
      <c r="BK499" s="780"/>
      <c r="BL499" s="780"/>
      <c r="BM499" s="780"/>
    </row>
    <row r="500" ht="12.75" customHeight="1">
      <c r="A500" s="521"/>
      <c r="B500" s="521"/>
      <c r="C500" s="515"/>
      <c r="D500" s="515"/>
      <c r="E500" s="515"/>
      <c r="F500" s="515"/>
      <c r="G500" s="515"/>
      <c r="H500" s="515"/>
      <c r="I500" s="515"/>
      <c r="J500" s="515"/>
      <c r="K500" s="515"/>
      <c r="L500" s="515"/>
      <c r="M500" s="515"/>
      <c r="N500" s="515"/>
      <c r="O500" s="533"/>
      <c r="P500" s="786"/>
      <c r="Q500" s="787"/>
      <c r="R500" s="787"/>
      <c r="S500" s="787"/>
      <c r="T500" s="786"/>
      <c r="U500" s="787"/>
      <c r="V500" s="787"/>
      <c r="W500" s="787"/>
      <c r="X500" s="786"/>
      <c r="Y500" s="787"/>
      <c r="Z500" s="787"/>
      <c r="AA500" s="787"/>
      <c r="AB500" s="786"/>
      <c r="AC500" s="787"/>
      <c r="AD500" s="787"/>
      <c r="AE500" s="787"/>
      <c r="AF500" s="786"/>
      <c r="AG500" s="787"/>
      <c r="AH500" s="787"/>
      <c r="AI500" s="787"/>
      <c r="AJ500" s="786"/>
      <c r="AK500" s="787"/>
      <c r="AL500" s="787"/>
      <c r="AM500" s="787"/>
      <c r="AN500" s="786"/>
      <c r="AO500" s="787"/>
      <c r="AP500" s="787"/>
      <c r="AQ500" s="787"/>
      <c r="AR500" s="786"/>
      <c r="AS500" s="787"/>
      <c r="AT500" s="787"/>
      <c r="AU500" s="787"/>
      <c r="AV500" s="786"/>
      <c r="AW500" s="787"/>
      <c r="AX500" s="787"/>
      <c r="AY500" s="787"/>
      <c r="AZ500" s="780"/>
      <c r="BA500" s="780"/>
      <c r="BB500" s="780"/>
      <c r="BC500" s="780"/>
      <c r="BD500" s="541"/>
      <c r="BE500" s="541"/>
      <c r="BF500" s="541"/>
      <c r="BG500" s="541"/>
      <c r="BH500" s="780"/>
      <c r="BI500" s="780"/>
      <c r="BJ500" s="780"/>
      <c r="BK500" s="780"/>
      <c r="BL500" s="780"/>
      <c r="BM500" s="780"/>
    </row>
    <row r="501" ht="12.75" customHeight="1">
      <c r="A501" s="521"/>
      <c r="B501" s="521"/>
      <c r="C501" s="515"/>
      <c r="D501" s="515"/>
      <c r="E501" s="515"/>
      <c r="F501" s="515"/>
      <c r="G501" s="515"/>
      <c r="H501" s="515"/>
      <c r="I501" s="515"/>
      <c r="J501" s="515"/>
      <c r="K501" s="515"/>
      <c r="L501" s="515"/>
      <c r="M501" s="515"/>
      <c r="N501" s="515"/>
      <c r="O501" s="533"/>
      <c r="P501" s="786"/>
      <c r="Q501" s="787"/>
      <c r="R501" s="787"/>
      <c r="S501" s="787"/>
      <c r="T501" s="786"/>
      <c r="U501" s="787"/>
      <c r="V501" s="787"/>
      <c r="W501" s="787"/>
      <c r="X501" s="786"/>
      <c r="Y501" s="787"/>
      <c r="Z501" s="787"/>
      <c r="AA501" s="787"/>
      <c r="AB501" s="786"/>
      <c r="AC501" s="787"/>
      <c r="AD501" s="787"/>
      <c r="AE501" s="787"/>
      <c r="AF501" s="786"/>
      <c r="AG501" s="787"/>
      <c r="AH501" s="787"/>
      <c r="AI501" s="787"/>
      <c r="AJ501" s="786"/>
      <c r="AK501" s="787"/>
      <c r="AL501" s="787"/>
      <c r="AM501" s="787"/>
      <c r="AN501" s="786"/>
      <c r="AO501" s="787"/>
      <c r="AP501" s="787"/>
      <c r="AQ501" s="787"/>
      <c r="AR501" s="786"/>
      <c r="AS501" s="787"/>
      <c r="AT501" s="787"/>
      <c r="AU501" s="787"/>
      <c r="AV501" s="786"/>
      <c r="AW501" s="787"/>
      <c r="AX501" s="787"/>
      <c r="AY501" s="787"/>
      <c r="AZ501" s="780"/>
      <c r="BA501" s="780"/>
      <c r="BB501" s="780"/>
      <c r="BC501" s="780"/>
      <c r="BD501" s="541"/>
      <c r="BE501" s="541"/>
      <c r="BF501" s="541"/>
      <c r="BG501" s="541"/>
      <c r="BH501" s="780"/>
      <c r="BI501" s="780"/>
      <c r="BJ501" s="780"/>
      <c r="BK501" s="780"/>
      <c r="BL501" s="780"/>
      <c r="BM501" s="780"/>
    </row>
    <row r="502" ht="12.75" customHeight="1">
      <c r="A502" s="521"/>
      <c r="B502" s="521"/>
      <c r="C502" s="515"/>
      <c r="D502" s="515"/>
      <c r="E502" s="515"/>
      <c r="F502" s="515"/>
      <c r="G502" s="515"/>
      <c r="H502" s="515"/>
      <c r="I502" s="515"/>
      <c r="J502" s="515"/>
      <c r="K502" s="515"/>
      <c r="L502" s="515"/>
      <c r="M502" s="515"/>
      <c r="N502" s="515"/>
      <c r="O502" s="533"/>
      <c r="P502" s="786"/>
      <c r="Q502" s="787"/>
      <c r="R502" s="787"/>
      <c r="S502" s="787"/>
      <c r="T502" s="786"/>
      <c r="U502" s="787"/>
      <c r="V502" s="787"/>
      <c r="W502" s="787"/>
      <c r="X502" s="786"/>
      <c r="Y502" s="787"/>
      <c r="Z502" s="787"/>
      <c r="AA502" s="787"/>
      <c r="AB502" s="786"/>
      <c r="AC502" s="787"/>
      <c r="AD502" s="787"/>
      <c r="AE502" s="787"/>
      <c r="AF502" s="786"/>
      <c r="AG502" s="787"/>
      <c r="AH502" s="787"/>
      <c r="AI502" s="787"/>
      <c r="AJ502" s="786"/>
      <c r="AK502" s="787"/>
      <c r="AL502" s="787"/>
      <c r="AM502" s="787"/>
      <c r="AN502" s="786"/>
      <c r="AO502" s="787"/>
      <c r="AP502" s="787"/>
      <c r="AQ502" s="787"/>
      <c r="AR502" s="786"/>
      <c r="AS502" s="787"/>
      <c r="AT502" s="787"/>
      <c r="AU502" s="787"/>
      <c r="AV502" s="786"/>
      <c r="AW502" s="787"/>
      <c r="AX502" s="787"/>
      <c r="AY502" s="787"/>
      <c r="AZ502" s="780"/>
      <c r="BA502" s="780"/>
      <c r="BB502" s="780"/>
      <c r="BC502" s="780"/>
      <c r="BD502" s="541"/>
      <c r="BE502" s="541"/>
      <c r="BF502" s="541"/>
      <c r="BG502" s="541"/>
      <c r="BH502" s="780"/>
      <c r="BI502" s="780"/>
      <c r="BJ502" s="780"/>
      <c r="BK502" s="780"/>
      <c r="BL502" s="780"/>
      <c r="BM502" s="780"/>
    </row>
    <row r="503" ht="12.75" customHeight="1">
      <c r="A503" s="521"/>
      <c r="B503" s="521"/>
      <c r="C503" s="515"/>
      <c r="D503" s="515"/>
      <c r="E503" s="515"/>
      <c r="F503" s="515"/>
      <c r="G503" s="515"/>
      <c r="H503" s="515"/>
      <c r="I503" s="515"/>
      <c r="J503" s="515"/>
      <c r="K503" s="515"/>
      <c r="L503" s="515"/>
      <c r="M503" s="515"/>
      <c r="N503" s="515"/>
      <c r="O503" s="533"/>
      <c r="P503" s="786"/>
      <c r="Q503" s="787"/>
      <c r="R503" s="787"/>
      <c r="S503" s="787"/>
      <c r="T503" s="786"/>
      <c r="U503" s="787"/>
      <c r="V503" s="787"/>
      <c r="W503" s="787"/>
      <c r="X503" s="786"/>
      <c r="Y503" s="787"/>
      <c r="Z503" s="787"/>
      <c r="AA503" s="787"/>
      <c r="AB503" s="786"/>
      <c r="AC503" s="787"/>
      <c r="AD503" s="787"/>
      <c r="AE503" s="787"/>
      <c r="AF503" s="786"/>
      <c r="AG503" s="787"/>
      <c r="AH503" s="787"/>
      <c r="AI503" s="787"/>
      <c r="AJ503" s="786"/>
      <c r="AK503" s="787"/>
      <c r="AL503" s="787"/>
      <c r="AM503" s="787"/>
      <c r="AN503" s="786"/>
      <c r="AO503" s="787"/>
      <c r="AP503" s="787"/>
      <c r="AQ503" s="787"/>
      <c r="AR503" s="786"/>
      <c r="AS503" s="787"/>
      <c r="AT503" s="787"/>
      <c r="AU503" s="787"/>
      <c r="AV503" s="786"/>
      <c r="AW503" s="787"/>
      <c r="AX503" s="787"/>
      <c r="AY503" s="787"/>
      <c r="AZ503" s="780"/>
      <c r="BA503" s="780"/>
      <c r="BB503" s="780"/>
      <c r="BC503" s="780"/>
      <c r="BD503" s="541"/>
      <c r="BE503" s="541"/>
      <c r="BF503" s="541"/>
      <c r="BG503" s="541"/>
      <c r="BH503" s="780"/>
      <c r="BI503" s="780"/>
      <c r="BJ503" s="780"/>
      <c r="BK503" s="780"/>
      <c r="BL503" s="780"/>
      <c r="BM503" s="780"/>
    </row>
    <row r="504" ht="12.75" customHeight="1">
      <c r="A504" s="521"/>
      <c r="B504" s="521"/>
      <c r="C504" s="515"/>
      <c r="D504" s="515"/>
      <c r="E504" s="515"/>
      <c r="F504" s="515"/>
      <c r="G504" s="515"/>
      <c r="H504" s="515"/>
      <c r="I504" s="515"/>
      <c r="J504" s="515"/>
      <c r="K504" s="515"/>
      <c r="L504" s="515"/>
      <c r="M504" s="515"/>
      <c r="N504" s="515"/>
      <c r="O504" s="533"/>
      <c r="P504" s="786"/>
      <c r="Q504" s="787"/>
      <c r="R504" s="787"/>
      <c r="S504" s="787"/>
      <c r="T504" s="786"/>
      <c r="U504" s="787"/>
      <c r="V504" s="787"/>
      <c r="W504" s="787"/>
      <c r="X504" s="786"/>
      <c r="Y504" s="787"/>
      <c r="Z504" s="787"/>
      <c r="AA504" s="787"/>
      <c r="AB504" s="786"/>
      <c r="AC504" s="787"/>
      <c r="AD504" s="787"/>
      <c r="AE504" s="787"/>
      <c r="AF504" s="786"/>
      <c r="AG504" s="787"/>
      <c r="AH504" s="787"/>
      <c r="AI504" s="787"/>
      <c r="AJ504" s="786"/>
      <c r="AK504" s="787"/>
      <c r="AL504" s="787"/>
      <c r="AM504" s="787"/>
      <c r="AN504" s="786"/>
      <c r="AO504" s="787"/>
      <c r="AP504" s="787"/>
      <c r="AQ504" s="787"/>
      <c r="AR504" s="786"/>
      <c r="AS504" s="787"/>
      <c r="AT504" s="787"/>
      <c r="AU504" s="787"/>
      <c r="AV504" s="786"/>
      <c r="AW504" s="787"/>
      <c r="AX504" s="787"/>
      <c r="AY504" s="787"/>
      <c r="AZ504" s="780"/>
      <c r="BA504" s="780"/>
      <c r="BB504" s="780"/>
      <c r="BC504" s="780"/>
      <c r="BD504" s="541"/>
      <c r="BE504" s="541"/>
      <c r="BF504" s="541"/>
      <c r="BG504" s="541"/>
      <c r="BH504" s="780"/>
      <c r="BI504" s="780"/>
      <c r="BJ504" s="780"/>
      <c r="BK504" s="780"/>
      <c r="BL504" s="780"/>
      <c r="BM504" s="780"/>
    </row>
    <row r="505" ht="12.75" customHeight="1">
      <c r="A505" s="521"/>
      <c r="B505" s="521"/>
      <c r="C505" s="515"/>
      <c r="D505" s="515"/>
      <c r="E505" s="515"/>
      <c r="F505" s="515"/>
      <c r="G505" s="515"/>
      <c r="H505" s="515"/>
      <c r="I505" s="515"/>
      <c r="J505" s="515"/>
      <c r="K505" s="515"/>
      <c r="L505" s="515"/>
      <c r="M505" s="515"/>
      <c r="N505" s="515"/>
      <c r="O505" s="533"/>
      <c r="P505" s="786"/>
      <c r="Q505" s="787"/>
      <c r="R505" s="787"/>
      <c r="S505" s="787"/>
      <c r="T505" s="786"/>
      <c r="U505" s="787"/>
      <c r="V505" s="787"/>
      <c r="W505" s="787"/>
      <c r="X505" s="786"/>
      <c r="Y505" s="787"/>
      <c r="Z505" s="787"/>
      <c r="AA505" s="787"/>
      <c r="AB505" s="786"/>
      <c r="AC505" s="787"/>
      <c r="AD505" s="787"/>
      <c r="AE505" s="787"/>
      <c r="AF505" s="786"/>
      <c r="AG505" s="787"/>
      <c r="AH505" s="787"/>
      <c r="AI505" s="787"/>
      <c r="AJ505" s="786"/>
      <c r="AK505" s="787"/>
      <c r="AL505" s="787"/>
      <c r="AM505" s="787"/>
      <c r="AN505" s="786"/>
      <c r="AO505" s="787"/>
      <c r="AP505" s="787"/>
      <c r="AQ505" s="787"/>
      <c r="AR505" s="786"/>
      <c r="AS505" s="787"/>
      <c r="AT505" s="787"/>
      <c r="AU505" s="787"/>
      <c r="AV505" s="786"/>
      <c r="AW505" s="787"/>
      <c r="AX505" s="787"/>
      <c r="AY505" s="787"/>
      <c r="AZ505" s="780"/>
      <c r="BA505" s="780"/>
      <c r="BB505" s="780"/>
      <c r="BC505" s="780"/>
      <c r="BD505" s="541"/>
      <c r="BE505" s="541"/>
      <c r="BF505" s="541"/>
      <c r="BG505" s="541"/>
      <c r="BH505" s="780"/>
      <c r="BI505" s="780"/>
      <c r="BJ505" s="780"/>
      <c r="BK505" s="780"/>
      <c r="BL505" s="780"/>
      <c r="BM505" s="780"/>
    </row>
    <row r="506" ht="12.75" customHeight="1">
      <c r="A506" s="521"/>
      <c r="B506" s="521"/>
      <c r="C506" s="515"/>
      <c r="D506" s="515"/>
      <c r="E506" s="515"/>
      <c r="F506" s="515"/>
      <c r="G506" s="515"/>
      <c r="H506" s="515"/>
      <c r="I506" s="515"/>
      <c r="J506" s="515"/>
      <c r="K506" s="515"/>
      <c r="L506" s="515"/>
      <c r="M506" s="515"/>
      <c r="N506" s="515"/>
      <c r="O506" s="533"/>
      <c r="P506" s="786"/>
      <c r="Q506" s="787"/>
      <c r="R506" s="787"/>
      <c r="S506" s="787"/>
      <c r="T506" s="786"/>
      <c r="U506" s="787"/>
      <c r="V506" s="787"/>
      <c r="W506" s="787"/>
      <c r="X506" s="786"/>
      <c r="Y506" s="787"/>
      <c r="Z506" s="787"/>
      <c r="AA506" s="787"/>
      <c r="AB506" s="786"/>
      <c r="AC506" s="787"/>
      <c r="AD506" s="787"/>
      <c r="AE506" s="787"/>
      <c r="AF506" s="786"/>
      <c r="AG506" s="787"/>
      <c r="AH506" s="787"/>
      <c r="AI506" s="787"/>
      <c r="AJ506" s="786"/>
      <c r="AK506" s="787"/>
      <c r="AL506" s="787"/>
      <c r="AM506" s="787"/>
      <c r="AN506" s="786"/>
      <c r="AO506" s="787"/>
      <c r="AP506" s="787"/>
      <c r="AQ506" s="787"/>
      <c r="AR506" s="786"/>
      <c r="AS506" s="787"/>
      <c r="AT506" s="787"/>
      <c r="AU506" s="787"/>
      <c r="AV506" s="786"/>
      <c r="AW506" s="787"/>
      <c r="AX506" s="787"/>
      <c r="AY506" s="787"/>
      <c r="AZ506" s="780"/>
      <c r="BA506" s="780"/>
      <c r="BB506" s="780"/>
      <c r="BC506" s="780"/>
      <c r="BD506" s="541"/>
      <c r="BE506" s="541"/>
      <c r="BF506" s="541"/>
      <c r="BG506" s="541"/>
      <c r="BH506" s="780"/>
      <c r="BI506" s="780"/>
      <c r="BJ506" s="780"/>
      <c r="BK506" s="780"/>
      <c r="BL506" s="780"/>
      <c r="BM506" s="780"/>
    </row>
    <row r="507" ht="12.75" customHeight="1">
      <c r="A507" s="521"/>
      <c r="B507" s="521"/>
      <c r="C507" s="515"/>
      <c r="D507" s="515"/>
      <c r="E507" s="515"/>
      <c r="F507" s="515"/>
      <c r="G507" s="515"/>
      <c r="H507" s="515"/>
      <c r="I507" s="515"/>
      <c r="J507" s="515"/>
      <c r="K507" s="515"/>
      <c r="L507" s="515"/>
      <c r="M507" s="515"/>
      <c r="N507" s="515"/>
      <c r="O507" s="533"/>
      <c r="P507" s="786"/>
      <c r="Q507" s="787"/>
      <c r="R507" s="787"/>
      <c r="S507" s="787"/>
      <c r="T507" s="786"/>
      <c r="U507" s="787"/>
      <c r="V507" s="787"/>
      <c r="W507" s="787"/>
      <c r="X507" s="786"/>
      <c r="Y507" s="787"/>
      <c r="Z507" s="787"/>
      <c r="AA507" s="787"/>
      <c r="AB507" s="786"/>
      <c r="AC507" s="787"/>
      <c r="AD507" s="787"/>
      <c r="AE507" s="787"/>
      <c r="AF507" s="786"/>
      <c r="AG507" s="787"/>
      <c r="AH507" s="787"/>
      <c r="AI507" s="787"/>
      <c r="AJ507" s="786"/>
      <c r="AK507" s="787"/>
      <c r="AL507" s="787"/>
      <c r="AM507" s="787"/>
      <c r="AN507" s="786"/>
      <c r="AO507" s="787"/>
      <c r="AP507" s="787"/>
      <c r="AQ507" s="787"/>
      <c r="AR507" s="786"/>
      <c r="AS507" s="787"/>
      <c r="AT507" s="787"/>
      <c r="AU507" s="787"/>
      <c r="AV507" s="786"/>
      <c r="AW507" s="787"/>
      <c r="AX507" s="787"/>
      <c r="AY507" s="787"/>
      <c r="AZ507" s="780"/>
      <c r="BA507" s="780"/>
      <c r="BB507" s="780"/>
      <c r="BC507" s="780"/>
      <c r="BD507" s="541"/>
      <c r="BE507" s="541"/>
      <c r="BF507" s="541"/>
      <c r="BG507" s="541"/>
      <c r="BH507" s="780"/>
      <c r="BI507" s="780"/>
      <c r="BJ507" s="780"/>
      <c r="BK507" s="780"/>
      <c r="BL507" s="780"/>
      <c r="BM507" s="780"/>
    </row>
    <row r="508" ht="12.75" customHeight="1">
      <c r="A508" s="521"/>
      <c r="B508" s="521"/>
      <c r="C508" s="515"/>
      <c r="D508" s="515"/>
      <c r="E508" s="515"/>
      <c r="F508" s="515"/>
      <c r="G508" s="515"/>
      <c r="H508" s="515"/>
      <c r="I508" s="515"/>
      <c r="J508" s="515"/>
      <c r="K508" s="515"/>
      <c r="L508" s="515"/>
      <c r="M508" s="515"/>
      <c r="N508" s="515"/>
      <c r="O508" s="533"/>
      <c r="P508" s="786"/>
      <c r="Q508" s="787"/>
      <c r="R508" s="787"/>
      <c r="S508" s="787"/>
      <c r="T508" s="786"/>
      <c r="U508" s="787"/>
      <c r="V508" s="787"/>
      <c r="W508" s="787"/>
      <c r="X508" s="786"/>
      <c r="Y508" s="787"/>
      <c r="Z508" s="787"/>
      <c r="AA508" s="787"/>
      <c r="AB508" s="786"/>
      <c r="AC508" s="787"/>
      <c r="AD508" s="787"/>
      <c r="AE508" s="787"/>
      <c r="AF508" s="786"/>
      <c r="AG508" s="787"/>
      <c r="AH508" s="787"/>
      <c r="AI508" s="787"/>
      <c r="AJ508" s="786"/>
      <c r="AK508" s="787"/>
      <c r="AL508" s="787"/>
      <c r="AM508" s="787"/>
      <c r="AN508" s="786"/>
      <c r="AO508" s="787"/>
      <c r="AP508" s="787"/>
      <c r="AQ508" s="787"/>
      <c r="AR508" s="786"/>
      <c r="AS508" s="787"/>
      <c r="AT508" s="787"/>
      <c r="AU508" s="787"/>
      <c r="AV508" s="786"/>
      <c r="AW508" s="787"/>
      <c r="AX508" s="787"/>
      <c r="AY508" s="787"/>
      <c r="AZ508" s="780"/>
      <c r="BA508" s="780"/>
      <c r="BB508" s="780"/>
      <c r="BC508" s="780"/>
      <c r="BD508" s="541"/>
      <c r="BE508" s="541"/>
      <c r="BF508" s="541"/>
      <c r="BG508" s="541"/>
      <c r="BH508" s="780"/>
      <c r="BI508" s="780"/>
      <c r="BJ508" s="780"/>
      <c r="BK508" s="780"/>
      <c r="BL508" s="780"/>
      <c r="BM508" s="780"/>
    </row>
    <row r="509" ht="12.75" customHeight="1">
      <c r="A509" s="521"/>
      <c r="B509" s="521"/>
      <c r="C509" s="515"/>
      <c r="D509" s="515"/>
      <c r="E509" s="515"/>
      <c r="F509" s="515"/>
      <c r="G509" s="515"/>
      <c r="H509" s="515"/>
      <c r="I509" s="515"/>
      <c r="J509" s="515"/>
      <c r="K509" s="515"/>
      <c r="L509" s="515"/>
      <c r="M509" s="515"/>
      <c r="N509" s="515"/>
      <c r="O509" s="533"/>
      <c r="P509" s="786"/>
      <c r="Q509" s="787"/>
      <c r="R509" s="787"/>
      <c r="S509" s="787"/>
      <c r="T509" s="786"/>
      <c r="U509" s="787"/>
      <c r="V509" s="787"/>
      <c r="W509" s="787"/>
      <c r="X509" s="786"/>
      <c r="Y509" s="787"/>
      <c r="Z509" s="787"/>
      <c r="AA509" s="787"/>
      <c r="AB509" s="786"/>
      <c r="AC509" s="787"/>
      <c r="AD509" s="787"/>
      <c r="AE509" s="787"/>
      <c r="AF509" s="786"/>
      <c r="AG509" s="787"/>
      <c r="AH509" s="787"/>
      <c r="AI509" s="787"/>
      <c r="AJ509" s="786"/>
      <c r="AK509" s="787"/>
      <c r="AL509" s="787"/>
      <c r="AM509" s="787"/>
      <c r="AN509" s="786"/>
      <c r="AO509" s="787"/>
      <c r="AP509" s="787"/>
      <c r="AQ509" s="787"/>
      <c r="AR509" s="786"/>
      <c r="AS509" s="787"/>
      <c r="AT509" s="787"/>
      <c r="AU509" s="787"/>
      <c r="AV509" s="786"/>
      <c r="AW509" s="787"/>
      <c r="AX509" s="787"/>
      <c r="AY509" s="787"/>
      <c r="AZ509" s="780"/>
      <c r="BA509" s="780"/>
      <c r="BB509" s="780"/>
      <c r="BC509" s="780"/>
      <c r="BD509" s="541"/>
      <c r="BE509" s="541"/>
      <c r="BF509" s="541"/>
      <c r="BG509" s="541"/>
      <c r="BH509" s="780"/>
      <c r="BI509" s="780"/>
      <c r="BJ509" s="780"/>
      <c r="BK509" s="780"/>
      <c r="BL509" s="780"/>
      <c r="BM509" s="780"/>
    </row>
    <row r="510" ht="12.75" customHeight="1">
      <c r="A510" s="521"/>
      <c r="B510" s="521"/>
      <c r="C510" s="515"/>
      <c r="D510" s="515"/>
      <c r="E510" s="515"/>
      <c r="F510" s="515"/>
      <c r="G510" s="515"/>
      <c r="H510" s="515"/>
      <c r="I510" s="515"/>
      <c r="J510" s="515"/>
      <c r="K510" s="515"/>
      <c r="L510" s="515"/>
      <c r="M510" s="515"/>
      <c r="N510" s="515"/>
      <c r="O510" s="533"/>
      <c r="P510" s="786"/>
      <c r="Q510" s="787"/>
      <c r="R510" s="787"/>
      <c r="S510" s="787"/>
      <c r="T510" s="786"/>
      <c r="U510" s="787"/>
      <c r="V510" s="787"/>
      <c r="W510" s="787"/>
      <c r="X510" s="786"/>
      <c r="Y510" s="787"/>
      <c r="Z510" s="787"/>
      <c r="AA510" s="787"/>
      <c r="AB510" s="786"/>
      <c r="AC510" s="787"/>
      <c r="AD510" s="787"/>
      <c r="AE510" s="787"/>
      <c r="AF510" s="786"/>
      <c r="AG510" s="787"/>
      <c r="AH510" s="787"/>
      <c r="AI510" s="787"/>
      <c r="AJ510" s="786"/>
      <c r="AK510" s="787"/>
      <c r="AL510" s="787"/>
      <c r="AM510" s="787"/>
      <c r="AN510" s="786"/>
      <c r="AO510" s="787"/>
      <c r="AP510" s="787"/>
      <c r="AQ510" s="787"/>
      <c r="AR510" s="786"/>
      <c r="AS510" s="787"/>
      <c r="AT510" s="787"/>
      <c r="AU510" s="787"/>
      <c r="AV510" s="786"/>
      <c r="AW510" s="787"/>
      <c r="AX510" s="787"/>
      <c r="AY510" s="787"/>
      <c r="AZ510" s="780"/>
      <c r="BA510" s="780"/>
      <c r="BB510" s="780"/>
      <c r="BC510" s="780"/>
      <c r="BD510" s="541"/>
      <c r="BE510" s="541"/>
      <c r="BF510" s="541"/>
      <c r="BG510" s="541"/>
      <c r="BH510" s="780"/>
      <c r="BI510" s="780"/>
      <c r="BJ510" s="780"/>
      <c r="BK510" s="780"/>
      <c r="BL510" s="780"/>
      <c r="BM510" s="780"/>
    </row>
    <row r="511" ht="12.75" customHeight="1">
      <c r="A511" s="521"/>
      <c r="B511" s="521"/>
      <c r="C511" s="515"/>
      <c r="D511" s="515"/>
      <c r="E511" s="515"/>
      <c r="F511" s="515"/>
      <c r="G511" s="515"/>
      <c r="H511" s="515"/>
      <c r="I511" s="515"/>
      <c r="J511" s="515"/>
      <c r="K511" s="515"/>
      <c r="L511" s="515"/>
      <c r="M511" s="515"/>
      <c r="N511" s="515"/>
      <c r="O511" s="533"/>
      <c r="P511" s="786"/>
      <c r="Q511" s="787"/>
      <c r="R511" s="787"/>
      <c r="S511" s="787"/>
      <c r="T511" s="786"/>
      <c r="U511" s="787"/>
      <c r="V511" s="787"/>
      <c r="W511" s="787"/>
      <c r="X511" s="786"/>
      <c r="Y511" s="787"/>
      <c r="Z511" s="787"/>
      <c r="AA511" s="787"/>
      <c r="AB511" s="786"/>
      <c r="AC511" s="787"/>
      <c r="AD511" s="787"/>
      <c r="AE511" s="787"/>
      <c r="AF511" s="786"/>
      <c r="AG511" s="787"/>
      <c r="AH511" s="787"/>
      <c r="AI511" s="787"/>
      <c r="AJ511" s="786"/>
      <c r="AK511" s="787"/>
      <c r="AL511" s="787"/>
      <c r="AM511" s="787"/>
      <c r="AN511" s="786"/>
      <c r="AO511" s="787"/>
      <c r="AP511" s="787"/>
      <c r="AQ511" s="787"/>
      <c r="AR511" s="786"/>
      <c r="AS511" s="787"/>
      <c r="AT511" s="787"/>
      <c r="AU511" s="787"/>
      <c r="AV511" s="786"/>
      <c r="AW511" s="787"/>
      <c r="AX511" s="787"/>
      <c r="AY511" s="787"/>
      <c r="AZ511" s="780"/>
      <c r="BA511" s="780"/>
      <c r="BB511" s="780"/>
      <c r="BC511" s="780"/>
      <c r="BD511" s="541"/>
      <c r="BE511" s="541"/>
      <c r="BF511" s="541"/>
      <c r="BG511" s="541"/>
      <c r="BH511" s="780"/>
      <c r="BI511" s="780"/>
      <c r="BJ511" s="780"/>
      <c r="BK511" s="780"/>
      <c r="BL511" s="780"/>
      <c r="BM511" s="780"/>
    </row>
    <row r="512" ht="12.75" customHeight="1">
      <c r="A512" s="521"/>
      <c r="B512" s="521"/>
      <c r="C512" s="515"/>
      <c r="D512" s="515"/>
      <c r="E512" s="515"/>
      <c r="F512" s="515"/>
      <c r="G512" s="515"/>
      <c r="H512" s="515"/>
      <c r="I512" s="515"/>
      <c r="J512" s="515"/>
      <c r="K512" s="515"/>
      <c r="L512" s="515"/>
      <c r="M512" s="515"/>
      <c r="N512" s="515"/>
      <c r="O512" s="533"/>
      <c r="P512" s="786"/>
      <c r="Q512" s="787"/>
      <c r="R512" s="787"/>
      <c r="S512" s="787"/>
      <c r="T512" s="786"/>
      <c r="U512" s="787"/>
      <c r="V512" s="787"/>
      <c r="W512" s="787"/>
      <c r="X512" s="786"/>
      <c r="Y512" s="787"/>
      <c r="Z512" s="787"/>
      <c r="AA512" s="787"/>
      <c r="AB512" s="786"/>
      <c r="AC512" s="787"/>
      <c r="AD512" s="787"/>
      <c r="AE512" s="787"/>
      <c r="AF512" s="786"/>
      <c r="AG512" s="787"/>
      <c r="AH512" s="787"/>
      <c r="AI512" s="787"/>
      <c r="AJ512" s="786"/>
      <c r="AK512" s="787"/>
      <c r="AL512" s="787"/>
      <c r="AM512" s="787"/>
      <c r="AN512" s="786"/>
      <c r="AO512" s="787"/>
      <c r="AP512" s="787"/>
      <c r="AQ512" s="787"/>
      <c r="AR512" s="786"/>
      <c r="AS512" s="787"/>
      <c r="AT512" s="787"/>
      <c r="AU512" s="787"/>
      <c r="AV512" s="786"/>
      <c r="AW512" s="787"/>
      <c r="AX512" s="787"/>
      <c r="AY512" s="787"/>
      <c r="AZ512" s="780"/>
      <c r="BA512" s="780"/>
      <c r="BB512" s="780"/>
      <c r="BC512" s="780"/>
      <c r="BD512" s="541"/>
      <c r="BE512" s="541"/>
      <c r="BF512" s="541"/>
      <c r="BG512" s="541"/>
      <c r="BH512" s="780"/>
      <c r="BI512" s="780"/>
      <c r="BJ512" s="780"/>
      <c r="BK512" s="780"/>
      <c r="BL512" s="780"/>
      <c r="BM512" s="780"/>
    </row>
    <row r="513" ht="12.75" customHeight="1">
      <c r="A513" s="521"/>
      <c r="B513" s="521"/>
      <c r="C513" s="515"/>
      <c r="D513" s="515"/>
      <c r="E513" s="515"/>
      <c r="F513" s="515"/>
      <c r="G513" s="515"/>
      <c r="H513" s="515"/>
      <c r="I513" s="515"/>
      <c r="J513" s="515"/>
      <c r="K513" s="515"/>
      <c r="L513" s="515"/>
      <c r="M513" s="515"/>
      <c r="N513" s="515"/>
      <c r="O513" s="533"/>
      <c r="P513" s="786"/>
      <c r="Q513" s="787"/>
      <c r="R513" s="787"/>
      <c r="S513" s="787"/>
      <c r="T513" s="786"/>
      <c r="U513" s="787"/>
      <c r="V513" s="787"/>
      <c r="W513" s="787"/>
      <c r="X513" s="786"/>
      <c r="Y513" s="787"/>
      <c r="Z513" s="787"/>
      <c r="AA513" s="787"/>
      <c r="AB513" s="786"/>
      <c r="AC513" s="787"/>
      <c r="AD513" s="787"/>
      <c r="AE513" s="787"/>
      <c r="AF513" s="786"/>
      <c r="AG513" s="787"/>
      <c r="AH513" s="787"/>
      <c r="AI513" s="787"/>
      <c r="AJ513" s="786"/>
      <c r="AK513" s="787"/>
      <c r="AL513" s="787"/>
      <c r="AM513" s="787"/>
      <c r="AN513" s="786"/>
      <c r="AO513" s="787"/>
      <c r="AP513" s="787"/>
      <c r="AQ513" s="787"/>
      <c r="AR513" s="786"/>
      <c r="AS513" s="787"/>
      <c r="AT513" s="787"/>
      <c r="AU513" s="787"/>
      <c r="AV513" s="786"/>
      <c r="AW513" s="787"/>
      <c r="AX513" s="787"/>
      <c r="AY513" s="787"/>
      <c r="AZ513" s="780"/>
      <c r="BA513" s="780"/>
      <c r="BB513" s="780"/>
      <c r="BC513" s="780"/>
      <c r="BD513" s="541"/>
      <c r="BE513" s="541"/>
      <c r="BF513" s="541"/>
      <c r="BG513" s="541"/>
      <c r="BH513" s="780"/>
      <c r="BI513" s="780"/>
      <c r="BJ513" s="780"/>
      <c r="BK513" s="780"/>
      <c r="BL513" s="780"/>
      <c r="BM513" s="780"/>
    </row>
    <row r="514" ht="12.75" customHeight="1">
      <c r="A514" s="521"/>
      <c r="B514" s="521"/>
      <c r="C514" s="515"/>
      <c r="D514" s="515"/>
      <c r="E514" s="515"/>
      <c r="F514" s="515"/>
      <c r="G514" s="515"/>
      <c r="H514" s="515"/>
      <c r="I514" s="515"/>
      <c r="J514" s="515"/>
      <c r="K514" s="515"/>
      <c r="L514" s="515"/>
      <c r="M514" s="515"/>
      <c r="N514" s="515"/>
      <c r="O514" s="533"/>
      <c r="P514" s="786"/>
      <c r="Q514" s="787"/>
      <c r="R514" s="787"/>
      <c r="S514" s="787"/>
      <c r="T514" s="786"/>
      <c r="U514" s="787"/>
      <c r="V514" s="787"/>
      <c r="W514" s="787"/>
      <c r="X514" s="786"/>
      <c r="Y514" s="787"/>
      <c r="Z514" s="787"/>
      <c r="AA514" s="787"/>
      <c r="AB514" s="786"/>
      <c r="AC514" s="787"/>
      <c r="AD514" s="787"/>
      <c r="AE514" s="787"/>
      <c r="AF514" s="786"/>
      <c r="AG514" s="787"/>
      <c r="AH514" s="787"/>
      <c r="AI514" s="787"/>
      <c r="AJ514" s="786"/>
      <c r="AK514" s="787"/>
      <c r="AL514" s="787"/>
      <c r="AM514" s="787"/>
      <c r="AN514" s="786"/>
      <c r="AO514" s="787"/>
      <c r="AP514" s="787"/>
      <c r="AQ514" s="787"/>
      <c r="AR514" s="786"/>
      <c r="AS514" s="787"/>
      <c r="AT514" s="787"/>
      <c r="AU514" s="787"/>
      <c r="AV514" s="786"/>
      <c r="AW514" s="787"/>
      <c r="AX514" s="787"/>
      <c r="AY514" s="787"/>
      <c r="AZ514" s="780"/>
      <c r="BA514" s="780"/>
      <c r="BB514" s="780"/>
      <c r="BC514" s="780"/>
      <c r="BD514" s="541"/>
      <c r="BE514" s="541"/>
      <c r="BF514" s="541"/>
      <c r="BG514" s="541"/>
      <c r="BH514" s="780"/>
      <c r="BI514" s="780"/>
      <c r="BJ514" s="780"/>
      <c r="BK514" s="780"/>
      <c r="BL514" s="780"/>
      <c r="BM514" s="780"/>
    </row>
    <row r="515" ht="12.75" customHeight="1">
      <c r="A515" s="521"/>
      <c r="B515" s="521"/>
      <c r="C515" s="515"/>
      <c r="D515" s="515"/>
      <c r="E515" s="515"/>
      <c r="F515" s="515"/>
      <c r="G515" s="515"/>
      <c r="H515" s="515"/>
      <c r="I515" s="515"/>
      <c r="J515" s="515"/>
      <c r="K515" s="515"/>
      <c r="L515" s="515"/>
      <c r="M515" s="515"/>
      <c r="N515" s="515"/>
      <c r="O515" s="533"/>
      <c r="P515" s="786"/>
      <c r="Q515" s="787"/>
      <c r="R515" s="787"/>
      <c r="S515" s="787"/>
      <c r="T515" s="786"/>
      <c r="U515" s="787"/>
      <c r="V515" s="787"/>
      <c r="W515" s="787"/>
      <c r="X515" s="786"/>
      <c r="Y515" s="787"/>
      <c r="Z515" s="787"/>
      <c r="AA515" s="787"/>
      <c r="AB515" s="786"/>
      <c r="AC515" s="787"/>
      <c r="AD515" s="787"/>
      <c r="AE515" s="787"/>
      <c r="AF515" s="786"/>
      <c r="AG515" s="787"/>
      <c r="AH515" s="787"/>
      <c r="AI515" s="787"/>
      <c r="AJ515" s="786"/>
      <c r="AK515" s="787"/>
      <c r="AL515" s="787"/>
      <c r="AM515" s="787"/>
      <c r="AN515" s="786"/>
      <c r="AO515" s="787"/>
      <c r="AP515" s="787"/>
      <c r="AQ515" s="787"/>
      <c r="AR515" s="786"/>
      <c r="AS515" s="787"/>
      <c r="AT515" s="787"/>
      <c r="AU515" s="787"/>
      <c r="AV515" s="786"/>
      <c r="AW515" s="787"/>
      <c r="AX515" s="787"/>
      <c r="AY515" s="787"/>
      <c r="AZ515" s="780"/>
      <c r="BA515" s="780"/>
      <c r="BB515" s="780"/>
      <c r="BC515" s="780"/>
      <c r="BD515" s="541"/>
      <c r="BE515" s="541"/>
      <c r="BF515" s="541"/>
      <c r="BG515" s="541"/>
      <c r="BH515" s="780"/>
      <c r="BI515" s="780"/>
      <c r="BJ515" s="780"/>
      <c r="BK515" s="780"/>
      <c r="BL515" s="780"/>
      <c r="BM515" s="780"/>
    </row>
    <row r="516" ht="12.75" customHeight="1">
      <c r="A516" s="521"/>
      <c r="B516" s="521"/>
      <c r="C516" s="515"/>
      <c r="D516" s="515"/>
      <c r="E516" s="515"/>
      <c r="F516" s="515"/>
      <c r="G516" s="515"/>
      <c r="H516" s="515"/>
      <c r="I516" s="515"/>
      <c r="J516" s="515"/>
      <c r="K516" s="515"/>
      <c r="L516" s="515"/>
      <c r="M516" s="515"/>
      <c r="N516" s="515"/>
      <c r="O516" s="533"/>
      <c r="P516" s="786"/>
      <c r="Q516" s="787"/>
      <c r="R516" s="787"/>
      <c r="S516" s="787"/>
      <c r="T516" s="786"/>
      <c r="U516" s="787"/>
      <c r="V516" s="787"/>
      <c r="W516" s="787"/>
      <c r="X516" s="786"/>
      <c r="Y516" s="787"/>
      <c r="Z516" s="787"/>
      <c r="AA516" s="787"/>
      <c r="AB516" s="786"/>
      <c r="AC516" s="787"/>
      <c r="AD516" s="787"/>
      <c r="AE516" s="787"/>
      <c r="AF516" s="786"/>
      <c r="AG516" s="787"/>
      <c r="AH516" s="787"/>
      <c r="AI516" s="787"/>
      <c r="AJ516" s="786"/>
      <c r="AK516" s="787"/>
      <c r="AL516" s="787"/>
      <c r="AM516" s="787"/>
      <c r="AN516" s="786"/>
      <c r="AO516" s="787"/>
      <c r="AP516" s="787"/>
      <c r="AQ516" s="787"/>
      <c r="AR516" s="786"/>
      <c r="AS516" s="787"/>
      <c r="AT516" s="787"/>
      <c r="AU516" s="787"/>
      <c r="AV516" s="786"/>
      <c r="AW516" s="787"/>
      <c r="AX516" s="787"/>
      <c r="AY516" s="787"/>
      <c r="AZ516" s="780"/>
      <c r="BA516" s="780"/>
      <c r="BB516" s="780"/>
      <c r="BC516" s="780"/>
      <c r="BD516" s="541"/>
      <c r="BE516" s="541"/>
      <c r="BF516" s="541"/>
      <c r="BG516" s="541"/>
      <c r="BH516" s="780"/>
      <c r="BI516" s="780"/>
      <c r="BJ516" s="780"/>
      <c r="BK516" s="780"/>
      <c r="BL516" s="780"/>
      <c r="BM516" s="780"/>
    </row>
    <row r="517" ht="12.75" customHeight="1">
      <c r="A517" s="521"/>
      <c r="B517" s="521"/>
      <c r="C517" s="515"/>
      <c r="D517" s="515"/>
      <c r="E517" s="515"/>
      <c r="F517" s="515"/>
      <c r="G517" s="515"/>
      <c r="H517" s="515"/>
      <c r="I517" s="515"/>
      <c r="J517" s="515"/>
      <c r="K517" s="515"/>
      <c r="L517" s="515"/>
      <c r="M517" s="515"/>
      <c r="N517" s="515"/>
      <c r="O517" s="533"/>
      <c r="P517" s="786"/>
      <c r="Q517" s="787"/>
      <c r="R517" s="787"/>
      <c r="S517" s="787"/>
      <c r="T517" s="786"/>
      <c r="U517" s="787"/>
      <c r="V517" s="787"/>
      <c r="W517" s="787"/>
      <c r="X517" s="786"/>
      <c r="Y517" s="787"/>
      <c r="Z517" s="787"/>
      <c r="AA517" s="787"/>
      <c r="AB517" s="786"/>
      <c r="AC517" s="787"/>
      <c r="AD517" s="787"/>
      <c r="AE517" s="787"/>
      <c r="AF517" s="786"/>
      <c r="AG517" s="787"/>
      <c r="AH517" s="787"/>
      <c r="AI517" s="787"/>
      <c r="AJ517" s="786"/>
      <c r="AK517" s="787"/>
      <c r="AL517" s="787"/>
      <c r="AM517" s="787"/>
      <c r="AN517" s="786"/>
      <c r="AO517" s="787"/>
      <c r="AP517" s="787"/>
      <c r="AQ517" s="787"/>
      <c r="AR517" s="786"/>
      <c r="AS517" s="787"/>
      <c r="AT517" s="787"/>
      <c r="AU517" s="787"/>
      <c r="AV517" s="786"/>
      <c r="AW517" s="787"/>
      <c r="AX517" s="787"/>
      <c r="AY517" s="787"/>
      <c r="AZ517" s="780"/>
      <c r="BA517" s="780"/>
      <c r="BB517" s="780"/>
      <c r="BC517" s="780"/>
      <c r="BD517" s="541"/>
      <c r="BE517" s="541"/>
      <c r="BF517" s="541"/>
      <c r="BG517" s="541"/>
      <c r="BH517" s="780"/>
      <c r="BI517" s="780"/>
      <c r="BJ517" s="780"/>
      <c r="BK517" s="780"/>
      <c r="BL517" s="780"/>
      <c r="BM517" s="780"/>
    </row>
    <row r="518" ht="12.75" customHeight="1">
      <c r="A518" s="521"/>
      <c r="B518" s="521"/>
      <c r="C518" s="515"/>
      <c r="D518" s="515"/>
      <c r="E518" s="515"/>
      <c r="F518" s="515"/>
      <c r="G518" s="515"/>
      <c r="H518" s="515"/>
      <c r="I518" s="515"/>
      <c r="J518" s="515"/>
      <c r="K518" s="515"/>
      <c r="L518" s="515"/>
      <c r="M518" s="515"/>
      <c r="N518" s="515"/>
      <c r="O518" s="533"/>
      <c r="P518" s="786"/>
      <c r="Q518" s="787"/>
      <c r="R518" s="787"/>
      <c r="S518" s="787"/>
      <c r="T518" s="786"/>
      <c r="U518" s="787"/>
      <c r="V518" s="787"/>
      <c r="W518" s="787"/>
      <c r="X518" s="786"/>
      <c r="Y518" s="787"/>
      <c r="Z518" s="787"/>
      <c r="AA518" s="787"/>
      <c r="AB518" s="786"/>
      <c r="AC518" s="787"/>
      <c r="AD518" s="787"/>
      <c r="AE518" s="787"/>
      <c r="AF518" s="786"/>
      <c r="AG518" s="787"/>
      <c r="AH518" s="787"/>
      <c r="AI518" s="787"/>
      <c r="AJ518" s="786"/>
      <c r="AK518" s="787"/>
      <c r="AL518" s="787"/>
      <c r="AM518" s="787"/>
      <c r="AN518" s="786"/>
      <c r="AO518" s="787"/>
      <c r="AP518" s="787"/>
      <c r="AQ518" s="787"/>
      <c r="AR518" s="786"/>
      <c r="AS518" s="787"/>
      <c r="AT518" s="787"/>
      <c r="AU518" s="787"/>
      <c r="AV518" s="786"/>
      <c r="AW518" s="787"/>
      <c r="AX518" s="787"/>
      <c r="AY518" s="787"/>
      <c r="AZ518" s="780"/>
      <c r="BA518" s="780"/>
      <c r="BB518" s="780"/>
      <c r="BC518" s="780"/>
      <c r="BD518" s="541"/>
      <c r="BE518" s="541"/>
      <c r="BF518" s="541"/>
      <c r="BG518" s="541"/>
      <c r="BH518" s="780"/>
      <c r="BI518" s="780"/>
      <c r="BJ518" s="780"/>
      <c r="BK518" s="780"/>
      <c r="BL518" s="780"/>
      <c r="BM518" s="780"/>
    </row>
    <row r="519" ht="12.75" customHeight="1">
      <c r="A519" s="521"/>
      <c r="B519" s="521"/>
      <c r="C519" s="515"/>
      <c r="D519" s="515"/>
      <c r="E519" s="515"/>
      <c r="F519" s="515"/>
      <c r="G519" s="515"/>
      <c r="H519" s="515"/>
      <c r="I519" s="515"/>
      <c r="J519" s="515"/>
      <c r="K519" s="515"/>
      <c r="L519" s="515"/>
      <c r="M519" s="515"/>
      <c r="N519" s="515"/>
      <c r="O519" s="533"/>
      <c r="P519" s="786"/>
      <c r="Q519" s="787"/>
      <c r="R519" s="787"/>
      <c r="S519" s="787"/>
      <c r="T519" s="786"/>
      <c r="U519" s="787"/>
      <c r="V519" s="787"/>
      <c r="W519" s="787"/>
      <c r="X519" s="786"/>
      <c r="Y519" s="787"/>
      <c r="Z519" s="787"/>
      <c r="AA519" s="787"/>
      <c r="AB519" s="786"/>
      <c r="AC519" s="787"/>
      <c r="AD519" s="787"/>
      <c r="AE519" s="787"/>
      <c r="AF519" s="786"/>
      <c r="AG519" s="787"/>
      <c r="AH519" s="787"/>
      <c r="AI519" s="787"/>
      <c r="AJ519" s="786"/>
      <c r="AK519" s="787"/>
      <c r="AL519" s="787"/>
      <c r="AM519" s="787"/>
      <c r="AN519" s="786"/>
      <c r="AO519" s="787"/>
      <c r="AP519" s="787"/>
      <c r="AQ519" s="787"/>
      <c r="AR519" s="786"/>
      <c r="AS519" s="787"/>
      <c r="AT519" s="787"/>
      <c r="AU519" s="787"/>
      <c r="AV519" s="786"/>
      <c r="AW519" s="787"/>
      <c r="AX519" s="787"/>
      <c r="AY519" s="787"/>
      <c r="AZ519" s="780"/>
      <c r="BA519" s="780"/>
      <c r="BB519" s="780"/>
      <c r="BC519" s="780"/>
      <c r="BD519" s="541"/>
      <c r="BE519" s="541"/>
      <c r="BF519" s="541"/>
      <c r="BG519" s="541"/>
      <c r="BH519" s="780"/>
      <c r="BI519" s="780"/>
      <c r="BJ519" s="780"/>
      <c r="BK519" s="780"/>
      <c r="BL519" s="780"/>
      <c r="BM519" s="780"/>
    </row>
    <row r="520" ht="12.75" customHeight="1">
      <c r="A520" s="521"/>
      <c r="B520" s="521"/>
      <c r="C520" s="515"/>
      <c r="D520" s="515"/>
      <c r="E520" s="515"/>
      <c r="F520" s="515"/>
      <c r="G520" s="515"/>
      <c r="H520" s="515"/>
      <c r="I520" s="515"/>
      <c r="J520" s="515"/>
      <c r="K520" s="515"/>
      <c r="L520" s="515"/>
      <c r="M520" s="515"/>
      <c r="N520" s="515"/>
      <c r="O520" s="533"/>
      <c r="P520" s="786"/>
      <c r="Q520" s="787"/>
      <c r="R520" s="787"/>
      <c r="S520" s="787"/>
      <c r="T520" s="786"/>
      <c r="U520" s="787"/>
      <c r="V520" s="787"/>
      <c r="W520" s="787"/>
      <c r="X520" s="786"/>
      <c r="Y520" s="787"/>
      <c r="Z520" s="787"/>
      <c r="AA520" s="787"/>
      <c r="AB520" s="786"/>
      <c r="AC520" s="787"/>
      <c r="AD520" s="787"/>
      <c r="AE520" s="787"/>
      <c r="AF520" s="786"/>
      <c r="AG520" s="787"/>
      <c r="AH520" s="787"/>
      <c r="AI520" s="787"/>
      <c r="AJ520" s="786"/>
      <c r="AK520" s="787"/>
      <c r="AL520" s="787"/>
      <c r="AM520" s="787"/>
      <c r="AN520" s="786"/>
      <c r="AO520" s="787"/>
      <c r="AP520" s="787"/>
      <c r="AQ520" s="787"/>
      <c r="AR520" s="786"/>
      <c r="AS520" s="787"/>
      <c r="AT520" s="787"/>
      <c r="AU520" s="787"/>
      <c r="AV520" s="786"/>
      <c r="AW520" s="787"/>
      <c r="AX520" s="787"/>
      <c r="AY520" s="787"/>
      <c r="AZ520" s="780"/>
      <c r="BA520" s="780"/>
      <c r="BB520" s="780"/>
      <c r="BC520" s="780"/>
      <c r="BD520" s="541"/>
      <c r="BE520" s="541"/>
      <c r="BF520" s="541"/>
      <c r="BG520" s="541"/>
      <c r="BH520" s="780"/>
      <c r="BI520" s="780"/>
      <c r="BJ520" s="780"/>
      <c r="BK520" s="780"/>
      <c r="BL520" s="780"/>
      <c r="BM520" s="780"/>
    </row>
    <row r="521" ht="12.75" customHeight="1">
      <c r="A521" s="521"/>
      <c r="B521" s="521"/>
      <c r="C521" s="515"/>
      <c r="D521" s="515"/>
      <c r="E521" s="515"/>
      <c r="F521" s="515"/>
      <c r="G521" s="515"/>
      <c r="H521" s="515"/>
      <c r="I521" s="515"/>
      <c r="J521" s="515"/>
      <c r="K521" s="515"/>
      <c r="L521" s="515"/>
      <c r="M521" s="515"/>
      <c r="N521" s="515"/>
      <c r="O521" s="533"/>
      <c r="P521" s="786"/>
      <c r="Q521" s="787"/>
      <c r="R521" s="787"/>
      <c r="S521" s="787"/>
      <c r="T521" s="786"/>
      <c r="U521" s="787"/>
      <c r="V521" s="787"/>
      <c r="W521" s="787"/>
      <c r="X521" s="786"/>
      <c r="Y521" s="787"/>
      <c r="Z521" s="787"/>
      <c r="AA521" s="787"/>
      <c r="AB521" s="786"/>
      <c r="AC521" s="787"/>
      <c r="AD521" s="787"/>
      <c r="AE521" s="787"/>
      <c r="AF521" s="786"/>
      <c r="AG521" s="787"/>
      <c r="AH521" s="787"/>
      <c r="AI521" s="787"/>
      <c r="AJ521" s="786"/>
      <c r="AK521" s="787"/>
      <c r="AL521" s="787"/>
      <c r="AM521" s="787"/>
      <c r="AN521" s="786"/>
      <c r="AO521" s="787"/>
      <c r="AP521" s="787"/>
      <c r="AQ521" s="787"/>
      <c r="AR521" s="786"/>
      <c r="AS521" s="787"/>
      <c r="AT521" s="787"/>
      <c r="AU521" s="787"/>
      <c r="AV521" s="786"/>
      <c r="AW521" s="787"/>
      <c r="AX521" s="787"/>
      <c r="AY521" s="787"/>
      <c r="AZ521" s="780"/>
      <c r="BA521" s="780"/>
      <c r="BB521" s="780"/>
      <c r="BC521" s="780"/>
      <c r="BD521" s="541"/>
      <c r="BE521" s="541"/>
      <c r="BF521" s="541"/>
      <c r="BG521" s="541"/>
      <c r="BH521" s="780"/>
      <c r="BI521" s="780"/>
      <c r="BJ521" s="780"/>
      <c r="BK521" s="780"/>
      <c r="BL521" s="780"/>
      <c r="BM521" s="780"/>
    </row>
    <row r="522" ht="12.75" customHeight="1">
      <c r="A522" s="521"/>
      <c r="B522" s="521"/>
      <c r="C522" s="515"/>
      <c r="D522" s="515"/>
      <c r="E522" s="515"/>
      <c r="F522" s="515"/>
      <c r="G522" s="515"/>
      <c r="H522" s="515"/>
      <c r="I522" s="515"/>
      <c r="J522" s="515"/>
      <c r="K522" s="515"/>
      <c r="L522" s="515"/>
      <c r="M522" s="515"/>
      <c r="N522" s="515"/>
      <c r="O522" s="533"/>
      <c r="P522" s="786"/>
      <c r="Q522" s="787"/>
      <c r="R522" s="787"/>
      <c r="S522" s="787"/>
      <c r="T522" s="786"/>
      <c r="U522" s="787"/>
      <c r="V522" s="787"/>
      <c r="W522" s="787"/>
      <c r="X522" s="786"/>
      <c r="Y522" s="787"/>
      <c r="Z522" s="787"/>
      <c r="AA522" s="787"/>
      <c r="AB522" s="786"/>
      <c r="AC522" s="787"/>
      <c r="AD522" s="787"/>
      <c r="AE522" s="787"/>
      <c r="AF522" s="786"/>
      <c r="AG522" s="787"/>
      <c r="AH522" s="787"/>
      <c r="AI522" s="787"/>
      <c r="AJ522" s="786"/>
      <c r="AK522" s="787"/>
      <c r="AL522" s="787"/>
      <c r="AM522" s="787"/>
      <c r="AN522" s="786"/>
      <c r="AO522" s="787"/>
      <c r="AP522" s="787"/>
      <c r="AQ522" s="787"/>
      <c r="AR522" s="786"/>
      <c r="AS522" s="787"/>
      <c r="AT522" s="787"/>
      <c r="AU522" s="787"/>
      <c r="AV522" s="786"/>
      <c r="AW522" s="787"/>
      <c r="AX522" s="787"/>
      <c r="AY522" s="787"/>
      <c r="AZ522" s="780"/>
      <c r="BA522" s="780"/>
      <c r="BB522" s="780"/>
      <c r="BC522" s="780"/>
      <c r="BD522" s="541"/>
      <c r="BE522" s="541"/>
      <c r="BF522" s="541"/>
      <c r="BG522" s="541"/>
      <c r="BH522" s="780"/>
      <c r="BI522" s="780"/>
      <c r="BJ522" s="780"/>
      <c r="BK522" s="780"/>
      <c r="BL522" s="780"/>
      <c r="BM522" s="780"/>
    </row>
    <row r="523" ht="12.75" customHeight="1">
      <c r="A523" s="521"/>
      <c r="B523" s="521"/>
      <c r="C523" s="515"/>
      <c r="D523" s="515"/>
      <c r="E523" s="515"/>
      <c r="F523" s="515"/>
      <c r="G523" s="515"/>
      <c r="H523" s="515"/>
      <c r="I523" s="515"/>
      <c r="J523" s="515"/>
      <c r="K523" s="515"/>
      <c r="L523" s="515"/>
      <c r="M523" s="515"/>
      <c r="N523" s="515"/>
      <c r="O523" s="533"/>
      <c r="P523" s="786"/>
      <c r="Q523" s="787"/>
      <c r="R523" s="787"/>
      <c r="S523" s="787"/>
      <c r="T523" s="786"/>
      <c r="U523" s="787"/>
      <c r="V523" s="787"/>
      <c r="W523" s="787"/>
      <c r="X523" s="786"/>
      <c r="Y523" s="787"/>
      <c r="Z523" s="787"/>
      <c r="AA523" s="787"/>
      <c r="AB523" s="786"/>
      <c r="AC523" s="787"/>
      <c r="AD523" s="787"/>
      <c r="AE523" s="787"/>
      <c r="AF523" s="786"/>
      <c r="AG523" s="787"/>
      <c r="AH523" s="787"/>
      <c r="AI523" s="787"/>
      <c r="AJ523" s="786"/>
      <c r="AK523" s="787"/>
      <c r="AL523" s="787"/>
      <c r="AM523" s="787"/>
      <c r="AN523" s="786"/>
      <c r="AO523" s="787"/>
      <c r="AP523" s="787"/>
      <c r="AQ523" s="787"/>
      <c r="AR523" s="786"/>
      <c r="AS523" s="787"/>
      <c r="AT523" s="787"/>
      <c r="AU523" s="787"/>
      <c r="AV523" s="786"/>
      <c r="AW523" s="787"/>
      <c r="AX523" s="787"/>
      <c r="AY523" s="787"/>
      <c r="AZ523" s="780"/>
      <c r="BA523" s="780"/>
      <c r="BB523" s="780"/>
      <c r="BC523" s="780"/>
      <c r="BD523" s="541"/>
      <c r="BE523" s="541"/>
      <c r="BF523" s="541"/>
      <c r="BG523" s="541"/>
      <c r="BH523" s="780"/>
      <c r="BI523" s="780"/>
      <c r="BJ523" s="780"/>
      <c r="BK523" s="780"/>
      <c r="BL523" s="780"/>
      <c r="BM523" s="780"/>
    </row>
    <row r="524" ht="12.75" customHeight="1">
      <c r="A524" s="521"/>
      <c r="B524" s="521"/>
      <c r="C524" s="515"/>
      <c r="D524" s="515"/>
      <c r="E524" s="515"/>
      <c r="F524" s="515"/>
      <c r="G524" s="515"/>
      <c r="H524" s="515"/>
      <c r="I524" s="515"/>
      <c r="J524" s="515"/>
      <c r="K524" s="515"/>
      <c r="L524" s="515"/>
      <c r="M524" s="515"/>
      <c r="N524" s="515"/>
      <c r="O524" s="533"/>
      <c r="P524" s="786"/>
      <c r="Q524" s="787"/>
      <c r="R524" s="787"/>
      <c r="S524" s="787"/>
      <c r="T524" s="786"/>
      <c r="U524" s="787"/>
      <c r="V524" s="787"/>
      <c r="W524" s="787"/>
      <c r="X524" s="786"/>
      <c r="Y524" s="787"/>
      <c r="Z524" s="787"/>
      <c r="AA524" s="787"/>
      <c r="AB524" s="786"/>
      <c r="AC524" s="787"/>
      <c r="AD524" s="787"/>
      <c r="AE524" s="787"/>
      <c r="AF524" s="786"/>
      <c r="AG524" s="787"/>
      <c r="AH524" s="787"/>
      <c r="AI524" s="787"/>
      <c r="AJ524" s="786"/>
      <c r="AK524" s="787"/>
      <c r="AL524" s="787"/>
      <c r="AM524" s="787"/>
      <c r="AN524" s="786"/>
      <c r="AO524" s="787"/>
      <c r="AP524" s="787"/>
      <c r="AQ524" s="787"/>
      <c r="AR524" s="786"/>
      <c r="AS524" s="787"/>
      <c r="AT524" s="787"/>
      <c r="AU524" s="787"/>
      <c r="AV524" s="786"/>
      <c r="AW524" s="787"/>
      <c r="AX524" s="787"/>
      <c r="AY524" s="787"/>
      <c r="AZ524" s="780"/>
      <c r="BA524" s="780"/>
      <c r="BB524" s="780"/>
      <c r="BC524" s="780"/>
      <c r="BD524" s="541"/>
      <c r="BE524" s="541"/>
      <c r="BF524" s="541"/>
      <c r="BG524" s="541"/>
      <c r="BH524" s="780"/>
      <c r="BI524" s="780"/>
      <c r="BJ524" s="780"/>
      <c r="BK524" s="780"/>
      <c r="BL524" s="780"/>
      <c r="BM524" s="780"/>
    </row>
    <row r="525" ht="12.75" customHeight="1">
      <c r="A525" s="521"/>
      <c r="B525" s="521"/>
      <c r="C525" s="515"/>
      <c r="D525" s="515"/>
      <c r="E525" s="515"/>
      <c r="F525" s="515"/>
      <c r="G525" s="515"/>
      <c r="H525" s="515"/>
      <c r="I525" s="515"/>
      <c r="J525" s="515"/>
      <c r="K525" s="515"/>
      <c r="L525" s="515"/>
      <c r="M525" s="515"/>
      <c r="N525" s="515"/>
      <c r="O525" s="533"/>
      <c r="P525" s="786"/>
      <c r="Q525" s="787"/>
      <c r="R525" s="787"/>
      <c r="S525" s="787"/>
      <c r="T525" s="786"/>
      <c r="U525" s="787"/>
      <c r="V525" s="787"/>
      <c r="W525" s="787"/>
      <c r="X525" s="786"/>
      <c r="Y525" s="787"/>
      <c r="Z525" s="787"/>
      <c r="AA525" s="787"/>
      <c r="AB525" s="786"/>
      <c r="AC525" s="787"/>
      <c r="AD525" s="787"/>
      <c r="AE525" s="787"/>
      <c r="AF525" s="786"/>
      <c r="AG525" s="787"/>
      <c r="AH525" s="787"/>
      <c r="AI525" s="787"/>
      <c r="AJ525" s="786"/>
      <c r="AK525" s="787"/>
      <c r="AL525" s="787"/>
      <c r="AM525" s="787"/>
      <c r="AN525" s="786"/>
      <c r="AO525" s="787"/>
      <c r="AP525" s="787"/>
      <c r="AQ525" s="787"/>
      <c r="AR525" s="786"/>
      <c r="AS525" s="787"/>
      <c r="AT525" s="787"/>
      <c r="AU525" s="787"/>
      <c r="AV525" s="786"/>
      <c r="AW525" s="787"/>
      <c r="AX525" s="787"/>
      <c r="AY525" s="787"/>
      <c r="AZ525" s="780"/>
      <c r="BA525" s="780"/>
      <c r="BB525" s="780"/>
      <c r="BC525" s="780"/>
      <c r="BD525" s="541"/>
      <c r="BE525" s="541"/>
      <c r="BF525" s="541"/>
      <c r="BG525" s="541"/>
      <c r="BH525" s="780"/>
      <c r="BI525" s="780"/>
      <c r="BJ525" s="780"/>
      <c r="BK525" s="780"/>
      <c r="BL525" s="780"/>
      <c r="BM525" s="780"/>
    </row>
    <row r="526" ht="12.75" customHeight="1">
      <c r="A526" s="521"/>
      <c r="B526" s="521"/>
      <c r="C526" s="515"/>
      <c r="D526" s="515"/>
      <c r="E526" s="515"/>
      <c r="F526" s="515"/>
      <c r="G526" s="515"/>
      <c r="H526" s="515"/>
      <c r="I526" s="515"/>
      <c r="J526" s="515"/>
      <c r="K526" s="515"/>
      <c r="L526" s="515"/>
      <c r="M526" s="515"/>
      <c r="N526" s="515"/>
      <c r="O526" s="533"/>
      <c r="P526" s="786"/>
      <c r="Q526" s="787"/>
      <c r="R526" s="787"/>
      <c r="S526" s="787"/>
      <c r="T526" s="786"/>
      <c r="U526" s="787"/>
      <c r="V526" s="787"/>
      <c r="W526" s="787"/>
      <c r="X526" s="786"/>
      <c r="Y526" s="787"/>
      <c r="Z526" s="787"/>
      <c r="AA526" s="787"/>
      <c r="AB526" s="786"/>
      <c r="AC526" s="787"/>
      <c r="AD526" s="787"/>
      <c r="AE526" s="787"/>
      <c r="AF526" s="786"/>
      <c r="AG526" s="787"/>
      <c r="AH526" s="787"/>
      <c r="AI526" s="787"/>
      <c r="AJ526" s="786"/>
      <c r="AK526" s="787"/>
      <c r="AL526" s="787"/>
      <c r="AM526" s="787"/>
      <c r="AN526" s="786"/>
      <c r="AO526" s="787"/>
      <c r="AP526" s="787"/>
      <c r="AQ526" s="787"/>
      <c r="AR526" s="786"/>
      <c r="AS526" s="787"/>
      <c r="AT526" s="787"/>
      <c r="AU526" s="787"/>
      <c r="AV526" s="786"/>
      <c r="AW526" s="787"/>
      <c r="AX526" s="787"/>
      <c r="AY526" s="787"/>
      <c r="AZ526" s="780"/>
      <c r="BA526" s="780"/>
      <c r="BB526" s="780"/>
      <c r="BC526" s="780"/>
      <c r="BD526" s="541"/>
      <c r="BE526" s="541"/>
      <c r="BF526" s="541"/>
      <c r="BG526" s="541"/>
      <c r="BH526" s="780"/>
      <c r="BI526" s="780"/>
      <c r="BJ526" s="780"/>
      <c r="BK526" s="780"/>
      <c r="BL526" s="780"/>
      <c r="BM526" s="780"/>
    </row>
    <row r="527" ht="12.75" customHeight="1">
      <c r="A527" s="521"/>
      <c r="B527" s="521"/>
      <c r="C527" s="515"/>
      <c r="D527" s="515"/>
      <c r="E527" s="515"/>
      <c r="F527" s="515"/>
      <c r="G527" s="515"/>
      <c r="H527" s="515"/>
      <c r="I527" s="515"/>
      <c r="J527" s="515"/>
      <c r="K527" s="515"/>
      <c r="L527" s="515"/>
      <c r="M527" s="515"/>
      <c r="N527" s="515"/>
      <c r="O527" s="533"/>
      <c r="P527" s="786"/>
      <c r="Q527" s="787"/>
      <c r="R527" s="787"/>
      <c r="S527" s="787"/>
      <c r="T527" s="786"/>
      <c r="U527" s="787"/>
      <c r="V527" s="787"/>
      <c r="W527" s="787"/>
      <c r="X527" s="786"/>
      <c r="Y527" s="787"/>
      <c r="Z527" s="787"/>
      <c r="AA527" s="787"/>
      <c r="AB527" s="786"/>
      <c r="AC527" s="787"/>
      <c r="AD527" s="787"/>
      <c r="AE527" s="787"/>
      <c r="AF527" s="786"/>
      <c r="AG527" s="787"/>
      <c r="AH527" s="787"/>
      <c r="AI527" s="787"/>
      <c r="AJ527" s="786"/>
      <c r="AK527" s="787"/>
      <c r="AL527" s="787"/>
      <c r="AM527" s="787"/>
      <c r="AN527" s="786"/>
      <c r="AO527" s="787"/>
      <c r="AP527" s="787"/>
      <c r="AQ527" s="787"/>
      <c r="AR527" s="786"/>
      <c r="AS527" s="787"/>
      <c r="AT527" s="787"/>
      <c r="AU527" s="787"/>
      <c r="AV527" s="786"/>
      <c r="AW527" s="787"/>
      <c r="AX527" s="787"/>
      <c r="AY527" s="787"/>
      <c r="AZ527" s="780"/>
      <c r="BA527" s="780"/>
      <c r="BB527" s="780"/>
      <c r="BC527" s="780"/>
      <c r="BD527" s="541"/>
      <c r="BE527" s="541"/>
      <c r="BF527" s="541"/>
      <c r="BG527" s="541"/>
      <c r="BH527" s="780"/>
      <c r="BI527" s="780"/>
      <c r="BJ527" s="780"/>
      <c r="BK527" s="780"/>
      <c r="BL527" s="780"/>
      <c r="BM527" s="780"/>
    </row>
    <row r="528" ht="12.75" customHeight="1">
      <c r="A528" s="521"/>
      <c r="B528" s="521"/>
      <c r="C528" s="515"/>
      <c r="D528" s="515"/>
      <c r="E528" s="515"/>
      <c r="F528" s="515"/>
      <c r="G528" s="515"/>
      <c r="H528" s="515"/>
      <c r="I528" s="515"/>
      <c r="J528" s="515"/>
      <c r="K528" s="515"/>
      <c r="L528" s="515"/>
      <c r="M528" s="515"/>
      <c r="N528" s="515"/>
      <c r="O528" s="533"/>
      <c r="P528" s="786"/>
      <c r="Q528" s="787"/>
      <c r="R528" s="787"/>
      <c r="S528" s="787"/>
      <c r="T528" s="786"/>
      <c r="U528" s="787"/>
      <c r="V528" s="787"/>
      <c r="W528" s="787"/>
      <c r="X528" s="786"/>
      <c r="Y528" s="787"/>
      <c r="Z528" s="787"/>
      <c r="AA528" s="787"/>
      <c r="AB528" s="786"/>
      <c r="AC528" s="787"/>
      <c r="AD528" s="787"/>
      <c r="AE528" s="787"/>
      <c r="AF528" s="786"/>
      <c r="AG528" s="787"/>
      <c r="AH528" s="787"/>
      <c r="AI528" s="787"/>
      <c r="AJ528" s="786"/>
      <c r="AK528" s="787"/>
      <c r="AL528" s="787"/>
      <c r="AM528" s="787"/>
      <c r="AN528" s="786"/>
      <c r="AO528" s="787"/>
      <c r="AP528" s="787"/>
      <c r="AQ528" s="787"/>
      <c r="AR528" s="786"/>
      <c r="AS528" s="787"/>
      <c r="AT528" s="787"/>
      <c r="AU528" s="787"/>
      <c r="AV528" s="786"/>
      <c r="AW528" s="787"/>
      <c r="AX528" s="787"/>
      <c r="AY528" s="787"/>
      <c r="AZ528" s="780"/>
      <c r="BA528" s="780"/>
      <c r="BB528" s="780"/>
      <c r="BC528" s="780"/>
      <c r="BD528" s="541"/>
      <c r="BE528" s="541"/>
      <c r="BF528" s="541"/>
      <c r="BG528" s="541"/>
      <c r="BH528" s="780"/>
      <c r="BI528" s="780"/>
      <c r="BJ528" s="780"/>
      <c r="BK528" s="780"/>
      <c r="BL528" s="780"/>
      <c r="BM528" s="780"/>
    </row>
    <row r="529" ht="12.75" customHeight="1">
      <c r="A529" s="521"/>
      <c r="B529" s="521"/>
      <c r="C529" s="515"/>
      <c r="D529" s="515"/>
      <c r="E529" s="515"/>
      <c r="F529" s="515"/>
      <c r="G529" s="515"/>
      <c r="H529" s="515"/>
      <c r="I529" s="515"/>
      <c r="J529" s="515"/>
      <c r="K529" s="515"/>
      <c r="L529" s="515"/>
      <c r="M529" s="515"/>
      <c r="N529" s="515"/>
      <c r="O529" s="533"/>
      <c r="P529" s="786"/>
      <c r="Q529" s="787"/>
      <c r="R529" s="787"/>
      <c r="S529" s="787"/>
      <c r="T529" s="786"/>
      <c r="U529" s="787"/>
      <c r="V529" s="787"/>
      <c r="W529" s="787"/>
      <c r="X529" s="786"/>
      <c r="Y529" s="787"/>
      <c r="Z529" s="787"/>
      <c r="AA529" s="787"/>
      <c r="AB529" s="786"/>
      <c r="AC529" s="787"/>
      <c r="AD529" s="787"/>
      <c r="AE529" s="787"/>
      <c r="AF529" s="786"/>
      <c r="AG529" s="787"/>
      <c r="AH529" s="787"/>
      <c r="AI529" s="787"/>
      <c r="AJ529" s="786"/>
      <c r="AK529" s="787"/>
      <c r="AL529" s="787"/>
      <c r="AM529" s="787"/>
      <c r="AN529" s="786"/>
      <c r="AO529" s="787"/>
      <c r="AP529" s="787"/>
      <c r="AQ529" s="787"/>
      <c r="AR529" s="786"/>
      <c r="AS529" s="787"/>
      <c r="AT529" s="787"/>
      <c r="AU529" s="787"/>
      <c r="AV529" s="786"/>
      <c r="AW529" s="787"/>
      <c r="AX529" s="787"/>
      <c r="AY529" s="787"/>
      <c r="AZ529" s="780"/>
      <c r="BA529" s="780"/>
      <c r="BB529" s="780"/>
      <c r="BC529" s="780"/>
      <c r="BD529" s="541"/>
      <c r="BE529" s="541"/>
      <c r="BF529" s="541"/>
      <c r="BG529" s="541"/>
      <c r="BH529" s="780"/>
      <c r="BI529" s="780"/>
      <c r="BJ529" s="780"/>
      <c r="BK529" s="780"/>
      <c r="BL529" s="780"/>
      <c r="BM529" s="780"/>
    </row>
    <row r="530" ht="12.75" customHeight="1">
      <c r="A530" s="521"/>
      <c r="B530" s="521"/>
      <c r="C530" s="515"/>
      <c r="D530" s="515"/>
      <c r="E530" s="515"/>
      <c r="F530" s="515"/>
      <c r="G530" s="515"/>
      <c r="H530" s="515"/>
      <c r="I530" s="515"/>
      <c r="J530" s="515"/>
      <c r="K530" s="515"/>
      <c r="L530" s="515"/>
      <c r="M530" s="515"/>
      <c r="N530" s="515"/>
      <c r="O530" s="533"/>
      <c r="P530" s="786"/>
      <c r="Q530" s="787"/>
      <c r="R530" s="787"/>
      <c r="S530" s="787"/>
      <c r="T530" s="786"/>
      <c r="U530" s="787"/>
      <c r="V530" s="787"/>
      <c r="W530" s="787"/>
      <c r="X530" s="786"/>
      <c r="Y530" s="787"/>
      <c r="Z530" s="787"/>
      <c r="AA530" s="787"/>
      <c r="AB530" s="786"/>
      <c r="AC530" s="787"/>
      <c r="AD530" s="787"/>
      <c r="AE530" s="787"/>
      <c r="AF530" s="786"/>
      <c r="AG530" s="787"/>
      <c r="AH530" s="787"/>
      <c r="AI530" s="787"/>
      <c r="AJ530" s="786"/>
      <c r="AK530" s="787"/>
      <c r="AL530" s="787"/>
      <c r="AM530" s="787"/>
      <c r="AN530" s="786"/>
      <c r="AO530" s="787"/>
      <c r="AP530" s="787"/>
      <c r="AQ530" s="787"/>
      <c r="AR530" s="786"/>
      <c r="AS530" s="787"/>
      <c r="AT530" s="787"/>
      <c r="AU530" s="787"/>
      <c r="AV530" s="786"/>
      <c r="AW530" s="787"/>
      <c r="AX530" s="787"/>
      <c r="AY530" s="787"/>
      <c r="AZ530" s="780"/>
      <c r="BA530" s="780"/>
      <c r="BB530" s="780"/>
      <c r="BC530" s="780"/>
      <c r="BD530" s="541"/>
      <c r="BE530" s="541"/>
      <c r="BF530" s="541"/>
      <c r="BG530" s="541"/>
      <c r="BH530" s="780"/>
      <c r="BI530" s="780"/>
      <c r="BJ530" s="780"/>
      <c r="BK530" s="780"/>
      <c r="BL530" s="780"/>
      <c r="BM530" s="780"/>
    </row>
    <row r="531" ht="12.75" customHeight="1">
      <c r="A531" s="521"/>
      <c r="B531" s="521"/>
      <c r="C531" s="515"/>
      <c r="D531" s="515"/>
      <c r="E531" s="515"/>
      <c r="F531" s="515"/>
      <c r="G531" s="515"/>
      <c r="H531" s="515"/>
      <c r="I531" s="515"/>
      <c r="J531" s="515"/>
      <c r="K531" s="515"/>
      <c r="L531" s="515"/>
      <c r="M531" s="515"/>
      <c r="N531" s="515"/>
      <c r="O531" s="533"/>
      <c r="P531" s="786"/>
      <c r="Q531" s="787"/>
      <c r="R531" s="787"/>
      <c r="S531" s="787"/>
      <c r="T531" s="786"/>
      <c r="U531" s="787"/>
      <c r="V531" s="787"/>
      <c r="W531" s="787"/>
      <c r="X531" s="786"/>
      <c r="Y531" s="787"/>
      <c r="Z531" s="787"/>
      <c r="AA531" s="787"/>
      <c r="AB531" s="786"/>
      <c r="AC531" s="787"/>
      <c r="AD531" s="787"/>
      <c r="AE531" s="787"/>
      <c r="AF531" s="786"/>
      <c r="AG531" s="787"/>
      <c r="AH531" s="787"/>
      <c r="AI531" s="787"/>
      <c r="AJ531" s="786"/>
      <c r="AK531" s="787"/>
      <c r="AL531" s="787"/>
      <c r="AM531" s="787"/>
      <c r="AN531" s="786"/>
      <c r="AO531" s="787"/>
      <c r="AP531" s="787"/>
      <c r="AQ531" s="787"/>
      <c r="AR531" s="786"/>
      <c r="AS531" s="787"/>
      <c r="AT531" s="787"/>
      <c r="AU531" s="787"/>
      <c r="AV531" s="786"/>
      <c r="AW531" s="787"/>
      <c r="AX531" s="787"/>
      <c r="AY531" s="787"/>
      <c r="AZ531" s="780"/>
      <c r="BA531" s="780"/>
      <c r="BB531" s="780"/>
      <c r="BC531" s="780"/>
      <c r="BD531" s="541"/>
      <c r="BE531" s="541"/>
      <c r="BF531" s="541"/>
      <c r="BG531" s="541"/>
      <c r="BH531" s="780"/>
      <c r="BI531" s="780"/>
      <c r="BJ531" s="780"/>
      <c r="BK531" s="780"/>
      <c r="BL531" s="780"/>
      <c r="BM531" s="780"/>
    </row>
    <row r="532" ht="12.75" customHeight="1">
      <c r="A532" s="521"/>
      <c r="B532" s="521"/>
      <c r="C532" s="515"/>
      <c r="D532" s="515"/>
      <c r="E532" s="515"/>
      <c r="F532" s="515"/>
      <c r="G532" s="515"/>
      <c r="H532" s="515"/>
      <c r="I532" s="515"/>
      <c r="J532" s="515"/>
      <c r="K532" s="515"/>
      <c r="L532" s="515"/>
      <c r="M532" s="515"/>
      <c r="N532" s="515"/>
      <c r="O532" s="533"/>
      <c r="P532" s="786"/>
      <c r="Q532" s="787"/>
      <c r="R532" s="787"/>
      <c r="S532" s="787"/>
      <c r="T532" s="786"/>
      <c r="U532" s="787"/>
      <c r="V532" s="787"/>
      <c r="W532" s="787"/>
      <c r="X532" s="786"/>
      <c r="Y532" s="787"/>
      <c r="Z532" s="787"/>
      <c r="AA532" s="787"/>
      <c r="AB532" s="786"/>
      <c r="AC532" s="787"/>
      <c r="AD532" s="787"/>
      <c r="AE532" s="787"/>
      <c r="AF532" s="786"/>
      <c r="AG532" s="787"/>
      <c r="AH532" s="787"/>
      <c r="AI532" s="787"/>
      <c r="AJ532" s="786"/>
      <c r="AK532" s="787"/>
      <c r="AL532" s="787"/>
      <c r="AM532" s="787"/>
      <c r="AN532" s="786"/>
      <c r="AO532" s="787"/>
      <c r="AP532" s="787"/>
      <c r="AQ532" s="787"/>
      <c r="AR532" s="786"/>
      <c r="AS532" s="787"/>
      <c r="AT532" s="787"/>
      <c r="AU532" s="787"/>
      <c r="AV532" s="786"/>
      <c r="AW532" s="787"/>
      <c r="AX532" s="787"/>
      <c r="AY532" s="787"/>
      <c r="AZ532" s="780"/>
      <c r="BA532" s="780"/>
      <c r="BB532" s="780"/>
      <c r="BC532" s="780"/>
      <c r="BD532" s="541"/>
      <c r="BE532" s="541"/>
      <c r="BF532" s="541"/>
      <c r="BG532" s="541"/>
      <c r="BH532" s="780"/>
      <c r="BI532" s="780"/>
      <c r="BJ532" s="780"/>
      <c r="BK532" s="780"/>
      <c r="BL532" s="780"/>
      <c r="BM532" s="780"/>
    </row>
    <row r="533" ht="12.75" customHeight="1">
      <c r="A533" s="521"/>
      <c r="B533" s="521"/>
      <c r="C533" s="515"/>
      <c r="D533" s="515"/>
      <c r="E533" s="515"/>
      <c r="F533" s="515"/>
      <c r="G533" s="515"/>
      <c r="H533" s="515"/>
      <c r="I533" s="515"/>
      <c r="J533" s="515"/>
      <c r="K533" s="515"/>
      <c r="L533" s="515"/>
      <c r="M533" s="515"/>
      <c r="N533" s="515"/>
      <c r="O533" s="533"/>
      <c r="P533" s="786"/>
      <c r="Q533" s="787"/>
      <c r="R533" s="787"/>
      <c r="S533" s="787"/>
      <c r="T533" s="786"/>
      <c r="U533" s="787"/>
      <c r="V533" s="787"/>
      <c r="W533" s="787"/>
      <c r="X533" s="786"/>
      <c r="Y533" s="787"/>
      <c r="Z533" s="787"/>
      <c r="AA533" s="787"/>
      <c r="AB533" s="786"/>
      <c r="AC533" s="787"/>
      <c r="AD533" s="787"/>
      <c r="AE533" s="787"/>
      <c r="AF533" s="786"/>
      <c r="AG533" s="787"/>
      <c r="AH533" s="787"/>
      <c r="AI533" s="787"/>
      <c r="AJ533" s="786"/>
      <c r="AK533" s="787"/>
      <c r="AL533" s="787"/>
      <c r="AM533" s="787"/>
      <c r="AN533" s="786"/>
      <c r="AO533" s="787"/>
      <c r="AP533" s="787"/>
      <c r="AQ533" s="787"/>
      <c r="AR533" s="786"/>
      <c r="AS533" s="787"/>
      <c r="AT533" s="787"/>
      <c r="AU533" s="787"/>
      <c r="AV533" s="786"/>
      <c r="AW533" s="787"/>
      <c r="AX533" s="787"/>
      <c r="AY533" s="787"/>
      <c r="AZ533" s="780"/>
      <c r="BA533" s="780"/>
      <c r="BB533" s="780"/>
      <c r="BC533" s="780"/>
      <c r="BD533" s="541"/>
      <c r="BE533" s="541"/>
      <c r="BF533" s="541"/>
      <c r="BG533" s="541"/>
      <c r="BH533" s="780"/>
      <c r="BI533" s="780"/>
      <c r="BJ533" s="780"/>
      <c r="BK533" s="780"/>
      <c r="BL533" s="780"/>
      <c r="BM533" s="780"/>
    </row>
    <row r="534" ht="12.75" customHeight="1">
      <c r="A534" s="521"/>
      <c r="B534" s="521"/>
      <c r="C534" s="515"/>
      <c r="D534" s="515"/>
      <c r="E534" s="515"/>
      <c r="F534" s="515"/>
      <c r="G534" s="515"/>
      <c r="H534" s="515"/>
      <c r="I534" s="515"/>
      <c r="J534" s="515"/>
      <c r="K534" s="515"/>
      <c r="L534" s="515"/>
      <c r="M534" s="515"/>
      <c r="N534" s="515"/>
      <c r="O534" s="533"/>
      <c r="P534" s="786"/>
      <c r="Q534" s="787"/>
      <c r="R534" s="787"/>
      <c r="S534" s="787"/>
      <c r="T534" s="786"/>
      <c r="U534" s="787"/>
      <c r="V534" s="787"/>
      <c r="W534" s="787"/>
      <c r="X534" s="786"/>
      <c r="Y534" s="787"/>
      <c r="Z534" s="787"/>
      <c r="AA534" s="787"/>
      <c r="AB534" s="786"/>
      <c r="AC534" s="787"/>
      <c r="AD534" s="787"/>
      <c r="AE534" s="787"/>
      <c r="AF534" s="786"/>
      <c r="AG534" s="787"/>
      <c r="AH534" s="787"/>
      <c r="AI534" s="787"/>
      <c r="AJ534" s="786"/>
      <c r="AK534" s="787"/>
      <c r="AL534" s="787"/>
      <c r="AM534" s="787"/>
      <c r="AN534" s="786"/>
      <c r="AO534" s="787"/>
      <c r="AP534" s="787"/>
      <c r="AQ534" s="787"/>
      <c r="AR534" s="786"/>
      <c r="AS534" s="787"/>
      <c r="AT534" s="787"/>
      <c r="AU534" s="787"/>
      <c r="AV534" s="786"/>
      <c r="AW534" s="787"/>
      <c r="AX534" s="787"/>
      <c r="AY534" s="787"/>
      <c r="AZ534" s="780"/>
      <c r="BA534" s="780"/>
      <c r="BB534" s="780"/>
      <c r="BC534" s="780"/>
      <c r="BD534" s="541"/>
      <c r="BE534" s="541"/>
      <c r="BF534" s="541"/>
      <c r="BG534" s="541"/>
      <c r="BH534" s="780"/>
      <c r="BI534" s="780"/>
      <c r="BJ534" s="780"/>
      <c r="BK534" s="780"/>
      <c r="BL534" s="780"/>
      <c r="BM534" s="780"/>
    </row>
    <row r="535" ht="12.75" customHeight="1">
      <c r="A535" s="521"/>
      <c r="B535" s="521"/>
      <c r="C535" s="515"/>
      <c r="D535" s="515"/>
      <c r="E535" s="515"/>
      <c r="F535" s="515"/>
      <c r="G535" s="515"/>
      <c r="H535" s="515"/>
      <c r="I535" s="515"/>
      <c r="J535" s="515"/>
      <c r="K535" s="515"/>
      <c r="L535" s="515"/>
      <c r="M535" s="515"/>
      <c r="N535" s="515"/>
      <c r="O535" s="533"/>
      <c r="P535" s="786"/>
      <c r="Q535" s="787"/>
      <c r="R535" s="787"/>
      <c r="S535" s="787"/>
      <c r="T535" s="786"/>
      <c r="U535" s="787"/>
      <c r="V535" s="787"/>
      <c r="W535" s="787"/>
      <c r="X535" s="786"/>
      <c r="Y535" s="787"/>
      <c r="Z535" s="787"/>
      <c r="AA535" s="787"/>
      <c r="AB535" s="786"/>
      <c r="AC535" s="787"/>
      <c r="AD535" s="787"/>
      <c r="AE535" s="787"/>
      <c r="AF535" s="786"/>
      <c r="AG535" s="787"/>
      <c r="AH535" s="787"/>
      <c r="AI535" s="787"/>
      <c r="AJ535" s="786"/>
      <c r="AK535" s="787"/>
      <c r="AL535" s="787"/>
      <c r="AM535" s="787"/>
      <c r="AN535" s="786"/>
      <c r="AO535" s="787"/>
      <c r="AP535" s="787"/>
      <c r="AQ535" s="787"/>
      <c r="AR535" s="786"/>
      <c r="AS535" s="787"/>
      <c r="AT535" s="787"/>
      <c r="AU535" s="787"/>
      <c r="AV535" s="786"/>
      <c r="AW535" s="787"/>
      <c r="AX535" s="787"/>
      <c r="AY535" s="787"/>
      <c r="AZ535" s="780"/>
      <c r="BA535" s="780"/>
      <c r="BB535" s="780"/>
      <c r="BC535" s="780"/>
      <c r="BD535" s="541"/>
      <c r="BE535" s="541"/>
      <c r="BF535" s="541"/>
      <c r="BG535" s="541"/>
      <c r="BH535" s="780"/>
      <c r="BI535" s="780"/>
      <c r="BJ535" s="780"/>
      <c r="BK535" s="780"/>
      <c r="BL535" s="780"/>
      <c r="BM535" s="780"/>
    </row>
    <row r="536" ht="12.75" customHeight="1">
      <c r="A536" s="521"/>
      <c r="B536" s="521"/>
      <c r="C536" s="515"/>
      <c r="D536" s="515"/>
      <c r="E536" s="515"/>
      <c r="F536" s="515"/>
      <c r="G536" s="515"/>
      <c r="H536" s="515"/>
      <c r="I536" s="515"/>
      <c r="J536" s="515"/>
      <c r="K536" s="515"/>
      <c r="L536" s="515"/>
      <c r="M536" s="515"/>
      <c r="N536" s="515"/>
      <c r="O536" s="533"/>
      <c r="P536" s="786"/>
      <c r="Q536" s="787"/>
      <c r="R536" s="787"/>
      <c r="S536" s="787"/>
      <c r="T536" s="786"/>
      <c r="U536" s="787"/>
      <c r="V536" s="787"/>
      <c r="W536" s="787"/>
      <c r="X536" s="786"/>
      <c r="Y536" s="787"/>
      <c r="Z536" s="787"/>
      <c r="AA536" s="787"/>
      <c r="AB536" s="786"/>
      <c r="AC536" s="787"/>
      <c r="AD536" s="787"/>
      <c r="AE536" s="787"/>
      <c r="AF536" s="786"/>
      <c r="AG536" s="787"/>
      <c r="AH536" s="787"/>
      <c r="AI536" s="787"/>
      <c r="AJ536" s="786"/>
      <c r="AK536" s="787"/>
      <c r="AL536" s="787"/>
      <c r="AM536" s="787"/>
      <c r="AN536" s="786"/>
      <c r="AO536" s="787"/>
      <c r="AP536" s="787"/>
      <c r="AQ536" s="787"/>
      <c r="AR536" s="786"/>
      <c r="AS536" s="787"/>
      <c r="AT536" s="787"/>
      <c r="AU536" s="787"/>
      <c r="AV536" s="786"/>
      <c r="AW536" s="787"/>
      <c r="AX536" s="787"/>
      <c r="AY536" s="787"/>
      <c r="AZ536" s="780"/>
      <c r="BA536" s="780"/>
      <c r="BB536" s="780"/>
      <c r="BC536" s="780"/>
      <c r="BD536" s="541"/>
      <c r="BE536" s="541"/>
      <c r="BF536" s="541"/>
      <c r="BG536" s="541"/>
      <c r="BH536" s="780"/>
      <c r="BI536" s="780"/>
      <c r="BJ536" s="780"/>
      <c r="BK536" s="780"/>
      <c r="BL536" s="780"/>
      <c r="BM536" s="780"/>
    </row>
    <row r="537" ht="12.75" customHeight="1">
      <c r="A537" s="521"/>
      <c r="B537" s="521"/>
      <c r="C537" s="515"/>
      <c r="D537" s="515"/>
      <c r="E537" s="515"/>
      <c r="F537" s="515"/>
      <c r="G537" s="515"/>
      <c r="H537" s="515"/>
      <c r="I537" s="515"/>
      <c r="J537" s="515"/>
      <c r="K537" s="515"/>
      <c r="L537" s="515"/>
      <c r="M537" s="515"/>
      <c r="N537" s="515"/>
      <c r="O537" s="533"/>
      <c r="P537" s="786"/>
      <c r="Q537" s="787"/>
      <c r="R537" s="787"/>
      <c r="S537" s="787"/>
      <c r="T537" s="786"/>
      <c r="U537" s="787"/>
      <c r="V537" s="787"/>
      <c r="W537" s="787"/>
      <c r="X537" s="786"/>
      <c r="Y537" s="787"/>
      <c r="Z537" s="787"/>
      <c r="AA537" s="787"/>
      <c r="AB537" s="786"/>
      <c r="AC537" s="787"/>
      <c r="AD537" s="787"/>
      <c r="AE537" s="787"/>
      <c r="AF537" s="786"/>
      <c r="AG537" s="787"/>
      <c r="AH537" s="787"/>
      <c r="AI537" s="787"/>
      <c r="AJ537" s="786"/>
      <c r="AK537" s="787"/>
      <c r="AL537" s="787"/>
      <c r="AM537" s="787"/>
      <c r="AN537" s="786"/>
      <c r="AO537" s="787"/>
      <c r="AP537" s="787"/>
      <c r="AQ537" s="787"/>
      <c r="AR537" s="786"/>
      <c r="AS537" s="787"/>
      <c r="AT537" s="787"/>
      <c r="AU537" s="787"/>
      <c r="AV537" s="786"/>
      <c r="AW537" s="787"/>
      <c r="AX537" s="787"/>
      <c r="AY537" s="787"/>
      <c r="AZ537" s="780"/>
      <c r="BA537" s="780"/>
      <c r="BB537" s="780"/>
      <c r="BC537" s="780"/>
      <c r="BD537" s="541"/>
      <c r="BE537" s="541"/>
      <c r="BF537" s="541"/>
      <c r="BG537" s="541"/>
      <c r="BH537" s="780"/>
      <c r="BI537" s="780"/>
      <c r="BJ537" s="780"/>
      <c r="BK537" s="780"/>
      <c r="BL537" s="780"/>
      <c r="BM537" s="780"/>
    </row>
    <row r="538" ht="12.75" customHeight="1">
      <c r="A538" s="521"/>
      <c r="B538" s="521"/>
      <c r="C538" s="515"/>
      <c r="D538" s="515"/>
      <c r="E538" s="515"/>
      <c r="F538" s="515"/>
      <c r="G538" s="515"/>
      <c r="H538" s="515"/>
      <c r="I538" s="515"/>
      <c r="J538" s="515"/>
      <c r="K538" s="515"/>
      <c r="L538" s="515"/>
      <c r="M538" s="515"/>
      <c r="N538" s="515"/>
      <c r="O538" s="533"/>
      <c r="P538" s="786"/>
      <c r="Q538" s="787"/>
      <c r="R538" s="787"/>
      <c r="S538" s="787"/>
      <c r="T538" s="786"/>
      <c r="U538" s="787"/>
      <c r="V538" s="787"/>
      <c r="W538" s="787"/>
      <c r="X538" s="786"/>
      <c r="Y538" s="787"/>
      <c r="Z538" s="787"/>
      <c r="AA538" s="787"/>
      <c r="AB538" s="786"/>
      <c r="AC538" s="787"/>
      <c r="AD538" s="787"/>
      <c r="AE538" s="787"/>
      <c r="AF538" s="786"/>
      <c r="AG538" s="787"/>
      <c r="AH538" s="787"/>
      <c r="AI538" s="787"/>
      <c r="AJ538" s="786"/>
      <c r="AK538" s="787"/>
      <c r="AL538" s="787"/>
      <c r="AM538" s="787"/>
      <c r="AN538" s="786"/>
      <c r="AO538" s="787"/>
      <c r="AP538" s="787"/>
      <c r="AQ538" s="787"/>
      <c r="AR538" s="786"/>
      <c r="AS538" s="787"/>
      <c r="AT538" s="787"/>
      <c r="AU538" s="787"/>
      <c r="AV538" s="786"/>
      <c r="AW538" s="787"/>
      <c r="AX538" s="787"/>
      <c r="AY538" s="787"/>
      <c r="AZ538" s="780"/>
      <c r="BA538" s="780"/>
      <c r="BB538" s="780"/>
      <c r="BC538" s="780"/>
      <c r="BD538" s="541"/>
      <c r="BE538" s="541"/>
      <c r="BF538" s="541"/>
      <c r="BG538" s="541"/>
      <c r="BH538" s="780"/>
      <c r="BI538" s="780"/>
      <c r="BJ538" s="780"/>
      <c r="BK538" s="780"/>
      <c r="BL538" s="780"/>
      <c r="BM538" s="780"/>
    </row>
    <row r="539" ht="12.75" customHeight="1">
      <c r="A539" s="521"/>
      <c r="B539" s="521"/>
      <c r="C539" s="515"/>
      <c r="D539" s="515"/>
      <c r="E539" s="515"/>
      <c r="F539" s="515"/>
      <c r="G539" s="515"/>
      <c r="H539" s="515"/>
      <c r="I539" s="515"/>
      <c r="J539" s="515"/>
      <c r="K539" s="515"/>
      <c r="L539" s="515"/>
      <c r="M539" s="515"/>
      <c r="N539" s="515"/>
      <c r="O539" s="533"/>
      <c r="P539" s="786"/>
      <c r="Q539" s="787"/>
      <c r="R539" s="787"/>
      <c r="S539" s="787"/>
      <c r="T539" s="786"/>
      <c r="U539" s="787"/>
      <c r="V539" s="787"/>
      <c r="W539" s="787"/>
      <c r="X539" s="786"/>
      <c r="Y539" s="787"/>
      <c r="Z539" s="787"/>
      <c r="AA539" s="787"/>
      <c r="AB539" s="786"/>
      <c r="AC539" s="787"/>
      <c r="AD539" s="787"/>
      <c r="AE539" s="787"/>
      <c r="AF539" s="786"/>
      <c r="AG539" s="787"/>
      <c r="AH539" s="787"/>
      <c r="AI539" s="787"/>
      <c r="AJ539" s="786"/>
      <c r="AK539" s="787"/>
      <c r="AL539" s="787"/>
      <c r="AM539" s="787"/>
      <c r="AN539" s="786"/>
      <c r="AO539" s="787"/>
      <c r="AP539" s="787"/>
      <c r="AQ539" s="787"/>
      <c r="AR539" s="786"/>
      <c r="AS539" s="787"/>
      <c r="AT539" s="787"/>
      <c r="AU539" s="787"/>
      <c r="AV539" s="786"/>
      <c r="AW539" s="787"/>
      <c r="AX539" s="787"/>
      <c r="AY539" s="787"/>
      <c r="AZ539" s="780"/>
      <c r="BA539" s="780"/>
      <c r="BB539" s="780"/>
      <c r="BC539" s="780"/>
      <c r="BD539" s="541"/>
      <c r="BE539" s="541"/>
      <c r="BF539" s="541"/>
      <c r="BG539" s="541"/>
      <c r="BH539" s="780"/>
      <c r="BI539" s="780"/>
      <c r="BJ539" s="780"/>
      <c r="BK539" s="780"/>
      <c r="BL539" s="780"/>
      <c r="BM539" s="780"/>
    </row>
    <row r="540" ht="12.75" customHeight="1">
      <c r="A540" s="521"/>
      <c r="B540" s="521"/>
      <c r="C540" s="515"/>
      <c r="D540" s="515"/>
      <c r="E540" s="515"/>
      <c r="F540" s="515"/>
      <c r="G540" s="515"/>
      <c r="H540" s="515"/>
      <c r="I540" s="515"/>
      <c r="J540" s="515"/>
      <c r="K540" s="515"/>
      <c r="L540" s="515"/>
      <c r="M540" s="515"/>
      <c r="N540" s="515"/>
      <c r="O540" s="533"/>
      <c r="P540" s="786"/>
      <c r="Q540" s="787"/>
      <c r="R540" s="787"/>
      <c r="S540" s="787"/>
      <c r="T540" s="786"/>
      <c r="U540" s="787"/>
      <c r="V540" s="787"/>
      <c r="W540" s="787"/>
      <c r="X540" s="786"/>
      <c r="Y540" s="787"/>
      <c r="Z540" s="787"/>
      <c r="AA540" s="787"/>
      <c r="AB540" s="786"/>
      <c r="AC540" s="787"/>
      <c r="AD540" s="787"/>
      <c r="AE540" s="787"/>
      <c r="AF540" s="786"/>
      <c r="AG540" s="787"/>
      <c r="AH540" s="787"/>
      <c r="AI540" s="787"/>
      <c r="AJ540" s="786"/>
      <c r="AK540" s="787"/>
      <c r="AL540" s="787"/>
      <c r="AM540" s="787"/>
      <c r="AN540" s="786"/>
      <c r="AO540" s="787"/>
      <c r="AP540" s="787"/>
      <c r="AQ540" s="787"/>
      <c r="AR540" s="786"/>
      <c r="AS540" s="787"/>
      <c r="AT540" s="787"/>
      <c r="AU540" s="787"/>
      <c r="AV540" s="786"/>
      <c r="AW540" s="787"/>
      <c r="AX540" s="787"/>
      <c r="AY540" s="787"/>
      <c r="AZ540" s="780"/>
      <c r="BA540" s="780"/>
      <c r="BB540" s="780"/>
      <c r="BC540" s="780"/>
      <c r="BD540" s="541"/>
      <c r="BE540" s="541"/>
      <c r="BF540" s="541"/>
      <c r="BG540" s="541"/>
      <c r="BH540" s="780"/>
      <c r="BI540" s="780"/>
      <c r="BJ540" s="780"/>
      <c r="BK540" s="780"/>
      <c r="BL540" s="780"/>
      <c r="BM540" s="780"/>
    </row>
    <row r="541" ht="12.75" customHeight="1">
      <c r="A541" s="521"/>
      <c r="B541" s="521"/>
      <c r="C541" s="515"/>
      <c r="D541" s="515"/>
      <c r="E541" s="515"/>
      <c r="F541" s="515"/>
      <c r="G541" s="515"/>
      <c r="H541" s="515"/>
      <c r="I541" s="515"/>
      <c r="J541" s="515"/>
      <c r="K541" s="515"/>
      <c r="L541" s="515"/>
      <c r="M541" s="515"/>
      <c r="N541" s="515"/>
      <c r="O541" s="533"/>
      <c r="P541" s="786"/>
      <c r="Q541" s="787"/>
      <c r="R541" s="787"/>
      <c r="S541" s="787"/>
      <c r="T541" s="786"/>
      <c r="U541" s="787"/>
      <c r="V541" s="787"/>
      <c r="W541" s="787"/>
      <c r="X541" s="786"/>
      <c r="Y541" s="787"/>
      <c r="Z541" s="787"/>
      <c r="AA541" s="787"/>
      <c r="AB541" s="786"/>
      <c r="AC541" s="787"/>
      <c r="AD541" s="787"/>
      <c r="AE541" s="787"/>
      <c r="AF541" s="786"/>
      <c r="AG541" s="787"/>
      <c r="AH541" s="787"/>
      <c r="AI541" s="787"/>
      <c r="AJ541" s="786"/>
      <c r="AK541" s="787"/>
      <c r="AL541" s="787"/>
      <c r="AM541" s="787"/>
      <c r="AN541" s="786"/>
      <c r="AO541" s="787"/>
      <c r="AP541" s="787"/>
      <c r="AQ541" s="787"/>
      <c r="AR541" s="786"/>
      <c r="AS541" s="787"/>
      <c r="AT541" s="787"/>
      <c r="AU541" s="787"/>
      <c r="AV541" s="786"/>
      <c r="AW541" s="787"/>
      <c r="AX541" s="787"/>
      <c r="AY541" s="787"/>
      <c r="AZ541" s="780"/>
      <c r="BA541" s="780"/>
      <c r="BB541" s="780"/>
      <c r="BC541" s="780"/>
      <c r="BD541" s="541"/>
      <c r="BE541" s="541"/>
      <c r="BF541" s="541"/>
      <c r="BG541" s="541"/>
      <c r="BH541" s="780"/>
      <c r="BI541" s="780"/>
      <c r="BJ541" s="780"/>
      <c r="BK541" s="780"/>
      <c r="BL541" s="780"/>
      <c r="BM541" s="780"/>
    </row>
    <row r="542" ht="12.75" customHeight="1">
      <c r="A542" s="521"/>
      <c r="B542" s="521"/>
      <c r="C542" s="515"/>
      <c r="D542" s="515"/>
      <c r="E542" s="515"/>
      <c r="F542" s="515"/>
      <c r="G542" s="515"/>
      <c r="H542" s="515"/>
      <c r="I542" s="515"/>
      <c r="J542" s="515"/>
      <c r="K542" s="515"/>
      <c r="L542" s="515"/>
      <c r="M542" s="515"/>
      <c r="N542" s="515"/>
      <c r="O542" s="533"/>
      <c r="P542" s="786"/>
      <c r="Q542" s="787"/>
      <c r="R542" s="787"/>
      <c r="S542" s="787"/>
      <c r="T542" s="786"/>
      <c r="U542" s="787"/>
      <c r="V542" s="787"/>
      <c r="W542" s="787"/>
      <c r="X542" s="786"/>
      <c r="Y542" s="787"/>
      <c r="Z542" s="787"/>
      <c r="AA542" s="787"/>
      <c r="AB542" s="786"/>
      <c r="AC542" s="787"/>
      <c r="AD542" s="787"/>
      <c r="AE542" s="787"/>
      <c r="AF542" s="786"/>
      <c r="AG542" s="787"/>
      <c r="AH542" s="787"/>
      <c r="AI542" s="787"/>
      <c r="AJ542" s="786"/>
      <c r="AK542" s="787"/>
      <c r="AL542" s="787"/>
      <c r="AM542" s="787"/>
      <c r="AN542" s="786"/>
      <c r="AO542" s="787"/>
      <c r="AP542" s="787"/>
      <c r="AQ542" s="787"/>
      <c r="AR542" s="786"/>
      <c r="AS542" s="787"/>
      <c r="AT542" s="787"/>
      <c r="AU542" s="787"/>
      <c r="AV542" s="786"/>
      <c r="AW542" s="787"/>
      <c r="AX542" s="787"/>
      <c r="AY542" s="787"/>
      <c r="AZ542" s="780"/>
      <c r="BA542" s="780"/>
      <c r="BB542" s="780"/>
      <c r="BC542" s="780"/>
      <c r="BD542" s="541"/>
      <c r="BE542" s="541"/>
      <c r="BF542" s="541"/>
      <c r="BG542" s="541"/>
      <c r="BH542" s="780"/>
      <c r="BI542" s="780"/>
      <c r="BJ542" s="780"/>
      <c r="BK542" s="780"/>
      <c r="BL542" s="780"/>
      <c r="BM542" s="780"/>
    </row>
    <row r="543" ht="12.75" customHeight="1">
      <c r="A543" s="521"/>
      <c r="B543" s="521"/>
      <c r="C543" s="515"/>
      <c r="D543" s="515"/>
      <c r="E543" s="515"/>
      <c r="F543" s="515"/>
      <c r="G543" s="515"/>
      <c r="H543" s="515"/>
      <c r="I543" s="515"/>
      <c r="J543" s="515"/>
      <c r="K543" s="515"/>
      <c r="L543" s="515"/>
      <c r="M543" s="515"/>
      <c r="N543" s="515"/>
      <c r="O543" s="533"/>
      <c r="P543" s="786"/>
      <c r="Q543" s="787"/>
      <c r="R543" s="787"/>
      <c r="S543" s="787"/>
      <c r="T543" s="786"/>
      <c r="U543" s="787"/>
      <c r="V543" s="787"/>
      <c r="W543" s="787"/>
      <c r="X543" s="786"/>
      <c r="Y543" s="787"/>
      <c r="Z543" s="787"/>
      <c r="AA543" s="787"/>
      <c r="AB543" s="786"/>
      <c r="AC543" s="787"/>
      <c r="AD543" s="787"/>
      <c r="AE543" s="787"/>
      <c r="AF543" s="786"/>
      <c r="AG543" s="787"/>
      <c r="AH543" s="787"/>
      <c r="AI543" s="787"/>
      <c r="AJ543" s="786"/>
      <c r="AK543" s="787"/>
      <c r="AL543" s="787"/>
      <c r="AM543" s="787"/>
      <c r="AN543" s="786"/>
      <c r="AO543" s="787"/>
      <c r="AP543" s="787"/>
      <c r="AQ543" s="787"/>
      <c r="AR543" s="786"/>
      <c r="AS543" s="787"/>
      <c r="AT543" s="787"/>
      <c r="AU543" s="787"/>
      <c r="AV543" s="786"/>
      <c r="AW543" s="787"/>
      <c r="AX543" s="787"/>
      <c r="AY543" s="787"/>
      <c r="AZ543" s="780"/>
      <c r="BA543" s="780"/>
      <c r="BB543" s="780"/>
      <c r="BC543" s="780"/>
      <c r="BD543" s="541"/>
      <c r="BE543" s="541"/>
      <c r="BF543" s="541"/>
      <c r="BG543" s="541"/>
      <c r="BH543" s="780"/>
      <c r="BI543" s="780"/>
      <c r="BJ543" s="780"/>
      <c r="BK543" s="780"/>
      <c r="BL543" s="780"/>
      <c r="BM543" s="780"/>
    </row>
    <row r="544" ht="12.75" customHeight="1">
      <c r="A544" s="521"/>
      <c r="B544" s="521"/>
      <c r="C544" s="515"/>
      <c r="D544" s="515"/>
      <c r="E544" s="515"/>
      <c r="F544" s="515"/>
      <c r="G544" s="515"/>
      <c r="H544" s="515"/>
      <c r="I544" s="515"/>
      <c r="J544" s="515"/>
      <c r="K544" s="515"/>
      <c r="L544" s="515"/>
      <c r="M544" s="515"/>
      <c r="N544" s="515"/>
      <c r="O544" s="533"/>
      <c r="P544" s="786"/>
      <c r="Q544" s="787"/>
      <c r="R544" s="787"/>
      <c r="S544" s="787"/>
      <c r="T544" s="786"/>
      <c r="U544" s="787"/>
      <c r="V544" s="787"/>
      <c r="W544" s="787"/>
      <c r="X544" s="786"/>
      <c r="Y544" s="787"/>
      <c r="Z544" s="787"/>
      <c r="AA544" s="787"/>
      <c r="AB544" s="786"/>
      <c r="AC544" s="787"/>
      <c r="AD544" s="787"/>
      <c r="AE544" s="787"/>
      <c r="AF544" s="786"/>
      <c r="AG544" s="787"/>
      <c r="AH544" s="787"/>
      <c r="AI544" s="787"/>
      <c r="AJ544" s="786"/>
      <c r="AK544" s="787"/>
      <c r="AL544" s="787"/>
      <c r="AM544" s="787"/>
      <c r="AN544" s="786"/>
      <c r="AO544" s="787"/>
      <c r="AP544" s="787"/>
      <c r="AQ544" s="787"/>
      <c r="AR544" s="786"/>
      <c r="AS544" s="787"/>
      <c r="AT544" s="787"/>
      <c r="AU544" s="787"/>
      <c r="AV544" s="786"/>
      <c r="AW544" s="787"/>
      <c r="AX544" s="787"/>
      <c r="AY544" s="787"/>
      <c r="AZ544" s="780"/>
      <c r="BA544" s="780"/>
      <c r="BB544" s="780"/>
      <c r="BC544" s="780"/>
      <c r="BD544" s="541"/>
      <c r="BE544" s="541"/>
      <c r="BF544" s="541"/>
      <c r="BG544" s="541"/>
      <c r="BH544" s="780"/>
      <c r="BI544" s="780"/>
      <c r="BJ544" s="780"/>
      <c r="BK544" s="780"/>
      <c r="BL544" s="780"/>
      <c r="BM544" s="780"/>
    </row>
    <row r="545" ht="12.75" customHeight="1">
      <c r="A545" s="521"/>
      <c r="B545" s="521"/>
      <c r="C545" s="515"/>
      <c r="D545" s="515"/>
      <c r="E545" s="515"/>
      <c r="F545" s="515"/>
      <c r="G545" s="515"/>
      <c r="H545" s="515"/>
      <c r="I545" s="515"/>
      <c r="J545" s="515"/>
      <c r="K545" s="515"/>
      <c r="L545" s="515"/>
      <c r="M545" s="515"/>
      <c r="N545" s="515"/>
      <c r="O545" s="533"/>
      <c r="P545" s="786"/>
      <c r="Q545" s="787"/>
      <c r="R545" s="787"/>
      <c r="S545" s="787"/>
      <c r="T545" s="786"/>
      <c r="U545" s="787"/>
      <c r="V545" s="787"/>
      <c r="W545" s="787"/>
      <c r="X545" s="786"/>
      <c r="Y545" s="787"/>
      <c r="Z545" s="787"/>
      <c r="AA545" s="787"/>
      <c r="AB545" s="786"/>
      <c r="AC545" s="787"/>
      <c r="AD545" s="787"/>
      <c r="AE545" s="787"/>
      <c r="AF545" s="786"/>
      <c r="AG545" s="787"/>
      <c r="AH545" s="787"/>
      <c r="AI545" s="787"/>
      <c r="AJ545" s="786"/>
      <c r="AK545" s="787"/>
      <c r="AL545" s="787"/>
      <c r="AM545" s="787"/>
      <c r="AN545" s="786"/>
      <c r="AO545" s="787"/>
      <c r="AP545" s="787"/>
      <c r="AQ545" s="787"/>
      <c r="AR545" s="786"/>
      <c r="AS545" s="787"/>
      <c r="AT545" s="787"/>
      <c r="AU545" s="787"/>
      <c r="AV545" s="786"/>
      <c r="AW545" s="787"/>
      <c r="AX545" s="787"/>
      <c r="AY545" s="787"/>
      <c r="AZ545" s="780"/>
      <c r="BA545" s="780"/>
      <c r="BB545" s="780"/>
      <c r="BC545" s="780"/>
      <c r="BD545" s="541"/>
      <c r="BE545" s="541"/>
      <c r="BF545" s="541"/>
      <c r="BG545" s="541"/>
      <c r="BH545" s="780"/>
      <c r="BI545" s="780"/>
      <c r="BJ545" s="780"/>
      <c r="BK545" s="780"/>
      <c r="BL545" s="780"/>
      <c r="BM545" s="780"/>
    </row>
    <row r="546" ht="12.75" customHeight="1">
      <c r="A546" s="521"/>
      <c r="B546" s="521"/>
      <c r="C546" s="515"/>
      <c r="D546" s="515"/>
      <c r="E546" s="515"/>
      <c r="F546" s="515"/>
      <c r="G546" s="515"/>
      <c r="H546" s="515"/>
      <c r="I546" s="515"/>
      <c r="J546" s="515"/>
      <c r="K546" s="515"/>
      <c r="L546" s="515"/>
      <c r="M546" s="515"/>
      <c r="N546" s="515"/>
      <c r="O546" s="533"/>
      <c r="P546" s="786"/>
      <c r="Q546" s="787"/>
      <c r="R546" s="787"/>
      <c r="S546" s="787"/>
      <c r="T546" s="786"/>
      <c r="U546" s="787"/>
      <c r="V546" s="787"/>
      <c r="W546" s="787"/>
      <c r="X546" s="786"/>
      <c r="Y546" s="787"/>
      <c r="Z546" s="787"/>
      <c r="AA546" s="787"/>
      <c r="AB546" s="786"/>
      <c r="AC546" s="787"/>
      <c r="AD546" s="787"/>
      <c r="AE546" s="787"/>
      <c r="AF546" s="786"/>
      <c r="AG546" s="787"/>
      <c r="AH546" s="787"/>
      <c r="AI546" s="787"/>
      <c r="AJ546" s="786"/>
      <c r="AK546" s="787"/>
      <c r="AL546" s="787"/>
      <c r="AM546" s="787"/>
      <c r="AN546" s="786"/>
      <c r="AO546" s="787"/>
      <c r="AP546" s="787"/>
      <c r="AQ546" s="787"/>
      <c r="AR546" s="786"/>
      <c r="AS546" s="787"/>
      <c r="AT546" s="787"/>
      <c r="AU546" s="787"/>
      <c r="AV546" s="786"/>
      <c r="AW546" s="787"/>
      <c r="AX546" s="787"/>
      <c r="AY546" s="787"/>
      <c r="AZ546" s="780"/>
      <c r="BA546" s="780"/>
      <c r="BB546" s="780"/>
      <c r="BC546" s="780"/>
      <c r="BD546" s="541"/>
      <c r="BE546" s="541"/>
      <c r="BF546" s="541"/>
      <c r="BG546" s="541"/>
      <c r="BH546" s="780"/>
      <c r="BI546" s="780"/>
      <c r="BJ546" s="780"/>
      <c r="BK546" s="780"/>
      <c r="BL546" s="780"/>
      <c r="BM546" s="780"/>
    </row>
    <row r="547" ht="12.75" customHeight="1">
      <c r="A547" s="521"/>
      <c r="B547" s="521"/>
      <c r="C547" s="515"/>
      <c r="D547" s="515"/>
      <c r="E547" s="515"/>
      <c r="F547" s="515"/>
      <c r="G547" s="515"/>
      <c r="H547" s="515"/>
      <c r="I547" s="515"/>
      <c r="J547" s="515"/>
      <c r="K547" s="515"/>
      <c r="L547" s="515"/>
      <c r="M547" s="515"/>
      <c r="N547" s="515"/>
      <c r="O547" s="533"/>
      <c r="P547" s="786"/>
      <c r="Q547" s="787"/>
      <c r="R547" s="787"/>
      <c r="S547" s="787"/>
      <c r="T547" s="786"/>
      <c r="U547" s="787"/>
      <c r="V547" s="787"/>
      <c r="W547" s="787"/>
      <c r="X547" s="786"/>
      <c r="Y547" s="787"/>
      <c r="Z547" s="787"/>
      <c r="AA547" s="787"/>
      <c r="AB547" s="786"/>
      <c r="AC547" s="787"/>
      <c r="AD547" s="787"/>
      <c r="AE547" s="787"/>
      <c r="AF547" s="786"/>
      <c r="AG547" s="787"/>
      <c r="AH547" s="787"/>
      <c r="AI547" s="787"/>
      <c r="AJ547" s="786"/>
      <c r="AK547" s="787"/>
      <c r="AL547" s="787"/>
      <c r="AM547" s="787"/>
      <c r="AN547" s="786"/>
      <c r="AO547" s="787"/>
      <c r="AP547" s="787"/>
      <c r="AQ547" s="787"/>
      <c r="AR547" s="786"/>
      <c r="AS547" s="787"/>
      <c r="AT547" s="787"/>
      <c r="AU547" s="787"/>
      <c r="AV547" s="786"/>
      <c r="AW547" s="787"/>
      <c r="AX547" s="787"/>
      <c r="AY547" s="787"/>
      <c r="AZ547" s="780"/>
      <c r="BA547" s="780"/>
      <c r="BB547" s="780"/>
      <c r="BC547" s="780"/>
      <c r="BD547" s="541"/>
      <c r="BE547" s="541"/>
      <c r="BF547" s="541"/>
      <c r="BG547" s="541"/>
      <c r="BH547" s="780"/>
      <c r="BI547" s="780"/>
      <c r="BJ547" s="780"/>
      <c r="BK547" s="780"/>
      <c r="BL547" s="780"/>
      <c r="BM547" s="780"/>
    </row>
    <row r="548" ht="12.75" customHeight="1">
      <c r="A548" s="521"/>
      <c r="B548" s="521"/>
      <c r="C548" s="515"/>
      <c r="D548" s="515"/>
      <c r="E548" s="515"/>
      <c r="F548" s="515"/>
      <c r="G548" s="515"/>
      <c r="H548" s="515"/>
      <c r="I548" s="515"/>
      <c r="J548" s="515"/>
      <c r="K548" s="515"/>
      <c r="L548" s="515"/>
      <c r="M548" s="515"/>
      <c r="N548" s="515"/>
      <c r="O548" s="533"/>
      <c r="P548" s="786"/>
      <c r="Q548" s="787"/>
      <c r="R548" s="787"/>
      <c r="S548" s="787"/>
      <c r="T548" s="786"/>
      <c r="U548" s="787"/>
      <c r="V548" s="787"/>
      <c r="W548" s="787"/>
      <c r="X548" s="786"/>
      <c r="Y548" s="787"/>
      <c r="Z548" s="787"/>
      <c r="AA548" s="787"/>
      <c r="AB548" s="786"/>
      <c r="AC548" s="787"/>
      <c r="AD548" s="787"/>
      <c r="AE548" s="787"/>
      <c r="AF548" s="786"/>
      <c r="AG548" s="787"/>
      <c r="AH548" s="787"/>
      <c r="AI548" s="787"/>
      <c r="AJ548" s="786"/>
      <c r="AK548" s="787"/>
      <c r="AL548" s="787"/>
      <c r="AM548" s="787"/>
      <c r="AN548" s="786"/>
      <c r="AO548" s="787"/>
      <c r="AP548" s="787"/>
      <c r="AQ548" s="787"/>
      <c r="AR548" s="786"/>
      <c r="AS548" s="787"/>
      <c r="AT548" s="787"/>
      <c r="AU548" s="787"/>
      <c r="AV548" s="786"/>
      <c r="AW548" s="787"/>
      <c r="AX548" s="787"/>
      <c r="AY548" s="787"/>
      <c r="AZ548" s="780"/>
      <c r="BA548" s="780"/>
      <c r="BB548" s="780"/>
      <c r="BC548" s="780"/>
      <c r="BD548" s="541"/>
      <c r="BE548" s="541"/>
      <c r="BF548" s="541"/>
      <c r="BG548" s="541"/>
      <c r="BH548" s="780"/>
      <c r="BI548" s="780"/>
      <c r="BJ548" s="780"/>
      <c r="BK548" s="780"/>
      <c r="BL548" s="780"/>
      <c r="BM548" s="780"/>
    </row>
    <row r="549" ht="12.75" customHeight="1">
      <c r="A549" s="521"/>
      <c r="B549" s="521"/>
      <c r="C549" s="515"/>
      <c r="D549" s="515"/>
      <c r="E549" s="515"/>
      <c r="F549" s="515"/>
      <c r="G549" s="515"/>
      <c r="H549" s="515"/>
      <c r="I549" s="515"/>
      <c r="J549" s="515"/>
      <c r="K549" s="515"/>
      <c r="L549" s="515"/>
      <c r="M549" s="515"/>
      <c r="N549" s="515"/>
      <c r="O549" s="533"/>
      <c r="P549" s="786"/>
      <c r="Q549" s="787"/>
      <c r="R549" s="787"/>
      <c r="S549" s="787"/>
      <c r="T549" s="786"/>
      <c r="U549" s="787"/>
      <c r="V549" s="787"/>
      <c r="W549" s="787"/>
      <c r="X549" s="786"/>
      <c r="Y549" s="787"/>
      <c r="Z549" s="787"/>
      <c r="AA549" s="787"/>
      <c r="AB549" s="786"/>
      <c r="AC549" s="787"/>
      <c r="AD549" s="787"/>
      <c r="AE549" s="787"/>
      <c r="AF549" s="786"/>
      <c r="AG549" s="787"/>
      <c r="AH549" s="787"/>
      <c r="AI549" s="787"/>
      <c r="AJ549" s="786"/>
      <c r="AK549" s="787"/>
      <c r="AL549" s="787"/>
      <c r="AM549" s="787"/>
      <c r="AN549" s="786"/>
      <c r="AO549" s="787"/>
      <c r="AP549" s="787"/>
      <c r="AQ549" s="787"/>
      <c r="AR549" s="786"/>
      <c r="AS549" s="787"/>
      <c r="AT549" s="787"/>
      <c r="AU549" s="787"/>
      <c r="AV549" s="786"/>
      <c r="AW549" s="787"/>
      <c r="AX549" s="787"/>
      <c r="AY549" s="787"/>
      <c r="AZ549" s="780"/>
      <c r="BA549" s="780"/>
      <c r="BB549" s="780"/>
      <c r="BC549" s="780"/>
      <c r="BD549" s="541"/>
      <c r="BE549" s="541"/>
      <c r="BF549" s="541"/>
      <c r="BG549" s="541"/>
      <c r="BH549" s="780"/>
      <c r="BI549" s="780"/>
      <c r="BJ549" s="780"/>
      <c r="BK549" s="780"/>
      <c r="BL549" s="780"/>
      <c r="BM549" s="780"/>
    </row>
    <row r="550" ht="12.75" customHeight="1">
      <c r="A550" s="521"/>
      <c r="B550" s="521"/>
      <c r="C550" s="515"/>
      <c r="D550" s="515"/>
      <c r="E550" s="515"/>
      <c r="F550" s="515"/>
      <c r="G550" s="515"/>
      <c r="H550" s="515"/>
      <c r="I550" s="515"/>
      <c r="J550" s="515"/>
      <c r="K550" s="515"/>
      <c r="L550" s="515"/>
      <c r="M550" s="515"/>
      <c r="N550" s="515"/>
      <c r="O550" s="533"/>
      <c r="P550" s="786"/>
      <c r="Q550" s="787"/>
      <c r="R550" s="787"/>
      <c r="S550" s="787"/>
      <c r="T550" s="786"/>
      <c r="U550" s="787"/>
      <c r="V550" s="787"/>
      <c r="W550" s="787"/>
      <c r="X550" s="786"/>
      <c r="Y550" s="787"/>
      <c r="Z550" s="787"/>
      <c r="AA550" s="787"/>
      <c r="AB550" s="786"/>
      <c r="AC550" s="787"/>
      <c r="AD550" s="787"/>
      <c r="AE550" s="787"/>
      <c r="AF550" s="786"/>
      <c r="AG550" s="787"/>
      <c r="AH550" s="787"/>
      <c r="AI550" s="787"/>
      <c r="AJ550" s="786"/>
      <c r="AK550" s="787"/>
      <c r="AL550" s="787"/>
      <c r="AM550" s="787"/>
      <c r="AN550" s="786"/>
      <c r="AO550" s="787"/>
      <c r="AP550" s="787"/>
      <c r="AQ550" s="787"/>
      <c r="AR550" s="786"/>
      <c r="AS550" s="787"/>
      <c r="AT550" s="787"/>
      <c r="AU550" s="787"/>
      <c r="AV550" s="786"/>
      <c r="AW550" s="787"/>
      <c r="AX550" s="787"/>
      <c r="AY550" s="787"/>
      <c r="AZ550" s="780"/>
      <c r="BA550" s="780"/>
      <c r="BB550" s="780"/>
      <c r="BC550" s="780"/>
      <c r="BD550" s="541"/>
      <c r="BE550" s="541"/>
      <c r="BF550" s="541"/>
      <c r="BG550" s="541"/>
      <c r="BH550" s="780"/>
      <c r="BI550" s="780"/>
      <c r="BJ550" s="780"/>
      <c r="BK550" s="780"/>
      <c r="BL550" s="780"/>
      <c r="BM550" s="780"/>
    </row>
    <row r="551" ht="12.75" customHeight="1">
      <c r="A551" s="521"/>
      <c r="B551" s="521"/>
      <c r="C551" s="515"/>
      <c r="D551" s="515"/>
      <c r="E551" s="515"/>
      <c r="F551" s="515"/>
      <c r="G551" s="515"/>
      <c r="H551" s="515"/>
      <c r="I551" s="515"/>
      <c r="J551" s="515"/>
      <c r="K551" s="515"/>
      <c r="L551" s="515"/>
      <c r="M551" s="515"/>
      <c r="N551" s="515"/>
      <c r="O551" s="533"/>
      <c r="P551" s="786"/>
      <c r="Q551" s="787"/>
      <c r="R551" s="787"/>
      <c r="S551" s="787"/>
      <c r="T551" s="786"/>
      <c r="U551" s="787"/>
      <c r="V551" s="787"/>
      <c r="W551" s="787"/>
      <c r="X551" s="786"/>
      <c r="Y551" s="787"/>
      <c r="Z551" s="787"/>
      <c r="AA551" s="787"/>
      <c r="AB551" s="786"/>
      <c r="AC551" s="787"/>
      <c r="AD551" s="787"/>
      <c r="AE551" s="787"/>
      <c r="AF551" s="786"/>
      <c r="AG551" s="787"/>
      <c r="AH551" s="787"/>
      <c r="AI551" s="787"/>
      <c r="AJ551" s="786"/>
      <c r="AK551" s="787"/>
      <c r="AL551" s="787"/>
      <c r="AM551" s="787"/>
      <c r="AN551" s="786"/>
      <c r="AO551" s="787"/>
      <c r="AP551" s="787"/>
      <c r="AQ551" s="787"/>
      <c r="AR551" s="786"/>
      <c r="AS551" s="787"/>
      <c r="AT551" s="787"/>
      <c r="AU551" s="787"/>
      <c r="AV551" s="786"/>
      <c r="AW551" s="787"/>
      <c r="AX551" s="787"/>
      <c r="AY551" s="787"/>
      <c r="AZ551" s="780"/>
      <c r="BA551" s="780"/>
      <c r="BB551" s="780"/>
      <c r="BC551" s="780"/>
      <c r="BD551" s="541"/>
      <c r="BE551" s="541"/>
      <c r="BF551" s="541"/>
      <c r="BG551" s="541"/>
      <c r="BH551" s="780"/>
      <c r="BI551" s="780"/>
      <c r="BJ551" s="780"/>
      <c r="BK551" s="780"/>
      <c r="BL551" s="780"/>
      <c r="BM551" s="780"/>
    </row>
    <row r="552" ht="12.75" customHeight="1">
      <c r="A552" s="521"/>
      <c r="B552" s="521"/>
      <c r="C552" s="515"/>
      <c r="D552" s="515"/>
      <c r="E552" s="515"/>
      <c r="F552" s="515"/>
      <c r="G552" s="515"/>
      <c r="H552" s="515"/>
      <c r="I552" s="515"/>
      <c r="J552" s="515"/>
      <c r="K552" s="515"/>
      <c r="L552" s="515"/>
      <c r="M552" s="515"/>
      <c r="N552" s="515"/>
      <c r="O552" s="533"/>
      <c r="P552" s="786"/>
      <c r="Q552" s="787"/>
      <c r="R552" s="787"/>
      <c r="S552" s="787"/>
      <c r="T552" s="786"/>
      <c r="U552" s="787"/>
      <c r="V552" s="787"/>
      <c r="W552" s="787"/>
      <c r="X552" s="786"/>
      <c r="Y552" s="787"/>
      <c r="Z552" s="787"/>
      <c r="AA552" s="787"/>
      <c r="AB552" s="786"/>
      <c r="AC552" s="787"/>
      <c r="AD552" s="787"/>
      <c r="AE552" s="787"/>
      <c r="AF552" s="786"/>
      <c r="AG552" s="787"/>
      <c r="AH552" s="787"/>
      <c r="AI552" s="787"/>
      <c r="AJ552" s="786"/>
      <c r="AK552" s="787"/>
      <c r="AL552" s="787"/>
      <c r="AM552" s="787"/>
      <c r="AN552" s="786"/>
      <c r="AO552" s="787"/>
      <c r="AP552" s="787"/>
      <c r="AQ552" s="787"/>
      <c r="AR552" s="786"/>
      <c r="AS552" s="787"/>
      <c r="AT552" s="787"/>
      <c r="AU552" s="787"/>
      <c r="AV552" s="786"/>
      <c r="AW552" s="787"/>
      <c r="AX552" s="787"/>
      <c r="AY552" s="787"/>
      <c r="AZ552" s="780"/>
      <c r="BA552" s="780"/>
      <c r="BB552" s="780"/>
      <c r="BC552" s="780"/>
      <c r="BD552" s="541"/>
      <c r="BE552" s="541"/>
      <c r="BF552" s="541"/>
      <c r="BG552" s="541"/>
      <c r="BH552" s="780"/>
      <c r="BI552" s="780"/>
      <c r="BJ552" s="780"/>
      <c r="BK552" s="780"/>
      <c r="BL552" s="780"/>
      <c r="BM552" s="780"/>
    </row>
    <row r="553" ht="12.75" customHeight="1">
      <c r="A553" s="521"/>
      <c r="B553" s="521"/>
      <c r="C553" s="515"/>
      <c r="D553" s="515"/>
      <c r="E553" s="515"/>
      <c r="F553" s="515"/>
      <c r="G553" s="515"/>
      <c r="H553" s="515"/>
      <c r="I553" s="515"/>
      <c r="J553" s="515"/>
      <c r="K553" s="515"/>
      <c r="L553" s="515"/>
      <c r="M553" s="515"/>
      <c r="N553" s="515"/>
      <c r="O553" s="533"/>
      <c r="P553" s="786"/>
      <c r="Q553" s="787"/>
      <c r="R553" s="787"/>
      <c r="S553" s="787"/>
      <c r="T553" s="786"/>
      <c r="U553" s="787"/>
      <c r="V553" s="787"/>
      <c r="W553" s="787"/>
      <c r="X553" s="786"/>
      <c r="Y553" s="787"/>
      <c r="Z553" s="787"/>
      <c r="AA553" s="787"/>
      <c r="AB553" s="786"/>
      <c r="AC553" s="787"/>
      <c r="AD553" s="787"/>
      <c r="AE553" s="787"/>
      <c r="AF553" s="786"/>
      <c r="AG553" s="787"/>
      <c r="AH553" s="787"/>
      <c r="AI553" s="787"/>
      <c r="AJ553" s="786"/>
      <c r="AK553" s="787"/>
      <c r="AL553" s="787"/>
      <c r="AM553" s="787"/>
      <c r="AN553" s="786"/>
      <c r="AO553" s="787"/>
      <c r="AP553" s="787"/>
      <c r="AQ553" s="787"/>
      <c r="AR553" s="786"/>
      <c r="AS553" s="787"/>
      <c r="AT553" s="787"/>
      <c r="AU553" s="787"/>
      <c r="AV553" s="786"/>
      <c r="AW553" s="787"/>
      <c r="AX553" s="787"/>
      <c r="AY553" s="787"/>
      <c r="AZ553" s="780"/>
      <c r="BA553" s="780"/>
      <c r="BB553" s="780"/>
      <c r="BC553" s="780"/>
      <c r="BD553" s="541"/>
      <c r="BE553" s="541"/>
      <c r="BF553" s="541"/>
      <c r="BG553" s="541"/>
      <c r="BH553" s="780"/>
      <c r="BI553" s="780"/>
      <c r="BJ553" s="780"/>
      <c r="BK553" s="780"/>
      <c r="BL553" s="780"/>
      <c r="BM553" s="780"/>
    </row>
    <row r="554" ht="12.75" customHeight="1">
      <c r="A554" s="521"/>
      <c r="B554" s="521"/>
      <c r="C554" s="515"/>
      <c r="D554" s="515"/>
      <c r="E554" s="515"/>
      <c r="F554" s="515"/>
      <c r="G554" s="515"/>
      <c r="H554" s="515"/>
      <c r="I554" s="515"/>
      <c r="J554" s="515"/>
      <c r="K554" s="515"/>
      <c r="L554" s="515"/>
      <c r="M554" s="515"/>
      <c r="N554" s="515"/>
      <c r="O554" s="533"/>
      <c r="P554" s="786"/>
      <c r="Q554" s="787"/>
      <c r="R554" s="787"/>
      <c r="S554" s="787"/>
      <c r="T554" s="786"/>
      <c r="U554" s="787"/>
      <c r="V554" s="787"/>
      <c r="W554" s="787"/>
      <c r="X554" s="786"/>
      <c r="Y554" s="787"/>
      <c r="Z554" s="787"/>
      <c r="AA554" s="787"/>
      <c r="AB554" s="786"/>
      <c r="AC554" s="787"/>
      <c r="AD554" s="787"/>
      <c r="AE554" s="787"/>
      <c r="AF554" s="786"/>
      <c r="AG554" s="787"/>
      <c r="AH554" s="787"/>
      <c r="AI554" s="787"/>
      <c r="AJ554" s="786"/>
      <c r="AK554" s="787"/>
      <c r="AL554" s="787"/>
      <c r="AM554" s="787"/>
      <c r="AN554" s="786"/>
      <c r="AO554" s="787"/>
      <c r="AP554" s="787"/>
      <c r="AQ554" s="787"/>
      <c r="AR554" s="786"/>
      <c r="AS554" s="787"/>
      <c r="AT554" s="787"/>
      <c r="AU554" s="787"/>
      <c r="AV554" s="786"/>
      <c r="AW554" s="787"/>
      <c r="AX554" s="787"/>
      <c r="AY554" s="787"/>
      <c r="AZ554" s="780"/>
      <c r="BA554" s="780"/>
      <c r="BB554" s="780"/>
      <c r="BC554" s="780"/>
      <c r="BD554" s="541"/>
      <c r="BE554" s="541"/>
      <c r="BF554" s="541"/>
      <c r="BG554" s="541"/>
      <c r="BH554" s="780"/>
      <c r="BI554" s="780"/>
      <c r="BJ554" s="780"/>
      <c r="BK554" s="780"/>
      <c r="BL554" s="780"/>
      <c r="BM554" s="780"/>
    </row>
    <row r="555" ht="12.75" customHeight="1">
      <c r="A555" s="521"/>
      <c r="B555" s="521"/>
      <c r="C555" s="515"/>
      <c r="D555" s="515"/>
      <c r="E555" s="515"/>
      <c r="F555" s="515"/>
      <c r="G555" s="515"/>
      <c r="H555" s="515"/>
      <c r="I555" s="515"/>
      <c r="J555" s="515"/>
      <c r="K555" s="515"/>
      <c r="L555" s="515"/>
      <c r="M555" s="515"/>
      <c r="N555" s="515"/>
      <c r="O555" s="533"/>
      <c r="P555" s="786"/>
      <c r="Q555" s="787"/>
      <c r="R555" s="787"/>
      <c r="S555" s="787"/>
      <c r="T555" s="786"/>
      <c r="U555" s="787"/>
      <c r="V555" s="787"/>
      <c r="W555" s="787"/>
      <c r="X555" s="786"/>
      <c r="Y555" s="787"/>
      <c r="Z555" s="787"/>
      <c r="AA555" s="787"/>
      <c r="AB555" s="786"/>
      <c r="AC555" s="787"/>
      <c r="AD555" s="787"/>
      <c r="AE555" s="787"/>
      <c r="AF555" s="786"/>
      <c r="AG555" s="787"/>
      <c r="AH555" s="787"/>
      <c r="AI555" s="787"/>
      <c r="AJ555" s="786"/>
      <c r="AK555" s="787"/>
      <c r="AL555" s="787"/>
      <c r="AM555" s="787"/>
      <c r="AN555" s="786"/>
      <c r="AO555" s="787"/>
      <c r="AP555" s="787"/>
      <c r="AQ555" s="787"/>
      <c r="AR555" s="786"/>
      <c r="AS555" s="787"/>
      <c r="AT555" s="787"/>
      <c r="AU555" s="787"/>
      <c r="AV555" s="786"/>
      <c r="AW555" s="787"/>
      <c r="AX555" s="787"/>
      <c r="AY555" s="787"/>
      <c r="AZ555" s="780"/>
      <c r="BA555" s="780"/>
      <c r="BB555" s="780"/>
      <c r="BC555" s="780"/>
      <c r="BD555" s="541"/>
      <c r="BE555" s="541"/>
      <c r="BF555" s="541"/>
      <c r="BG555" s="541"/>
      <c r="BH555" s="780"/>
      <c r="BI555" s="780"/>
      <c r="BJ555" s="780"/>
      <c r="BK555" s="780"/>
      <c r="BL555" s="780"/>
      <c r="BM555" s="780"/>
    </row>
    <row r="556" ht="12.75" customHeight="1">
      <c r="A556" s="521"/>
      <c r="B556" s="521"/>
      <c r="C556" s="515"/>
      <c r="D556" s="515"/>
      <c r="E556" s="515"/>
      <c r="F556" s="515"/>
      <c r="G556" s="515"/>
      <c r="H556" s="515"/>
      <c r="I556" s="515"/>
      <c r="J556" s="515"/>
      <c r="K556" s="515"/>
      <c r="L556" s="515"/>
      <c r="M556" s="515"/>
      <c r="N556" s="515"/>
      <c r="O556" s="533"/>
      <c r="P556" s="786"/>
      <c r="Q556" s="787"/>
      <c r="R556" s="787"/>
      <c r="S556" s="787"/>
      <c r="T556" s="786"/>
      <c r="U556" s="787"/>
      <c r="V556" s="787"/>
      <c r="W556" s="787"/>
      <c r="X556" s="786"/>
      <c r="Y556" s="787"/>
      <c r="Z556" s="787"/>
      <c r="AA556" s="787"/>
      <c r="AB556" s="786"/>
      <c r="AC556" s="787"/>
      <c r="AD556" s="787"/>
      <c r="AE556" s="787"/>
      <c r="AF556" s="786"/>
      <c r="AG556" s="787"/>
      <c r="AH556" s="787"/>
      <c r="AI556" s="787"/>
      <c r="AJ556" s="786"/>
      <c r="AK556" s="787"/>
      <c r="AL556" s="787"/>
      <c r="AM556" s="787"/>
      <c r="AN556" s="786"/>
      <c r="AO556" s="787"/>
      <c r="AP556" s="787"/>
      <c r="AQ556" s="787"/>
      <c r="AR556" s="786"/>
      <c r="AS556" s="787"/>
      <c r="AT556" s="787"/>
      <c r="AU556" s="787"/>
      <c r="AV556" s="786"/>
      <c r="AW556" s="787"/>
      <c r="AX556" s="787"/>
      <c r="AY556" s="787"/>
      <c r="AZ556" s="780"/>
      <c r="BA556" s="780"/>
      <c r="BB556" s="780"/>
      <c r="BC556" s="780"/>
      <c r="BD556" s="541"/>
      <c r="BE556" s="541"/>
      <c r="BF556" s="541"/>
      <c r="BG556" s="541"/>
      <c r="BH556" s="780"/>
      <c r="BI556" s="780"/>
      <c r="BJ556" s="780"/>
      <c r="BK556" s="780"/>
      <c r="BL556" s="780"/>
      <c r="BM556" s="780"/>
    </row>
    <row r="557" ht="12.75" customHeight="1">
      <c r="A557" s="521"/>
      <c r="B557" s="521"/>
      <c r="C557" s="515"/>
      <c r="D557" s="515"/>
      <c r="E557" s="515"/>
      <c r="F557" s="515"/>
      <c r="G557" s="515"/>
      <c r="H557" s="515"/>
      <c r="I557" s="515"/>
      <c r="J557" s="515"/>
      <c r="K557" s="515"/>
      <c r="L557" s="515"/>
      <c r="M557" s="515"/>
      <c r="N557" s="515"/>
      <c r="O557" s="533"/>
      <c r="P557" s="786"/>
      <c r="Q557" s="787"/>
      <c r="R557" s="787"/>
      <c r="S557" s="787"/>
      <c r="T557" s="786"/>
      <c r="U557" s="787"/>
      <c r="V557" s="787"/>
      <c r="W557" s="787"/>
      <c r="X557" s="786"/>
      <c r="Y557" s="787"/>
      <c r="Z557" s="787"/>
      <c r="AA557" s="787"/>
      <c r="AB557" s="786"/>
      <c r="AC557" s="787"/>
      <c r="AD557" s="787"/>
      <c r="AE557" s="787"/>
      <c r="AF557" s="786"/>
      <c r="AG557" s="787"/>
      <c r="AH557" s="787"/>
      <c r="AI557" s="787"/>
      <c r="AJ557" s="786"/>
      <c r="AK557" s="787"/>
      <c r="AL557" s="787"/>
      <c r="AM557" s="787"/>
      <c r="AN557" s="786"/>
      <c r="AO557" s="787"/>
      <c r="AP557" s="787"/>
      <c r="AQ557" s="787"/>
      <c r="AR557" s="786"/>
      <c r="AS557" s="787"/>
      <c r="AT557" s="787"/>
      <c r="AU557" s="787"/>
      <c r="AV557" s="786"/>
      <c r="AW557" s="787"/>
      <c r="AX557" s="787"/>
      <c r="AY557" s="787"/>
      <c r="AZ557" s="780"/>
      <c r="BA557" s="780"/>
      <c r="BB557" s="780"/>
      <c r="BC557" s="780"/>
      <c r="BD557" s="541"/>
      <c r="BE557" s="541"/>
      <c r="BF557" s="541"/>
      <c r="BG557" s="541"/>
      <c r="BH557" s="780"/>
      <c r="BI557" s="780"/>
      <c r="BJ557" s="780"/>
      <c r="BK557" s="780"/>
      <c r="BL557" s="780"/>
      <c r="BM557" s="780"/>
    </row>
    <row r="558" ht="12.75" customHeight="1">
      <c r="A558" s="521"/>
      <c r="B558" s="521"/>
      <c r="C558" s="515"/>
      <c r="D558" s="515"/>
      <c r="E558" s="515"/>
      <c r="F558" s="515"/>
      <c r="G558" s="515"/>
      <c r="H558" s="515"/>
      <c r="I558" s="515"/>
      <c r="J558" s="515"/>
      <c r="K558" s="515"/>
      <c r="L558" s="515"/>
      <c r="M558" s="515"/>
      <c r="N558" s="515"/>
      <c r="O558" s="533"/>
      <c r="P558" s="786"/>
      <c r="Q558" s="787"/>
      <c r="R558" s="787"/>
      <c r="S558" s="787"/>
      <c r="T558" s="786"/>
      <c r="U558" s="787"/>
      <c r="V558" s="787"/>
      <c r="W558" s="787"/>
      <c r="X558" s="786"/>
      <c r="Y558" s="787"/>
      <c r="Z558" s="787"/>
      <c r="AA558" s="787"/>
      <c r="AB558" s="786"/>
      <c r="AC558" s="787"/>
      <c r="AD558" s="787"/>
      <c r="AE558" s="787"/>
      <c r="AF558" s="786"/>
      <c r="AG558" s="787"/>
      <c r="AH558" s="787"/>
      <c r="AI558" s="787"/>
      <c r="AJ558" s="786"/>
      <c r="AK558" s="787"/>
      <c r="AL558" s="787"/>
      <c r="AM558" s="787"/>
      <c r="AN558" s="786"/>
      <c r="AO558" s="787"/>
      <c r="AP558" s="787"/>
      <c r="AQ558" s="787"/>
      <c r="AR558" s="786"/>
      <c r="AS558" s="787"/>
      <c r="AT558" s="787"/>
      <c r="AU558" s="787"/>
      <c r="AV558" s="786"/>
      <c r="AW558" s="787"/>
      <c r="AX558" s="787"/>
      <c r="AY558" s="787"/>
      <c r="AZ558" s="780"/>
      <c r="BA558" s="780"/>
      <c r="BB558" s="780"/>
      <c r="BC558" s="780"/>
      <c r="BD558" s="541"/>
      <c r="BE558" s="541"/>
      <c r="BF558" s="541"/>
      <c r="BG558" s="541"/>
      <c r="BH558" s="780"/>
      <c r="BI558" s="780"/>
      <c r="BJ558" s="780"/>
      <c r="BK558" s="780"/>
      <c r="BL558" s="780"/>
      <c r="BM558" s="780"/>
    </row>
    <row r="559" ht="12.75" customHeight="1">
      <c r="A559" s="521"/>
      <c r="B559" s="521"/>
      <c r="C559" s="515"/>
      <c r="D559" s="515"/>
      <c r="E559" s="515"/>
      <c r="F559" s="515"/>
      <c r="G559" s="515"/>
      <c r="H559" s="515"/>
      <c r="I559" s="515"/>
      <c r="J559" s="515"/>
      <c r="K559" s="515"/>
      <c r="L559" s="515"/>
      <c r="M559" s="515"/>
      <c r="N559" s="515"/>
      <c r="O559" s="533"/>
      <c r="P559" s="786"/>
      <c r="Q559" s="787"/>
      <c r="R559" s="787"/>
      <c r="S559" s="787"/>
      <c r="T559" s="786"/>
      <c r="U559" s="787"/>
      <c r="V559" s="787"/>
      <c r="W559" s="787"/>
      <c r="X559" s="786"/>
      <c r="Y559" s="787"/>
      <c r="Z559" s="787"/>
      <c r="AA559" s="787"/>
      <c r="AB559" s="786"/>
      <c r="AC559" s="787"/>
      <c r="AD559" s="787"/>
      <c r="AE559" s="787"/>
      <c r="AF559" s="786"/>
      <c r="AG559" s="787"/>
      <c r="AH559" s="787"/>
      <c r="AI559" s="787"/>
      <c r="AJ559" s="786"/>
      <c r="AK559" s="787"/>
      <c r="AL559" s="787"/>
      <c r="AM559" s="787"/>
      <c r="AN559" s="786"/>
      <c r="AO559" s="787"/>
      <c r="AP559" s="787"/>
      <c r="AQ559" s="787"/>
      <c r="AR559" s="786"/>
      <c r="AS559" s="787"/>
      <c r="AT559" s="787"/>
      <c r="AU559" s="787"/>
      <c r="AV559" s="786"/>
      <c r="AW559" s="787"/>
      <c r="AX559" s="787"/>
      <c r="AY559" s="787"/>
      <c r="AZ559" s="780"/>
      <c r="BA559" s="780"/>
      <c r="BB559" s="780"/>
      <c r="BC559" s="780"/>
      <c r="BD559" s="541"/>
      <c r="BE559" s="541"/>
      <c r="BF559" s="541"/>
      <c r="BG559" s="541"/>
      <c r="BH559" s="780"/>
      <c r="BI559" s="780"/>
      <c r="BJ559" s="780"/>
      <c r="BK559" s="780"/>
      <c r="BL559" s="780"/>
      <c r="BM559" s="780"/>
    </row>
    <row r="560" ht="12.75" customHeight="1">
      <c r="A560" s="521"/>
      <c r="B560" s="521"/>
      <c r="C560" s="515"/>
      <c r="D560" s="515"/>
      <c r="E560" s="515"/>
      <c r="F560" s="515"/>
      <c r="G560" s="515"/>
      <c r="H560" s="515"/>
      <c r="I560" s="515"/>
      <c r="J560" s="515"/>
      <c r="K560" s="515"/>
      <c r="L560" s="515"/>
      <c r="M560" s="515"/>
      <c r="N560" s="515"/>
      <c r="O560" s="533"/>
      <c r="P560" s="786"/>
      <c r="Q560" s="787"/>
      <c r="R560" s="787"/>
      <c r="S560" s="787"/>
      <c r="T560" s="786"/>
      <c r="U560" s="787"/>
      <c r="V560" s="787"/>
      <c r="W560" s="787"/>
      <c r="X560" s="786"/>
      <c r="Y560" s="787"/>
      <c r="Z560" s="787"/>
      <c r="AA560" s="787"/>
      <c r="AB560" s="786"/>
      <c r="AC560" s="787"/>
      <c r="AD560" s="787"/>
      <c r="AE560" s="787"/>
      <c r="AF560" s="786"/>
      <c r="AG560" s="787"/>
      <c r="AH560" s="787"/>
      <c r="AI560" s="787"/>
      <c r="AJ560" s="786"/>
      <c r="AK560" s="787"/>
      <c r="AL560" s="787"/>
      <c r="AM560" s="787"/>
      <c r="AN560" s="786"/>
      <c r="AO560" s="787"/>
      <c r="AP560" s="787"/>
      <c r="AQ560" s="787"/>
      <c r="AR560" s="786"/>
      <c r="AS560" s="787"/>
      <c r="AT560" s="787"/>
      <c r="AU560" s="787"/>
      <c r="AV560" s="786"/>
      <c r="AW560" s="787"/>
      <c r="AX560" s="787"/>
      <c r="AY560" s="787"/>
      <c r="AZ560" s="780"/>
      <c r="BA560" s="780"/>
      <c r="BB560" s="780"/>
      <c r="BC560" s="780"/>
      <c r="BD560" s="541"/>
      <c r="BE560" s="541"/>
      <c r="BF560" s="541"/>
      <c r="BG560" s="541"/>
      <c r="BH560" s="780"/>
      <c r="BI560" s="780"/>
      <c r="BJ560" s="780"/>
      <c r="BK560" s="780"/>
      <c r="BL560" s="780"/>
      <c r="BM560" s="780"/>
    </row>
    <row r="561" ht="12.75" customHeight="1">
      <c r="A561" s="521"/>
      <c r="B561" s="521"/>
      <c r="C561" s="515"/>
      <c r="D561" s="515"/>
      <c r="E561" s="515"/>
      <c r="F561" s="515"/>
      <c r="G561" s="515"/>
      <c r="H561" s="515"/>
      <c r="I561" s="515"/>
      <c r="J561" s="515"/>
      <c r="K561" s="515"/>
      <c r="L561" s="515"/>
      <c r="M561" s="515"/>
      <c r="N561" s="515"/>
      <c r="O561" s="533"/>
      <c r="P561" s="786"/>
      <c r="Q561" s="787"/>
      <c r="R561" s="787"/>
      <c r="S561" s="787"/>
      <c r="T561" s="786"/>
      <c r="U561" s="787"/>
      <c r="V561" s="787"/>
      <c r="W561" s="787"/>
      <c r="X561" s="786"/>
      <c r="Y561" s="787"/>
      <c r="Z561" s="787"/>
      <c r="AA561" s="787"/>
      <c r="AB561" s="786"/>
      <c r="AC561" s="787"/>
      <c r="AD561" s="787"/>
      <c r="AE561" s="787"/>
      <c r="AF561" s="786"/>
      <c r="AG561" s="787"/>
      <c r="AH561" s="787"/>
      <c r="AI561" s="787"/>
      <c r="AJ561" s="786"/>
      <c r="AK561" s="787"/>
      <c r="AL561" s="787"/>
      <c r="AM561" s="787"/>
      <c r="AN561" s="786"/>
      <c r="AO561" s="787"/>
      <c r="AP561" s="787"/>
      <c r="AQ561" s="787"/>
      <c r="AR561" s="786"/>
      <c r="AS561" s="787"/>
      <c r="AT561" s="787"/>
      <c r="AU561" s="787"/>
      <c r="AV561" s="786"/>
      <c r="AW561" s="787"/>
      <c r="AX561" s="787"/>
      <c r="AY561" s="787"/>
      <c r="AZ561" s="780"/>
      <c r="BA561" s="780"/>
      <c r="BB561" s="780"/>
      <c r="BC561" s="780"/>
      <c r="BD561" s="541"/>
      <c r="BE561" s="541"/>
      <c r="BF561" s="541"/>
      <c r="BG561" s="541"/>
      <c r="BH561" s="780"/>
      <c r="BI561" s="780"/>
      <c r="BJ561" s="780"/>
      <c r="BK561" s="780"/>
      <c r="BL561" s="780"/>
      <c r="BM561" s="780"/>
    </row>
    <row r="562" ht="12.75" customHeight="1">
      <c r="A562" s="521"/>
      <c r="B562" s="521"/>
      <c r="C562" s="515"/>
      <c r="D562" s="515"/>
      <c r="E562" s="515"/>
      <c r="F562" s="515"/>
      <c r="G562" s="515"/>
      <c r="H562" s="515"/>
      <c r="I562" s="515"/>
      <c r="J562" s="515"/>
      <c r="K562" s="515"/>
      <c r="L562" s="515"/>
      <c r="M562" s="515"/>
      <c r="N562" s="515"/>
      <c r="O562" s="533"/>
      <c r="P562" s="786"/>
      <c r="Q562" s="787"/>
      <c r="R562" s="787"/>
      <c r="S562" s="787"/>
      <c r="T562" s="786"/>
      <c r="U562" s="787"/>
      <c r="V562" s="787"/>
      <c r="W562" s="787"/>
      <c r="X562" s="786"/>
      <c r="Y562" s="787"/>
      <c r="Z562" s="787"/>
      <c r="AA562" s="787"/>
      <c r="AB562" s="786"/>
      <c r="AC562" s="787"/>
      <c r="AD562" s="787"/>
      <c r="AE562" s="787"/>
      <c r="AF562" s="786"/>
      <c r="AG562" s="787"/>
      <c r="AH562" s="787"/>
      <c r="AI562" s="787"/>
      <c r="AJ562" s="786"/>
      <c r="AK562" s="787"/>
      <c r="AL562" s="787"/>
      <c r="AM562" s="787"/>
      <c r="AN562" s="786"/>
      <c r="AO562" s="787"/>
      <c r="AP562" s="787"/>
      <c r="AQ562" s="787"/>
      <c r="AR562" s="786"/>
      <c r="AS562" s="787"/>
      <c r="AT562" s="787"/>
      <c r="AU562" s="787"/>
      <c r="AV562" s="786"/>
      <c r="AW562" s="787"/>
      <c r="AX562" s="787"/>
      <c r="AY562" s="787"/>
      <c r="AZ562" s="780"/>
      <c r="BA562" s="780"/>
      <c r="BB562" s="780"/>
      <c r="BC562" s="780"/>
      <c r="BD562" s="541"/>
      <c r="BE562" s="541"/>
      <c r="BF562" s="541"/>
      <c r="BG562" s="541"/>
      <c r="BH562" s="780"/>
      <c r="BI562" s="780"/>
      <c r="BJ562" s="780"/>
      <c r="BK562" s="780"/>
      <c r="BL562" s="780"/>
      <c r="BM562" s="780"/>
    </row>
    <row r="563" ht="12.75" customHeight="1">
      <c r="A563" s="521"/>
      <c r="B563" s="521"/>
      <c r="C563" s="515"/>
      <c r="D563" s="515"/>
      <c r="E563" s="515"/>
      <c r="F563" s="515"/>
      <c r="G563" s="515"/>
      <c r="H563" s="515"/>
      <c r="I563" s="515"/>
      <c r="J563" s="515"/>
      <c r="K563" s="515"/>
      <c r="L563" s="515"/>
      <c r="M563" s="515"/>
      <c r="N563" s="515"/>
      <c r="O563" s="533"/>
      <c r="P563" s="786"/>
      <c r="Q563" s="787"/>
      <c r="R563" s="787"/>
      <c r="S563" s="787"/>
      <c r="T563" s="786"/>
      <c r="U563" s="787"/>
      <c r="V563" s="787"/>
      <c r="W563" s="787"/>
      <c r="X563" s="786"/>
      <c r="Y563" s="787"/>
      <c r="Z563" s="787"/>
      <c r="AA563" s="787"/>
      <c r="AB563" s="786"/>
      <c r="AC563" s="787"/>
      <c r="AD563" s="787"/>
      <c r="AE563" s="787"/>
      <c r="AF563" s="786"/>
      <c r="AG563" s="787"/>
      <c r="AH563" s="787"/>
      <c r="AI563" s="787"/>
      <c r="AJ563" s="786"/>
      <c r="AK563" s="787"/>
      <c r="AL563" s="787"/>
      <c r="AM563" s="787"/>
      <c r="AN563" s="786"/>
      <c r="AO563" s="787"/>
      <c r="AP563" s="787"/>
      <c r="AQ563" s="787"/>
      <c r="AR563" s="786"/>
      <c r="AS563" s="787"/>
      <c r="AT563" s="787"/>
      <c r="AU563" s="787"/>
      <c r="AV563" s="786"/>
      <c r="AW563" s="787"/>
      <c r="AX563" s="787"/>
      <c r="AY563" s="787"/>
      <c r="AZ563" s="780"/>
      <c r="BA563" s="780"/>
      <c r="BB563" s="780"/>
      <c r="BC563" s="780"/>
      <c r="BD563" s="541"/>
      <c r="BE563" s="541"/>
      <c r="BF563" s="541"/>
      <c r="BG563" s="541"/>
      <c r="BH563" s="780"/>
      <c r="BI563" s="780"/>
      <c r="BJ563" s="780"/>
      <c r="BK563" s="780"/>
      <c r="BL563" s="780"/>
      <c r="BM563" s="780"/>
    </row>
    <row r="564" ht="12.75" customHeight="1">
      <c r="A564" s="521"/>
      <c r="B564" s="521"/>
      <c r="C564" s="515"/>
      <c r="D564" s="515"/>
      <c r="E564" s="515"/>
      <c r="F564" s="515"/>
      <c r="G564" s="515"/>
      <c r="H564" s="515"/>
      <c r="I564" s="515"/>
      <c r="J564" s="515"/>
      <c r="K564" s="515"/>
      <c r="L564" s="515"/>
      <c r="M564" s="515"/>
      <c r="N564" s="515"/>
      <c r="O564" s="533"/>
      <c r="P564" s="786"/>
      <c r="Q564" s="787"/>
      <c r="R564" s="787"/>
      <c r="S564" s="787"/>
      <c r="T564" s="786"/>
      <c r="U564" s="787"/>
      <c r="V564" s="787"/>
      <c r="W564" s="787"/>
      <c r="X564" s="786"/>
      <c r="Y564" s="787"/>
      <c r="Z564" s="787"/>
      <c r="AA564" s="787"/>
      <c r="AB564" s="786"/>
      <c r="AC564" s="787"/>
      <c r="AD564" s="787"/>
      <c r="AE564" s="787"/>
      <c r="AF564" s="786"/>
      <c r="AG564" s="787"/>
      <c r="AH564" s="787"/>
      <c r="AI564" s="787"/>
      <c r="AJ564" s="786"/>
      <c r="AK564" s="787"/>
      <c r="AL564" s="787"/>
      <c r="AM564" s="787"/>
      <c r="AN564" s="786"/>
      <c r="AO564" s="787"/>
      <c r="AP564" s="787"/>
      <c r="AQ564" s="787"/>
      <c r="AR564" s="786"/>
      <c r="AS564" s="787"/>
      <c r="AT564" s="787"/>
      <c r="AU564" s="787"/>
      <c r="AV564" s="786"/>
      <c r="AW564" s="787"/>
      <c r="AX564" s="787"/>
      <c r="AY564" s="787"/>
      <c r="AZ564" s="780"/>
      <c r="BA564" s="780"/>
      <c r="BB564" s="780"/>
      <c r="BC564" s="780"/>
      <c r="BD564" s="541"/>
      <c r="BE564" s="541"/>
      <c r="BF564" s="541"/>
      <c r="BG564" s="541"/>
      <c r="BH564" s="780"/>
      <c r="BI564" s="780"/>
      <c r="BJ564" s="780"/>
      <c r="BK564" s="780"/>
      <c r="BL564" s="780"/>
      <c r="BM564" s="780"/>
    </row>
    <row r="565" ht="12.75" customHeight="1">
      <c r="A565" s="521"/>
      <c r="B565" s="521"/>
      <c r="C565" s="515"/>
      <c r="D565" s="515"/>
      <c r="E565" s="515"/>
      <c r="F565" s="515"/>
      <c r="G565" s="515"/>
      <c r="H565" s="515"/>
      <c r="I565" s="515"/>
      <c r="J565" s="515"/>
      <c r="K565" s="515"/>
      <c r="L565" s="515"/>
      <c r="M565" s="515"/>
      <c r="N565" s="515"/>
      <c r="O565" s="533"/>
      <c r="P565" s="786"/>
      <c r="Q565" s="787"/>
      <c r="R565" s="787"/>
      <c r="S565" s="787"/>
      <c r="T565" s="786"/>
      <c r="U565" s="787"/>
      <c r="V565" s="787"/>
      <c r="W565" s="787"/>
      <c r="X565" s="786"/>
      <c r="Y565" s="787"/>
      <c r="Z565" s="787"/>
      <c r="AA565" s="787"/>
      <c r="AB565" s="786"/>
      <c r="AC565" s="787"/>
      <c r="AD565" s="787"/>
      <c r="AE565" s="787"/>
      <c r="AF565" s="786"/>
      <c r="AG565" s="787"/>
      <c r="AH565" s="787"/>
      <c r="AI565" s="787"/>
      <c r="AJ565" s="786"/>
      <c r="AK565" s="787"/>
      <c r="AL565" s="787"/>
      <c r="AM565" s="787"/>
      <c r="AN565" s="786"/>
      <c r="AO565" s="787"/>
      <c r="AP565" s="787"/>
      <c r="AQ565" s="787"/>
      <c r="AR565" s="786"/>
      <c r="AS565" s="787"/>
      <c r="AT565" s="787"/>
      <c r="AU565" s="787"/>
      <c r="AV565" s="786"/>
      <c r="AW565" s="787"/>
      <c r="AX565" s="787"/>
      <c r="AY565" s="787"/>
      <c r="AZ565" s="780"/>
      <c r="BA565" s="780"/>
      <c r="BB565" s="780"/>
      <c r="BC565" s="780"/>
      <c r="BD565" s="541"/>
      <c r="BE565" s="541"/>
      <c r="BF565" s="541"/>
      <c r="BG565" s="541"/>
      <c r="BH565" s="780"/>
      <c r="BI565" s="780"/>
      <c r="BJ565" s="780"/>
      <c r="BK565" s="780"/>
      <c r="BL565" s="780"/>
      <c r="BM565" s="780"/>
    </row>
    <row r="566" ht="12.75" customHeight="1">
      <c r="A566" s="521"/>
      <c r="B566" s="521"/>
      <c r="C566" s="515"/>
      <c r="D566" s="515"/>
      <c r="E566" s="515"/>
      <c r="F566" s="515"/>
      <c r="G566" s="515"/>
      <c r="H566" s="515"/>
      <c r="I566" s="515"/>
      <c r="J566" s="515"/>
      <c r="K566" s="515"/>
      <c r="L566" s="515"/>
      <c r="M566" s="515"/>
      <c r="N566" s="515"/>
      <c r="O566" s="533"/>
      <c r="P566" s="786"/>
      <c r="Q566" s="787"/>
      <c r="R566" s="787"/>
      <c r="S566" s="787"/>
      <c r="T566" s="786"/>
      <c r="U566" s="787"/>
      <c r="V566" s="787"/>
      <c r="W566" s="787"/>
      <c r="X566" s="786"/>
      <c r="Y566" s="787"/>
      <c r="Z566" s="787"/>
      <c r="AA566" s="787"/>
      <c r="AB566" s="786"/>
      <c r="AC566" s="787"/>
      <c r="AD566" s="787"/>
      <c r="AE566" s="787"/>
      <c r="AF566" s="786"/>
      <c r="AG566" s="787"/>
      <c r="AH566" s="787"/>
      <c r="AI566" s="787"/>
      <c r="AJ566" s="786"/>
      <c r="AK566" s="787"/>
      <c r="AL566" s="787"/>
      <c r="AM566" s="787"/>
      <c r="AN566" s="786"/>
      <c r="AO566" s="787"/>
      <c r="AP566" s="787"/>
      <c r="AQ566" s="787"/>
      <c r="AR566" s="786"/>
      <c r="AS566" s="787"/>
      <c r="AT566" s="787"/>
      <c r="AU566" s="787"/>
      <c r="AV566" s="786"/>
      <c r="AW566" s="787"/>
      <c r="AX566" s="787"/>
      <c r="AY566" s="787"/>
      <c r="AZ566" s="780"/>
      <c r="BA566" s="780"/>
      <c r="BB566" s="780"/>
      <c r="BC566" s="780"/>
      <c r="BD566" s="541"/>
      <c r="BE566" s="541"/>
      <c r="BF566" s="541"/>
      <c r="BG566" s="541"/>
      <c r="BH566" s="780"/>
      <c r="BI566" s="780"/>
      <c r="BJ566" s="780"/>
      <c r="BK566" s="780"/>
      <c r="BL566" s="780"/>
      <c r="BM566" s="780"/>
    </row>
    <row r="567" ht="12.75" customHeight="1">
      <c r="A567" s="521"/>
      <c r="B567" s="521"/>
      <c r="C567" s="515"/>
      <c r="D567" s="515"/>
      <c r="E567" s="515"/>
      <c r="F567" s="515"/>
      <c r="G567" s="515"/>
      <c r="H567" s="515"/>
      <c r="I567" s="515"/>
      <c r="J567" s="515"/>
      <c r="K567" s="515"/>
      <c r="L567" s="515"/>
      <c r="M567" s="515"/>
      <c r="N567" s="515"/>
      <c r="O567" s="533"/>
      <c r="P567" s="786"/>
      <c r="Q567" s="787"/>
      <c r="R567" s="787"/>
      <c r="S567" s="787"/>
      <c r="T567" s="786"/>
      <c r="U567" s="787"/>
      <c r="V567" s="787"/>
      <c r="W567" s="787"/>
      <c r="X567" s="786"/>
      <c r="Y567" s="787"/>
      <c r="Z567" s="787"/>
      <c r="AA567" s="787"/>
      <c r="AB567" s="786"/>
      <c r="AC567" s="787"/>
      <c r="AD567" s="787"/>
      <c r="AE567" s="787"/>
      <c r="AF567" s="786"/>
      <c r="AG567" s="787"/>
      <c r="AH567" s="787"/>
      <c r="AI567" s="787"/>
      <c r="AJ567" s="786"/>
      <c r="AK567" s="787"/>
      <c r="AL567" s="787"/>
      <c r="AM567" s="787"/>
      <c r="AN567" s="786"/>
      <c r="AO567" s="787"/>
      <c r="AP567" s="787"/>
      <c r="AQ567" s="787"/>
      <c r="AR567" s="786"/>
      <c r="AS567" s="787"/>
      <c r="AT567" s="787"/>
      <c r="AU567" s="787"/>
      <c r="AV567" s="786"/>
      <c r="AW567" s="787"/>
      <c r="AX567" s="787"/>
      <c r="AY567" s="787"/>
      <c r="AZ567" s="780"/>
      <c r="BA567" s="780"/>
      <c r="BB567" s="780"/>
      <c r="BC567" s="780"/>
      <c r="BD567" s="541"/>
      <c r="BE567" s="541"/>
      <c r="BF567" s="541"/>
      <c r="BG567" s="541"/>
      <c r="BH567" s="780"/>
      <c r="BI567" s="780"/>
      <c r="BJ567" s="780"/>
      <c r="BK567" s="780"/>
      <c r="BL567" s="780"/>
      <c r="BM567" s="780"/>
    </row>
    <row r="568" ht="12.75" customHeight="1">
      <c r="A568" s="521"/>
      <c r="B568" s="521"/>
      <c r="C568" s="515"/>
      <c r="D568" s="515"/>
      <c r="E568" s="515"/>
      <c r="F568" s="515"/>
      <c r="G568" s="515"/>
      <c r="H568" s="515"/>
      <c r="I568" s="515"/>
      <c r="J568" s="515"/>
      <c r="K568" s="515"/>
      <c r="L568" s="515"/>
      <c r="M568" s="515"/>
      <c r="N568" s="515"/>
      <c r="O568" s="533"/>
      <c r="P568" s="786"/>
      <c r="Q568" s="787"/>
      <c r="R568" s="787"/>
      <c r="S568" s="787"/>
      <c r="T568" s="786"/>
      <c r="U568" s="787"/>
      <c r="V568" s="787"/>
      <c r="W568" s="787"/>
      <c r="X568" s="786"/>
      <c r="Y568" s="787"/>
      <c r="Z568" s="787"/>
      <c r="AA568" s="787"/>
      <c r="AB568" s="786"/>
      <c r="AC568" s="787"/>
      <c r="AD568" s="787"/>
      <c r="AE568" s="787"/>
      <c r="AF568" s="786"/>
      <c r="AG568" s="787"/>
      <c r="AH568" s="787"/>
      <c r="AI568" s="787"/>
      <c r="AJ568" s="786"/>
      <c r="AK568" s="787"/>
      <c r="AL568" s="787"/>
      <c r="AM568" s="787"/>
      <c r="AN568" s="786"/>
      <c r="AO568" s="787"/>
      <c r="AP568" s="787"/>
      <c r="AQ568" s="787"/>
      <c r="AR568" s="786"/>
      <c r="AS568" s="787"/>
      <c r="AT568" s="787"/>
      <c r="AU568" s="787"/>
      <c r="AV568" s="786"/>
      <c r="AW568" s="787"/>
      <c r="AX568" s="787"/>
      <c r="AY568" s="787"/>
      <c r="AZ568" s="780"/>
      <c r="BA568" s="780"/>
      <c r="BB568" s="780"/>
      <c r="BC568" s="780"/>
      <c r="BD568" s="541"/>
      <c r="BE568" s="541"/>
      <c r="BF568" s="541"/>
      <c r="BG568" s="541"/>
      <c r="BH568" s="780"/>
      <c r="BI568" s="780"/>
      <c r="BJ568" s="780"/>
      <c r="BK568" s="780"/>
      <c r="BL568" s="780"/>
      <c r="BM568" s="780"/>
    </row>
    <row r="569" ht="12.75" customHeight="1">
      <c r="A569" s="521"/>
      <c r="B569" s="521"/>
      <c r="C569" s="515"/>
      <c r="D569" s="515"/>
      <c r="E569" s="515"/>
      <c r="F569" s="515"/>
      <c r="G569" s="515"/>
      <c r="H569" s="515"/>
      <c r="I569" s="515"/>
      <c r="J569" s="515"/>
      <c r="K569" s="515"/>
      <c r="L569" s="515"/>
      <c r="M569" s="515"/>
      <c r="N569" s="515"/>
      <c r="O569" s="533"/>
      <c r="P569" s="786"/>
      <c r="Q569" s="787"/>
      <c r="R569" s="787"/>
      <c r="S569" s="787"/>
      <c r="T569" s="786"/>
      <c r="U569" s="787"/>
      <c r="V569" s="787"/>
      <c r="W569" s="787"/>
      <c r="X569" s="786"/>
      <c r="Y569" s="787"/>
      <c r="Z569" s="787"/>
      <c r="AA569" s="787"/>
      <c r="AB569" s="786"/>
      <c r="AC569" s="787"/>
      <c r="AD569" s="787"/>
      <c r="AE569" s="787"/>
      <c r="AF569" s="786"/>
      <c r="AG569" s="787"/>
      <c r="AH569" s="787"/>
      <c r="AI569" s="787"/>
      <c r="AJ569" s="786"/>
      <c r="AK569" s="787"/>
      <c r="AL569" s="787"/>
      <c r="AM569" s="787"/>
      <c r="AN569" s="786"/>
      <c r="AO569" s="787"/>
      <c r="AP569" s="787"/>
      <c r="AQ569" s="787"/>
      <c r="AR569" s="786"/>
      <c r="AS569" s="787"/>
      <c r="AT569" s="787"/>
      <c r="AU569" s="787"/>
      <c r="AV569" s="786"/>
      <c r="AW569" s="787"/>
      <c r="AX569" s="787"/>
      <c r="AY569" s="787"/>
      <c r="AZ569" s="780"/>
      <c r="BA569" s="780"/>
      <c r="BB569" s="780"/>
      <c r="BC569" s="780"/>
      <c r="BD569" s="541"/>
      <c r="BE569" s="541"/>
      <c r="BF569" s="541"/>
      <c r="BG569" s="541"/>
      <c r="BH569" s="780"/>
      <c r="BI569" s="780"/>
      <c r="BJ569" s="780"/>
      <c r="BK569" s="780"/>
      <c r="BL569" s="780"/>
      <c r="BM569" s="780"/>
    </row>
    <row r="570" ht="12.75" customHeight="1">
      <c r="A570" s="521"/>
      <c r="B570" s="521"/>
      <c r="C570" s="515"/>
      <c r="D570" s="515"/>
      <c r="E570" s="515"/>
      <c r="F570" s="515"/>
      <c r="G570" s="515"/>
      <c r="H570" s="515"/>
      <c r="I570" s="515"/>
      <c r="J570" s="515"/>
      <c r="K570" s="515"/>
      <c r="L570" s="515"/>
      <c r="M570" s="515"/>
      <c r="N570" s="515"/>
      <c r="O570" s="533"/>
      <c r="P570" s="786"/>
      <c r="Q570" s="787"/>
      <c r="R570" s="787"/>
      <c r="S570" s="787"/>
      <c r="T570" s="786"/>
      <c r="U570" s="787"/>
      <c r="V570" s="787"/>
      <c r="W570" s="787"/>
      <c r="X570" s="786"/>
      <c r="Y570" s="787"/>
      <c r="Z570" s="787"/>
      <c r="AA570" s="787"/>
      <c r="AB570" s="786"/>
      <c r="AC570" s="787"/>
      <c r="AD570" s="787"/>
      <c r="AE570" s="787"/>
      <c r="AF570" s="786"/>
      <c r="AG570" s="787"/>
      <c r="AH570" s="787"/>
      <c r="AI570" s="787"/>
      <c r="AJ570" s="786"/>
      <c r="AK570" s="787"/>
      <c r="AL570" s="787"/>
      <c r="AM570" s="787"/>
      <c r="AN570" s="786"/>
      <c r="AO570" s="787"/>
      <c r="AP570" s="787"/>
      <c r="AQ570" s="787"/>
      <c r="AR570" s="786"/>
      <c r="AS570" s="787"/>
      <c r="AT570" s="787"/>
      <c r="AU570" s="787"/>
      <c r="AV570" s="786"/>
      <c r="AW570" s="787"/>
      <c r="AX570" s="787"/>
      <c r="AY570" s="787"/>
      <c r="AZ570" s="780"/>
      <c r="BA570" s="780"/>
      <c r="BB570" s="780"/>
      <c r="BC570" s="780"/>
      <c r="BD570" s="541"/>
      <c r="BE570" s="541"/>
      <c r="BF570" s="541"/>
      <c r="BG570" s="541"/>
      <c r="BH570" s="780"/>
      <c r="BI570" s="780"/>
      <c r="BJ570" s="780"/>
      <c r="BK570" s="780"/>
      <c r="BL570" s="780"/>
      <c r="BM570" s="780"/>
    </row>
    <row r="571" ht="12.75" customHeight="1">
      <c r="A571" s="521"/>
      <c r="B571" s="521"/>
      <c r="C571" s="515"/>
      <c r="D571" s="515"/>
      <c r="E571" s="515"/>
      <c r="F571" s="515"/>
      <c r="G571" s="515"/>
      <c r="H571" s="515"/>
      <c r="I571" s="515"/>
      <c r="J571" s="515"/>
      <c r="K571" s="515"/>
      <c r="L571" s="515"/>
      <c r="M571" s="515"/>
      <c r="N571" s="515"/>
      <c r="O571" s="533"/>
      <c r="P571" s="786"/>
      <c r="Q571" s="787"/>
      <c r="R571" s="787"/>
      <c r="S571" s="787"/>
      <c r="T571" s="786"/>
      <c r="U571" s="787"/>
      <c r="V571" s="787"/>
      <c r="W571" s="787"/>
      <c r="X571" s="786"/>
      <c r="Y571" s="787"/>
      <c r="Z571" s="787"/>
      <c r="AA571" s="787"/>
      <c r="AB571" s="786"/>
      <c r="AC571" s="787"/>
      <c r="AD571" s="787"/>
      <c r="AE571" s="787"/>
      <c r="AF571" s="786"/>
      <c r="AG571" s="787"/>
      <c r="AH571" s="787"/>
      <c r="AI571" s="787"/>
      <c r="AJ571" s="786"/>
      <c r="AK571" s="787"/>
      <c r="AL571" s="787"/>
      <c r="AM571" s="787"/>
      <c r="AN571" s="786"/>
      <c r="AO571" s="787"/>
      <c r="AP571" s="787"/>
      <c r="AQ571" s="787"/>
      <c r="AR571" s="786"/>
      <c r="AS571" s="787"/>
      <c r="AT571" s="787"/>
      <c r="AU571" s="787"/>
      <c r="AV571" s="786"/>
      <c r="AW571" s="787"/>
      <c r="AX571" s="787"/>
      <c r="AY571" s="787"/>
      <c r="AZ571" s="780"/>
      <c r="BA571" s="780"/>
      <c r="BB571" s="780"/>
      <c r="BC571" s="780"/>
      <c r="BD571" s="541"/>
      <c r="BE571" s="541"/>
      <c r="BF571" s="541"/>
      <c r="BG571" s="541"/>
      <c r="BH571" s="780"/>
      <c r="BI571" s="780"/>
      <c r="BJ571" s="780"/>
      <c r="BK571" s="780"/>
      <c r="BL571" s="780"/>
      <c r="BM571" s="780"/>
    </row>
    <row r="572" ht="12.75" customHeight="1">
      <c r="A572" s="521"/>
      <c r="B572" s="521"/>
      <c r="C572" s="515"/>
      <c r="D572" s="515"/>
      <c r="E572" s="515"/>
      <c r="F572" s="515"/>
      <c r="G572" s="515"/>
      <c r="H572" s="515"/>
      <c r="I572" s="515"/>
      <c r="J572" s="515"/>
      <c r="K572" s="515"/>
      <c r="L572" s="515"/>
      <c r="M572" s="515"/>
      <c r="N572" s="515"/>
      <c r="O572" s="533"/>
      <c r="P572" s="786"/>
      <c r="Q572" s="787"/>
      <c r="R572" s="787"/>
      <c r="S572" s="787"/>
      <c r="T572" s="786"/>
      <c r="U572" s="787"/>
      <c r="V572" s="787"/>
      <c r="W572" s="787"/>
      <c r="X572" s="786"/>
      <c r="Y572" s="787"/>
      <c r="Z572" s="787"/>
      <c r="AA572" s="787"/>
      <c r="AB572" s="786"/>
      <c r="AC572" s="787"/>
      <c r="AD572" s="787"/>
      <c r="AE572" s="787"/>
      <c r="AF572" s="786"/>
      <c r="AG572" s="787"/>
      <c r="AH572" s="787"/>
      <c r="AI572" s="787"/>
      <c r="AJ572" s="786"/>
      <c r="AK572" s="787"/>
      <c r="AL572" s="787"/>
      <c r="AM572" s="787"/>
      <c r="AN572" s="786"/>
      <c r="AO572" s="787"/>
      <c r="AP572" s="787"/>
      <c r="AQ572" s="787"/>
      <c r="AR572" s="786"/>
      <c r="AS572" s="787"/>
      <c r="AT572" s="787"/>
      <c r="AU572" s="787"/>
      <c r="AV572" s="786"/>
      <c r="AW572" s="787"/>
      <c r="AX572" s="787"/>
      <c r="AY572" s="787"/>
      <c r="AZ572" s="780"/>
      <c r="BA572" s="780"/>
      <c r="BB572" s="780"/>
      <c r="BC572" s="780"/>
      <c r="BD572" s="541"/>
      <c r="BE572" s="541"/>
      <c r="BF572" s="541"/>
      <c r="BG572" s="541"/>
      <c r="BH572" s="780"/>
      <c r="BI572" s="780"/>
      <c r="BJ572" s="780"/>
      <c r="BK572" s="780"/>
      <c r="BL572" s="780"/>
      <c r="BM572" s="780"/>
    </row>
    <row r="573" ht="12.75" customHeight="1">
      <c r="A573" s="521"/>
      <c r="B573" s="521"/>
      <c r="C573" s="515"/>
      <c r="D573" s="515"/>
      <c r="E573" s="515"/>
      <c r="F573" s="515"/>
      <c r="G573" s="515"/>
      <c r="H573" s="515"/>
      <c r="I573" s="515"/>
      <c r="J573" s="515"/>
      <c r="K573" s="515"/>
      <c r="L573" s="515"/>
      <c r="M573" s="515"/>
      <c r="N573" s="515"/>
      <c r="O573" s="533"/>
      <c r="P573" s="786"/>
      <c r="Q573" s="787"/>
      <c r="R573" s="787"/>
      <c r="S573" s="787"/>
      <c r="T573" s="786"/>
      <c r="U573" s="787"/>
      <c r="V573" s="787"/>
      <c r="W573" s="787"/>
      <c r="X573" s="786"/>
      <c r="Y573" s="787"/>
      <c r="Z573" s="787"/>
      <c r="AA573" s="787"/>
      <c r="AB573" s="786"/>
      <c r="AC573" s="787"/>
      <c r="AD573" s="787"/>
      <c r="AE573" s="787"/>
      <c r="AF573" s="786"/>
      <c r="AG573" s="787"/>
      <c r="AH573" s="787"/>
      <c r="AI573" s="787"/>
      <c r="AJ573" s="786"/>
      <c r="AK573" s="787"/>
      <c r="AL573" s="787"/>
      <c r="AM573" s="787"/>
      <c r="AN573" s="786"/>
      <c r="AO573" s="787"/>
      <c r="AP573" s="787"/>
      <c r="AQ573" s="787"/>
      <c r="AR573" s="786"/>
      <c r="AS573" s="787"/>
      <c r="AT573" s="787"/>
      <c r="AU573" s="787"/>
      <c r="AV573" s="786"/>
      <c r="AW573" s="787"/>
      <c r="AX573" s="787"/>
      <c r="AY573" s="787"/>
      <c r="AZ573" s="780"/>
      <c r="BA573" s="780"/>
      <c r="BB573" s="780"/>
      <c r="BC573" s="780"/>
      <c r="BD573" s="541"/>
      <c r="BE573" s="541"/>
      <c r="BF573" s="541"/>
      <c r="BG573" s="541"/>
      <c r="BH573" s="780"/>
      <c r="BI573" s="780"/>
      <c r="BJ573" s="780"/>
      <c r="BK573" s="780"/>
      <c r="BL573" s="780"/>
      <c r="BM573" s="780"/>
    </row>
    <row r="574" ht="12.75" customHeight="1">
      <c r="A574" s="521"/>
      <c r="B574" s="521"/>
      <c r="C574" s="515"/>
      <c r="D574" s="515"/>
      <c r="E574" s="515"/>
      <c r="F574" s="515"/>
      <c r="G574" s="515"/>
      <c r="H574" s="515"/>
      <c r="I574" s="515"/>
      <c r="J574" s="515"/>
      <c r="K574" s="515"/>
      <c r="L574" s="515"/>
      <c r="M574" s="515"/>
      <c r="N574" s="515"/>
      <c r="O574" s="533"/>
      <c r="P574" s="786"/>
      <c r="Q574" s="787"/>
      <c r="R574" s="787"/>
      <c r="S574" s="787"/>
      <c r="T574" s="786"/>
      <c r="U574" s="787"/>
      <c r="V574" s="787"/>
      <c r="W574" s="787"/>
      <c r="X574" s="786"/>
      <c r="Y574" s="787"/>
      <c r="Z574" s="787"/>
      <c r="AA574" s="787"/>
      <c r="AB574" s="786"/>
      <c r="AC574" s="787"/>
      <c r="AD574" s="787"/>
      <c r="AE574" s="787"/>
      <c r="AF574" s="786"/>
      <c r="AG574" s="787"/>
      <c r="AH574" s="787"/>
      <c r="AI574" s="787"/>
      <c r="AJ574" s="786"/>
      <c r="AK574" s="787"/>
      <c r="AL574" s="787"/>
      <c r="AM574" s="787"/>
      <c r="AN574" s="786"/>
      <c r="AO574" s="787"/>
      <c r="AP574" s="787"/>
      <c r="AQ574" s="787"/>
      <c r="AR574" s="786"/>
      <c r="AS574" s="787"/>
      <c r="AT574" s="787"/>
      <c r="AU574" s="787"/>
      <c r="AV574" s="786"/>
      <c r="AW574" s="787"/>
      <c r="AX574" s="787"/>
      <c r="AY574" s="787"/>
      <c r="AZ574" s="780"/>
      <c r="BA574" s="780"/>
      <c r="BB574" s="780"/>
      <c r="BC574" s="780"/>
      <c r="BD574" s="541"/>
      <c r="BE574" s="541"/>
      <c r="BF574" s="541"/>
      <c r="BG574" s="541"/>
      <c r="BH574" s="780"/>
      <c r="BI574" s="780"/>
      <c r="BJ574" s="780"/>
      <c r="BK574" s="780"/>
      <c r="BL574" s="780"/>
      <c r="BM574" s="780"/>
    </row>
    <row r="575" ht="12.75" customHeight="1">
      <c r="A575" s="521"/>
      <c r="B575" s="521"/>
      <c r="C575" s="515"/>
      <c r="D575" s="515"/>
      <c r="E575" s="515"/>
      <c r="F575" s="515"/>
      <c r="G575" s="515"/>
      <c r="H575" s="515"/>
      <c r="I575" s="515"/>
      <c r="J575" s="515"/>
      <c r="K575" s="515"/>
      <c r="L575" s="515"/>
      <c r="M575" s="515"/>
      <c r="N575" s="515"/>
      <c r="O575" s="533"/>
      <c r="P575" s="786"/>
      <c r="Q575" s="787"/>
      <c r="R575" s="787"/>
      <c r="S575" s="787"/>
      <c r="T575" s="786"/>
      <c r="U575" s="787"/>
      <c r="V575" s="787"/>
      <c r="W575" s="787"/>
      <c r="X575" s="786"/>
      <c r="Y575" s="787"/>
      <c r="Z575" s="787"/>
      <c r="AA575" s="787"/>
      <c r="AB575" s="786"/>
      <c r="AC575" s="787"/>
      <c r="AD575" s="787"/>
      <c r="AE575" s="787"/>
      <c r="AF575" s="786"/>
      <c r="AG575" s="787"/>
      <c r="AH575" s="787"/>
      <c r="AI575" s="787"/>
      <c r="AJ575" s="786"/>
      <c r="AK575" s="787"/>
      <c r="AL575" s="787"/>
      <c r="AM575" s="787"/>
      <c r="AN575" s="786"/>
      <c r="AO575" s="787"/>
      <c r="AP575" s="787"/>
      <c r="AQ575" s="787"/>
      <c r="AR575" s="786"/>
      <c r="AS575" s="787"/>
      <c r="AT575" s="787"/>
      <c r="AU575" s="787"/>
      <c r="AV575" s="786"/>
      <c r="AW575" s="787"/>
      <c r="AX575" s="787"/>
      <c r="AY575" s="787"/>
      <c r="AZ575" s="780"/>
      <c r="BA575" s="780"/>
      <c r="BB575" s="780"/>
      <c r="BC575" s="780"/>
      <c r="BD575" s="541"/>
      <c r="BE575" s="541"/>
      <c r="BF575" s="541"/>
      <c r="BG575" s="541"/>
      <c r="BH575" s="780"/>
      <c r="BI575" s="780"/>
      <c r="BJ575" s="780"/>
      <c r="BK575" s="780"/>
      <c r="BL575" s="780"/>
      <c r="BM575" s="780"/>
    </row>
    <row r="576" ht="12.75" customHeight="1">
      <c r="A576" s="521"/>
      <c r="B576" s="521"/>
      <c r="C576" s="515"/>
      <c r="D576" s="515"/>
      <c r="E576" s="515"/>
      <c r="F576" s="515"/>
      <c r="G576" s="515"/>
      <c r="H576" s="515"/>
      <c r="I576" s="515"/>
      <c r="J576" s="515"/>
      <c r="K576" s="515"/>
      <c r="L576" s="515"/>
      <c r="M576" s="515"/>
      <c r="N576" s="515"/>
      <c r="O576" s="533"/>
      <c r="P576" s="786"/>
      <c r="Q576" s="787"/>
      <c r="R576" s="787"/>
      <c r="S576" s="787"/>
      <c r="T576" s="786"/>
      <c r="U576" s="787"/>
      <c r="V576" s="787"/>
      <c r="W576" s="787"/>
      <c r="X576" s="786"/>
      <c r="Y576" s="787"/>
      <c r="Z576" s="787"/>
      <c r="AA576" s="787"/>
      <c r="AB576" s="786"/>
      <c r="AC576" s="787"/>
      <c r="AD576" s="787"/>
      <c r="AE576" s="787"/>
      <c r="AF576" s="786"/>
      <c r="AG576" s="787"/>
      <c r="AH576" s="787"/>
      <c r="AI576" s="787"/>
      <c r="AJ576" s="786"/>
      <c r="AK576" s="787"/>
      <c r="AL576" s="787"/>
      <c r="AM576" s="787"/>
      <c r="AN576" s="786"/>
      <c r="AO576" s="787"/>
      <c r="AP576" s="787"/>
      <c r="AQ576" s="787"/>
      <c r="AR576" s="786"/>
      <c r="AS576" s="787"/>
      <c r="AT576" s="787"/>
      <c r="AU576" s="787"/>
      <c r="AV576" s="786"/>
      <c r="AW576" s="787"/>
      <c r="AX576" s="787"/>
      <c r="AY576" s="787"/>
      <c r="AZ576" s="780"/>
      <c r="BA576" s="780"/>
      <c r="BB576" s="780"/>
      <c r="BC576" s="780"/>
      <c r="BD576" s="541"/>
      <c r="BE576" s="541"/>
      <c r="BF576" s="541"/>
      <c r="BG576" s="541"/>
      <c r="BH576" s="780"/>
      <c r="BI576" s="780"/>
      <c r="BJ576" s="780"/>
      <c r="BK576" s="780"/>
      <c r="BL576" s="780"/>
      <c r="BM576" s="780"/>
    </row>
    <row r="577" ht="12.75" customHeight="1">
      <c r="A577" s="521"/>
      <c r="B577" s="521"/>
      <c r="C577" s="515"/>
      <c r="D577" s="515"/>
      <c r="E577" s="515"/>
      <c r="F577" s="515"/>
      <c r="G577" s="515"/>
      <c r="H577" s="515"/>
      <c r="I577" s="515"/>
      <c r="J577" s="515"/>
      <c r="K577" s="515"/>
      <c r="L577" s="515"/>
      <c r="M577" s="515"/>
      <c r="N577" s="515"/>
      <c r="O577" s="533"/>
      <c r="P577" s="786"/>
      <c r="Q577" s="787"/>
      <c r="R577" s="787"/>
      <c r="S577" s="787"/>
      <c r="T577" s="786"/>
      <c r="U577" s="787"/>
      <c r="V577" s="787"/>
      <c r="W577" s="787"/>
      <c r="X577" s="786"/>
      <c r="Y577" s="787"/>
      <c r="Z577" s="787"/>
      <c r="AA577" s="787"/>
      <c r="AB577" s="786"/>
      <c r="AC577" s="787"/>
      <c r="AD577" s="787"/>
      <c r="AE577" s="787"/>
      <c r="AF577" s="786"/>
      <c r="AG577" s="787"/>
      <c r="AH577" s="787"/>
      <c r="AI577" s="787"/>
      <c r="AJ577" s="786"/>
      <c r="AK577" s="787"/>
      <c r="AL577" s="787"/>
      <c r="AM577" s="787"/>
      <c r="AN577" s="786"/>
      <c r="AO577" s="787"/>
      <c r="AP577" s="787"/>
      <c r="AQ577" s="787"/>
      <c r="AR577" s="786"/>
      <c r="AS577" s="787"/>
      <c r="AT577" s="787"/>
      <c r="AU577" s="787"/>
      <c r="AV577" s="786"/>
      <c r="AW577" s="787"/>
      <c r="AX577" s="787"/>
      <c r="AY577" s="787"/>
      <c r="AZ577" s="780"/>
      <c r="BA577" s="780"/>
      <c r="BB577" s="780"/>
      <c r="BC577" s="780"/>
      <c r="BD577" s="541"/>
      <c r="BE577" s="541"/>
      <c r="BF577" s="541"/>
      <c r="BG577" s="541"/>
      <c r="BH577" s="780"/>
      <c r="BI577" s="780"/>
      <c r="BJ577" s="780"/>
      <c r="BK577" s="780"/>
      <c r="BL577" s="780"/>
      <c r="BM577" s="780"/>
    </row>
    <row r="578" ht="12.75" customHeight="1">
      <c r="A578" s="521"/>
      <c r="B578" s="521"/>
      <c r="C578" s="515"/>
      <c r="D578" s="515"/>
      <c r="E578" s="515"/>
      <c r="F578" s="515"/>
      <c r="G578" s="515"/>
      <c r="H578" s="515"/>
      <c r="I578" s="515"/>
      <c r="J578" s="515"/>
      <c r="K578" s="515"/>
      <c r="L578" s="515"/>
      <c r="M578" s="515"/>
      <c r="N578" s="515"/>
      <c r="O578" s="533"/>
      <c r="P578" s="786"/>
      <c r="Q578" s="787"/>
      <c r="R578" s="787"/>
      <c r="S578" s="787"/>
      <c r="T578" s="786"/>
      <c r="U578" s="787"/>
      <c r="V578" s="787"/>
      <c r="W578" s="787"/>
      <c r="X578" s="786"/>
      <c r="Y578" s="787"/>
      <c r="Z578" s="787"/>
      <c r="AA578" s="787"/>
      <c r="AB578" s="786"/>
      <c r="AC578" s="787"/>
      <c r="AD578" s="787"/>
      <c r="AE578" s="787"/>
      <c r="AF578" s="786"/>
      <c r="AG578" s="787"/>
      <c r="AH578" s="787"/>
      <c r="AI578" s="787"/>
      <c r="AJ578" s="786"/>
      <c r="AK578" s="787"/>
      <c r="AL578" s="787"/>
      <c r="AM578" s="787"/>
      <c r="AN578" s="786"/>
      <c r="AO578" s="787"/>
      <c r="AP578" s="787"/>
      <c r="AQ578" s="787"/>
      <c r="AR578" s="786"/>
      <c r="AS578" s="787"/>
      <c r="AT578" s="787"/>
      <c r="AU578" s="787"/>
      <c r="AV578" s="786"/>
      <c r="AW578" s="787"/>
      <c r="AX578" s="787"/>
      <c r="AY578" s="787"/>
      <c r="AZ578" s="780"/>
      <c r="BA578" s="780"/>
      <c r="BB578" s="780"/>
      <c r="BC578" s="780"/>
      <c r="BD578" s="541"/>
      <c r="BE578" s="541"/>
      <c r="BF578" s="541"/>
      <c r="BG578" s="541"/>
      <c r="BH578" s="780"/>
      <c r="BI578" s="780"/>
      <c r="BJ578" s="780"/>
      <c r="BK578" s="780"/>
      <c r="BL578" s="780"/>
      <c r="BM578" s="780"/>
    </row>
    <row r="579" ht="12.75" customHeight="1">
      <c r="A579" s="521"/>
      <c r="B579" s="521"/>
      <c r="C579" s="515"/>
      <c r="D579" s="515"/>
      <c r="E579" s="515"/>
      <c r="F579" s="515"/>
      <c r="G579" s="515"/>
      <c r="H579" s="515"/>
      <c r="I579" s="515"/>
      <c r="J579" s="515"/>
      <c r="K579" s="515"/>
      <c r="L579" s="515"/>
      <c r="M579" s="515"/>
      <c r="N579" s="515"/>
      <c r="O579" s="533"/>
      <c r="P579" s="786"/>
      <c r="Q579" s="787"/>
      <c r="R579" s="787"/>
      <c r="S579" s="787"/>
      <c r="T579" s="786"/>
      <c r="U579" s="787"/>
      <c r="V579" s="787"/>
      <c r="W579" s="787"/>
      <c r="X579" s="786"/>
      <c r="Y579" s="787"/>
      <c r="Z579" s="787"/>
      <c r="AA579" s="787"/>
      <c r="AB579" s="786"/>
      <c r="AC579" s="787"/>
      <c r="AD579" s="787"/>
      <c r="AE579" s="787"/>
      <c r="AF579" s="786"/>
      <c r="AG579" s="787"/>
      <c r="AH579" s="787"/>
      <c r="AI579" s="787"/>
      <c r="AJ579" s="786"/>
      <c r="AK579" s="787"/>
      <c r="AL579" s="787"/>
      <c r="AM579" s="787"/>
      <c r="AN579" s="786"/>
      <c r="AO579" s="787"/>
      <c r="AP579" s="787"/>
      <c r="AQ579" s="787"/>
      <c r="AR579" s="786"/>
      <c r="AS579" s="787"/>
      <c r="AT579" s="787"/>
      <c r="AU579" s="787"/>
      <c r="AV579" s="786"/>
      <c r="AW579" s="787"/>
      <c r="AX579" s="787"/>
      <c r="AY579" s="787"/>
      <c r="AZ579" s="780"/>
      <c r="BA579" s="780"/>
      <c r="BB579" s="780"/>
      <c r="BC579" s="780"/>
      <c r="BD579" s="541"/>
      <c r="BE579" s="541"/>
      <c r="BF579" s="541"/>
      <c r="BG579" s="541"/>
      <c r="BH579" s="780"/>
      <c r="BI579" s="780"/>
      <c r="BJ579" s="780"/>
      <c r="BK579" s="780"/>
      <c r="BL579" s="780"/>
      <c r="BM579" s="780"/>
    </row>
    <row r="580" ht="12.75" customHeight="1">
      <c r="A580" s="521"/>
      <c r="B580" s="521"/>
      <c r="C580" s="515"/>
      <c r="D580" s="515"/>
      <c r="E580" s="515"/>
      <c r="F580" s="515"/>
      <c r="G580" s="515"/>
      <c r="H580" s="515"/>
      <c r="I580" s="515"/>
      <c r="J580" s="515"/>
      <c r="K580" s="515"/>
      <c r="L580" s="515"/>
      <c r="M580" s="515"/>
      <c r="N580" s="515"/>
      <c r="O580" s="533"/>
      <c r="P580" s="786"/>
      <c r="Q580" s="787"/>
      <c r="R580" s="787"/>
      <c r="S580" s="787"/>
      <c r="T580" s="786"/>
      <c r="U580" s="787"/>
      <c r="V580" s="787"/>
      <c r="W580" s="787"/>
      <c r="X580" s="786"/>
      <c r="Y580" s="787"/>
      <c r="Z580" s="787"/>
      <c r="AA580" s="787"/>
      <c r="AB580" s="786"/>
      <c r="AC580" s="787"/>
      <c r="AD580" s="787"/>
      <c r="AE580" s="787"/>
      <c r="AF580" s="786"/>
      <c r="AG580" s="787"/>
      <c r="AH580" s="787"/>
      <c r="AI580" s="787"/>
      <c r="AJ580" s="786"/>
      <c r="AK580" s="787"/>
      <c r="AL580" s="787"/>
      <c r="AM580" s="787"/>
      <c r="AN580" s="786"/>
      <c r="AO580" s="787"/>
      <c r="AP580" s="787"/>
      <c r="AQ580" s="787"/>
      <c r="AR580" s="786"/>
      <c r="AS580" s="787"/>
      <c r="AT580" s="787"/>
      <c r="AU580" s="787"/>
      <c r="AV580" s="786"/>
      <c r="AW580" s="787"/>
      <c r="AX580" s="787"/>
      <c r="AY580" s="787"/>
      <c r="AZ580" s="780"/>
      <c r="BA580" s="780"/>
      <c r="BB580" s="780"/>
      <c r="BC580" s="780"/>
      <c r="BD580" s="541"/>
      <c r="BE580" s="541"/>
      <c r="BF580" s="541"/>
      <c r="BG580" s="541"/>
      <c r="BH580" s="780"/>
      <c r="BI580" s="780"/>
      <c r="BJ580" s="780"/>
      <c r="BK580" s="780"/>
      <c r="BL580" s="780"/>
      <c r="BM580" s="780"/>
    </row>
    <row r="581" ht="12.75" customHeight="1">
      <c r="A581" s="521"/>
      <c r="B581" s="521"/>
      <c r="C581" s="515"/>
      <c r="D581" s="515"/>
      <c r="E581" s="515"/>
      <c r="F581" s="515"/>
      <c r="G581" s="515"/>
      <c r="H581" s="515"/>
      <c r="I581" s="515"/>
      <c r="J581" s="515"/>
      <c r="K581" s="515"/>
      <c r="L581" s="515"/>
      <c r="M581" s="515"/>
      <c r="N581" s="515"/>
      <c r="O581" s="533"/>
      <c r="P581" s="786"/>
      <c r="Q581" s="787"/>
      <c r="R581" s="787"/>
      <c r="S581" s="787"/>
      <c r="T581" s="786"/>
      <c r="U581" s="787"/>
      <c r="V581" s="787"/>
      <c r="W581" s="787"/>
      <c r="X581" s="786"/>
      <c r="Y581" s="787"/>
      <c r="Z581" s="787"/>
      <c r="AA581" s="787"/>
      <c r="AB581" s="786"/>
      <c r="AC581" s="787"/>
      <c r="AD581" s="787"/>
      <c r="AE581" s="787"/>
      <c r="AF581" s="786"/>
      <c r="AG581" s="787"/>
      <c r="AH581" s="787"/>
      <c r="AI581" s="787"/>
      <c r="AJ581" s="786"/>
      <c r="AK581" s="787"/>
      <c r="AL581" s="787"/>
      <c r="AM581" s="787"/>
      <c r="AN581" s="786"/>
      <c r="AO581" s="787"/>
      <c r="AP581" s="787"/>
      <c r="AQ581" s="787"/>
      <c r="AR581" s="786"/>
      <c r="AS581" s="787"/>
      <c r="AT581" s="787"/>
      <c r="AU581" s="787"/>
      <c r="AV581" s="786"/>
      <c r="AW581" s="787"/>
      <c r="AX581" s="787"/>
      <c r="AY581" s="787"/>
      <c r="AZ581" s="780"/>
      <c r="BA581" s="780"/>
      <c r="BB581" s="780"/>
      <c r="BC581" s="780"/>
      <c r="BD581" s="541"/>
      <c r="BE581" s="541"/>
      <c r="BF581" s="541"/>
      <c r="BG581" s="541"/>
      <c r="BH581" s="780"/>
      <c r="BI581" s="780"/>
      <c r="BJ581" s="780"/>
      <c r="BK581" s="780"/>
      <c r="BL581" s="780"/>
      <c r="BM581" s="780"/>
    </row>
    <row r="582" ht="12.75" customHeight="1">
      <c r="A582" s="521"/>
      <c r="B582" s="521"/>
      <c r="C582" s="515"/>
      <c r="D582" s="515"/>
      <c r="E582" s="515"/>
      <c r="F582" s="515"/>
      <c r="G582" s="515"/>
      <c r="H582" s="515"/>
      <c r="I582" s="515"/>
      <c r="J582" s="515"/>
      <c r="K582" s="515"/>
      <c r="L582" s="515"/>
      <c r="M582" s="515"/>
      <c r="N582" s="515"/>
      <c r="O582" s="533"/>
      <c r="P582" s="786"/>
      <c r="Q582" s="787"/>
      <c r="R582" s="787"/>
      <c r="S582" s="787"/>
      <c r="T582" s="786"/>
      <c r="U582" s="787"/>
      <c r="V582" s="787"/>
      <c r="W582" s="787"/>
      <c r="X582" s="786"/>
      <c r="Y582" s="787"/>
      <c r="Z582" s="787"/>
      <c r="AA582" s="787"/>
      <c r="AB582" s="786"/>
      <c r="AC582" s="787"/>
      <c r="AD582" s="787"/>
      <c r="AE582" s="787"/>
      <c r="AF582" s="786"/>
      <c r="AG582" s="787"/>
      <c r="AH582" s="787"/>
      <c r="AI582" s="787"/>
      <c r="AJ582" s="786"/>
      <c r="AK582" s="787"/>
      <c r="AL582" s="787"/>
      <c r="AM582" s="787"/>
      <c r="AN582" s="786"/>
      <c r="AO582" s="787"/>
      <c r="AP582" s="787"/>
      <c r="AQ582" s="787"/>
      <c r="AR582" s="786"/>
      <c r="AS582" s="787"/>
      <c r="AT582" s="787"/>
      <c r="AU582" s="787"/>
      <c r="AV582" s="786"/>
      <c r="AW582" s="787"/>
      <c r="AX582" s="787"/>
      <c r="AY582" s="787"/>
      <c r="AZ582" s="780"/>
      <c r="BA582" s="780"/>
      <c r="BB582" s="780"/>
      <c r="BC582" s="780"/>
      <c r="BD582" s="541"/>
      <c r="BE582" s="541"/>
      <c r="BF582" s="541"/>
      <c r="BG582" s="541"/>
      <c r="BH582" s="780"/>
      <c r="BI582" s="780"/>
      <c r="BJ582" s="780"/>
      <c r="BK582" s="780"/>
      <c r="BL582" s="780"/>
      <c r="BM582" s="780"/>
    </row>
    <row r="583" ht="12.75" customHeight="1">
      <c r="A583" s="521"/>
      <c r="B583" s="521"/>
      <c r="C583" s="515"/>
      <c r="D583" s="515"/>
      <c r="E583" s="515"/>
      <c r="F583" s="515"/>
      <c r="G583" s="515"/>
      <c r="H583" s="515"/>
      <c r="I583" s="515"/>
      <c r="J583" s="515"/>
      <c r="K583" s="515"/>
      <c r="L583" s="515"/>
      <c r="M583" s="515"/>
      <c r="N583" s="515"/>
      <c r="O583" s="533"/>
      <c r="P583" s="786"/>
      <c r="Q583" s="787"/>
      <c r="R583" s="787"/>
      <c r="S583" s="787"/>
      <c r="T583" s="786"/>
      <c r="U583" s="787"/>
      <c r="V583" s="787"/>
      <c r="W583" s="787"/>
      <c r="X583" s="786"/>
      <c r="Y583" s="787"/>
      <c r="Z583" s="787"/>
      <c r="AA583" s="787"/>
      <c r="AB583" s="786"/>
      <c r="AC583" s="787"/>
      <c r="AD583" s="787"/>
      <c r="AE583" s="787"/>
      <c r="AF583" s="786"/>
      <c r="AG583" s="787"/>
      <c r="AH583" s="787"/>
      <c r="AI583" s="787"/>
      <c r="AJ583" s="786"/>
      <c r="AK583" s="787"/>
      <c r="AL583" s="787"/>
      <c r="AM583" s="787"/>
      <c r="AN583" s="786"/>
      <c r="AO583" s="787"/>
      <c r="AP583" s="787"/>
      <c r="AQ583" s="787"/>
      <c r="AR583" s="786"/>
      <c r="AS583" s="787"/>
      <c r="AT583" s="787"/>
      <c r="AU583" s="787"/>
      <c r="AV583" s="786"/>
      <c r="AW583" s="787"/>
      <c r="AX583" s="787"/>
      <c r="AY583" s="787"/>
      <c r="AZ583" s="780"/>
      <c r="BA583" s="780"/>
      <c r="BB583" s="780"/>
      <c r="BC583" s="780"/>
      <c r="BD583" s="541"/>
      <c r="BE583" s="541"/>
      <c r="BF583" s="541"/>
      <c r="BG583" s="541"/>
      <c r="BH583" s="780"/>
      <c r="BI583" s="780"/>
      <c r="BJ583" s="780"/>
      <c r="BK583" s="780"/>
      <c r="BL583" s="780"/>
      <c r="BM583" s="780"/>
    </row>
    <row r="584" ht="12.75" customHeight="1">
      <c r="A584" s="521"/>
      <c r="B584" s="521"/>
      <c r="C584" s="515"/>
      <c r="D584" s="515"/>
      <c r="E584" s="515"/>
      <c r="F584" s="515"/>
      <c r="G584" s="515"/>
      <c r="H584" s="515"/>
      <c r="I584" s="515"/>
      <c r="J584" s="515"/>
      <c r="K584" s="515"/>
      <c r="L584" s="515"/>
      <c r="M584" s="515"/>
      <c r="N584" s="515"/>
      <c r="O584" s="533"/>
      <c r="P584" s="786"/>
      <c r="Q584" s="787"/>
      <c r="R584" s="787"/>
      <c r="S584" s="787"/>
      <c r="T584" s="786"/>
      <c r="U584" s="787"/>
      <c r="V584" s="787"/>
      <c r="W584" s="787"/>
      <c r="X584" s="786"/>
      <c r="Y584" s="787"/>
      <c r="Z584" s="787"/>
      <c r="AA584" s="787"/>
      <c r="AB584" s="786"/>
      <c r="AC584" s="787"/>
      <c r="AD584" s="787"/>
      <c r="AE584" s="787"/>
      <c r="AF584" s="786"/>
      <c r="AG584" s="787"/>
      <c r="AH584" s="787"/>
      <c r="AI584" s="787"/>
      <c r="AJ584" s="786"/>
      <c r="AK584" s="787"/>
      <c r="AL584" s="787"/>
      <c r="AM584" s="787"/>
      <c r="AN584" s="786"/>
      <c r="AO584" s="787"/>
      <c r="AP584" s="787"/>
      <c r="AQ584" s="787"/>
      <c r="AR584" s="786"/>
      <c r="AS584" s="787"/>
      <c r="AT584" s="787"/>
      <c r="AU584" s="787"/>
      <c r="AV584" s="786"/>
      <c r="AW584" s="787"/>
      <c r="AX584" s="787"/>
      <c r="AY584" s="787"/>
      <c r="AZ584" s="780"/>
      <c r="BA584" s="780"/>
      <c r="BB584" s="780"/>
      <c r="BC584" s="780"/>
      <c r="BD584" s="541"/>
      <c r="BE584" s="541"/>
      <c r="BF584" s="541"/>
      <c r="BG584" s="541"/>
      <c r="BH584" s="780"/>
      <c r="BI584" s="780"/>
      <c r="BJ584" s="780"/>
      <c r="BK584" s="780"/>
      <c r="BL584" s="780"/>
      <c r="BM584" s="780"/>
    </row>
    <row r="585" ht="12.75" customHeight="1">
      <c r="A585" s="521"/>
      <c r="B585" s="521"/>
      <c r="C585" s="515"/>
      <c r="D585" s="515"/>
      <c r="E585" s="515"/>
      <c r="F585" s="515"/>
      <c r="G585" s="515"/>
      <c r="H585" s="515"/>
      <c r="I585" s="515"/>
      <c r="J585" s="515"/>
      <c r="K585" s="515"/>
      <c r="L585" s="515"/>
      <c r="M585" s="515"/>
      <c r="N585" s="515"/>
      <c r="O585" s="533"/>
      <c r="P585" s="786"/>
      <c r="Q585" s="787"/>
      <c r="R585" s="787"/>
      <c r="S585" s="787"/>
      <c r="T585" s="786"/>
      <c r="U585" s="787"/>
      <c r="V585" s="787"/>
      <c r="W585" s="787"/>
      <c r="X585" s="786"/>
      <c r="Y585" s="787"/>
      <c r="Z585" s="787"/>
      <c r="AA585" s="787"/>
      <c r="AB585" s="786"/>
      <c r="AC585" s="787"/>
      <c r="AD585" s="787"/>
      <c r="AE585" s="787"/>
      <c r="AF585" s="786"/>
      <c r="AG585" s="787"/>
      <c r="AH585" s="787"/>
      <c r="AI585" s="787"/>
      <c r="AJ585" s="786"/>
      <c r="AK585" s="787"/>
      <c r="AL585" s="787"/>
      <c r="AM585" s="787"/>
      <c r="AN585" s="786"/>
      <c r="AO585" s="787"/>
      <c r="AP585" s="787"/>
      <c r="AQ585" s="787"/>
      <c r="AR585" s="786"/>
      <c r="AS585" s="787"/>
      <c r="AT585" s="787"/>
      <c r="AU585" s="787"/>
      <c r="AV585" s="786"/>
      <c r="AW585" s="787"/>
      <c r="AX585" s="787"/>
      <c r="AY585" s="787"/>
      <c r="AZ585" s="780"/>
      <c r="BA585" s="780"/>
      <c r="BB585" s="780"/>
      <c r="BC585" s="780"/>
      <c r="BD585" s="541"/>
      <c r="BE585" s="541"/>
      <c r="BF585" s="541"/>
      <c r="BG585" s="541"/>
      <c r="BH585" s="780"/>
      <c r="BI585" s="780"/>
      <c r="BJ585" s="780"/>
      <c r="BK585" s="780"/>
      <c r="BL585" s="780"/>
      <c r="BM585" s="780"/>
    </row>
    <row r="586" ht="12.75" customHeight="1">
      <c r="A586" s="521"/>
      <c r="B586" s="521"/>
      <c r="C586" s="515"/>
      <c r="D586" s="515"/>
      <c r="E586" s="515"/>
      <c r="F586" s="515"/>
      <c r="G586" s="515"/>
      <c r="H586" s="515"/>
      <c r="I586" s="515"/>
      <c r="J586" s="515"/>
      <c r="K586" s="515"/>
      <c r="L586" s="515"/>
      <c r="M586" s="515"/>
      <c r="N586" s="515"/>
      <c r="O586" s="533"/>
      <c r="P586" s="786"/>
      <c r="Q586" s="787"/>
      <c r="R586" s="787"/>
      <c r="S586" s="787"/>
      <c r="T586" s="786"/>
      <c r="U586" s="787"/>
      <c r="V586" s="787"/>
      <c r="W586" s="787"/>
      <c r="X586" s="786"/>
      <c r="Y586" s="787"/>
      <c r="Z586" s="787"/>
      <c r="AA586" s="787"/>
      <c r="AB586" s="786"/>
      <c r="AC586" s="787"/>
      <c r="AD586" s="787"/>
      <c r="AE586" s="787"/>
      <c r="AF586" s="786"/>
      <c r="AG586" s="787"/>
      <c r="AH586" s="787"/>
      <c r="AI586" s="787"/>
      <c r="AJ586" s="786"/>
      <c r="AK586" s="787"/>
      <c r="AL586" s="787"/>
      <c r="AM586" s="787"/>
      <c r="AN586" s="786"/>
      <c r="AO586" s="787"/>
      <c r="AP586" s="787"/>
      <c r="AQ586" s="787"/>
      <c r="AR586" s="786"/>
      <c r="AS586" s="787"/>
      <c r="AT586" s="787"/>
      <c r="AU586" s="787"/>
      <c r="AV586" s="786"/>
      <c r="AW586" s="787"/>
      <c r="AX586" s="787"/>
      <c r="AY586" s="787"/>
      <c r="AZ586" s="780"/>
      <c r="BA586" s="780"/>
      <c r="BB586" s="780"/>
      <c r="BC586" s="780"/>
      <c r="BD586" s="541"/>
      <c r="BE586" s="541"/>
      <c r="BF586" s="541"/>
      <c r="BG586" s="541"/>
      <c r="BH586" s="780"/>
      <c r="BI586" s="780"/>
      <c r="BJ586" s="780"/>
      <c r="BK586" s="780"/>
      <c r="BL586" s="780"/>
      <c r="BM586" s="780"/>
    </row>
    <row r="587" ht="12.75" customHeight="1">
      <c r="A587" s="521"/>
      <c r="B587" s="521"/>
      <c r="C587" s="515"/>
      <c r="D587" s="515"/>
      <c r="E587" s="515"/>
      <c r="F587" s="515"/>
      <c r="G587" s="515"/>
      <c r="H587" s="515"/>
      <c r="I587" s="515"/>
      <c r="J587" s="515"/>
      <c r="K587" s="515"/>
      <c r="L587" s="515"/>
      <c r="M587" s="515"/>
      <c r="N587" s="515"/>
      <c r="O587" s="533"/>
      <c r="P587" s="786"/>
      <c r="Q587" s="787"/>
      <c r="R587" s="787"/>
      <c r="S587" s="787"/>
      <c r="T587" s="786"/>
      <c r="U587" s="787"/>
      <c r="V587" s="787"/>
      <c r="W587" s="787"/>
      <c r="X587" s="786"/>
      <c r="Y587" s="787"/>
      <c r="Z587" s="787"/>
      <c r="AA587" s="787"/>
      <c r="AB587" s="786"/>
      <c r="AC587" s="787"/>
      <c r="AD587" s="787"/>
      <c r="AE587" s="787"/>
      <c r="AF587" s="786"/>
      <c r="AG587" s="787"/>
      <c r="AH587" s="787"/>
      <c r="AI587" s="787"/>
      <c r="AJ587" s="786"/>
      <c r="AK587" s="787"/>
      <c r="AL587" s="787"/>
      <c r="AM587" s="787"/>
      <c r="AN587" s="786"/>
      <c r="AO587" s="787"/>
      <c r="AP587" s="787"/>
      <c r="AQ587" s="787"/>
      <c r="AR587" s="786"/>
      <c r="AS587" s="787"/>
      <c r="AT587" s="787"/>
      <c r="AU587" s="787"/>
      <c r="AV587" s="786"/>
      <c r="AW587" s="787"/>
      <c r="AX587" s="787"/>
      <c r="AY587" s="787"/>
      <c r="AZ587" s="780"/>
      <c r="BA587" s="780"/>
      <c r="BB587" s="780"/>
      <c r="BC587" s="780"/>
      <c r="BD587" s="541"/>
      <c r="BE587" s="541"/>
      <c r="BF587" s="541"/>
      <c r="BG587" s="541"/>
      <c r="BH587" s="780"/>
      <c r="BI587" s="780"/>
      <c r="BJ587" s="780"/>
      <c r="BK587" s="780"/>
      <c r="BL587" s="780"/>
      <c r="BM587" s="780"/>
    </row>
    <row r="588" ht="12.75" customHeight="1">
      <c r="A588" s="521"/>
      <c r="B588" s="521"/>
      <c r="C588" s="515"/>
      <c r="D588" s="515"/>
      <c r="E588" s="515"/>
      <c r="F588" s="515"/>
      <c r="G588" s="515"/>
      <c r="H588" s="515"/>
      <c r="I588" s="515"/>
      <c r="J588" s="515"/>
      <c r="K588" s="515"/>
      <c r="L588" s="515"/>
      <c r="M588" s="515"/>
      <c r="N588" s="515"/>
      <c r="O588" s="533"/>
      <c r="P588" s="786"/>
      <c r="Q588" s="787"/>
      <c r="R588" s="787"/>
      <c r="S588" s="787"/>
      <c r="T588" s="786"/>
      <c r="U588" s="787"/>
      <c r="V588" s="787"/>
      <c r="W588" s="787"/>
      <c r="X588" s="786"/>
      <c r="Y588" s="787"/>
      <c r="Z588" s="787"/>
      <c r="AA588" s="787"/>
      <c r="AB588" s="786"/>
      <c r="AC588" s="787"/>
      <c r="AD588" s="787"/>
      <c r="AE588" s="787"/>
      <c r="AF588" s="786"/>
      <c r="AG588" s="787"/>
      <c r="AH588" s="787"/>
      <c r="AI588" s="787"/>
      <c r="AJ588" s="786"/>
      <c r="AK588" s="787"/>
      <c r="AL588" s="787"/>
      <c r="AM588" s="787"/>
      <c r="AN588" s="786"/>
      <c r="AO588" s="787"/>
      <c r="AP588" s="787"/>
      <c r="AQ588" s="787"/>
      <c r="AR588" s="786"/>
      <c r="AS588" s="787"/>
      <c r="AT588" s="787"/>
      <c r="AU588" s="787"/>
      <c r="AV588" s="786"/>
      <c r="AW588" s="787"/>
      <c r="AX588" s="787"/>
      <c r="AY588" s="787"/>
      <c r="AZ588" s="780"/>
      <c r="BA588" s="780"/>
      <c r="BB588" s="780"/>
      <c r="BC588" s="780"/>
      <c r="BD588" s="541"/>
      <c r="BE588" s="541"/>
      <c r="BF588" s="541"/>
      <c r="BG588" s="541"/>
      <c r="BH588" s="780"/>
      <c r="BI588" s="780"/>
      <c r="BJ588" s="780"/>
      <c r="BK588" s="780"/>
      <c r="BL588" s="780"/>
      <c r="BM588" s="780"/>
    </row>
    <row r="589" ht="12.75" customHeight="1">
      <c r="A589" s="521"/>
      <c r="B589" s="521"/>
      <c r="C589" s="515"/>
      <c r="D589" s="515"/>
      <c r="E589" s="515"/>
      <c r="F589" s="515"/>
      <c r="G589" s="515"/>
      <c r="H589" s="515"/>
      <c r="I589" s="515"/>
      <c r="J589" s="515"/>
      <c r="K589" s="515"/>
      <c r="L589" s="515"/>
      <c r="M589" s="515"/>
      <c r="N589" s="515"/>
      <c r="O589" s="533"/>
      <c r="P589" s="786"/>
      <c r="Q589" s="787"/>
      <c r="R589" s="787"/>
      <c r="S589" s="787"/>
      <c r="T589" s="786"/>
      <c r="U589" s="787"/>
      <c r="V589" s="787"/>
      <c r="W589" s="787"/>
      <c r="X589" s="786"/>
      <c r="Y589" s="787"/>
      <c r="Z589" s="787"/>
      <c r="AA589" s="787"/>
      <c r="AB589" s="786"/>
      <c r="AC589" s="787"/>
      <c r="AD589" s="787"/>
      <c r="AE589" s="787"/>
      <c r="AF589" s="786"/>
      <c r="AG589" s="787"/>
      <c r="AH589" s="787"/>
      <c r="AI589" s="787"/>
      <c r="AJ589" s="786"/>
      <c r="AK589" s="787"/>
      <c r="AL589" s="787"/>
      <c r="AM589" s="787"/>
      <c r="AN589" s="786"/>
      <c r="AO589" s="787"/>
      <c r="AP589" s="787"/>
      <c r="AQ589" s="787"/>
      <c r="AR589" s="786"/>
      <c r="AS589" s="787"/>
      <c r="AT589" s="787"/>
      <c r="AU589" s="787"/>
      <c r="AV589" s="786"/>
      <c r="AW589" s="787"/>
      <c r="AX589" s="787"/>
      <c r="AY589" s="787"/>
      <c r="AZ589" s="780"/>
      <c r="BA589" s="780"/>
      <c r="BB589" s="780"/>
      <c r="BC589" s="780"/>
      <c r="BD589" s="541"/>
      <c r="BE589" s="541"/>
      <c r="BF589" s="541"/>
      <c r="BG589" s="541"/>
      <c r="BH589" s="780"/>
      <c r="BI589" s="780"/>
      <c r="BJ589" s="780"/>
      <c r="BK589" s="780"/>
      <c r="BL589" s="780"/>
      <c r="BM589" s="780"/>
    </row>
    <row r="590" ht="12.75" customHeight="1">
      <c r="A590" s="521"/>
      <c r="B590" s="521"/>
      <c r="C590" s="515"/>
      <c r="D590" s="515"/>
      <c r="E590" s="515"/>
      <c r="F590" s="515"/>
      <c r="G590" s="515"/>
      <c r="H590" s="515"/>
      <c r="I590" s="515"/>
      <c r="J590" s="515"/>
      <c r="K590" s="515"/>
      <c r="L590" s="515"/>
      <c r="M590" s="515"/>
      <c r="N590" s="515"/>
      <c r="O590" s="533"/>
      <c r="P590" s="786"/>
      <c r="Q590" s="787"/>
      <c r="R590" s="787"/>
      <c r="S590" s="787"/>
      <c r="T590" s="786"/>
      <c r="U590" s="787"/>
      <c r="V590" s="787"/>
      <c r="W590" s="787"/>
      <c r="X590" s="786"/>
      <c r="Y590" s="787"/>
      <c r="Z590" s="787"/>
      <c r="AA590" s="787"/>
      <c r="AB590" s="786"/>
      <c r="AC590" s="787"/>
      <c r="AD590" s="787"/>
      <c r="AE590" s="787"/>
      <c r="AF590" s="786"/>
      <c r="AG590" s="787"/>
      <c r="AH590" s="787"/>
      <c r="AI590" s="787"/>
      <c r="AJ590" s="786"/>
      <c r="AK590" s="787"/>
      <c r="AL590" s="787"/>
      <c r="AM590" s="787"/>
      <c r="AN590" s="786"/>
      <c r="AO590" s="787"/>
      <c r="AP590" s="787"/>
      <c r="AQ590" s="787"/>
      <c r="AR590" s="786"/>
      <c r="AS590" s="787"/>
      <c r="AT590" s="787"/>
      <c r="AU590" s="787"/>
      <c r="AV590" s="786"/>
      <c r="AW590" s="787"/>
      <c r="AX590" s="787"/>
      <c r="AY590" s="787"/>
      <c r="AZ590" s="780"/>
      <c r="BA590" s="780"/>
      <c r="BB590" s="780"/>
      <c r="BC590" s="780"/>
      <c r="BD590" s="541"/>
      <c r="BE590" s="541"/>
      <c r="BF590" s="541"/>
      <c r="BG590" s="541"/>
      <c r="BH590" s="780"/>
      <c r="BI590" s="780"/>
      <c r="BJ590" s="780"/>
      <c r="BK590" s="780"/>
      <c r="BL590" s="780"/>
      <c r="BM590" s="780"/>
    </row>
    <row r="591" ht="12.75" customHeight="1">
      <c r="A591" s="521"/>
      <c r="B591" s="521"/>
      <c r="C591" s="515"/>
      <c r="D591" s="515"/>
      <c r="E591" s="515"/>
      <c r="F591" s="515"/>
      <c r="G591" s="515"/>
      <c r="H591" s="515"/>
      <c r="I591" s="515"/>
      <c r="J591" s="515"/>
      <c r="K591" s="515"/>
      <c r="L591" s="515"/>
      <c r="M591" s="515"/>
      <c r="N591" s="515"/>
      <c r="O591" s="533"/>
      <c r="P591" s="786"/>
      <c r="Q591" s="787"/>
      <c r="R591" s="787"/>
      <c r="S591" s="787"/>
      <c r="T591" s="786"/>
      <c r="U591" s="787"/>
      <c r="V591" s="787"/>
      <c r="W591" s="787"/>
      <c r="X591" s="786"/>
      <c r="Y591" s="787"/>
      <c r="Z591" s="787"/>
      <c r="AA591" s="787"/>
      <c r="AB591" s="786"/>
      <c r="AC591" s="787"/>
      <c r="AD591" s="787"/>
      <c r="AE591" s="787"/>
      <c r="AF591" s="786"/>
      <c r="AG591" s="787"/>
      <c r="AH591" s="787"/>
      <c r="AI591" s="787"/>
      <c r="AJ591" s="786"/>
      <c r="AK591" s="787"/>
      <c r="AL591" s="787"/>
      <c r="AM591" s="787"/>
      <c r="AN591" s="786"/>
      <c r="AO591" s="787"/>
      <c r="AP591" s="787"/>
      <c r="AQ591" s="787"/>
      <c r="AR591" s="786"/>
      <c r="AS591" s="787"/>
      <c r="AT591" s="787"/>
      <c r="AU591" s="787"/>
      <c r="AV591" s="786"/>
      <c r="AW591" s="787"/>
      <c r="AX591" s="787"/>
      <c r="AY591" s="787"/>
      <c r="AZ591" s="780"/>
      <c r="BA591" s="780"/>
      <c r="BB591" s="780"/>
      <c r="BC591" s="780"/>
      <c r="BD591" s="541"/>
      <c r="BE591" s="541"/>
      <c r="BF591" s="541"/>
      <c r="BG591" s="541"/>
      <c r="BH591" s="780"/>
      <c r="BI591" s="780"/>
      <c r="BJ591" s="780"/>
      <c r="BK591" s="780"/>
      <c r="BL591" s="780"/>
      <c r="BM591" s="780"/>
    </row>
    <row r="592" ht="12.75" customHeight="1">
      <c r="A592" s="521"/>
      <c r="B592" s="521"/>
      <c r="C592" s="515"/>
      <c r="D592" s="515"/>
      <c r="E592" s="515"/>
      <c r="F592" s="515"/>
      <c r="G592" s="515"/>
      <c r="H592" s="515"/>
      <c r="I592" s="515"/>
      <c r="J592" s="515"/>
      <c r="K592" s="515"/>
      <c r="L592" s="515"/>
      <c r="M592" s="515"/>
      <c r="N592" s="515"/>
      <c r="O592" s="533"/>
      <c r="P592" s="786"/>
      <c r="Q592" s="787"/>
      <c r="R592" s="787"/>
      <c r="S592" s="787"/>
      <c r="T592" s="786"/>
      <c r="U592" s="787"/>
      <c r="V592" s="787"/>
      <c r="W592" s="787"/>
      <c r="X592" s="786"/>
      <c r="Y592" s="787"/>
      <c r="Z592" s="787"/>
      <c r="AA592" s="787"/>
      <c r="AB592" s="786"/>
      <c r="AC592" s="787"/>
      <c r="AD592" s="787"/>
      <c r="AE592" s="787"/>
      <c r="AF592" s="786"/>
      <c r="AG592" s="787"/>
      <c r="AH592" s="787"/>
      <c r="AI592" s="787"/>
      <c r="AJ592" s="786"/>
      <c r="AK592" s="787"/>
      <c r="AL592" s="787"/>
      <c r="AM592" s="787"/>
      <c r="AN592" s="786"/>
      <c r="AO592" s="787"/>
      <c r="AP592" s="787"/>
      <c r="AQ592" s="787"/>
      <c r="AR592" s="786"/>
      <c r="AS592" s="787"/>
      <c r="AT592" s="787"/>
      <c r="AU592" s="787"/>
      <c r="AV592" s="786"/>
      <c r="AW592" s="787"/>
      <c r="AX592" s="787"/>
      <c r="AY592" s="787"/>
      <c r="AZ592" s="780"/>
      <c r="BA592" s="780"/>
      <c r="BB592" s="780"/>
      <c r="BC592" s="780"/>
      <c r="BD592" s="541"/>
      <c r="BE592" s="541"/>
      <c r="BF592" s="541"/>
      <c r="BG592" s="541"/>
      <c r="BH592" s="780"/>
      <c r="BI592" s="780"/>
      <c r="BJ592" s="780"/>
      <c r="BK592" s="780"/>
      <c r="BL592" s="780"/>
      <c r="BM592" s="780"/>
    </row>
    <row r="593" ht="12.75" customHeight="1">
      <c r="A593" s="521"/>
      <c r="B593" s="521"/>
      <c r="C593" s="515"/>
      <c r="D593" s="515"/>
      <c r="E593" s="515"/>
      <c r="F593" s="515"/>
      <c r="G593" s="515"/>
      <c r="H593" s="515"/>
      <c r="I593" s="515"/>
      <c r="J593" s="515"/>
      <c r="K593" s="515"/>
      <c r="L593" s="515"/>
      <c r="M593" s="515"/>
      <c r="N593" s="515"/>
      <c r="O593" s="533"/>
      <c r="P593" s="786"/>
      <c r="Q593" s="787"/>
      <c r="R593" s="787"/>
      <c r="S593" s="787"/>
      <c r="T593" s="786"/>
      <c r="U593" s="787"/>
      <c r="V593" s="787"/>
      <c r="W593" s="787"/>
      <c r="X593" s="786"/>
      <c r="Y593" s="787"/>
      <c r="Z593" s="787"/>
      <c r="AA593" s="787"/>
      <c r="AB593" s="786"/>
      <c r="AC593" s="787"/>
      <c r="AD593" s="787"/>
      <c r="AE593" s="787"/>
      <c r="AF593" s="786"/>
      <c r="AG593" s="787"/>
      <c r="AH593" s="787"/>
      <c r="AI593" s="787"/>
      <c r="AJ593" s="786"/>
      <c r="AK593" s="787"/>
      <c r="AL593" s="787"/>
      <c r="AM593" s="787"/>
      <c r="AN593" s="786"/>
      <c r="AO593" s="787"/>
      <c r="AP593" s="787"/>
      <c r="AQ593" s="787"/>
      <c r="AR593" s="786"/>
      <c r="AS593" s="787"/>
      <c r="AT593" s="787"/>
      <c r="AU593" s="787"/>
      <c r="AV593" s="786"/>
      <c r="AW593" s="787"/>
      <c r="AX593" s="787"/>
      <c r="AY593" s="787"/>
      <c r="AZ593" s="780"/>
      <c r="BA593" s="780"/>
      <c r="BB593" s="780"/>
      <c r="BC593" s="780"/>
      <c r="BD593" s="541"/>
      <c r="BE593" s="541"/>
      <c r="BF593" s="541"/>
      <c r="BG593" s="541"/>
      <c r="BH593" s="780"/>
      <c r="BI593" s="780"/>
      <c r="BJ593" s="780"/>
      <c r="BK593" s="780"/>
      <c r="BL593" s="780"/>
      <c r="BM593" s="780"/>
    </row>
    <row r="594" ht="12.75" customHeight="1">
      <c r="A594" s="521"/>
      <c r="B594" s="521"/>
      <c r="C594" s="515"/>
      <c r="D594" s="515"/>
      <c r="E594" s="515"/>
      <c r="F594" s="515"/>
      <c r="G594" s="515"/>
      <c r="H594" s="515"/>
      <c r="I594" s="515"/>
      <c r="J594" s="515"/>
      <c r="K594" s="515"/>
      <c r="L594" s="515"/>
      <c r="M594" s="515"/>
      <c r="N594" s="515"/>
      <c r="O594" s="533"/>
      <c r="P594" s="786"/>
      <c r="Q594" s="787"/>
      <c r="R594" s="787"/>
      <c r="S594" s="787"/>
      <c r="T594" s="786"/>
      <c r="U594" s="787"/>
      <c r="V594" s="787"/>
      <c r="W594" s="787"/>
      <c r="X594" s="786"/>
      <c r="Y594" s="787"/>
      <c r="Z594" s="787"/>
      <c r="AA594" s="787"/>
      <c r="AB594" s="786"/>
      <c r="AC594" s="787"/>
      <c r="AD594" s="787"/>
      <c r="AE594" s="787"/>
      <c r="AF594" s="786"/>
      <c r="AG594" s="787"/>
      <c r="AH594" s="787"/>
      <c r="AI594" s="787"/>
      <c r="AJ594" s="786"/>
      <c r="AK594" s="787"/>
      <c r="AL594" s="787"/>
      <c r="AM594" s="787"/>
      <c r="AN594" s="786"/>
      <c r="AO594" s="787"/>
      <c r="AP594" s="787"/>
      <c r="AQ594" s="787"/>
      <c r="AR594" s="786"/>
      <c r="AS594" s="787"/>
      <c r="AT594" s="787"/>
      <c r="AU594" s="787"/>
      <c r="AV594" s="786"/>
      <c r="AW594" s="787"/>
      <c r="AX594" s="787"/>
      <c r="AY594" s="787"/>
      <c r="AZ594" s="780"/>
      <c r="BA594" s="780"/>
      <c r="BB594" s="780"/>
      <c r="BC594" s="780"/>
      <c r="BD594" s="541"/>
      <c r="BE594" s="541"/>
      <c r="BF594" s="541"/>
      <c r="BG594" s="541"/>
      <c r="BH594" s="780"/>
      <c r="BI594" s="780"/>
      <c r="BJ594" s="780"/>
      <c r="BK594" s="780"/>
      <c r="BL594" s="780"/>
      <c r="BM594" s="780"/>
    </row>
    <row r="595" ht="12.75" customHeight="1">
      <c r="A595" s="521"/>
      <c r="B595" s="521"/>
      <c r="C595" s="515"/>
      <c r="D595" s="515"/>
      <c r="E595" s="515"/>
      <c r="F595" s="515"/>
      <c r="G595" s="515"/>
      <c r="H595" s="515"/>
      <c r="I595" s="515"/>
      <c r="J595" s="515"/>
      <c r="K595" s="515"/>
      <c r="L595" s="515"/>
      <c r="M595" s="515"/>
      <c r="N595" s="515"/>
      <c r="O595" s="533"/>
      <c r="P595" s="786"/>
      <c r="Q595" s="787"/>
      <c r="R595" s="787"/>
      <c r="S595" s="787"/>
      <c r="T595" s="786"/>
      <c r="U595" s="787"/>
      <c r="V595" s="787"/>
      <c r="W595" s="787"/>
      <c r="X595" s="786"/>
      <c r="Y595" s="787"/>
      <c r="Z595" s="787"/>
      <c r="AA595" s="787"/>
      <c r="AB595" s="786"/>
      <c r="AC595" s="787"/>
      <c r="AD595" s="787"/>
      <c r="AE595" s="787"/>
      <c r="AF595" s="786"/>
      <c r="AG595" s="787"/>
      <c r="AH595" s="787"/>
      <c r="AI595" s="787"/>
      <c r="AJ595" s="786"/>
      <c r="AK595" s="787"/>
      <c r="AL595" s="787"/>
      <c r="AM595" s="787"/>
      <c r="AN595" s="786"/>
      <c r="AO595" s="787"/>
      <c r="AP595" s="787"/>
      <c r="AQ595" s="787"/>
      <c r="AR595" s="786"/>
      <c r="AS595" s="787"/>
      <c r="AT595" s="787"/>
      <c r="AU595" s="787"/>
      <c r="AV595" s="786"/>
      <c r="AW595" s="787"/>
      <c r="AX595" s="787"/>
      <c r="AY595" s="787"/>
      <c r="AZ595" s="780"/>
      <c r="BA595" s="780"/>
      <c r="BB595" s="780"/>
      <c r="BC595" s="780"/>
      <c r="BD595" s="541"/>
      <c r="BE595" s="541"/>
      <c r="BF595" s="541"/>
      <c r="BG595" s="541"/>
      <c r="BH595" s="780"/>
      <c r="BI595" s="780"/>
      <c r="BJ595" s="780"/>
      <c r="BK595" s="780"/>
      <c r="BL595" s="780"/>
      <c r="BM595" s="780"/>
    </row>
    <row r="596" ht="12.75" customHeight="1">
      <c r="A596" s="521"/>
      <c r="B596" s="521"/>
      <c r="C596" s="515"/>
      <c r="D596" s="515"/>
      <c r="E596" s="515"/>
      <c r="F596" s="515"/>
      <c r="G596" s="515"/>
      <c r="H596" s="515"/>
      <c r="I596" s="515"/>
      <c r="J596" s="515"/>
      <c r="K596" s="515"/>
      <c r="L596" s="515"/>
      <c r="M596" s="515"/>
      <c r="N596" s="515"/>
      <c r="O596" s="533"/>
      <c r="P596" s="786"/>
      <c r="Q596" s="787"/>
      <c r="R596" s="787"/>
      <c r="S596" s="787"/>
      <c r="T596" s="786"/>
      <c r="U596" s="787"/>
      <c r="V596" s="787"/>
      <c r="W596" s="787"/>
      <c r="X596" s="786"/>
      <c r="Y596" s="787"/>
      <c r="Z596" s="787"/>
      <c r="AA596" s="787"/>
      <c r="AB596" s="786"/>
      <c r="AC596" s="787"/>
      <c r="AD596" s="787"/>
      <c r="AE596" s="787"/>
      <c r="AF596" s="786"/>
      <c r="AG596" s="787"/>
      <c r="AH596" s="787"/>
      <c r="AI596" s="787"/>
      <c r="AJ596" s="786"/>
      <c r="AK596" s="787"/>
      <c r="AL596" s="787"/>
      <c r="AM596" s="787"/>
      <c r="AN596" s="786"/>
      <c r="AO596" s="787"/>
      <c r="AP596" s="787"/>
      <c r="AQ596" s="787"/>
      <c r="AR596" s="786"/>
      <c r="AS596" s="787"/>
      <c r="AT596" s="787"/>
      <c r="AU596" s="787"/>
      <c r="AV596" s="786"/>
      <c r="AW596" s="787"/>
      <c r="AX596" s="787"/>
      <c r="AY596" s="787"/>
      <c r="AZ596" s="780"/>
      <c r="BA596" s="780"/>
      <c r="BB596" s="780"/>
      <c r="BC596" s="780"/>
      <c r="BD596" s="541"/>
      <c r="BE596" s="541"/>
      <c r="BF596" s="541"/>
      <c r="BG596" s="541"/>
      <c r="BH596" s="780"/>
      <c r="BI596" s="780"/>
      <c r="BJ596" s="780"/>
      <c r="BK596" s="780"/>
      <c r="BL596" s="780"/>
      <c r="BM596" s="780"/>
    </row>
    <row r="597" ht="12.75" customHeight="1">
      <c r="A597" s="521"/>
      <c r="B597" s="521"/>
      <c r="C597" s="515"/>
      <c r="D597" s="515"/>
      <c r="E597" s="515"/>
      <c r="F597" s="515"/>
      <c r="G597" s="515"/>
      <c r="H597" s="515"/>
      <c r="I597" s="515"/>
      <c r="J597" s="515"/>
      <c r="K597" s="515"/>
      <c r="L597" s="515"/>
      <c r="M597" s="515"/>
      <c r="N597" s="515"/>
      <c r="O597" s="533"/>
      <c r="P597" s="786"/>
      <c r="Q597" s="787"/>
      <c r="R597" s="787"/>
      <c r="S597" s="787"/>
      <c r="T597" s="786"/>
      <c r="U597" s="787"/>
      <c r="V597" s="787"/>
      <c r="W597" s="787"/>
      <c r="X597" s="786"/>
      <c r="Y597" s="787"/>
      <c r="Z597" s="787"/>
      <c r="AA597" s="787"/>
      <c r="AB597" s="786"/>
      <c r="AC597" s="787"/>
      <c r="AD597" s="787"/>
      <c r="AE597" s="787"/>
      <c r="AF597" s="786"/>
      <c r="AG597" s="787"/>
      <c r="AH597" s="787"/>
      <c r="AI597" s="787"/>
      <c r="AJ597" s="786"/>
      <c r="AK597" s="787"/>
      <c r="AL597" s="787"/>
      <c r="AM597" s="787"/>
      <c r="AN597" s="786"/>
      <c r="AO597" s="787"/>
      <c r="AP597" s="787"/>
      <c r="AQ597" s="787"/>
      <c r="AR597" s="786"/>
      <c r="AS597" s="787"/>
      <c r="AT597" s="787"/>
      <c r="AU597" s="787"/>
      <c r="AV597" s="786"/>
      <c r="AW597" s="787"/>
      <c r="AX597" s="787"/>
      <c r="AY597" s="787"/>
      <c r="AZ597" s="780"/>
      <c r="BA597" s="780"/>
      <c r="BB597" s="780"/>
      <c r="BC597" s="780"/>
      <c r="BD597" s="541"/>
      <c r="BE597" s="541"/>
      <c r="BF597" s="541"/>
      <c r="BG597" s="541"/>
      <c r="BH597" s="780"/>
      <c r="BI597" s="780"/>
      <c r="BJ597" s="780"/>
      <c r="BK597" s="780"/>
      <c r="BL597" s="780"/>
      <c r="BM597" s="780"/>
    </row>
    <row r="598" ht="12.75" customHeight="1">
      <c r="A598" s="521"/>
      <c r="B598" s="521"/>
      <c r="C598" s="515"/>
      <c r="D598" s="515"/>
      <c r="E598" s="515"/>
      <c r="F598" s="515"/>
      <c r="G598" s="515"/>
      <c r="H598" s="515"/>
      <c r="I598" s="515"/>
      <c r="J598" s="515"/>
      <c r="K598" s="515"/>
      <c r="L598" s="515"/>
      <c r="M598" s="515"/>
      <c r="N598" s="515"/>
      <c r="O598" s="533"/>
      <c r="P598" s="786"/>
      <c r="Q598" s="787"/>
      <c r="R598" s="787"/>
      <c r="S598" s="787"/>
      <c r="T598" s="786"/>
      <c r="U598" s="787"/>
      <c r="V598" s="787"/>
      <c r="W598" s="787"/>
      <c r="X598" s="786"/>
      <c r="Y598" s="787"/>
      <c r="Z598" s="787"/>
      <c r="AA598" s="787"/>
      <c r="AB598" s="786"/>
      <c r="AC598" s="787"/>
      <c r="AD598" s="787"/>
      <c r="AE598" s="787"/>
      <c r="AF598" s="786"/>
      <c r="AG598" s="787"/>
      <c r="AH598" s="787"/>
      <c r="AI598" s="787"/>
      <c r="AJ598" s="786"/>
      <c r="AK598" s="787"/>
      <c r="AL598" s="787"/>
      <c r="AM598" s="787"/>
      <c r="AN598" s="786"/>
      <c r="AO598" s="787"/>
      <c r="AP598" s="787"/>
      <c r="AQ598" s="787"/>
      <c r="AR598" s="786"/>
      <c r="AS598" s="787"/>
      <c r="AT598" s="787"/>
      <c r="AU598" s="787"/>
      <c r="AV598" s="786"/>
      <c r="AW598" s="787"/>
      <c r="AX598" s="787"/>
      <c r="AY598" s="787"/>
      <c r="AZ598" s="780"/>
      <c r="BA598" s="780"/>
      <c r="BB598" s="780"/>
      <c r="BC598" s="780"/>
      <c r="BD598" s="541"/>
      <c r="BE598" s="541"/>
      <c r="BF598" s="541"/>
      <c r="BG598" s="541"/>
      <c r="BH598" s="780"/>
      <c r="BI598" s="780"/>
      <c r="BJ598" s="780"/>
      <c r="BK598" s="780"/>
      <c r="BL598" s="780"/>
      <c r="BM598" s="780"/>
    </row>
    <row r="599" ht="12.75" customHeight="1">
      <c r="A599" s="521"/>
      <c r="B599" s="521"/>
      <c r="C599" s="515"/>
      <c r="D599" s="515"/>
      <c r="E599" s="515"/>
      <c r="F599" s="515"/>
      <c r="G599" s="515"/>
      <c r="H599" s="515"/>
      <c r="I599" s="515"/>
      <c r="J599" s="515"/>
      <c r="K599" s="515"/>
      <c r="L599" s="515"/>
      <c r="M599" s="515"/>
      <c r="N599" s="515"/>
      <c r="O599" s="533"/>
      <c r="P599" s="786"/>
      <c r="Q599" s="787"/>
      <c r="R599" s="787"/>
      <c r="S599" s="787"/>
      <c r="T599" s="786"/>
      <c r="U599" s="787"/>
      <c r="V599" s="787"/>
      <c r="W599" s="787"/>
      <c r="X599" s="786"/>
      <c r="Y599" s="787"/>
      <c r="Z599" s="787"/>
      <c r="AA599" s="787"/>
      <c r="AB599" s="786"/>
      <c r="AC599" s="787"/>
      <c r="AD599" s="787"/>
      <c r="AE599" s="787"/>
      <c r="AF599" s="786"/>
      <c r="AG599" s="787"/>
      <c r="AH599" s="787"/>
      <c r="AI599" s="787"/>
      <c r="AJ599" s="786"/>
      <c r="AK599" s="787"/>
      <c r="AL599" s="787"/>
      <c r="AM599" s="787"/>
      <c r="AN599" s="786"/>
      <c r="AO599" s="787"/>
      <c r="AP599" s="787"/>
      <c r="AQ599" s="787"/>
      <c r="AR599" s="786"/>
      <c r="AS599" s="787"/>
      <c r="AT599" s="787"/>
      <c r="AU599" s="787"/>
      <c r="AV599" s="786"/>
      <c r="AW599" s="787"/>
      <c r="AX599" s="787"/>
      <c r="AY599" s="787"/>
      <c r="AZ599" s="780"/>
      <c r="BA599" s="780"/>
      <c r="BB599" s="780"/>
      <c r="BC599" s="780"/>
      <c r="BD599" s="541"/>
      <c r="BE599" s="541"/>
      <c r="BF599" s="541"/>
      <c r="BG599" s="541"/>
      <c r="BH599" s="780"/>
      <c r="BI599" s="780"/>
      <c r="BJ599" s="780"/>
      <c r="BK599" s="780"/>
      <c r="BL599" s="780"/>
      <c r="BM599" s="780"/>
    </row>
    <row r="600" ht="12.75" customHeight="1">
      <c r="A600" s="521"/>
      <c r="B600" s="521"/>
      <c r="C600" s="515"/>
      <c r="D600" s="515"/>
      <c r="E600" s="515"/>
      <c r="F600" s="515"/>
      <c r="G600" s="515"/>
      <c r="H600" s="515"/>
      <c r="I600" s="515"/>
      <c r="J600" s="515"/>
      <c r="K600" s="515"/>
      <c r="L600" s="515"/>
      <c r="M600" s="515"/>
      <c r="N600" s="515"/>
      <c r="O600" s="533"/>
      <c r="P600" s="786"/>
      <c r="Q600" s="787"/>
      <c r="R600" s="787"/>
      <c r="S600" s="787"/>
      <c r="T600" s="786"/>
      <c r="U600" s="787"/>
      <c r="V600" s="787"/>
      <c r="W600" s="787"/>
      <c r="X600" s="786"/>
      <c r="Y600" s="787"/>
      <c r="Z600" s="787"/>
      <c r="AA600" s="787"/>
      <c r="AB600" s="786"/>
      <c r="AC600" s="787"/>
      <c r="AD600" s="787"/>
      <c r="AE600" s="787"/>
      <c r="AF600" s="786"/>
      <c r="AG600" s="787"/>
      <c r="AH600" s="787"/>
      <c r="AI600" s="787"/>
      <c r="AJ600" s="786"/>
      <c r="AK600" s="787"/>
      <c r="AL600" s="787"/>
      <c r="AM600" s="787"/>
      <c r="AN600" s="786"/>
      <c r="AO600" s="787"/>
      <c r="AP600" s="787"/>
      <c r="AQ600" s="787"/>
      <c r="AR600" s="786"/>
      <c r="AS600" s="787"/>
      <c r="AT600" s="787"/>
      <c r="AU600" s="787"/>
      <c r="AV600" s="786"/>
      <c r="AW600" s="787"/>
      <c r="AX600" s="787"/>
      <c r="AY600" s="787"/>
      <c r="AZ600" s="780"/>
      <c r="BA600" s="780"/>
      <c r="BB600" s="780"/>
      <c r="BC600" s="780"/>
      <c r="BD600" s="541"/>
      <c r="BE600" s="541"/>
      <c r="BF600" s="541"/>
      <c r="BG600" s="541"/>
      <c r="BH600" s="780"/>
      <c r="BI600" s="780"/>
      <c r="BJ600" s="780"/>
      <c r="BK600" s="780"/>
      <c r="BL600" s="780"/>
      <c r="BM600" s="780"/>
    </row>
    <row r="601" ht="12.75" customHeight="1">
      <c r="A601" s="521"/>
      <c r="B601" s="521"/>
      <c r="C601" s="515"/>
      <c r="D601" s="515"/>
      <c r="E601" s="515"/>
      <c r="F601" s="515"/>
      <c r="G601" s="515"/>
      <c r="H601" s="515"/>
      <c r="I601" s="515"/>
      <c r="J601" s="515"/>
      <c r="K601" s="515"/>
      <c r="L601" s="515"/>
      <c r="M601" s="515"/>
      <c r="N601" s="515"/>
      <c r="O601" s="533"/>
      <c r="P601" s="786"/>
      <c r="Q601" s="787"/>
      <c r="R601" s="787"/>
      <c r="S601" s="787"/>
      <c r="T601" s="786"/>
      <c r="U601" s="787"/>
      <c r="V601" s="787"/>
      <c r="W601" s="787"/>
      <c r="X601" s="786"/>
      <c r="Y601" s="787"/>
      <c r="Z601" s="787"/>
      <c r="AA601" s="787"/>
      <c r="AB601" s="786"/>
      <c r="AC601" s="787"/>
      <c r="AD601" s="787"/>
      <c r="AE601" s="787"/>
      <c r="AF601" s="786"/>
      <c r="AG601" s="787"/>
      <c r="AH601" s="787"/>
      <c r="AI601" s="787"/>
      <c r="AJ601" s="786"/>
      <c r="AK601" s="787"/>
      <c r="AL601" s="787"/>
      <c r="AM601" s="787"/>
      <c r="AN601" s="786"/>
      <c r="AO601" s="787"/>
      <c r="AP601" s="787"/>
      <c r="AQ601" s="787"/>
      <c r="AR601" s="786"/>
      <c r="AS601" s="787"/>
      <c r="AT601" s="787"/>
      <c r="AU601" s="787"/>
      <c r="AV601" s="786"/>
      <c r="AW601" s="787"/>
      <c r="AX601" s="787"/>
      <c r="AY601" s="787"/>
      <c r="AZ601" s="780"/>
      <c r="BA601" s="780"/>
      <c r="BB601" s="780"/>
      <c r="BC601" s="780"/>
      <c r="BD601" s="541"/>
      <c r="BE601" s="541"/>
      <c r="BF601" s="541"/>
      <c r="BG601" s="541"/>
      <c r="BH601" s="780"/>
      <c r="BI601" s="780"/>
      <c r="BJ601" s="780"/>
      <c r="BK601" s="780"/>
      <c r="BL601" s="780"/>
      <c r="BM601" s="780"/>
    </row>
    <row r="602" ht="12.75" customHeight="1">
      <c r="A602" s="521"/>
      <c r="B602" s="521"/>
      <c r="C602" s="515"/>
      <c r="D602" s="515"/>
      <c r="E602" s="515"/>
      <c r="F602" s="515"/>
      <c r="G602" s="515"/>
      <c r="H602" s="515"/>
      <c r="I602" s="515"/>
      <c r="J602" s="515"/>
      <c r="K602" s="515"/>
      <c r="L602" s="515"/>
      <c r="M602" s="515"/>
      <c r="N602" s="515"/>
      <c r="O602" s="533"/>
      <c r="P602" s="786"/>
      <c r="Q602" s="787"/>
      <c r="R602" s="787"/>
      <c r="S602" s="787"/>
      <c r="T602" s="786"/>
      <c r="U602" s="787"/>
      <c r="V602" s="787"/>
      <c r="W602" s="787"/>
      <c r="X602" s="786"/>
      <c r="Y602" s="787"/>
      <c r="Z602" s="787"/>
      <c r="AA602" s="787"/>
      <c r="AB602" s="786"/>
      <c r="AC602" s="787"/>
      <c r="AD602" s="787"/>
      <c r="AE602" s="787"/>
      <c r="AF602" s="786"/>
      <c r="AG602" s="787"/>
      <c r="AH602" s="787"/>
      <c r="AI602" s="787"/>
      <c r="AJ602" s="786"/>
      <c r="AK602" s="787"/>
      <c r="AL602" s="787"/>
      <c r="AM602" s="787"/>
      <c r="AN602" s="786"/>
      <c r="AO602" s="787"/>
      <c r="AP602" s="787"/>
      <c r="AQ602" s="787"/>
      <c r="AR602" s="786"/>
      <c r="AS602" s="787"/>
      <c r="AT602" s="787"/>
      <c r="AU602" s="787"/>
      <c r="AV602" s="786"/>
      <c r="AW602" s="787"/>
      <c r="AX602" s="787"/>
      <c r="AY602" s="787"/>
      <c r="AZ602" s="780"/>
      <c r="BA602" s="780"/>
      <c r="BB602" s="780"/>
      <c r="BC602" s="780"/>
      <c r="BD602" s="541"/>
      <c r="BE602" s="541"/>
      <c r="BF602" s="541"/>
      <c r="BG602" s="541"/>
      <c r="BH602" s="780"/>
      <c r="BI602" s="780"/>
      <c r="BJ602" s="780"/>
      <c r="BK602" s="780"/>
      <c r="BL602" s="780"/>
      <c r="BM602" s="780"/>
    </row>
    <row r="603" ht="12.75" customHeight="1">
      <c r="A603" s="521"/>
      <c r="B603" s="521"/>
      <c r="C603" s="515"/>
      <c r="D603" s="515"/>
      <c r="E603" s="515"/>
      <c r="F603" s="515"/>
      <c r="G603" s="515"/>
      <c r="H603" s="515"/>
      <c r="I603" s="515"/>
      <c r="J603" s="515"/>
      <c r="K603" s="515"/>
      <c r="L603" s="515"/>
      <c r="M603" s="515"/>
      <c r="N603" s="515"/>
      <c r="O603" s="533"/>
      <c r="P603" s="786"/>
      <c r="Q603" s="787"/>
      <c r="R603" s="787"/>
      <c r="S603" s="787"/>
      <c r="T603" s="786"/>
      <c r="U603" s="787"/>
      <c r="V603" s="787"/>
      <c r="W603" s="787"/>
      <c r="X603" s="786"/>
      <c r="Y603" s="787"/>
      <c r="Z603" s="787"/>
      <c r="AA603" s="787"/>
      <c r="AB603" s="786"/>
      <c r="AC603" s="787"/>
      <c r="AD603" s="787"/>
      <c r="AE603" s="787"/>
      <c r="AF603" s="786"/>
      <c r="AG603" s="787"/>
      <c r="AH603" s="787"/>
      <c r="AI603" s="787"/>
      <c r="AJ603" s="786"/>
      <c r="AK603" s="787"/>
      <c r="AL603" s="787"/>
      <c r="AM603" s="787"/>
      <c r="AN603" s="786"/>
      <c r="AO603" s="787"/>
      <c r="AP603" s="787"/>
      <c r="AQ603" s="787"/>
      <c r="AR603" s="786"/>
      <c r="AS603" s="787"/>
      <c r="AT603" s="787"/>
      <c r="AU603" s="787"/>
      <c r="AV603" s="786"/>
      <c r="AW603" s="787"/>
      <c r="AX603" s="787"/>
      <c r="AY603" s="787"/>
      <c r="AZ603" s="780"/>
      <c r="BA603" s="780"/>
      <c r="BB603" s="780"/>
      <c r="BC603" s="780"/>
      <c r="BD603" s="541"/>
      <c r="BE603" s="541"/>
      <c r="BF603" s="541"/>
      <c r="BG603" s="541"/>
      <c r="BH603" s="780"/>
      <c r="BI603" s="780"/>
      <c r="BJ603" s="780"/>
      <c r="BK603" s="780"/>
      <c r="BL603" s="780"/>
      <c r="BM603" s="780"/>
    </row>
    <row r="604" ht="12.75" customHeight="1">
      <c r="A604" s="521"/>
      <c r="B604" s="521"/>
      <c r="C604" s="515"/>
      <c r="D604" s="515"/>
      <c r="E604" s="515"/>
      <c r="F604" s="515"/>
      <c r="G604" s="515"/>
      <c r="H604" s="515"/>
      <c r="I604" s="515"/>
      <c r="J604" s="515"/>
      <c r="K604" s="515"/>
      <c r="L604" s="515"/>
      <c r="M604" s="515"/>
      <c r="N604" s="515"/>
      <c r="O604" s="533"/>
      <c r="P604" s="786"/>
      <c r="Q604" s="787"/>
      <c r="R604" s="787"/>
      <c r="S604" s="787"/>
      <c r="T604" s="786"/>
      <c r="U604" s="787"/>
      <c r="V604" s="787"/>
      <c r="W604" s="787"/>
      <c r="X604" s="786"/>
      <c r="Y604" s="787"/>
      <c r="Z604" s="787"/>
      <c r="AA604" s="787"/>
      <c r="AB604" s="786"/>
      <c r="AC604" s="787"/>
      <c r="AD604" s="787"/>
      <c r="AE604" s="787"/>
      <c r="AF604" s="786"/>
      <c r="AG604" s="787"/>
      <c r="AH604" s="787"/>
      <c r="AI604" s="787"/>
      <c r="AJ604" s="786"/>
      <c r="AK604" s="787"/>
      <c r="AL604" s="787"/>
      <c r="AM604" s="787"/>
      <c r="AN604" s="786"/>
      <c r="AO604" s="787"/>
      <c r="AP604" s="787"/>
      <c r="AQ604" s="787"/>
      <c r="AR604" s="786"/>
      <c r="AS604" s="787"/>
      <c r="AT604" s="787"/>
      <c r="AU604" s="787"/>
      <c r="AV604" s="786"/>
      <c r="AW604" s="787"/>
      <c r="AX604" s="787"/>
      <c r="AY604" s="787"/>
      <c r="AZ604" s="780"/>
      <c r="BA604" s="780"/>
      <c r="BB604" s="780"/>
      <c r="BC604" s="780"/>
      <c r="BD604" s="541"/>
      <c r="BE604" s="541"/>
      <c r="BF604" s="541"/>
      <c r="BG604" s="541"/>
      <c r="BH604" s="780"/>
      <c r="BI604" s="780"/>
      <c r="BJ604" s="780"/>
      <c r="BK604" s="780"/>
      <c r="BL604" s="780"/>
      <c r="BM604" s="780"/>
    </row>
    <row r="605" ht="12.75" customHeight="1">
      <c r="A605" s="521"/>
      <c r="B605" s="521"/>
      <c r="C605" s="515"/>
      <c r="D605" s="515"/>
      <c r="E605" s="515"/>
      <c r="F605" s="515"/>
      <c r="G605" s="515"/>
      <c r="H605" s="515"/>
      <c r="I605" s="515"/>
      <c r="J605" s="515"/>
      <c r="K605" s="515"/>
      <c r="L605" s="515"/>
      <c r="M605" s="515"/>
      <c r="N605" s="515"/>
      <c r="O605" s="533"/>
      <c r="P605" s="786"/>
      <c r="Q605" s="787"/>
      <c r="R605" s="787"/>
      <c r="S605" s="787"/>
      <c r="T605" s="786"/>
      <c r="U605" s="787"/>
      <c r="V605" s="787"/>
      <c r="W605" s="787"/>
      <c r="X605" s="786"/>
      <c r="Y605" s="787"/>
      <c r="Z605" s="787"/>
      <c r="AA605" s="787"/>
      <c r="AB605" s="786"/>
      <c r="AC605" s="787"/>
      <c r="AD605" s="787"/>
      <c r="AE605" s="787"/>
      <c r="AF605" s="786"/>
      <c r="AG605" s="787"/>
      <c r="AH605" s="787"/>
      <c r="AI605" s="787"/>
      <c r="AJ605" s="786"/>
      <c r="AK605" s="787"/>
      <c r="AL605" s="787"/>
      <c r="AM605" s="787"/>
      <c r="AN605" s="786"/>
      <c r="AO605" s="787"/>
      <c r="AP605" s="787"/>
      <c r="AQ605" s="787"/>
      <c r="AR605" s="786"/>
      <c r="AS605" s="787"/>
      <c r="AT605" s="787"/>
      <c r="AU605" s="787"/>
      <c r="AV605" s="786"/>
      <c r="AW605" s="787"/>
      <c r="AX605" s="787"/>
      <c r="AY605" s="787"/>
      <c r="AZ605" s="780"/>
      <c r="BA605" s="780"/>
      <c r="BB605" s="780"/>
      <c r="BC605" s="780"/>
      <c r="BD605" s="541"/>
      <c r="BE605" s="541"/>
      <c r="BF605" s="541"/>
      <c r="BG605" s="541"/>
      <c r="BH605" s="780"/>
      <c r="BI605" s="780"/>
      <c r="BJ605" s="780"/>
      <c r="BK605" s="780"/>
      <c r="BL605" s="780"/>
      <c r="BM605" s="780"/>
    </row>
    <row r="606" ht="12.75" customHeight="1">
      <c r="A606" s="521"/>
      <c r="B606" s="521"/>
      <c r="C606" s="515"/>
      <c r="D606" s="515"/>
      <c r="E606" s="515"/>
      <c r="F606" s="515"/>
      <c r="G606" s="515"/>
      <c r="H606" s="515"/>
      <c r="I606" s="515"/>
      <c r="J606" s="515"/>
      <c r="K606" s="515"/>
      <c r="L606" s="515"/>
      <c r="M606" s="515"/>
      <c r="N606" s="515"/>
      <c r="O606" s="533"/>
      <c r="P606" s="786"/>
      <c r="Q606" s="787"/>
      <c r="R606" s="787"/>
      <c r="S606" s="787"/>
      <c r="T606" s="786"/>
      <c r="U606" s="787"/>
      <c r="V606" s="787"/>
      <c r="W606" s="787"/>
      <c r="X606" s="786"/>
      <c r="Y606" s="787"/>
      <c r="Z606" s="787"/>
      <c r="AA606" s="787"/>
      <c r="AB606" s="786"/>
      <c r="AC606" s="787"/>
      <c r="AD606" s="787"/>
      <c r="AE606" s="787"/>
      <c r="AF606" s="786"/>
      <c r="AG606" s="787"/>
      <c r="AH606" s="787"/>
      <c r="AI606" s="787"/>
      <c r="AJ606" s="786"/>
      <c r="AK606" s="787"/>
      <c r="AL606" s="787"/>
      <c r="AM606" s="787"/>
      <c r="AN606" s="786"/>
      <c r="AO606" s="787"/>
      <c r="AP606" s="787"/>
      <c r="AQ606" s="787"/>
      <c r="AR606" s="786"/>
      <c r="AS606" s="787"/>
      <c r="AT606" s="787"/>
      <c r="AU606" s="787"/>
      <c r="AV606" s="786"/>
      <c r="AW606" s="787"/>
      <c r="AX606" s="787"/>
      <c r="AY606" s="787"/>
      <c r="AZ606" s="780"/>
      <c r="BA606" s="780"/>
      <c r="BB606" s="780"/>
      <c r="BC606" s="780"/>
      <c r="BD606" s="541"/>
      <c r="BE606" s="541"/>
      <c r="BF606" s="541"/>
      <c r="BG606" s="541"/>
      <c r="BH606" s="780"/>
      <c r="BI606" s="780"/>
      <c r="BJ606" s="780"/>
      <c r="BK606" s="780"/>
      <c r="BL606" s="780"/>
      <c r="BM606" s="780"/>
    </row>
    <row r="607" ht="12.75" customHeight="1">
      <c r="A607" s="521"/>
      <c r="B607" s="521"/>
      <c r="C607" s="515"/>
      <c r="D607" s="515"/>
      <c r="E607" s="515"/>
      <c r="F607" s="515"/>
      <c r="G607" s="515"/>
      <c r="H607" s="515"/>
      <c r="I607" s="515"/>
      <c r="J607" s="515"/>
      <c r="K607" s="515"/>
      <c r="L607" s="515"/>
      <c r="M607" s="515"/>
      <c r="N607" s="515"/>
      <c r="O607" s="533"/>
      <c r="P607" s="786"/>
      <c r="Q607" s="787"/>
      <c r="R607" s="787"/>
      <c r="S607" s="787"/>
      <c r="T607" s="786"/>
      <c r="U607" s="787"/>
      <c r="V607" s="787"/>
      <c r="W607" s="787"/>
      <c r="X607" s="786"/>
      <c r="Y607" s="787"/>
      <c r="Z607" s="787"/>
      <c r="AA607" s="787"/>
      <c r="AB607" s="786"/>
      <c r="AC607" s="787"/>
      <c r="AD607" s="787"/>
      <c r="AE607" s="787"/>
      <c r="AF607" s="786"/>
      <c r="AG607" s="787"/>
      <c r="AH607" s="787"/>
      <c r="AI607" s="787"/>
      <c r="AJ607" s="786"/>
      <c r="AK607" s="787"/>
      <c r="AL607" s="787"/>
      <c r="AM607" s="787"/>
      <c r="AN607" s="786"/>
      <c r="AO607" s="787"/>
      <c r="AP607" s="787"/>
      <c r="AQ607" s="787"/>
      <c r="AR607" s="786"/>
      <c r="AS607" s="787"/>
      <c r="AT607" s="787"/>
      <c r="AU607" s="787"/>
      <c r="AV607" s="786"/>
      <c r="AW607" s="787"/>
      <c r="AX607" s="787"/>
      <c r="AY607" s="787"/>
      <c r="AZ607" s="780"/>
      <c r="BA607" s="780"/>
      <c r="BB607" s="780"/>
      <c r="BC607" s="780"/>
      <c r="BD607" s="541"/>
      <c r="BE607" s="541"/>
      <c r="BF607" s="541"/>
      <c r="BG607" s="541"/>
      <c r="BH607" s="780"/>
      <c r="BI607" s="780"/>
      <c r="BJ607" s="780"/>
      <c r="BK607" s="780"/>
      <c r="BL607" s="780"/>
      <c r="BM607" s="780"/>
    </row>
    <row r="608" ht="12.75" customHeight="1">
      <c r="A608" s="521"/>
      <c r="B608" s="521"/>
      <c r="C608" s="515"/>
      <c r="D608" s="515"/>
      <c r="E608" s="515"/>
      <c r="F608" s="515"/>
      <c r="G608" s="515"/>
      <c r="H608" s="515"/>
      <c r="I608" s="515"/>
      <c r="J608" s="515"/>
      <c r="K608" s="515"/>
      <c r="L608" s="515"/>
      <c r="M608" s="515"/>
      <c r="N608" s="515"/>
      <c r="O608" s="533"/>
      <c r="P608" s="786"/>
      <c r="Q608" s="787"/>
      <c r="R608" s="787"/>
      <c r="S608" s="787"/>
      <c r="T608" s="786"/>
      <c r="U608" s="787"/>
      <c r="V608" s="787"/>
      <c r="W608" s="787"/>
      <c r="X608" s="786"/>
      <c r="Y608" s="787"/>
      <c r="Z608" s="787"/>
      <c r="AA608" s="787"/>
      <c r="AB608" s="786"/>
      <c r="AC608" s="787"/>
      <c r="AD608" s="787"/>
      <c r="AE608" s="787"/>
      <c r="AF608" s="786"/>
      <c r="AG608" s="787"/>
      <c r="AH608" s="787"/>
      <c r="AI608" s="787"/>
      <c r="AJ608" s="786"/>
      <c r="AK608" s="787"/>
      <c r="AL608" s="787"/>
      <c r="AM608" s="787"/>
      <c r="AN608" s="786"/>
      <c r="AO608" s="787"/>
      <c r="AP608" s="787"/>
      <c r="AQ608" s="787"/>
      <c r="AR608" s="786"/>
      <c r="AS608" s="787"/>
      <c r="AT608" s="787"/>
      <c r="AU608" s="787"/>
      <c r="AV608" s="786"/>
      <c r="AW608" s="787"/>
      <c r="AX608" s="787"/>
      <c r="AY608" s="787"/>
      <c r="AZ608" s="780"/>
      <c r="BA608" s="780"/>
      <c r="BB608" s="780"/>
      <c r="BC608" s="780"/>
      <c r="BD608" s="541"/>
      <c r="BE608" s="541"/>
      <c r="BF608" s="541"/>
      <c r="BG608" s="541"/>
      <c r="BH608" s="780"/>
      <c r="BI608" s="780"/>
      <c r="BJ608" s="780"/>
      <c r="BK608" s="780"/>
      <c r="BL608" s="780"/>
      <c r="BM608" s="780"/>
    </row>
    <row r="609" ht="12.75" customHeight="1">
      <c r="A609" s="521"/>
      <c r="B609" s="521"/>
      <c r="C609" s="515"/>
      <c r="D609" s="515"/>
      <c r="E609" s="515"/>
      <c r="F609" s="515"/>
      <c r="G609" s="515"/>
      <c r="H609" s="515"/>
      <c r="I609" s="515"/>
      <c r="J609" s="515"/>
      <c r="K609" s="515"/>
      <c r="L609" s="515"/>
      <c r="M609" s="515"/>
      <c r="N609" s="515"/>
      <c r="O609" s="533"/>
      <c r="P609" s="786"/>
      <c r="Q609" s="787"/>
      <c r="R609" s="787"/>
      <c r="S609" s="787"/>
      <c r="T609" s="786"/>
      <c r="U609" s="787"/>
      <c r="V609" s="787"/>
      <c r="W609" s="787"/>
      <c r="X609" s="786"/>
      <c r="Y609" s="787"/>
      <c r="Z609" s="787"/>
      <c r="AA609" s="787"/>
      <c r="AB609" s="786"/>
      <c r="AC609" s="787"/>
      <c r="AD609" s="787"/>
      <c r="AE609" s="787"/>
      <c r="AF609" s="786"/>
      <c r="AG609" s="787"/>
      <c r="AH609" s="787"/>
      <c r="AI609" s="787"/>
      <c r="AJ609" s="786"/>
      <c r="AK609" s="787"/>
      <c r="AL609" s="787"/>
      <c r="AM609" s="787"/>
      <c r="AN609" s="786"/>
      <c r="AO609" s="787"/>
      <c r="AP609" s="787"/>
      <c r="AQ609" s="787"/>
      <c r="AR609" s="786"/>
      <c r="AS609" s="787"/>
      <c r="AT609" s="787"/>
      <c r="AU609" s="787"/>
      <c r="AV609" s="786"/>
      <c r="AW609" s="787"/>
      <c r="AX609" s="787"/>
      <c r="AY609" s="787"/>
      <c r="AZ609" s="780"/>
      <c r="BA609" s="780"/>
      <c r="BB609" s="780"/>
      <c r="BC609" s="780"/>
      <c r="BD609" s="541"/>
      <c r="BE609" s="541"/>
      <c r="BF609" s="541"/>
      <c r="BG609" s="541"/>
      <c r="BH609" s="780"/>
      <c r="BI609" s="780"/>
      <c r="BJ609" s="780"/>
      <c r="BK609" s="780"/>
      <c r="BL609" s="780"/>
      <c r="BM609" s="780"/>
    </row>
    <row r="610" ht="12.75" customHeight="1">
      <c r="A610" s="521"/>
      <c r="B610" s="521"/>
      <c r="C610" s="515"/>
      <c r="D610" s="515"/>
      <c r="E610" s="515"/>
      <c r="F610" s="515"/>
      <c r="G610" s="515"/>
      <c r="H610" s="515"/>
      <c r="I610" s="515"/>
      <c r="J610" s="515"/>
      <c r="K610" s="515"/>
      <c r="L610" s="515"/>
      <c r="M610" s="515"/>
      <c r="N610" s="515"/>
      <c r="O610" s="533"/>
      <c r="P610" s="786"/>
      <c r="Q610" s="787"/>
      <c r="R610" s="787"/>
      <c r="S610" s="787"/>
      <c r="T610" s="786"/>
      <c r="U610" s="787"/>
      <c r="V610" s="787"/>
      <c r="W610" s="787"/>
      <c r="X610" s="786"/>
      <c r="Y610" s="787"/>
      <c r="Z610" s="787"/>
      <c r="AA610" s="787"/>
      <c r="AB610" s="786"/>
      <c r="AC610" s="787"/>
      <c r="AD610" s="787"/>
      <c r="AE610" s="787"/>
      <c r="AF610" s="786"/>
      <c r="AG610" s="787"/>
      <c r="AH610" s="787"/>
      <c r="AI610" s="787"/>
      <c r="AJ610" s="786"/>
      <c r="AK610" s="787"/>
      <c r="AL610" s="787"/>
      <c r="AM610" s="787"/>
      <c r="AN610" s="786"/>
      <c r="AO610" s="787"/>
      <c r="AP610" s="787"/>
      <c r="AQ610" s="787"/>
      <c r="AR610" s="786"/>
      <c r="AS610" s="787"/>
      <c r="AT610" s="787"/>
      <c r="AU610" s="787"/>
      <c r="AV610" s="786"/>
      <c r="AW610" s="787"/>
      <c r="AX610" s="787"/>
      <c r="AY610" s="787"/>
      <c r="AZ610" s="780"/>
      <c r="BA610" s="780"/>
      <c r="BB610" s="780"/>
      <c r="BC610" s="780"/>
      <c r="BD610" s="541"/>
      <c r="BE610" s="541"/>
      <c r="BF610" s="541"/>
      <c r="BG610" s="541"/>
      <c r="BH610" s="780"/>
      <c r="BI610" s="780"/>
      <c r="BJ610" s="780"/>
      <c r="BK610" s="780"/>
      <c r="BL610" s="780"/>
      <c r="BM610" s="780"/>
    </row>
    <row r="611" ht="12.75" customHeight="1">
      <c r="A611" s="521"/>
      <c r="B611" s="521"/>
      <c r="C611" s="515"/>
      <c r="D611" s="515"/>
      <c r="E611" s="515"/>
      <c r="F611" s="515"/>
      <c r="G611" s="515"/>
      <c r="H611" s="515"/>
      <c r="I611" s="515"/>
      <c r="J611" s="515"/>
      <c r="K611" s="515"/>
      <c r="L611" s="515"/>
      <c r="M611" s="515"/>
      <c r="N611" s="515"/>
      <c r="O611" s="533"/>
      <c r="P611" s="786"/>
      <c r="Q611" s="787"/>
      <c r="R611" s="787"/>
      <c r="S611" s="787"/>
      <c r="T611" s="786"/>
      <c r="U611" s="787"/>
      <c r="V611" s="787"/>
      <c r="W611" s="787"/>
      <c r="X611" s="786"/>
      <c r="Y611" s="787"/>
      <c r="Z611" s="787"/>
      <c r="AA611" s="787"/>
      <c r="AB611" s="786"/>
      <c r="AC611" s="787"/>
      <c r="AD611" s="787"/>
      <c r="AE611" s="787"/>
      <c r="AF611" s="786"/>
      <c r="AG611" s="787"/>
      <c r="AH611" s="787"/>
      <c r="AI611" s="787"/>
      <c r="AJ611" s="786"/>
      <c r="AK611" s="787"/>
      <c r="AL611" s="787"/>
      <c r="AM611" s="787"/>
      <c r="AN611" s="786"/>
      <c r="AO611" s="787"/>
      <c r="AP611" s="787"/>
      <c r="AQ611" s="787"/>
      <c r="AR611" s="786"/>
      <c r="AS611" s="787"/>
      <c r="AT611" s="787"/>
      <c r="AU611" s="787"/>
      <c r="AV611" s="786"/>
      <c r="AW611" s="787"/>
      <c r="AX611" s="787"/>
      <c r="AY611" s="787"/>
      <c r="AZ611" s="780"/>
      <c r="BA611" s="780"/>
      <c r="BB611" s="780"/>
      <c r="BC611" s="780"/>
      <c r="BD611" s="541"/>
      <c r="BE611" s="541"/>
      <c r="BF611" s="541"/>
      <c r="BG611" s="541"/>
      <c r="BH611" s="780"/>
      <c r="BI611" s="780"/>
      <c r="BJ611" s="780"/>
      <c r="BK611" s="780"/>
      <c r="BL611" s="780"/>
      <c r="BM611" s="780"/>
    </row>
    <row r="612" ht="12.75" customHeight="1">
      <c r="A612" s="521"/>
      <c r="B612" s="521"/>
      <c r="C612" s="515"/>
      <c r="D612" s="515"/>
      <c r="E612" s="515"/>
      <c r="F612" s="515"/>
      <c r="G612" s="515"/>
      <c r="H612" s="515"/>
      <c r="I612" s="515"/>
      <c r="J612" s="515"/>
      <c r="K612" s="515"/>
      <c r="L612" s="515"/>
      <c r="M612" s="515"/>
      <c r="N612" s="515"/>
      <c r="O612" s="533"/>
      <c r="P612" s="786"/>
      <c r="Q612" s="787"/>
      <c r="R612" s="787"/>
      <c r="S612" s="787"/>
      <c r="T612" s="786"/>
      <c r="U612" s="787"/>
      <c r="V612" s="787"/>
      <c r="W612" s="787"/>
      <c r="X612" s="786"/>
      <c r="Y612" s="787"/>
      <c r="Z612" s="787"/>
      <c r="AA612" s="787"/>
      <c r="AB612" s="786"/>
      <c r="AC612" s="787"/>
      <c r="AD612" s="787"/>
      <c r="AE612" s="787"/>
      <c r="AF612" s="786"/>
      <c r="AG612" s="787"/>
      <c r="AH612" s="787"/>
      <c r="AI612" s="787"/>
      <c r="AJ612" s="786"/>
      <c r="AK612" s="787"/>
      <c r="AL612" s="787"/>
      <c r="AM612" s="787"/>
      <c r="AN612" s="786"/>
      <c r="AO612" s="787"/>
      <c r="AP612" s="787"/>
      <c r="AQ612" s="787"/>
      <c r="AR612" s="786"/>
      <c r="AS612" s="787"/>
      <c r="AT612" s="787"/>
      <c r="AU612" s="787"/>
      <c r="AV612" s="786"/>
      <c r="AW612" s="787"/>
      <c r="AX612" s="787"/>
      <c r="AY612" s="787"/>
      <c r="AZ612" s="780"/>
      <c r="BA612" s="780"/>
      <c r="BB612" s="780"/>
      <c r="BC612" s="780"/>
      <c r="BD612" s="541"/>
      <c r="BE612" s="541"/>
      <c r="BF612" s="541"/>
      <c r="BG612" s="541"/>
      <c r="BH612" s="780"/>
      <c r="BI612" s="780"/>
      <c r="BJ612" s="780"/>
      <c r="BK612" s="780"/>
      <c r="BL612" s="780"/>
      <c r="BM612" s="780"/>
    </row>
    <row r="613" ht="12.75" customHeight="1">
      <c r="A613" s="521"/>
      <c r="B613" s="521"/>
      <c r="C613" s="515"/>
      <c r="D613" s="515"/>
      <c r="E613" s="515"/>
      <c r="F613" s="515"/>
      <c r="G613" s="515"/>
      <c r="H613" s="515"/>
      <c r="I613" s="515"/>
      <c r="J613" s="515"/>
      <c r="K613" s="515"/>
      <c r="L613" s="515"/>
      <c r="M613" s="515"/>
      <c r="N613" s="515"/>
      <c r="O613" s="533"/>
      <c r="P613" s="786"/>
      <c r="Q613" s="787"/>
      <c r="R613" s="787"/>
      <c r="S613" s="787"/>
      <c r="T613" s="786"/>
      <c r="U613" s="787"/>
      <c r="V613" s="787"/>
      <c r="W613" s="787"/>
      <c r="X613" s="786"/>
      <c r="Y613" s="787"/>
      <c r="Z613" s="787"/>
      <c r="AA613" s="787"/>
      <c r="AB613" s="786"/>
      <c r="AC613" s="787"/>
      <c r="AD613" s="787"/>
      <c r="AE613" s="787"/>
      <c r="AF613" s="786"/>
      <c r="AG613" s="787"/>
      <c r="AH613" s="787"/>
      <c r="AI613" s="787"/>
      <c r="AJ613" s="786"/>
      <c r="AK613" s="787"/>
      <c r="AL613" s="787"/>
      <c r="AM613" s="787"/>
      <c r="AN613" s="786"/>
      <c r="AO613" s="787"/>
      <c r="AP613" s="787"/>
      <c r="AQ613" s="787"/>
      <c r="AR613" s="786"/>
      <c r="AS613" s="787"/>
      <c r="AT613" s="787"/>
      <c r="AU613" s="787"/>
      <c r="AV613" s="786"/>
      <c r="AW613" s="787"/>
      <c r="AX613" s="787"/>
      <c r="AY613" s="787"/>
      <c r="AZ613" s="780"/>
      <c r="BA613" s="780"/>
      <c r="BB613" s="780"/>
      <c r="BC613" s="780"/>
      <c r="BD613" s="541"/>
      <c r="BE613" s="541"/>
      <c r="BF613" s="541"/>
      <c r="BG613" s="541"/>
      <c r="BH613" s="780"/>
      <c r="BI613" s="780"/>
      <c r="BJ613" s="780"/>
      <c r="BK613" s="780"/>
      <c r="BL613" s="780"/>
      <c r="BM613" s="780"/>
    </row>
    <row r="614" ht="12.75" customHeight="1">
      <c r="A614" s="521"/>
      <c r="B614" s="521"/>
      <c r="C614" s="515"/>
      <c r="D614" s="515"/>
      <c r="E614" s="515"/>
      <c r="F614" s="515"/>
      <c r="G614" s="515"/>
      <c r="H614" s="515"/>
      <c r="I614" s="515"/>
      <c r="J614" s="515"/>
      <c r="K614" s="515"/>
      <c r="L614" s="515"/>
      <c r="M614" s="515"/>
      <c r="N614" s="515"/>
      <c r="O614" s="533"/>
      <c r="P614" s="786"/>
      <c r="Q614" s="787"/>
      <c r="R614" s="787"/>
      <c r="S614" s="787"/>
      <c r="T614" s="786"/>
      <c r="U614" s="787"/>
      <c r="V614" s="787"/>
      <c r="W614" s="787"/>
      <c r="X614" s="786"/>
      <c r="Y614" s="787"/>
      <c r="Z614" s="787"/>
      <c r="AA614" s="787"/>
      <c r="AB614" s="786"/>
      <c r="AC614" s="787"/>
      <c r="AD614" s="787"/>
      <c r="AE614" s="787"/>
      <c r="AF614" s="786"/>
      <c r="AG614" s="787"/>
      <c r="AH614" s="787"/>
      <c r="AI614" s="787"/>
      <c r="AJ614" s="786"/>
      <c r="AK614" s="787"/>
      <c r="AL614" s="787"/>
      <c r="AM614" s="787"/>
      <c r="AN614" s="786"/>
      <c r="AO614" s="787"/>
      <c r="AP614" s="787"/>
      <c r="AQ614" s="787"/>
      <c r="AR614" s="786"/>
      <c r="AS614" s="787"/>
      <c r="AT614" s="787"/>
      <c r="AU614" s="787"/>
      <c r="AV614" s="786"/>
      <c r="AW614" s="787"/>
      <c r="AX614" s="787"/>
      <c r="AY614" s="787"/>
      <c r="AZ614" s="780"/>
      <c r="BA614" s="780"/>
      <c r="BB614" s="780"/>
      <c r="BC614" s="780"/>
      <c r="BD614" s="541"/>
      <c r="BE614" s="541"/>
      <c r="BF614" s="541"/>
      <c r="BG614" s="541"/>
      <c r="BH614" s="780"/>
      <c r="BI614" s="780"/>
      <c r="BJ614" s="780"/>
      <c r="BK614" s="780"/>
      <c r="BL614" s="780"/>
      <c r="BM614" s="780"/>
    </row>
    <row r="615" ht="12.75" customHeight="1">
      <c r="A615" s="521"/>
      <c r="B615" s="521"/>
      <c r="C615" s="515"/>
      <c r="D615" s="515"/>
      <c r="E615" s="515"/>
      <c r="F615" s="515"/>
      <c r="G615" s="515"/>
      <c r="H615" s="515"/>
      <c r="I615" s="515"/>
      <c r="J615" s="515"/>
      <c r="K615" s="515"/>
      <c r="L615" s="515"/>
      <c r="M615" s="515"/>
      <c r="N615" s="515"/>
      <c r="O615" s="533"/>
      <c r="P615" s="786"/>
      <c r="Q615" s="787"/>
      <c r="R615" s="787"/>
      <c r="S615" s="787"/>
      <c r="T615" s="786"/>
      <c r="U615" s="787"/>
      <c r="V615" s="787"/>
      <c r="W615" s="787"/>
      <c r="X615" s="786"/>
      <c r="Y615" s="787"/>
      <c r="Z615" s="787"/>
      <c r="AA615" s="787"/>
      <c r="AB615" s="786"/>
      <c r="AC615" s="787"/>
      <c r="AD615" s="787"/>
      <c r="AE615" s="787"/>
      <c r="AF615" s="786"/>
      <c r="AG615" s="787"/>
      <c r="AH615" s="787"/>
      <c r="AI615" s="787"/>
      <c r="AJ615" s="786"/>
      <c r="AK615" s="787"/>
      <c r="AL615" s="787"/>
      <c r="AM615" s="787"/>
      <c r="AN615" s="786"/>
      <c r="AO615" s="787"/>
      <c r="AP615" s="787"/>
      <c r="AQ615" s="787"/>
      <c r="AR615" s="786"/>
      <c r="AS615" s="787"/>
      <c r="AT615" s="787"/>
      <c r="AU615" s="787"/>
      <c r="AV615" s="786"/>
      <c r="AW615" s="787"/>
      <c r="AX615" s="787"/>
      <c r="AY615" s="787"/>
      <c r="AZ615" s="780"/>
      <c r="BA615" s="780"/>
      <c r="BB615" s="780"/>
      <c r="BC615" s="780"/>
      <c r="BD615" s="541"/>
      <c r="BE615" s="541"/>
      <c r="BF615" s="541"/>
      <c r="BG615" s="541"/>
      <c r="BH615" s="780"/>
      <c r="BI615" s="780"/>
      <c r="BJ615" s="780"/>
      <c r="BK615" s="780"/>
      <c r="BL615" s="780"/>
      <c r="BM615" s="780"/>
    </row>
    <row r="616" ht="12.75" customHeight="1">
      <c r="A616" s="521"/>
      <c r="B616" s="521"/>
      <c r="C616" s="515"/>
      <c r="D616" s="515"/>
      <c r="E616" s="515"/>
      <c r="F616" s="515"/>
      <c r="G616" s="515"/>
      <c r="H616" s="515"/>
      <c r="I616" s="515"/>
      <c r="J616" s="515"/>
      <c r="K616" s="515"/>
      <c r="L616" s="515"/>
      <c r="M616" s="515"/>
      <c r="N616" s="515"/>
      <c r="O616" s="533"/>
      <c r="P616" s="786"/>
      <c r="Q616" s="787"/>
      <c r="R616" s="787"/>
      <c r="S616" s="787"/>
      <c r="T616" s="786"/>
      <c r="U616" s="787"/>
      <c r="V616" s="787"/>
      <c r="W616" s="787"/>
      <c r="X616" s="786"/>
      <c r="Y616" s="787"/>
      <c r="Z616" s="787"/>
      <c r="AA616" s="787"/>
      <c r="AB616" s="786"/>
      <c r="AC616" s="787"/>
      <c r="AD616" s="787"/>
      <c r="AE616" s="787"/>
      <c r="AF616" s="786"/>
      <c r="AG616" s="787"/>
      <c r="AH616" s="787"/>
      <c r="AI616" s="787"/>
      <c r="AJ616" s="786"/>
      <c r="AK616" s="787"/>
      <c r="AL616" s="787"/>
      <c r="AM616" s="787"/>
      <c r="AN616" s="786"/>
      <c r="AO616" s="787"/>
      <c r="AP616" s="787"/>
      <c r="AQ616" s="787"/>
      <c r="AR616" s="786"/>
      <c r="AS616" s="787"/>
      <c r="AT616" s="787"/>
      <c r="AU616" s="787"/>
      <c r="AV616" s="786"/>
      <c r="AW616" s="787"/>
      <c r="AX616" s="787"/>
      <c r="AY616" s="787"/>
      <c r="AZ616" s="780"/>
      <c r="BA616" s="780"/>
      <c r="BB616" s="780"/>
      <c r="BC616" s="780"/>
      <c r="BD616" s="541"/>
      <c r="BE616" s="541"/>
      <c r="BF616" s="541"/>
      <c r="BG616" s="541"/>
      <c r="BH616" s="780"/>
      <c r="BI616" s="780"/>
      <c r="BJ616" s="780"/>
      <c r="BK616" s="780"/>
      <c r="BL616" s="780"/>
      <c r="BM616" s="780"/>
    </row>
    <row r="617" ht="12.75" customHeight="1">
      <c r="A617" s="521"/>
      <c r="B617" s="521"/>
      <c r="C617" s="515"/>
      <c r="D617" s="515"/>
      <c r="E617" s="515"/>
      <c r="F617" s="515"/>
      <c r="G617" s="515"/>
      <c r="H617" s="515"/>
      <c r="I617" s="515"/>
      <c r="J617" s="515"/>
      <c r="K617" s="515"/>
      <c r="L617" s="515"/>
      <c r="M617" s="515"/>
      <c r="N617" s="515"/>
      <c r="O617" s="533"/>
      <c r="P617" s="786"/>
      <c r="Q617" s="787"/>
      <c r="R617" s="787"/>
      <c r="S617" s="787"/>
      <c r="T617" s="786"/>
      <c r="U617" s="787"/>
      <c r="V617" s="787"/>
      <c r="W617" s="787"/>
      <c r="X617" s="786"/>
      <c r="Y617" s="787"/>
      <c r="Z617" s="787"/>
      <c r="AA617" s="787"/>
      <c r="AB617" s="786"/>
      <c r="AC617" s="787"/>
      <c r="AD617" s="787"/>
      <c r="AE617" s="787"/>
      <c r="AF617" s="786"/>
      <c r="AG617" s="787"/>
      <c r="AH617" s="787"/>
      <c r="AI617" s="787"/>
      <c r="AJ617" s="786"/>
      <c r="AK617" s="787"/>
      <c r="AL617" s="787"/>
      <c r="AM617" s="787"/>
      <c r="AN617" s="786"/>
      <c r="AO617" s="787"/>
      <c r="AP617" s="787"/>
      <c r="AQ617" s="787"/>
      <c r="AR617" s="786"/>
      <c r="AS617" s="787"/>
      <c r="AT617" s="787"/>
      <c r="AU617" s="787"/>
      <c r="AV617" s="786"/>
      <c r="AW617" s="787"/>
      <c r="AX617" s="787"/>
      <c r="AY617" s="787"/>
      <c r="AZ617" s="780"/>
      <c r="BA617" s="780"/>
      <c r="BB617" s="780"/>
      <c r="BC617" s="780"/>
      <c r="BD617" s="541"/>
      <c r="BE617" s="541"/>
      <c r="BF617" s="541"/>
      <c r="BG617" s="541"/>
      <c r="BH617" s="780"/>
      <c r="BI617" s="780"/>
      <c r="BJ617" s="780"/>
      <c r="BK617" s="780"/>
      <c r="BL617" s="780"/>
      <c r="BM617" s="780"/>
    </row>
    <row r="618" ht="12.75" customHeight="1">
      <c r="A618" s="521"/>
      <c r="B618" s="521"/>
      <c r="C618" s="515"/>
      <c r="D618" s="515"/>
      <c r="E618" s="515"/>
      <c r="F618" s="515"/>
      <c r="G618" s="515"/>
      <c r="H618" s="515"/>
      <c r="I618" s="515"/>
      <c r="J618" s="515"/>
      <c r="K618" s="515"/>
      <c r="L618" s="515"/>
      <c r="M618" s="515"/>
      <c r="N618" s="515"/>
      <c r="O618" s="533"/>
      <c r="P618" s="786"/>
      <c r="Q618" s="787"/>
      <c r="R618" s="787"/>
      <c r="S618" s="787"/>
      <c r="T618" s="786"/>
      <c r="U618" s="787"/>
      <c r="V618" s="787"/>
      <c r="W618" s="787"/>
      <c r="X618" s="786"/>
      <c r="Y618" s="787"/>
      <c r="Z618" s="787"/>
      <c r="AA618" s="787"/>
      <c r="AB618" s="786"/>
      <c r="AC618" s="787"/>
      <c r="AD618" s="787"/>
      <c r="AE618" s="787"/>
      <c r="AF618" s="786"/>
      <c r="AG618" s="787"/>
      <c r="AH618" s="787"/>
      <c r="AI618" s="787"/>
      <c r="AJ618" s="786"/>
      <c r="AK618" s="787"/>
      <c r="AL618" s="787"/>
      <c r="AM618" s="787"/>
      <c r="AN618" s="786"/>
      <c r="AO618" s="787"/>
      <c r="AP618" s="787"/>
      <c r="AQ618" s="787"/>
      <c r="AR618" s="786"/>
      <c r="AS618" s="787"/>
      <c r="AT618" s="787"/>
      <c r="AU618" s="787"/>
      <c r="AV618" s="786"/>
      <c r="AW618" s="787"/>
      <c r="AX618" s="787"/>
      <c r="AY618" s="787"/>
      <c r="AZ618" s="780"/>
      <c r="BA618" s="780"/>
      <c r="BB618" s="780"/>
      <c r="BC618" s="780"/>
      <c r="BD618" s="541"/>
      <c r="BE618" s="541"/>
      <c r="BF618" s="541"/>
      <c r="BG618" s="541"/>
      <c r="BH618" s="780"/>
      <c r="BI618" s="780"/>
      <c r="BJ618" s="780"/>
      <c r="BK618" s="780"/>
      <c r="BL618" s="780"/>
      <c r="BM618" s="780"/>
    </row>
    <row r="619" ht="12.75" customHeight="1">
      <c r="A619" s="521"/>
      <c r="B619" s="521"/>
      <c r="C619" s="515"/>
      <c r="D619" s="515"/>
      <c r="E619" s="515"/>
      <c r="F619" s="515"/>
      <c r="G619" s="515"/>
      <c r="H619" s="515"/>
      <c r="I619" s="515"/>
      <c r="J619" s="515"/>
      <c r="K619" s="515"/>
      <c r="L619" s="515"/>
      <c r="M619" s="515"/>
      <c r="N619" s="515"/>
      <c r="O619" s="533"/>
      <c r="P619" s="786"/>
      <c r="Q619" s="787"/>
      <c r="R619" s="787"/>
      <c r="S619" s="787"/>
      <c r="T619" s="786"/>
      <c r="U619" s="787"/>
      <c r="V619" s="787"/>
      <c r="W619" s="787"/>
      <c r="X619" s="786"/>
      <c r="Y619" s="787"/>
      <c r="Z619" s="787"/>
      <c r="AA619" s="787"/>
      <c r="AB619" s="786"/>
      <c r="AC619" s="787"/>
      <c r="AD619" s="787"/>
      <c r="AE619" s="787"/>
      <c r="AF619" s="786"/>
      <c r="AG619" s="787"/>
      <c r="AH619" s="787"/>
      <c r="AI619" s="787"/>
      <c r="AJ619" s="786"/>
      <c r="AK619" s="787"/>
      <c r="AL619" s="787"/>
      <c r="AM619" s="787"/>
      <c r="AN619" s="786"/>
      <c r="AO619" s="787"/>
      <c r="AP619" s="787"/>
      <c r="AQ619" s="787"/>
      <c r="AR619" s="786"/>
      <c r="AS619" s="787"/>
      <c r="AT619" s="787"/>
      <c r="AU619" s="787"/>
      <c r="AV619" s="786"/>
      <c r="AW619" s="787"/>
      <c r="AX619" s="787"/>
      <c r="AY619" s="787"/>
      <c r="AZ619" s="780"/>
      <c r="BA619" s="780"/>
      <c r="BB619" s="780"/>
      <c r="BC619" s="780"/>
      <c r="BD619" s="541"/>
      <c r="BE619" s="541"/>
      <c r="BF619" s="541"/>
      <c r="BG619" s="541"/>
      <c r="BH619" s="780"/>
      <c r="BI619" s="780"/>
      <c r="BJ619" s="780"/>
      <c r="BK619" s="780"/>
      <c r="BL619" s="780"/>
      <c r="BM619" s="780"/>
    </row>
    <row r="620" ht="12.75" customHeight="1">
      <c r="A620" s="521"/>
      <c r="B620" s="521"/>
      <c r="C620" s="515"/>
      <c r="D620" s="515"/>
      <c r="E620" s="515"/>
      <c r="F620" s="515"/>
      <c r="G620" s="515"/>
      <c r="H620" s="515"/>
      <c r="I620" s="515"/>
      <c r="J620" s="515"/>
      <c r="K620" s="515"/>
      <c r="L620" s="515"/>
      <c r="M620" s="515"/>
      <c r="N620" s="515"/>
      <c r="O620" s="533"/>
      <c r="P620" s="786"/>
      <c r="Q620" s="787"/>
      <c r="R620" s="787"/>
      <c r="S620" s="787"/>
      <c r="T620" s="786"/>
      <c r="U620" s="787"/>
      <c r="V620" s="787"/>
      <c r="W620" s="787"/>
      <c r="X620" s="786"/>
      <c r="Y620" s="787"/>
      <c r="Z620" s="787"/>
      <c r="AA620" s="787"/>
      <c r="AB620" s="786"/>
      <c r="AC620" s="787"/>
      <c r="AD620" s="787"/>
      <c r="AE620" s="787"/>
      <c r="AF620" s="786"/>
      <c r="AG620" s="787"/>
      <c r="AH620" s="787"/>
      <c r="AI620" s="787"/>
      <c r="AJ620" s="786"/>
      <c r="AK620" s="787"/>
      <c r="AL620" s="787"/>
      <c r="AM620" s="787"/>
      <c r="AN620" s="786"/>
      <c r="AO620" s="787"/>
      <c r="AP620" s="787"/>
      <c r="AQ620" s="787"/>
      <c r="AR620" s="786"/>
      <c r="AS620" s="787"/>
      <c r="AT620" s="787"/>
      <c r="AU620" s="787"/>
      <c r="AV620" s="786"/>
      <c r="AW620" s="787"/>
      <c r="AX620" s="787"/>
      <c r="AY620" s="787"/>
      <c r="AZ620" s="780"/>
      <c r="BA620" s="780"/>
      <c r="BB620" s="780"/>
      <c r="BC620" s="780"/>
      <c r="BD620" s="541"/>
      <c r="BE620" s="541"/>
      <c r="BF620" s="541"/>
      <c r="BG620" s="541"/>
      <c r="BH620" s="780"/>
      <c r="BI620" s="780"/>
      <c r="BJ620" s="780"/>
      <c r="BK620" s="780"/>
      <c r="BL620" s="780"/>
      <c r="BM620" s="780"/>
    </row>
    <row r="621" ht="12.75" customHeight="1">
      <c r="A621" s="521"/>
      <c r="B621" s="521"/>
      <c r="C621" s="515"/>
      <c r="D621" s="515"/>
      <c r="E621" s="515"/>
      <c r="F621" s="515"/>
      <c r="G621" s="515"/>
      <c r="H621" s="515"/>
      <c r="I621" s="515"/>
      <c r="J621" s="515"/>
      <c r="K621" s="515"/>
      <c r="L621" s="515"/>
      <c r="M621" s="515"/>
      <c r="N621" s="515"/>
      <c r="O621" s="533"/>
      <c r="P621" s="786"/>
      <c r="Q621" s="787"/>
      <c r="R621" s="787"/>
      <c r="S621" s="787"/>
      <c r="T621" s="786"/>
      <c r="U621" s="787"/>
      <c r="V621" s="787"/>
      <c r="W621" s="787"/>
      <c r="X621" s="786"/>
      <c r="Y621" s="787"/>
      <c r="Z621" s="787"/>
      <c r="AA621" s="787"/>
      <c r="AB621" s="786"/>
      <c r="AC621" s="787"/>
      <c r="AD621" s="787"/>
      <c r="AE621" s="787"/>
      <c r="AF621" s="786"/>
      <c r="AG621" s="787"/>
      <c r="AH621" s="787"/>
      <c r="AI621" s="787"/>
      <c r="AJ621" s="786"/>
      <c r="AK621" s="787"/>
      <c r="AL621" s="787"/>
      <c r="AM621" s="787"/>
      <c r="AN621" s="786"/>
      <c r="AO621" s="787"/>
      <c r="AP621" s="787"/>
      <c r="AQ621" s="787"/>
      <c r="AR621" s="786"/>
      <c r="AS621" s="787"/>
      <c r="AT621" s="787"/>
      <c r="AU621" s="787"/>
      <c r="AV621" s="786"/>
      <c r="AW621" s="787"/>
      <c r="AX621" s="787"/>
      <c r="AY621" s="787"/>
      <c r="AZ621" s="780"/>
      <c r="BA621" s="780"/>
      <c r="BB621" s="780"/>
      <c r="BC621" s="780"/>
      <c r="BD621" s="541"/>
      <c r="BE621" s="541"/>
      <c r="BF621" s="541"/>
      <c r="BG621" s="541"/>
      <c r="BH621" s="780"/>
      <c r="BI621" s="780"/>
      <c r="BJ621" s="780"/>
      <c r="BK621" s="780"/>
      <c r="BL621" s="780"/>
      <c r="BM621" s="780"/>
    </row>
    <row r="622" ht="12.75" customHeight="1">
      <c r="A622" s="521"/>
      <c r="B622" s="521"/>
      <c r="C622" s="515"/>
      <c r="D622" s="515"/>
      <c r="E622" s="515"/>
      <c r="F622" s="515"/>
      <c r="G622" s="515"/>
      <c r="H622" s="515"/>
      <c r="I622" s="515"/>
      <c r="J622" s="515"/>
      <c r="K622" s="515"/>
      <c r="L622" s="515"/>
      <c r="M622" s="515"/>
      <c r="N622" s="515"/>
      <c r="O622" s="533"/>
      <c r="P622" s="786"/>
      <c r="Q622" s="787"/>
      <c r="R622" s="787"/>
      <c r="S622" s="787"/>
      <c r="T622" s="786"/>
      <c r="U622" s="787"/>
      <c r="V622" s="787"/>
      <c r="W622" s="787"/>
      <c r="X622" s="786"/>
      <c r="Y622" s="787"/>
      <c r="Z622" s="787"/>
      <c r="AA622" s="787"/>
      <c r="AB622" s="786"/>
      <c r="AC622" s="787"/>
      <c r="AD622" s="787"/>
      <c r="AE622" s="787"/>
      <c r="AF622" s="786"/>
      <c r="AG622" s="787"/>
      <c r="AH622" s="787"/>
      <c r="AI622" s="787"/>
      <c r="AJ622" s="786"/>
      <c r="AK622" s="787"/>
      <c r="AL622" s="787"/>
      <c r="AM622" s="787"/>
      <c r="AN622" s="786"/>
      <c r="AO622" s="787"/>
      <c r="AP622" s="787"/>
      <c r="AQ622" s="787"/>
      <c r="AR622" s="786"/>
      <c r="AS622" s="787"/>
      <c r="AT622" s="787"/>
      <c r="AU622" s="787"/>
      <c r="AV622" s="786"/>
      <c r="AW622" s="787"/>
      <c r="AX622" s="787"/>
      <c r="AY622" s="787"/>
      <c r="AZ622" s="780"/>
      <c r="BA622" s="780"/>
      <c r="BB622" s="780"/>
      <c r="BC622" s="780"/>
      <c r="BD622" s="541"/>
      <c r="BE622" s="541"/>
      <c r="BF622" s="541"/>
      <c r="BG622" s="541"/>
      <c r="BH622" s="780"/>
      <c r="BI622" s="780"/>
      <c r="BJ622" s="780"/>
      <c r="BK622" s="780"/>
      <c r="BL622" s="780"/>
      <c r="BM622" s="780"/>
    </row>
    <row r="623" ht="12.75" customHeight="1">
      <c r="A623" s="521"/>
      <c r="B623" s="521"/>
      <c r="C623" s="515"/>
      <c r="D623" s="515"/>
      <c r="E623" s="515"/>
      <c r="F623" s="515"/>
      <c r="G623" s="515"/>
      <c r="H623" s="515"/>
      <c r="I623" s="515"/>
      <c r="J623" s="515"/>
      <c r="K623" s="515"/>
      <c r="L623" s="515"/>
      <c r="M623" s="515"/>
      <c r="N623" s="515"/>
      <c r="O623" s="533"/>
      <c r="P623" s="786"/>
      <c r="Q623" s="787"/>
      <c r="R623" s="787"/>
      <c r="S623" s="787"/>
      <c r="T623" s="786"/>
      <c r="U623" s="787"/>
      <c r="V623" s="787"/>
      <c r="W623" s="787"/>
      <c r="X623" s="786"/>
      <c r="Y623" s="787"/>
      <c r="Z623" s="787"/>
      <c r="AA623" s="787"/>
      <c r="AB623" s="786"/>
      <c r="AC623" s="787"/>
      <c r="AD623" s="787"/>
      <c r="AE623" s="787"/>
      <c r="AF623" s="786"/>
      <c r="AG623" s="787"/>
      <c r="AH623" s="787"/>
      <c r="AI623" s="787"/>
      <c r="AJ623" s="786"/>
      <c r="AK623" s="787"/>
      <c r="AL623" s="787"/>
      <c r="AM623" s="787"/>
      <c r="AN623" s="786"/>
      <c r="AO623" s="787"/>
      <c r="AP623" s="787"/>
      <c r="AQ623" s="787"/>
      <c r="AR623" s="786"/>
      <c r="AS623" s="787"/>
      <c r="AT623" s="787"/>
      <c r="AU623" s="787"/>
      <c r="AV623" s="786"/>
      <c r="AW623" s="787"/>
      <c r="AX623" s="787"/>
      <c r="AY623" s="787"/>
      <c r="AZ623" s="780"/>
      <c r="BA623" s="780"/>
      <c r="BB623" s="780"/>
      <c r="BC623" s="780"/>
      <c r="BD623" s="541"/>
      <c r="BE623" s="541"/>
      <c r="BF623" s="541"/>
      <c r="BG623" s="541"/>
      <c r="BH623" s="780"/>
      <c r="BI623" s="780"/>
      <c r="BJ623" s="780"/>
      <c r="BK623" s="780"/>
      <c r="BL623" s="780"/>
      <c r="BM623" s="780"/>
    </row>
    <row r="624" ht="12.75" customHeight="1">
      <c r="A624" s="521"/>
      <c r="B624" s="521"/>
      <c r="C624" s="515"/>
      <c r="D624" s="515"/>
      <c r="E624" s="515"/>
      <c r="F624" s="515"/>
      <c r="G624" s="515"/>
      <c r="H624" s="515"/>
      <c r="I624" s="515"/>
      <c r="J624" s="515"/>
      <c r="K624" s="515"/>
      <c r="L624" s="515"/>
      <c r="M624" s="515"/>
      <c r="N624" s="515"/>
      <c r="O624" s="533"/>
      <c r="P624" s="786"/>
      <c r="Q624" s="787"/>
      <c r="R624" s="787"/>
      <c r="S624" s="787"/>
      <c r="T624" s="786"/>
      <c r="U624" s="787"/>
      <c r="V624" s="787"/>
      <c r="W624" s="787"/>
      <c r="X624" s="786"/>
      <c r="Y624" s="787"/>
      <c r="Z624" s="787"/>
      <c r="AA624" s="787"/>
      <c r="AB624" s="786"/>
      <c r="AC624" s="787"/>
      <c r="AD624" s="787"/>
      <c r="AE624" s="787"/>
      <c r="AF624" s="786"/>
      <c r="AG624" s="787"/>
      <c r="AH624" s="787"/>
      <c r="AI624" s="787"/>
      <c r="AJ624" s="786"/>
      <c r="AK624" s="787"/>
      <c r="AL624" s="787"/>
      <c r="AM624" s="787"/>
      <c r="AN624" s="786"/>
      <c r="AO624" s="787"/>
      <c r="AP624" s="787"/>
      <c r="AQ624" s="787"/>
      <c r="AR624" s="786"/>
      <c r="AS624" s="787"/>
      <c r="AT624" s="787"/>
      <c r="AU624" s="787"/>
      <c r="AV624" s="786"/>
      <c r="AW624" s="787"/>
      <c r="AX624" s="787"/>
      <c r="AY624" s="787"/>
      <c r="AZ624" s="780"/>
      <c r="BA624" s="780"/>
      <c r="BB624" s="780"/>
      <c r="BC624" s="780"/>
      <c r="BD624" s="541"/>
      <c r="BE624" s="541"/>
      <c r="BF624" s="541"/>
      <c r="BG624" s="541"/>
      <c r="BH624" s="780"/>
      <c r="BI624" s="780"/>
      <c r="BJ624" s="780"/>
      <c r="BK624" s="780"/>
      <c r="BL624" s="780"/>
      <c r="BM624" s="780"/>
    </row>
    <row r="625" ht="12.75" customHeight="1">
      <c r="A625" s="521"/>
      <c r="B625" s="521"/>
      <c r="C625" s="515"/>
      <c r="D625" s="515"/>
      <c r="E625" s="515"/>
      <c r="F625" s="515"/>
      <c r="G625" s="515"/>
      <c r="H625" s="515"/>
      <c r="I625" s="515"/>
      <c r="J625" s="515"/>
      <c r="K625" s="515"/>
      <c r="L625" s="515"/>
      <c r="M625" s="515"/>
      <c r="N625" s="515"/>
      <c r="O625" s="533"/>
      <c r="P625" s="786"/>
      <c r="Q625" s="787"/>
      <c r="R625" s="787"/>
      <c r="S625" s="787"/>
      <c r="T625" s="786"/>
      <c r="U625" s="787"/>
      <c r="V625" s="787"/>
      <c r="W625" s="787"/>
      <c r="X625" s="786"/>
      <c r="Y625" s="787"/>
      <c r="Z625" s="787"/>
      <c r="AA625" s="787"/>
      <c r="AB625" s="786"/>
      <c r="AC625" s="787"/>
      <c r="AD625" s="787"/>
      <c r="AE625" s="787"/>
      <c r="AF625" s="786"/>
      <c r="AG625" s="787"/>
      <c r="AH625" s="787"/>
      <c r="AI625" s="787"/>
      <c r="AJ625" s="786"/>
      <c r="AK625" s="787"/>
      <c r="AL625" s="787"/>
      <c r="AM625" s="787"/>
      <c r="AN625" s="786"/>
      <c r="AO625" s="787"/>
      <c r="AP625" s="787"/>
      <c r="AQ625" s="787"/>
      <c r="AR625" s="786"/>
      <c r="AS625" s="787"/>
      <c r="AT625" s="787"/>
      <c r="AU625" s="787"/>
      <c r="AV625" s="786"/>
      <c r="AW625" s="787"/>
      <c r="AX625" s="787"/>
      <c r="AY625" s="787"/>
      <c r="AZ625" s="780"/>
      <c r="BA625" s="780"/>
      <c r="BB625" s="780"/>
      <c r="BC625" s="780"/>
      <c r="BD625" s="541"/>
      <c r="BE625" s="541"/>
      <c r="BF625" s="541"/>
      <c r="BG625" s="541"/>
      <c r="BH625" s="780"/>
      <c r="BI625" s="780"/>
      <c r="BJ625" s="780"/>
      <c r="BK625" s="780"/>
      <c r="BL625" s="780"/>
      <c r="BM625" s="780"/>
    </row>
    <row r="626" ht="12.75" customHeight="1">
      <c r="A626" s="521"/>
      <c r="B626" s="521"/>
      <c r="C626" s="515"/>
      <c r="D626" s="515"/>
      <c r="E626" s="515"/>
      <c r="F626" s="515"/>
      <c r="G626" s="515"/>
      <c r="H626" s="515"/>
      <c r="I626" s="515"/>
      <c r="J626" s="515"/>
      <c r="K626" s="515"/>
      <c r="L626" s="515"/>
      <c r="M626" s="515"/>
      <c r="N626" s="515"/>
      <c r="O626" s="533"/>
      <c r="P626" s="786"/>
      <c r="Q626" s="787"/>
      <c r="R626" s="787"/>
      <c r="S626" s="787"/>
      <c r="T626" s="786"/>
      <c r="U626" s="787"/>
      <c r="V626" s="787"/>
      <c r="W626" s="787"/>
      <c r="X626" s="786"/>
      <c r="Y626" s="787"/>
      <c r="Z626" s="787"/>
      <c r="AA626" s="787"/>
      <c r="AB626" s="786"/>
      <c r="AC626" s="787"/>
      <c r="AD626" s="787"/>
      <c r="AE626" s="787"/>
      <c r="AF626" s="786"/>
      <c r="AG626" s="787"/>
      <c r="AH626" s="787"/>
      <c r="AI626" s="787"/>
      <c r="AJ626" s="786"/>
      <c r="AK626" s="787"/>
      <c r="AL626" s="787"/>
      <c r="AM626" s="787"/>
      <c r="AN626" s="786"/>
      <c r="AO626" s="787"/>
      <c r="AP626" s="787"/>
      <c r="AQ626" s="787"/>
      <c r="AR626" s="786"/>
      <c r="AS626" s="787"/>
      <c r="AT626" s="787"/>
      <c r="AU626" s="787"/>
      <c r="AV626" s="786"/>
      <c r="AW626" s="787"/>
      <c r="AX626" s="787"/>
      <c r="AY626" s="787"/>
      <c r="AZ626" s="780"/>
      <c r="BA626" s="780"/>
      <c r="BB626" s="780"/>
      <c r="BC626" s="780"/>
      <c r="BD626" s="541"/>
      <c r="BE626" s="541"/>
      <c r="BF626" s="541"/>
      <c r="BG626" s="541"/>
      <c r="BH626" s="780"/>
      <c r="BI626" s="780"/>
      <c r="BJ626" s="780"/>
      <c r="BK626" s="780"/>
      <c r="BL626" s="780"/>
      <c r="BM626" s="780"/>
    </row>
    <row r="627" ht="12.75" customHeight="1">
      <c r="A627" s="521"/>
      <c r="B627" s="521"/>
      <c r="C627" s="515"/>
      <c r="D627" s="515"/>
      <c r="E627" s="515"/>
      <c r="F627" s="515"/>
      <c r="G627" s="515"/>
      <c r="H627" s="515"/>
      <c r="I627" s="515"/>
      <c r="J627" s="515"/>
      <c r="K627" s="515"/>
      <c r="L627" s="515"/>
      <c r="M627" s="515"/>
      <c r="N627" s="515"/>
      <c r="O627" s="533"/>
      <c r="P627" s="786"/>
      <c r="Q627" s="787"/>
      <c r="R627" s="787"/>
      <c r="S627" s="787"/>
      <c r="T627" s="786"/>
      <c r="U627" s="787"/>
      <c r="V627" s="787"/>
      <c r="W627" s="787"/>
      <c r="X627" s="786"/>
      <c r="Y627" s="787"/>
      <c r="Z627" s="787"/>
      <c r="AA627" s="787"/>
      <c r="AB627" s="786"/>
      <c r="AC627" s="787"/>
      <c r="AD627" s="787"/>
      <c r="AE627" s="787"/>
      <c r="AF627" s="786"/>
      <c r="AG627" s="787"/>
      <c r="AH627" s="787"/>
      <c r="AI627" s="787"/>
      <c r="AJ627" s="786"/>
      <c r="AK627" s="787"/>
      <c r="AL627" s="787"/>
      <c r="AM627" s="787"/>
      <c r="AN627" s="786"/>
      <c r="AO627" s="787"/>
      <c r="AP627" s="787"/>
      <c r="AQ627" s="787"/>
      <c r="AR627" s="786"/>
      <c r="AS627" s="787"/>
      <c r="AT627" s="787"/>
      <c r="AU627" s="787"/>
      <c r="AV627" s="786"/>
      <c r="AW627" s="787"/>
      <c r="AX627" s="787"/>
      <c r="AY627" s="787"/>
      <c r="AZ627" s="780"/>
      <c r="BA627" s="780"/>
      <c r="BB627" s="780"/>
      <c r="BC627" s="780"/>
      <c r="BD627" s="541"/>
      <c r="BE627" s="541"/>
      <c r="BF627" s="541"/>
      <c r="BG627" s="541"/>
      <c r="BH627" s="780"/>
      <c r="BI627" s="780"/>
      <c r="BJ627" s="780"/>
      <c r="BK627" s="780"/>
      <c r="BL627" s="780"/>
      <c r="BM627" s="780"/>
    </row>
    <row r="628" ht="12.75" customHeight="1">
      <c r="A628" s="521"/>
      <c r="B628" s="521"/>
      <c r="C628" s="515"/>
      <c r="D628" s="515"/>
      <c r="E628" s="515"/>
      <c r="F628" s="515"/>
      <c r="G628" s="515"/>
      <c r="H628" s="515"/>
      <c r="I628" s="515"/>
      <c r="J628" s="515"/>
      <c r="K628" s="515"/>
      <c r="L628" s="515"/>
      <c r="M628" s="515"/>
      <c r="N628" s="515"/>
      <c r="O628" s="533"/>
      <c r="P628" s="786"/>
      <c r="Q628" s="787"/>
      <c r="R628" s="787"/>
      <c r="S628" s="787"/>
      <c r="T628" s="786"/>
      <c r="U628" s="787"/>
      <c r="V628" s="787"/>
      <c r="W628" s="787"/>
      <c r="X628" s="786"/>
      <c r="Y628" s="787"/>
      <c r="Z628" s="787"/>
      <c r="AA628" s="787"/>
      <c r="AB628" s="786"/>
      <c r="AC628" s="787"/>
      <c r="AD628" s="787"/>
      <c r="AE628" s="787"/>
      <c r="AF628" s="786"/>
      <c r="AG628" s="787"/>
      <c r="AH628" s="787"/>
      <c r="AI628" s="787"/>
      <c r="AJ628" s="786"/>
      <c r="AK628" s="787"/>
      <c r="AL628" s="787"/>
      <c r="AM628" s="787"/>
      <c r="AN628" s="786"/>
      <c r="AO628" s="787"/>
      <c r="AP628" s="787"/>
      <c r="AQ628" s="787"/>
      <c r="AR628" s="786"/>
      <c r="AS628" s="787"/>
      <c r="AT628" s="787"/>
      <c r="AU628" s="787"/>
      <c r="AV628" s="786"/>
      <c r="AW628" s="787"/>
      <c r="AX628" s="787"/>
      <c r="AY628" s="787"/>
      <c r="AZ628" s="780"/>
      <c r="BA628" s="780"/>
      <c r="BB628" s="780"/>
      <c r="BC628" s="780"/>
      <c r="BD628" s="541"/>
      <c r="BE628" s="541"/>
      <c r="BF628" s="541"/>
      <c r="BG628" s="541"/>
      <c r="BH628" s="780"/>
      <c r="BI628" s="780"/>
      <c r="BJ628" s="780"/>
      <c r="BK628" s="780"/>
      <c r="BL628" s="780"/>
      <c r="BM628" s="780"/>
    </row>
    <row r="629" ht="12.75" customHeight="1">
      <c r="A629" s="521"/>
      <c r="B629" s="521"/>
      <c r="C629" s="515"/>
      <c r="D629" s="515"/>
      <c r="E629" s="515"/>
      <c r="F629" s="515"/>
      <c r="G629" s="515"/>
      <c r="H629" s="515"/>
      <c r="I629" s="515"/>
      <c r="J629" s="515"/>
      <c r="K629" s="515"/>
      <c r="L629" s="515"/>
      <c r="M629" s="515"/>
      <c r="N629" s="515"/>
      <c r="O629" s="533"/>
      <c r="P629" s="786"/>
      <c r="Q629" s="787"/>
      <c r="R629" s="787"/>
      <c r="S629" s="787"/>
      <c r="T629" s="786"/>
      <c r="U629" s="787"/>
      <c r="V629" s="787"/>
      <c r="W629" s="787"/>
      <c r="X629" s="786"/>
      <c r="Y629" s="787"/>
      <c r="Z629" s="787"/>
      <c r="AA629" s="787"/>
      <c r="AB629" s="786"/>
      <c r="AC629" s="787"/>
      <c r="AD629" s="787"/>
      <c r="AE629" s="787"/>
      <c r="AF629" s="786"/>
      <c r="AG629" s="787"/>
      <c r="AH629" s="787"/>
      <c r="AI629" s="787"/>
      <c r="AJ629" s="786"/>
      <c r="AK629" s="787"/>
      <c r="AL629" s="787"/>
      <c r="AM629" s="787"/>
      <c r="AN629" s="786"/>
      <c r="AO629" s="787"/>
      <c r="AP629" s="787"/>
      <c r="AQ629" s="787"/>
      <c r="AR629" s="786"/>
      <c r="AS629" s="787"/>
      <c r="AT629" s="787"/>
      <c r="AU629" s="787"/>
      <c r="AV629" s="786"/>
      <c r="AW629" s="787"/>
      <c r="AX629" s="787"/>
      <c r="AY629" s="787"/>
      <c r="AZ629" s="780"/>
      <c r="BA629" s="780"/>
      <c r="BB629" s="780"/>
      <c r="BC629" s="780"/>
      <c r="BD629" s="541"/>
      <c r="BE629" s="541"/>
      <c r="BF629" s="541"/>
      <c r="BG629" s="541"/>
      <c r="BH629" s="780"/>
      <c r="BI629" s="780"/>
      <c r="BJ629" s="780"/>
      <c r="BK629" s="780"/>
      <c r="BL629" s="780"/>
      <c r="BM629" s="780"/>
    </row>
    <row r="630" ht="12.75" customHeight="1">
      <c r="A630" s="521"/>
      <c r="B630" s="521"/>
      <c r="C630" s="515"/>
      <c r="D630" s="515"/>
      <c r="E630" s="515"/>
      <c r="F630" s="515"/>
      <c r="G630" s="515"/>
      <c r="H630" s="515"/>
      <c r="I630" s="515"/>
      <c r="J630" s="515"/>
      <c r="K630" s="515"/>
      <c r="L630" s="515"/>
      <c r="M630" s="515"/>
      <c r="N630" s="515"/>
      <c r="O630" s="533"/>
      <c r="P630" s="786"/>
      <c r="Q630" s="787"/>
      <c r="R630" s="787"/>
      <c r="S630" s="787"/>
      <c r="T630" s="786"/>
      <c r="U630" s="787"/>
      <c r="V630" s="787"/>
      <c r="W630" s="787"/>
      <c r="X630" s="786"/>
      <c r="Y630" s="787"/>
      <c r="Z630" s="787"/>
      <c r="AA630" s="787"/>
      <c r="AB630" s="786"/>
      <c r="AC630" s="787"/>
      <c r="AD630" s="787"/>
      <c r="AE630" s="787"/>
      <c r="AF630" s="786"/>
      <c r="AG630" s="787"/>
      <c r="AH630" s="787"/>
      <c r="AI630" s="787"/>
      <c r="AJ630" s="786"/>
      <c r="AK630" s="787"/>
      <c r="AL630" s="787"/>
      <c r="AM630" s="787"/>
      <c r="AN630" s="786"/>
      <c r="AO630" s="787"/>
      <c r="AP630" s="787"/>
      <c r="AQ630" s="787"/>
      <c r="AR630" s="786"/>
      <c r="AS630" s="787"/>
      <c r="AT630" s="787"/>
      <c r="AU630" s="787"/>
      <c r="AV630" s="786"/>
      <c r="AW630" s="787"/>
      <c r="AX630" s="787"/>
      <c r="AY630" s="787"/>
      <c r="AZ630" s="780"/>
      <c r="BA630" s="780"/>
      <c r="BB630" s="780"/>
      <c r="BC630" s="780"/>
      <c r="BD630" s="541"/>
      <c r="BE630" s="541"/>
      <c r="BF630" s="541"/>
      <c r="BG630" s="541"/>
      <c r="BH630" s="780"/>
      <c r="BI630" s="780"/>
      <c r="BJ630" s="780"/>
      <c r="BK630" s="780"/>
      <c r="BL630" s="780"/>
      <c r="BM630" s="780"/>
    </row>
    <row r="631" ht="12.75" customHeight="1">
      <c r="A631" s="521"/>
      <c r="B631" s="521"/>
      <c r="C631" s="515"/>
      <c r="D631" s="515"/>
      <c r="E631" s="515"/>
      <c r="F631" s="515"/>
      <c r="G631" s="515"/>
      <c r="H631" s="515"/>
      <c r="I631" s="515"/>
      <c r="J631" s="515"/>
      <c r="K631" s="515"/>
      <c r="L631" s="515"/>
      <c r="M631" s="515"/>
      <c r="N631" s="515"/>
      <c r="O631" s="533"/>
      <c r="P631" s="786"/>
      <c r="Q631" s="787"/>
      <c r="R631" s="787"/>
      <c r="S631" s="787"/>
      <c r="T631" s="786"/>
      <c r="U631" s="787"/>
      <c r="V631" s="787"/>
      <c r="W631" s="787"/>
      <c r="X631" s="786"/>
      <c r="Y631" s="787"/>
      <c r="Z631" s="787"/>
      <c r="AA631" s="787"/>
      <c r="AB631" s="786"/>
      <c r="AC631" s="787"/>
      <c r="AD631" s="787"/>
      <c r="AE631" s="787"/>
      <c r="AF631" s="786"/>
      <c r="AG631" s="787"/>
      <c r="AH631" s="787"/>
      <c r="AI631" s="787"/>
      <c r="AJ631" s="786"/>
      <c r="AK631" s="787"/>
      <c r="AL631" s="787"/>
      <c r="AM631" s="787"/>
      <c r="AN631" s="786"/>
      <c r="AO631" s="787"/>
      <c r="AP631" s="787"/>
      <c r="AQ631" s="787"/>
      <c r="AR631" s="786"/>
      <c r="AS631" s="787"/>
      <c r="AT631" s="787"/>
      <c r="AU631" s="787"/>
      <c r="AV631" s="786"/>
      <c r="AW631" s="787"/>
      <c r="AX631" s="787"/>
      <c r="AY631" s="787"/>
      <c r="AZ631" s="780"/>
      <c r="BA631" s="780"/>
      <c r="BB631" s="780"/>
      <c r="BC631" s="780"/>
      <c r="BD631" s="541"/>
      <c r="BE631" s="541"/>
      <c r="BF631" s="541"/>
      <c r="BG631" s="541"/>
      <c r="BH631" s="780"/>
      <c r="BI631" s="780"/>
      <c r="BJ631" s="780"/>
      <c r="BK631" s="780"/>
      <c r="BL631" s="780"/>
      <c r="BM631" s="780"/>
    </row>
    <row r="632" ht="12.75" customHeight="1">
      <c r="A632" s="521"/>
      <c r="B632" s="521"/>
      <c r="C632" s="515"/>
      <c r="D632" s="515"/>
      <c r="E632" s="515"/>
      <c r="F632" s="515"/>
      <c r="G632" s="515"/>
      <c r="H632" s="515"/>
      <c r="I632" s="515"/>
      <c r="J632" s="515"/>
      <c r="K632" s="515"/>
      <c r="L632" s="515"/>
      <c r="M632" s="515"/>
      <c r="N632" s="515"/>
      <c r="O632" s="533"/>
      <c r="P632" s="786"/>
      <c r="Q632" s="787"/>
      <c r="R632" s="787"/>
      <c r="S632" s="787"/>
      <c r="T632" s="786"/>
      <c r="U632" s="787"/>
      <c r="V632" s="787"/>
      <c r="W632" s="787"/>
      <c r="X632" s="786"/>
      <c r="Y632" s="787"/>
      <c r="Z632" s="787"/>
      <c r="AA632" s="787"/>
      <c r="AB632" s="786"/>
      <c r="AC632" s="787"/>
      <c r="AD632" s="787"/>
      <c r="AE632" s="787"/>
      <c r="AF632" s="786"/>
      <c r="AG632" s="787"/>
      <c r="AH632" s="787"/>
      <c r="AI632" s="787"/>
      <c r="AJ632" s="786"/>
      <c r="AK632" s="787"/>
      <c r="AL632" s="787"/>
      <c r="AM632" s="787"/>
      <c r="AN632" s="786"/>
      <c r="AO632" s="787"/>
      <c r="AP632" s="787"/>
      <c r="AQ632" s="787"/>
      <c r="AR632" s="786"/>
      <c r="AS632" s="787"/>
      <c r="AT632" s="787"/>
      <c r="AU632" s="787"/>
      <c r="AV632" s="786"/>
      <c r="AW632" s="787"/>
      <c r="AX632" s="787"/>
      <c r="AY632" s="787"/>
      <c r="AZ632" s="780"/>
      <c r="BA632" s="780"/>
      <c r="BB632" s="780"/>
      <c r="BC632" s="780"/>
      <c r="BD632" s="541"/>
      <c r="BE632" s="541"/>
      <c r="BF632" s="541"/>
      <c r="BG632" s="541"/>
      <c r="BH632" s="780"/>
      <c r="BI632" s="780"/>
      <c r="BJ632" s="780"/>
      <c r="BK632" s="780"/>
      <c r="BL632" s="780"/>
      <c r="BM632" s="780"/>
    </row>
    <row r="633" ht="12.75" customHeight="1">
      <c r="A633" s="521"/>
      <c r="B633" s="521"/>
      <c r="C633" s="515"/>
      <c r="D633" s="515"/>
      <c r="E633" s="515"/>
      <c r="F633" s="515"/>
      <c r="G633" s="515"/>
      <c r="H633" s="515"/>
      <c r="I633" s="515"/>
      <c r="J633" s="515"/>
      <c r="K633" s="515"/>
      <c r="L633" s="515"/>
      <c r="M633" s="515"/>
      <c r="N633" s="515"/>
      <c r="O633" s="533"/>
      <c r="P633" s="786"/>
      <c r="Q633" s="787"/>
      <c r="R633" s="787"/>
      <c r="S633" s="787"/>
      <c r="T633" s="786"/>
      <c r="U633" s="787"/>
      <c r="V633" s="787"/>
      <c r="W633" s="787"/>
      <c r="X633" s="786"/>
      <c r="Y633" s="787"/>
      <c r="Z633" s="787"/>
      <c r="AA633" s="787"/>
      <c r="AB633" s="786"/>
      <c r="AC633" s="787"/>
      <c r="AD633" s="787"/>
      <c r="AE633" s="787"/>
      <c r="AF633" s="786"/>
      <c r="AG633" s="787"/>
      <c r="AH633" s="787"/>
      <c r="AI633" s="787"/>
      <c r="AJ633" s="786"/>
      <c r="AK633" s="787"/>
      <c r="AL633" s="787"/>
      <c r="AM633" s="787"/>
      <c r="AN633" s="786"/>
      <c r="AO633" s="787"/>
      <c r="AP633" s="787"/>
      <c r="AQ633" s="787"/>
      <c r="AR633" s="786"/>
      <c r="AS633" s="787"/>
      <c r="AT633" s="787"/>
      <c r="AU633" s="787"/>
      <c r="AV633" s="786"/>
      <c r="AW633" s="787"/>
      <c r="AX633" s="787"/>
      <c r="AY633" s="787"/>
      <c r="AZ633" s="780"/>
      <c r="BA633" s="780"/>
      <c r="BB633" s="780"/>
      <c r="BC633" s="780"/>
      <c r="BD633" s="541"/>
      <c r="BE633" s="541"/>
      <c r="BF633" s="541"/>
      <c r="BG633" s="541"/>
      <c r="BH633" s="780"/>
      <c r="BI633" s="780"/>
      <c r="BJ633" s="780"/>
      <c r="BK633" s="780"/>
      <c r="BL633" s="780"/>
      <c r="BM633" s="780"/>
    </row>
    <row r="634" ht="12.75" customHeight="1">
      <c r="A634" s="521"/>
      <c r="B634" s="521"/>
      <c r="C634" s="515"/>
      <c r="D634" s="515"/>
      <c r="E634" s="515"/>
      <c r="F634" s="515"/>
      <c r="G634" s="515"/>
      <c r="H634" s="515"/>
      <c r="I634" s="515"/>
      <c r="J634" s="515"/>
      <c r="K634" s="515"/>
      <c r="L634" s="515"/>
      <c r="M634" s="515"/>
      <c r="N634" s="515"/>
      <c r="O634" s="533"/>
      <c r="P634" s="786"/>
      <c r="Q634" s="787"/>
      <c r="R634" s="787"/>
      <c r="S634" s="787"/>
      <c r="T634" s="786"/>
      <c r="U634" s="787"/>
      <c r="V634" s="787"/>
      <c r="W634" s="787"/>
      <c r="X634" s="786"/>
      <c r="Y634" s="787"/>
      <c r="Z634" s="787"/>
      <c r="AA634" s="787"/>
      <c r="AB634" s="786"/>
      <c r="AC634" s="787"/>
      <c r="AD634" s="787"/>
      <c r="AE634" s="787"/>
      <c r="AF634" s="786"/>
      <c r="AG634" s="787"/>
      <c r="AH634" s="787"/>
      <c r="AI634" s="787"/>
      <c r="AJ634" s="786"/>
      <c r="AK634" s="787"/>
      <c r="AL634" s="787"/>
      <c r="AM634" s="787"/>
      <c r="AN634" s="786"/>
      <c r="AO634" s="787"/>
      <c r="AP634" s="787"/>
      <c r="AQ634" s="787"/>
      <c r="AR634" s="786"/>
      <c r="AS634" s="787"/>
      <c r="AT634" s="787"/>
      <c r="AU634" s="787"/>
      <c r="AV634" s="786"/>
      <c r="AW634" s="787"/>
      <c r="AX634" s="787"/>
      <c r="AY634" s="787"/>
      <c r="AZ634" s="780"/>
      <c r="BA634" s="780"/>
      <c r="BB634" s="780"/>
      <c r="BC634" s="780"/>
      <c r="BD634" s="541"/>
      <c r="BE634" s="541"/>
      <c r="BF634" s="541"/>
      <c r="BG634" s="541"/>
      <c r="BH634" s="780"/>
      <c r="BI634" s="780"/>
      <c r="BJ634" s="780"/>
      <c r="BK634" s="780"/>
      <c r="BL634" s="780"/>
      <c r="BM634" s="780"/>
    </row>
    <row r="635" ht="12.75" customHeight="1">
      <c r="A635" s="521"/>
      <c r="B635" s="521"/>
      <c r="C635" s="515"/>
      <c r="D635" s="515"/>
      <c r="E635" s="515"/>
      <c r="F635" s="515"/>
      <c r="G635" s="515"/>
      <c r="H635" s="515"/>
      <c r="I635" s="515"/>
      <c r="J635" s="515"/>
      <c r="K635" s="515"/>
      <c r="L635" s="515"/>
      <c r="M635" s="515"/>
      <c r="N635" s="515"/>
      <c r="O635" s="533"/>
      <c r="P635" s="786"/>
      <c r="Q635" s="787"/>
      <c r="R635" s="787"/>
      <c r="S635" s="787"/>
      <c r="T635" s="786"/>
      <c r="U635" s="787"/>
      <c r="V635" s="787"/>
      <c r="W635" s="787"/>
      <c r="X635" s="786"/>
      <c r="Y635" s="787"/>
      <c r="Z635" s="787"/>
      <c r="AA635" s="787"/>
      <c r="AB635" s="786"/>
      <c r="AC635" s="787"/>
      <c r="AD635" s="787"/>
      <c r="AE635" s="787"/>
      <c r="AF635" s="786"/>
      <c r="AG635" s="787"/>
      <c r="AH635" s="787"/>
      <c r="AI635" s="787"/>
      <c r="AJ635" s="786"/>
      <c r="AK635" s="787"/>
      <c r="AL635" s="787"/>
      <c r="AM635" s="787"/>
      <c r="AN635" s="786"/>
      <c r="AO635" s="787"/>
      <c r="AP635" s="787"/>
      <c r="AQ635" s="787"/>
      <c r="AR635" s="786"/>
      <c r="AS635" s="787"/>
      <c r="AT635" s="787"/>
      <c r="AU635" s="787"/>
      <c r="AV635" s="786"/>
      <c r="AW635" s="787"/>
      <c r="AX635" s="787"/>
      <c r="AY635" s="787"/>
      <c r="AZ635" s="780"/>
      <c r="BA635" s="780"/>
      <c r="BB635" s="780"/>
      <c r="BC635" s="780"/>
      <c r="BD635" s="541"/>
      <c r="BE635" s="541"/>
      <c r="BF635" s="541"/>
      <c r="BG635" s="541"/>
      <c r="BH635" s="780"/>
      <c r="BI635" s="780"/>
      <c r="BJ635" s="780"/>
      <c r="BK635" s="780"/>
      <c r="BL635" s="780"/>
      <c r="BM635" s="780"/>
    </row>
    <row r="636" ht="12.75" customHeight="1">
      <c r="A636" s="521"/>
      <c r="B636" s="521"/>
      <c r="C636" s="515"/>
      <c r="D636" s="515"/>
      <c r="E636" s="515"/>
      <c r="F636" s="515"/>
      <c r="G636" s="515"/>
      <c r="H636" s="515"/>
      <c r="I636" s="515"/>
      <c r="J636" s="515"/>
      <c r="K636" s="515"/>
      <c r="L636" s="515"/>
      <c r="M636" s="515"/>
      <c r="N636" s="515"/>
      <c r="O636" s="533"/>
      <c r="P636" s="786"/>
      <c r="Q636" s="787"/>
      <c r="R636" s="787"/>
      <c r="S636" s="787"/>
      <c r="T636" s="786"/>
      <c r="U636" s="787"/>
      <c r="V636" s="787"/>
      <c r="W636" s="787"/>
      <c r="X636" s="786"/>
      <c r="Y636" s="787"/>
      <c r="Z636" s="787"/>
      <c r="AA636" s="787"/>
      <c r="AB636" s="786"/>
      <c r="AC636" s="787"/>
      <c r="AD636" s="787"/>
      <c r="AE636" s="787"/>
      <c r="AF636" s="786"/>
      <c r="AG636" s="787"/>
      <c r="AH636" s="787"/>
      <c r="AI636" s="787"/>
      <c r="AJ636" s="786"/>
      <c r="AK636" s="787"/>
      <c r="AL636" s="787"/>
      <c r="AM636" s="787"/>
      <c r="AN636" s="786"/>
      <c r="AO636" s="787"/>
      <c r="AP636" s="787"/>
      <c r="AQ636" s="787"/>
      <c r="AR636" s="786"/>
      <c r="AS636" s="787"/>
      <c r="AT636" s="787"/>
      <c r="AU636" s="787"/>
      <c r="AV636" s="786"/>
      <c r="AW636" s="787"/>
      <c r="AX636" s="787"/>
      <c r="AY636" s="787"/>
      <c r="AZ636" s="780"/>
      <c r="BA636" s="780"/>
      <c r="BB636" s="780"/>
      <c r="BC636" s="780"/>
      <c r="BD636" s="541"/>
      <c r="BE636" s="541"/>
      <c r="BF636" s="541"/>
      <c r="BG636" s="541"/>
      <c r="BH636" s="780"/>
      <c r="BI636" s="780"/>
      <c r="BJ636" s="780"/>
      <c r="BK636" s="780"/>
      <c r="BL636" s="780"/>
      <c r="BM636" s="780"/>
    </row>
    <row r="637" ht="12.75" customHeight="1">
      <c r="A637" s="521"/>
      <c r="B637" s="521"/>
      <c r="C637" s="515"/>
      <c r="D637" s="515"/>
      <c r="E637" s="515"/>
      <c r="F637" s="515"/>
      <c r="G637" s="515"/>
      <c r="H637" s="515"/>
      <c r="I637" s="515"/>
      <c r="J637" s="515"/>
      <c r="K637" s="515"/>
      <c r="L637" s="515"/>
      <c r="M637" s="515"/>
      <c r="N637" s="515"/>
      <c r="O637" s="533"/>
      <c r="P637" s="786"/>
      <c r="Q637" s="787"/>
      <c r="R637" s="787"/>
      <c r="S637" s="787"/>
      <c r="T637" s="786"/>
      <c r="U637" s="787"/>
      <c r="V637" s="787"/>
      <c r="W637" s="787"/>
      <c r="X637" s="786"/>
      <c r="Y637" s="787"/>
      <c r="Z637" s="787"/>
      <c r="AA637" s="787"/>
      <c r="AB637" s="786"/>
      <c r="AC637" s="787"/>
      <c r="AD637" s="787"/>
      <c r="AE637" s="787"/>
      <c r="AF637" s="786"/>
      <c r="AG637" s="787"/>
      <c r="AH637" s="787"/>
      <c r="AI637" s="787"/>
      <c r="AJ637" s="786"/>
      <c r="AK637" s="787"/>
      <c r="AL637" s="787"/>
      <c r="AM637" s="787"/>
      <c r="AN637" s="786"/>
      <c r="AO637" s="787"/>
      <c r="AP637" s="787"/>
      <c r="AQ637" s="787"/>
      <c r="AR637" s="786"/>
      <c r="AS637" s="787"/>
      <c r="AT637" s="787"/>
      <c r="AU637" s="787"/>
      <c r="AV637" s="786"/>
      <c r="AW637" s="787"/>
      <c r="AX637" s="787"/>
      <c r="AY637" s="787"/>
      <c r="AZ637" s="780"/>
      <c r="BA637" s="780"/>
      <c r="BB637" s="780"/>
      <c r="BC637" s="780"/>
      <c r="BD637" s="541"/>
      <c r="BE637" s="541"/>
      <c r="BF637" s="541"/>
      <c r="BG637" s="541"/>
      <c r="BH637" s="780"/>
      <c r="BI637" s="780"/>
      <c r="BJ637" s="780"/>
      <c r="BK637" s="780"/>
      <c r="BL637" s="780"/>
      <c r="BM637" s="780"/>
    </row>
    <row r="638" ht="12.75" customHeight="1">
      <c r="A638" s="521"/>
      <c r="B638" s="521"/>
      <c r="C638" s="515"/>
      <c r="D638" s="515"/>
      <c r="E638" s="515"/>
      <c r="F638" s="515"/>
      <c r="G638" s="515"/>
      <c r="H638" s="515"/>
      <c r="I638" s="515"/>
      <c r="J638" s="515"/>
      <c r="K638" s="515"/>
      <c r="L638" s="515"/>
      <c r="M638" s="515"/>
      <c r="N638" s="515"/>
      <c r="O638" s="533"/>
      <c r="P638" s="786"/>
      <c r="Q638" s="787"/>
      <c r="R638" s="787"/>
      <c r="S638" s="787"/>
      <c r="T638" s="786"/>
      <c r="U638" s="787"/>
      <c r="V638" s="787"/>
      <c r="W638" s="787"/>
      <c r="X638" s="786"/>
      <c r="Y638" s="787"/>
      <c r="Z638" s="787"/>
      <c r="AA638" s="787"/>
      <c r="AB638" s="786"/>
      <c r="AC638" s="787"/>
      <c r="AD638" s="787"/>
      <c r="AE638" s="787"/>
      <c r="AF638" s="786"/>
      <c r="AG638" s="787"/>
      <c r="AH638" s="787"/>
      <c r="AI638" s="787"/>
      <c r="AJ638" s="786"/>
      <c r="AK638" s="787"/>
      <c r="AL638" s="787"/>
      <c r="AM638" s="787"/>
      <c r="AN638" s="786"/>
      <c r="AO638" s="787"/>
      <c r="AP638" s="787"/>
      <c r="AQ638" s="787"/>
      <c r="AR638" s="786"/>
      <c r="AS638" s="787"/>
      <c r="AT638" s="787"/>
      <c r="AU638" s="787"/>
      <c r="AV638" s="786"/>
      <c r="AW638" s="787"/>
      <c r="AX638" s="787"/>
      <c r="AY638" s="787"/>
      <c r="AZ638" s="780"/>
      <c r="BA638" s="780"/>
      <c r="BB638" s="780"/>
      <c r="BC638" s="780"/>
      <c r="BD638" s="541"/>
      <c r="BE638" s="541"/>
      <c r="BF638" s="541"/>
      <c r="BG638" s="541"/>
      <c r="BH638" s="780"/>
      <c r="BI638" s="780"/>
      <c r="BJ638" s="780"/>
      <c r="BK638" s="780"/>
      <c r="BL638" s="780"/>
      <c r="BM638" s="780"/>
    </row>
    <row r="639" ht="12.75" customHeight="1">
      <c r="A639" s="521"/>
      <c r="B639" s="521"/>
      <c r="C639" s="515"/>
      <c r="D639" s="515"/>
      <c r="E639" s="515"/>
      <c r="F639" s="515"/>
      <c r="G639" s="515"/>
      <c r="H639" s="515"/>
      <c r="I639" s="515"/>
      <c r="J639" s="515"/>
      <c r="K639" s="515"/>
      <c r="L639" s="515"/>
      <c r="M639" s="515"/>
      <c r="N639" s="515"/>
      <c r="O639" s="533"/>
      <c r="P639" s="786"/>
      <c r="Q639" s="787"/>
      <c r="R639" s="787"/>
      <c r="S639" s="787"/>
      <c r="T639" s="786"/>
      <c r="U639" s="787"/>
      <c r="V639" s="787"/>
      <c r="W639" s="787"/>
      <c r="X639" s="786"/>
      <c r="Y639" s="787"/>
      <c r="Z639" s="787"/>
      <c r="AA639" s="787"/>
      <c r="AB639" s="786"/>
      <c r="AC639" s="787"/>
      <c r="AD639" s="787"/>
      <c r="AE639" s="787"/>
      <c r="AF639" s="786"/>
      <c r="AG639" s="787"/>
      <c r="AH639" s="787"/>
      <c r="AI639" s="787"/>
      <c r="AJ639" s="786"/>
      <c r="AK639" s="787"/>
      <c r="AL639" s="787"/>
      <c r="AM639" s="787"/>
      <c r="AN639" s="786"/>
      <c r="AO639" s="787"/>
      <c r="AP639" s="787"/>
      <c r="AQ639" s="787"/>
      <c r="AR639" s="786"/>
      <c r="AS639" s="787"/>
      <c r="AT639" s="787"/>
      <c r="AU639" s="787"/>
      <c r="AV639" s="786"/>
      <c r="AW639" s="787"/>
      <c r="AX639" s="787"/>
      <c r="AY639" s="787"/>
      <c r="AZ639" s="780"/>
      <c r="BA639" s="780"/>
      <c r="BB639" s="780"/>
      <c r="BC639" s="780"/>
      <c r="BD639" s="541"/>
      <c r="BE639" s="541"/>
      <c r="BF639" s="541"/>
      <c r="BG639" s="541"/>
      <c r="BH639" s="780"/>
      <c r="BI639" s="780"/>
      <c r="BJ639" s="780"/>
      <c r="BK639" s="780"/>
      <c r="BL639" s="780"/>
      <c r="BM639" s="780"/>
    </row>
    <row r="640" ht="12.75" customHeight="1">
      <c r="A640" s="521"/>
      <c r="B640" s="521"/>
      <c r="C640" s="515"/>
      <c r="D640" s="515"/>
      <c r="E640" s="515"/>
      <c r="F640" s="515"/>
      <c r="G640" s="515"/>
      <c r="H640" s="515"/>
      <c r="I640" s="515"/>
      <c r="J640" s="515"/>
      <c r="K640" s="515"/>
      <c r="L640" s="515"/>
      <c r="M640" s="515"/>
      <c r="N640" s="515"/>
      <c r="O640" s="533"/>
      <c r="P640" s="786"/>
      <c r="Q640" s="787"/>
      <c r="R640" s="787"/>
      <c r="S640" s="787"/>
      <c r="T640" s="786"/>
      <c r="U640" s="787"/>
      <c r="V640" s="787"/>
      <c r="W640" s="787"/>
      <c r="X640" s="786"/>
      <c r="Y640" s="787"/>
      <c r="Z640" s="787"/>
      <c r="AA640" s="787"/>
      <c r="AB640" s="786"/>
      <c r="AC640" s="787"/>
      <c r="AD640" s="787"/>
      <c r="AE640" s="787"/>
      <c r="AF640" s="786"/>
      <c r="AG640" s="787"/>
      <c r="AH640" s="787"/>
      <c r="AI640" s="787"/>
      <c r="AJ640" s="786"/>
      <c r="AK640" s="787"/>
      <c r="AL640" s="787"/>
      <c r="AM640" s="787"/>
      <c r="AN640" s="786"/>
      <c r="AO640" s="787"/>
      <c r="AP640" s="787"/>
      <c r="AQ640" s="787"/>
      <c r="AR640" s="786"/>
      <c r="AS640" s="787"/>
      <c r="AT640" s="787"/>
      <c r="AU640" s="787"/>
      <c r="AV640" s="786"/>
      <c r="AW640" s="787"/>
      <c r="AX640" s="787"/>
      <c r="AY640" s="787"/>
      <c r="AZ640" s="780"/>
      <c r="BA640" s="780"/>
      <c r="BB640" s="780"/>
      <c r="BC640" s="780"/>
      <c r="BD640" s="541"/>
      <c r="BE640" s="541"/>
      <c r="BF640" s="541"/>
      <c r="BG640" s="541"/>
      <c r="BH640" s="780"/>
      <c r="BI640" s="780"/>
      <c r="BJ640" s="780"/>
      <c r="BK640" s="780"/>
      <c r="BL640" s="780"/>
      <c r="BM640" s="780"/>
    </row>
    <row r="641" ht="12.75" customHeight="1">
      <c r="A641" s="521"/>
      <c r="B641" s="521"/>
      <c r="C641" s="515"/>
      <c r="D641" s="515"/>
      <c r="E641" s="515"/>
      <c r="F641" s="515"/>
      <c r="G641" s="515"/>
      <c r="H641" s="515"/>
      <c r="I641" s="515"/>
      <c r="J641" s="515"/>
      <c r="K641" s="515"/>
      <c r="L641" s="515"/>
      <c r="M641" s="515"/>
      <c r="N641" s="515"/>
      <c r="O641" s="533"/>
      <c r="P641" s="786"/>
      <c r="Q641" s="787"/>
      <c r="R641" s="787"/>
      <c r="S641" s="787"/>
      <c r="T641" s="786"/>
      <c r="U641" s="787"/>
      <c r="V641" s="787"/>
      <c r="W641" s="787"/>
      <c r="X641" s="786"/>
      <c r="Y641" s="787"/>
      <c r="Z641" s="787"/>
      <c r="AA641" s="787"/>
      <c r="AB641" s="786"/>
      <c r="AC641" s="787"/>
      <c r="AD641" s="787"/>
      <c r="AE641" s="787"/>
      <c r="AF641" s="786"/>
      <c r="AG641" s="787"/>
      <c r="AH641" s="787"/>
      <c r="AI641" s="787"/>
      <c r="AJ641" s="786"/>
      <c r="AK641" s="787"/>
      <c r="AL641" s="787"/>
      <c r="AM641" s="787"/>
      <c r="AN641" s="786"/>
      <c r="AO641" s="787"/>
      <c r="AP641" s="787"/>
      <c r="AQ641" s="787"/>
      <c r="AR641" s="786"/>
      <c r="AS641" s="787"/>
      <c r="AT641" s="787"/>
      <c r="AU641" s="787"/>
      <c r="AV641" s="786"/>
      <c r="AW641" s="787"/>
      <c r="AX641" s="787"/>
      <c r="AY641" s="787"/>
      <c r="AZ641" s="780"/>
      <c r="BA641" s="780"/>
      <c r="BB641" s="780"/>
      <c r="BC641" s="780"/>
      <c r="BD641" s="541"/>
      <c r="BE641" s="541"/>
      <c r="BF641" s="541"/>
      <c r="BG641" s="541"/>
      <c r="BH641" s="780"/>
      <c r="BI641" s="780"/>
      <c r="BJ641" s="780"/>
      <c r="BK641" s="780"/>
      <c r="BL641" s="780"/>
      <c r="BM641" s="780"/>
    </row>
    <row r="642" ht="12.75" customHeight="1">
      <c r="A642" s="521"/>
      <c r="B642" s="521"/>
      <c r="C642" s="515"/>
      <c r="D642" s="515"/>
      <c r="E642" s="515"/>
      <c r="F642" s="515"/>
      <c r="G642" s="515"/>
      <c r="H642" s="515"/>
      <c r="I642" s="515"/>
      <c r="J642" s="515"/>
      <c r="K642" s="515"/>
      <c r="L642" s="515"/>
      <c r="M642" s="515"/>
      <c r="N642" s="515"/>
      <c r="O642" s="533"/>
      <c r="P642" s="786"/>
      <c r="Q642" s="787"/>
      <c r="R642" s="787"/>
      <c r="S642" s="787"/>
      <c r="T642" s="786"/>
      <c r="U642" s="787"/>
      <c r="V642" s="787"/>
      <c r="W642" s="787"/>
      <c r="X642" s="786"/>
      <c r="Y642" s="787"/>
      <c r="Z642" s="787"/>
      <c r="AA642" s="787"/>
      <c r="AB642" s="786"/>
      <c r="AC642" s="787"/>
      <c r="AD642" s="787"/>
      <c r="AE642" s="787"/>
      <c r="AF642" s="786"/>
      <c r="AG642" s="787"/>
      <c r="AH642" s="787"/>
      <c r="AI642" s="787"/>
      <c r="AJ642" s="786"/>
      <c r="AK642" s="787"/>
      <c r="AL642" s="787"/>
      <c r="AM642" s="787"/>
      <c r="AN642" s="786"/>
      <c r="AO642" s="787"/>
      <c r="AP642" s="787"/>
      <c r="AQ642" s="787"/>
      <c r="AR642" s="786"/>
      <c r="AS642" s="787"/>
      <c r="AT642" s="787"/>
      <c r="AU642" s="787"/>
      <c r="AV642" s="786"/>
      <c r="AW642" s="787"/>
      <c r="AX642" s="787"/>
      <c r="AY642" s="787"/>
      <c r="AZ642" s="780"/>
      <c r="BA642" s="780"/>
      <c r="BB642" s="780"/>
      <c r="BC642" s="780"/>
      <c r="BD642" s="541"/>
      <c r="BE642" s="541"/>
      <c r="BF642" s="541"/>
      <c r="BG642" s="541"/>
      <c r="BH642" s="780"/>
      <c r="BI642" s="780"/>
      <c r="BJ642" s="780"/>
      <c r="BK642" s="780"/>
      <c r="BL642" s="780"/>
      <c r="BM642" s="780"/>
    </row>
    <row r="643" ht="12.75" customHeight="1">
      <c r="A643" s="521"/>
      <c r="B643" s="521"/>
      <c r="C643" s="515"/>
      <c r="D643" s="515"/>
      <c r="E643" s="515"/>
      <c r="F643" s="515"/>
      <c r="G643" s="515"/>
      <c r="H643" s="515"/>
      <c r="I643" s="515"/>
      <c r="J643" s="515"/>
      <c r="K643" s="515"/>
      <c r="L643" s="515"/>
      <c r="M643" s="515"/>
      <c r="N643" s="515"/>
      <c r="O643" s="533"/>
      <c r="P643" s="786"/>
      <c r="Q643" s="787"/>
      <c r="R643" s="787"/>
      <c r="S643" s="787"/>
      <c r="T643" s="786"/>
      <c r="U643" s="787"/>
      <c r="V643" s="787"/>
      <c r="W643" s="787"/>
      <c r="X643" s="786"/>
      <c r="Y643" s="787"/>
      <c r="Z643" s="787"/>
      <c r="AA643" s="787"/>
      <c r="AB643" s="786"/>
      <c r="AC643" s="787"/>
      <c r="AD643" s="787"/>
      <c r="AE643" s="787"/>
      <c r="AF643" s="786"/>
      <c r="AG643" s="787"/>
      <c r="AH643" s="787"/>
      <c r="AI643" s="787"/>
      <c r="AJ643" s="786"/>
      <c r="AK643" s="787"/>
      <c r="AL643" s="787"/>
      <c r="AM643" s="787"/>
      <c r="AN643" s="786"/>
      <c r="AO643" s="787"/>
      <c r="AP643" s="787"/>
      <c r="AQ643" s="787"/>
      <c r="AR643" s="786"/>
      <c r="AS643" s="787"/>
      <c r="AT643" s="787"/>
      <c r="AU643" s="787"/>
      <c r="AV643" s="786"/>
      <c r="AW643" s="787"/>
      <c r="AX643" s="787"/>
      <c r="AY643" s="787"/>
      <c r="AZ643" s="780"/>
      <c r="BA643" s="780"/>
      <c r="BB643" s="780"/>
      <c r="BC643" s="780"/>
      <c r="BD643" s="541"/>
      <c r="BE643" s="541"/>
      <c r="BF643" s="541"/>
      <c r="BG643" s="541"/>
      <c r="BH643" s="780"/>
      <c r="BI643" s="780"/>
      <c r="BJ643" s="780"/>
      <c r="BK643" s="780"/>
      <c r="BL643" s="780"/>
      <c r="BM643" s="780"/>
    </row>
    <row r="644" ht="12.75" customHeight="1">
      <c r="A644" s="521"/>
      <c r="B644" s="521"/>
      <c r="C644" s="515"/>
      <c r="D644" s="515"/>
      <c r="E644" s="515"/>
      <c r="F644" s="515"/>
      <c r="G644" s="515"/>
      <c r="H644" s="515"/>
      <c r="I644" s="515"/>
      <c r="J644" s="515"/>
      <c r="K644" s="515"/>
      <c r="L644" s="515"/>
      <c r="M644" s="515"/>
      <c r="N644" s="515"/>
      <c r="O644" s="533"/>
      <c r="P644" s="786"/>
      <c r="Q644" s="787"/>
      <c r="R644" s="787"/>
      <c r="S644" s="787"/>
      <c r="T644" s="786"/>
      <c r="U644" s="787"/>
      <c r="V644" s="787"/>
      <c r="W644" s="787"/>
      <c r="X644" s="786"/>
      <c r="Y644" s="787"/>
      <c r="Z644" s="787"/>
      <c r="AA644" s="787"/>
      <c r="AB644" s="786"/>
      <c r="AC644" s="787"/>
      <c r="AD644" s="787"/>
      <c r="AE644" s="787"/>
      <c r="AF644" s="786"/>
      <c r="AG644" s="787"/>
      <c r="AH644" s="787"/>
      <c r="AI644" s="787"/>
      <c r="AJ644" s="786"/>
      <c r="AK644" s="787"/>
      <c r="AL644" s="787"/>
      <c r="AM644" s="787"/>
      <c r="AN644" s="786"/>
      <c r="AO644" s="787"/>
      <c r="AP644" s="787"/>
      <c r="AQ644" s="787"/>
      <c r="AR644" s="786"/>
      <c r="AS644" s="787"/>
      <c r="AT644" s="787"/>
      <c r="AU644" s="787"/>
      <c r="AV644" s="786"/>
      <c r="AW644" s="787"/>
      <c r="AX644" s="787"/>
      <c r="AY644" s="787"/>
      <c r="AZ644" s="780"/>
      <c r="BA644" s="780"/>
      <c r="BB644" s="780"/>
      <c r="BC644" s="780"/>
      <c r="BD644" s="541"/>
      <c r="BE644" s="541"/>
      <c r="BF644" s="541"/>
      <c r="BG644" s="541"/>
      <c r="BH644" s="780"/>
      <c r="BI644" s="780"/>
      <c r="BJ644" s="780"/>
      <c r="BK644" s="780"/>
      <c r="BL644" s="780"/>
      <c r="BM644" s="780"/>
    </row>
    <row r="645" ht="12.75" customHeight="1">
      <c r="A645" s="521"/>
      <c r="B645" s="521"/>
      <c r="C645" s="515"/>
      <c r="D645" s="515"/>
      <c r="E645" s="515"/>
      <c r="F645" s="515"/>
      <c r="G645" s="515"/>
      <c r="H645" s="515"/>
      <c r="I645" s="515"/>
      <c r="J645" s="515"/>
      <c r="K645" s="515"/>
      <c r="L645" s="515"/>
      <c r="M645" s="515"/>
      <c r="N645" s="515"/>
      <c r="O645" s="533"/>
      <c r="P645" s="786"/>
      <c r="Q645" s="787"/>
      <c r="R645" s="787"/>
      <c r="S645" s="787"/>
      <c r="T645" s="786"/>
      <c r="U645" s="787"/>
      <c r="V645" s="787"/>
      <c r="W645" s="787"/>
      <c r="X645" s="786"/>
      <c r="Y645" s="787"/>
      <c r="Z645" s="787"/>
      <c r="AA645" s="787"/>
      <c r="AB645" s="786"/>
      <c r="AC645" s="787"/>
      <c r="AD645" s="787"/>
      <c r="AE645" s="787"/>
      <c r="AF645" s="786"/>
      <c r="AG645" s="787"/>
      <c r="AH645" s="787"/>
      <c r="AI645" s="787"/>
      <c r="AJ645" s="786"/>
      <c r="AK645" s="787"/>
      <c r="AL645" s="787"/>
      <c r="AM645" s="787"/>
      <c r="AN645" s="786"/>
      <c r="AO645" s="787"/>
      <c r="AP645" s="787"/>
      <c r="AQ645" s="787"/>
      <c r="AR645" s="786"/>
      <c r="AS645" s="787"/>
      <c r="AT645" s="787"/>
      <c r="AU645" s="787"/>
      <c r="AV645" s="786"/>
      <c r="AW645" s="787"/>
      <c r="AX645" s="787"/>
      <c r="AY645" s="787"/>
      <c r="AZ645" s="780"/>
      <c r="BA645" s="780"/>
      <c r="BB645" s="780"/>
      <c r="BC645" s="780"/>
      <c r="BD645" s="541"/>
      <c r="BE645" s="541"/>
      <c r="BF645" s="541"/>
      <c r="BG645" s="541"/>
      <c r="BH645" s="780"/>
      <c r="BI645" s="780"/>
      <c r="BJ645" s="780"/>
      <c r="BK645" s="780"/>
      <c r="BL645" s="780"/>
      <c r="BM645" s="780"/>
    </row>
    <row r="646" ht="12.75" customHeight="1">
      <c r="A646" s="521"/>
      <c r="B646" s="521"/>
      <c r="C646" s="515"/>
      <c r="D646" s="515"/>
      <c r="E646" s="515"/>
      <c r="F646" s="515"/>
      <c r="G646" s="515"/>
      <c r="H646" s="515"/>
      <c r="I646" s="515"/>
      <c r="J646" s="515"/>
      <c r="K646" s="515"/>
      <c r="L646" s="515"/>
      <c r="M646" s="515"/>
      <c r="N646" s="515"/>
      <c r="O646" s="533"/>
      <c r="P646" s="786"/>
      <c r="Q646" s="787"/>
      <c r="R646" s="787"/>
      <c r="S646" s="787"/>
      <c r="T646" s="786"/>
      <c r="U646" s="787"/>
      <c r="V646" s="787"/>
      <c r="W646" s="787"/>
      <c r="X646" s="786"/>
      <c r="Y646" s="787"/>
      <c r="Z646" s="787"/>
      <c r="AA646" s="787"/>
      <c r="AB646" s="786"/>
      <c r="AC646" s="787"/>
      <c r="AD646" s="787"/>
      <c r="AE646" s="787"/>
      <c r="AF646" s="786"/>
      <c r="AG646" s="787"/>
      <c r="AH646" s="787"/>
      <c r="AI646" s="787"/>
      <c r="AJ646" s="786"/>
      <c r="AK646" s="787"/>
      <c r="AL646" s="787"/>
      <c r="AM646" s="787"/>
      <c r="AN646" s="786"/>
      <c r="AO646" s="787"/>
      <c r="AP646" s="787"/>
      <c r="AQ646" s="787"/>
      <c r="AR646" s="786"/>
      <c r="AS646" s="787"/>
      <c r="AT646" s="787"/>
      <c r="AU646" s="787"/>
      <c r="AV646" s="786"/>
      <c r="AW646" s="787"/>
      <c r="AX646" s="787"/>
      <c r="AY646" s="787"/>
      <c r="AZ646" s="780"/>
      <c r="BA646" s="780"/>
      <c r="BB646" s="780"/>
      <c r="BC646" s="780"/>
      <c r="BD646" s="541"/>
      <c r="BE646" s="541"/>
      <c r="BF646" s="541"/>
      <c r="BG646" s="541"/>
      <c r="BH646" s="780"/>
      <c r="BI646" s="780"/>
      <c r="BJ646" s="780"/>
      <c r="BK646" s="780"/>
      <c r="BL646" s="780"/>
      <c r="BM646" s="780"/>
    </row>
    <row r="647" ht="12.75" customHeight="1">
      <c r="A647" s="521"/>
      <c r="B647" s="521"/>
      <c r="C647" s="515"/>
      <c r="D647" s="515"/>
      <c r="E647" s="515"/>
      <c r="F647" s="515"/>
      <c r="G647" s="515"/>
      <c r="H647" s="515"/>
      <c r="I647" s="515"/>
      <c r="J647" s="515"/>
      <c r="K647" s="515"/>
      <c r="L647" s="515"/>
      <c r="M647" s="515"/>
      <c r="N647" s="515"/>
      <c r="O647" s="533"/>
      <c r="P647" s="786"/>
      <c r="Q647" s="787"/>
      <c r="R647" s="787"/>
      <c r="S647" s="787"/>
      <c r="T647" s="786"/>
      <c r="U647" s="787"/>
      <c r="V647" s="787"/>
      <c r="W647" s="787"/>
      <c r="X647" s="786"/>
      <c r="Y647" s="787"/>
      <c r="Z647" s="787"/>
      <c r="AA647" s="787"/>
      <c r="AB647" s="786"/>
      <c r="AC647" s="787"/>
      <c r="AD647" s="787"/>
      <c r="AE647" s="787"/>
      <c r="AF647" s="786"/>
      <c r="AG647" s="787"/>
      <c r="AH647" s="787"/>
      <c r="AI647" s="787"/>
      <c r="AJ647" s="786"/>
      <c r="AK647" s="787"/>
      <c r="AL647" s="787"/>
      <c r="AM647" s="787"/>
      <c r="AN647" s="786"/>
      <c r="AO647" s="787"/>
      <c r="AP647" s="787"/>
      <c r="AQ647" s="787"/>
      <c r="AR647" s="786"/>
      <c r="AS647" s="787"/>
      <c r="AT647" s="787"/>
      <c r="AU647" s="787"/>
      <c r="AV647" s="786"/>
      <c r="AW647" s="787"/>
      <c r="AX647" s="787"/>
      <c r="AY647" s="787"/>
      <c r="AZ647" s="780"/>
      <c r="BA647" s="780"/>
      <c r="BB647" s="780"/>
      <c r="BC647" s="780"/>
      <c r="BD647" s="541"/>
      <c r="BE647" s="541"/>
      <c r="BF647" s="541"/>
      <c r="BG647" s="541"/>
      <c r="BH647" s="780"/>
      <c r="BI647" s="780"/>
      <c r="BJ647" s="780"/>
      <c r="BK647" s="780"/>
      <c r="BL647" s="780"/>
      <c r="BM647" s="780"/>
    </row>
    <row r="648" ht="12.75" customHeight="1">
      <c r="A648" s="521"/>
      <c r="B648" s="521"/>
      <c r="C648" s="515"/>
      <c r="D648" s="515"/>
      <c r="E648" s="515"/>
      <c r="F648" s="515"/>
      <c r="G648" s="515"/>
      <c r="H648" s="515"/>
      <c r="I648" s="515"/>
      <c r="J648" s="515"/>
      <c r="K648" s="515"/>
      <c r="L648" s="515"/>
      <c r="M648" s="515"/>
      <c r="N648" s="515"/>
      <c r="O648" s="533"/>
      <c r="P648" s="786"/>
      <c r="Q648" s="787"/>
      <c r="R648" s="787"/>
      <c r="S648" s="787"/>
      <c r="T648" s="786"/>
      <c r="U648" s="787"/>
      <c r="V648" s="787"/>
      <c r="W648" s="787"/>
      <c r="X648" s="786"/>
      <c r="Y648" s="787"/>
      <c r="Z648" s="787"/>
      <c r="AA648" s="787"/>
      <c r="AB648" s="786"/>
      <c r="AC648" s="787"/>
      <c r="AD648" s="787"/>
      <c r="AE648" s="787"/>
      <c r="AF648" s="786"/>
      <c r="AG648" s="787"/>
      <c r="AH648" s="787"/>
      <c r="AI648" s="787"/>
      <c r="AJ648" s="786"/>
      <c r="AK648" s="787"/>
      <c r="AL648" s="787"/>
      <c r="AM648" s="787"/>
      <c r="AN648" s="786"/>
      <c r="AO648" s="787"/>
      <c r="AP648" s="787"/>
      <c r="AQ648" s="787"/>
      <c r="AR648" s="786"/>
      <c r="AS648" s="787"/>
      <c r="AT648" s="787"/>
      <c r="AU648" s="787"/>
      <c r="AV648" s="786"/>
      <c r="AW648" s="787"/>
      <c r="AX648" s="787"/>
      <c r="AY648" s="787"/>
      <c r="AZ648" s="780"/>
      <c r="BA648" s="780"/>
      <c r="BB648" s="780"/>
      <c r="BC648" s="780"/>
      <c r="BD648" s="541"/>
      <c r="BE648" s="541"/>
      <c r="BF648" s="541"/>
      <c r="BG648" s="541"/>
      <c r="BH648" s="780"/>
      <c r="BI648" s="780"/>
      <c r="BJ648" s="780"/>
      <c r="BK648" s="780"/>
      <c r="BL648" s="780"/>
      <c r="BM648" s="780"/>
    </row>
    <row r="649" ht="12.75" customHeight="1">
      <c r="A649" s="521"/>
      <c r="B649" s="521"/>
      <c r="C649" s="515"/>
      <c r="D649" s="515"/>
      <c r="E649" s="515"/>
      <c r="F649" s="515"/>
      <c r="G649" s="515"/>
      <c r="H649" s="515"/>
      <c r="I649" s="515"/>
      <c r="J649" s="515"/>
      <c r="K649" s="515"/>
      <c r="L649" s="515"/>
      <c r="M649" s="515"/>
      <c r="N649" s="515"/>
      <c r="O649" s="533"/>
      <c r="P649" s="786"/>
      <c r="Q649" s="787"/>
      <c r="R649" s="787"/>
      <c r="S649" s="787"/>
      <c r="T649" s="786"/>
      <c r="U649" s="787"/>
      <c r="V649" s="787"/>
      <c r="W649" s="787"/>
      <c r="X649" s="786"/>
      <c r="Y649" s="787"/>
      <c r="Z649" s="787"/>
      <c r="AA649" s="787"/>
      <c r="AB649" s="786"/>
      <c r="AC649" s="787"/>
      <c r="AD649" s="787"/>
      <c r="AE649" s="787"/>
      <c r="AF649" s="786"/>
      <c r="AG649" s="787"/>
      <c r="AH649" s="787"/>
      <c r="AI649" s="787"/>
      <c r="AJ649" s="786"/>
      <c r="AK649" s="787"/>
      <c r="AL649" s="787"/>
      <c r="AM649" s="787"/>
      <c r="AN649" s="786"/>
      <c r="AO649" s="787"/>
      <c r="AP649" s="787"/>
      <c r="AQ649" s="787"/>
      <c r="AR649" s="786"/>
      <c r="AS649" s="787"/>
      <c r="AT649" s="787"/>
      <c r="AU649" s="787"/>
      <c r="AV649" s="786"/>
      <c r="AW649" s="787"/>
      <c r="AX649" s="787"/>
      <c r="AY649" s="787"/>
      <c r="AZ649" s="780"/>
      <c r="BA649" s="780"/>
      <c r="BB649" s="780"/>
      <c r="BC649" s="780"/>
      <c r="BD649" s="541"/>
      <c r="BE649" s="541"/>
      <c r="BF649" s="541"/>
      <c r="BG649" s="541"/>
      <c r="BH649" s="780"/>
      <c r="BI649" s="780"/>
      <c r="BJ649" s="780"/>
      <c r="BK649" s="780"/>
      <c r="BL649" s="780"/>
      <c r="BM649" s="780"/>
    </row>
    <row r="650" ht="12.75" customHeight="1">
      <c r="A650" s="521"/>
      <c r="B650" s="521"/>
      <c r="C650" s="515"/>
      <c r="D650" s="515"/>
      <c r="E650" s="515"/>
      <c r="F650" s="515"/>
      <c r="G650" s="515"/>
      <c r="H650" s="515"/>
      <c r="I650" s="515"/>
      <c r="J650" s="515"/>
      <c r="K650" s="515"/>
      <c r="L650" s="515"/>
      <c r="M650" s="515"/>
      <c r="N650" s="515"/>
      <c r="O650" s="533"/>
      <c r="P650" s="786"/>
      <c r="Q650" s="787"/>
      <c r="R650" s="787"/>
      <c r="S650" s="787"/>
      <c r="T650" s="786"/>
      <c r="U650" s="787"/>
      <c r="V650" s="787"/>
      <c r="W650" s="787"/>
      <c r="X650" s="786"/>
      <c r="Y650" s="787"/>
      <c r="Z650" s="787"/>
      <c r="AA650" s="787"/>
      <c r="AB650" s="786"/>
      <c r="AC650" s="787"/>
      <c r="AD650" s="787"/>
      <c r="AE650" s="787"/>
      <c r="AF650" s="786"/>
      <c r="AG650" s="787"/>
      <c r="AH650" s="787"/>
      <c r="AI650" s="787"/>
      <c r="AJ650" s="786"/>
      <c r="AK650" s="787"/>
      <c r="AL650" s="787"/>
      <c r="AM650" s="787"/>
      <c r="AN650" s="786"/>
      <c r="AO650" s="787"/>
      <c r="AP650" s="787"/>
      <c r="AQ650" s="787"/>
      <c r="AR650" s="786"/>
      <c r="AS650" s="787"/>
      <c r="AT650" s="787"/>
      <c r="AU650" s="787"/>
      <c r="AV650" s="786"/>
      <c r="AW650" s="787"/>
      <c r="AX650" s="787"/>
      <c r="AY650" s="787"/>
      <c r="AZ650" s="780"/>
      <c r="BA650" s="780"/>
      <c r="BB650" s="780"/>
      <c r="BC650" s="780"/>
      <c r="BD650" s="541"/>
      <c r="BE650" s="541"/>
      <c r="BF650" s="541"/>
      <c r="BG650" s="541"/>
      <c r="BH650" s="780"/>
      <c r="BI650" s="780"/>
      <c r="BJ650" s="780"/>
      <c r="BK650" s="780"/>
      <c r="BL650" s="780"/>
      <c r="BM650" s="780"/>
    </row>
    <row r="651" ht="12.75" customHeight="1">
      <c r="A651" s="521"/>
      <c r="B651" s="521"/>
      <c r="C651" s="515"/>
      <c r="D651" s="515"/>
      <c r="E651" s="515"/>
      <c r="F651" s="515"/>
      <c r="G651" s="515"/>
      <c r="H651" s="515"/>
      <c r="I651" s="515"/>
      <c r="J651" s="515"/>
      <c r="K651" s="515"/>
      <c r="L651" s="515"/>
      <c r="M651" s="515"/>
      <c r="N651" s="515"/>
      <c r="O651" s="533"/>
      <c r="P651" s="786"/>
      <c r="Q651" s="787"/>
      <c r="R651" s="787"/>
      <c r="S651" s="787"/>
      <c r="T651" s="786"/>
      <c r="U651" s="787"/>
      <c r="V651" s="787"/>
      <c r="W651" s="787"/>
      <c r="X651" s="786"/>
      <c r="Y651" s="787"/>
      <c r="Z651" s="787"/>
      <c r="AA651" s="787"/>
      <c r="AB651" s="786"/>
      <c r="AC651" s="787"/>
      <c r="AD651" s="787"/>
      <c r="AE651" s="787"/>
      <c r="AF651" s="786"/>
      <c r="AG651" s="787"/>
      <c r="AH651" s="787"/>
      <c r="AI651" s="787"/>
      <c r="AJ651" s="786"/>
      <c r="AK651" s="787"/>
      <c r="AL651" s="787"/>
      <c r="AM651" s="787"/>
      <c r="AN651" s="786"/>
      <c r="AO651" s="787"/>
      <c r="AP651" s="787"/>
      <c r="AQ651" s="787"/>
      <c r="AR651" s="786"/>
      <c r="AS651" s="787"/>
      <c r="AT651" s="787"/>
      <c r="AU651" s="787"/>
      <c r="AV651" s="786"/>
      <c r="AW651" s="787"/>
      <c r="AX651" s="787"/>
      <c r="AY651" s="787"/>
      <c r="AZ651" s="780"/>
      <c r="BA651" s="780"/>
      <c r="BB651" s="780"/>
      <c r="BC651" s="780"/>
      <c r="BD651" s="541"/>
      <c r="BE651" s="541"/>
      <c r="BF651" s="541"/>
      <c r="BG651" s="541"/>
      <c r="BH651" s="780"/>
      <c r="BI651" s="780"/>
      <c r="BJ651" s="780"/>
      <c r="BK651" s="780"/>
      <c r="BL651" s="780"/>
      <c r="BM651" s="780"/>
    </row>
    <row r="652" ht="12.75" customHeight="1">
      <c r="A652" s="521"/>
      <c r="B652" s="521"/>
      <c r="C652" s="515"/>
      <c r="D652" s="515"/>
      <c r="E652" s="515"/>
      <c r="F652" s="515"/>
      <c r="G652" s="515"/>
      <c r="H652" s="515"/>
      <c r="I652" s="515"/>
      <c r="J652" s="515"/>
      <c r="K652" s="515"/>
      <c r="L652" s="515"/>
      <c r="M652" s="515"/>
      <c r="N652" s="515"/>
      <c r="O652" s="533"/>
      <c r="P652" s="786"/>
      <c r="Q652" s="787"/>
      <c r="R652" s="787"/>
      <c r="S652" s="787"/>
      <c r="T652" s="786"/>
      <c r="U652" s="787"/>
      <c r="V652" s="787"/>
      <c r="W652" s="787"/>
      <c r="X652" s="786"/>
      <c r="Y652" s="787"/>
      <c r="Z652" s="787"/>
      <c r="AA652" s="787"/>
      <c r="AB652" s="786"/>
      <c r="AC652" s="787"/>
      <c r="AD652" s="787"/>
      <c r="AE652" s="787"/>
      <c r="AF652" s="786"/>
      <c r="AG652" s="787"/>
      <c r="AH652" s="787"/>
      <c r="AI652" s="787"/>
      <c r="AJ652" s="786"/>
      <c r="AK652" s="787"/>
      <c r="AL652" s="787"/>
      <c r="AM652" s="787"/>
      <c r="AN652" s="786"/>
      <c r="AO652" s="787"/>
      <c r="AP652" s="787"/>
      <c r="AQ652" s="787"/>
      <c r="AR652" s="786"/>
      <c r="AS652" s="787"/>
      <c r="AT652" s="787"/>
      <c r="AU652" s="787"/>
      <c r="AV652" s="786"/>
      <c r="AW652" s="787"/>
      <c r="AX652" s="787"/>
      <c r="AY652" s="787"/>
      <c r="AZ652" s="780"/>
      <c r="BA652" s="780"/>
      <c r="BB652" s="780"/>
      <c r="BC652" s="780"/>
      <c r="BD652" s="541"/>
      <c r="BE652" s="541"/>
      <c r="BF652" s="541"/>
      <c r="BG652" s="541"/>
      <c r="BH652" s="780"/>
      <c r="BI652" s="780"/>
      <c r="BJ652" s="780"/>
      <c r="BK652" s="780"/>
      <c r="BL652" s="780"/>
      <c r="BM652" s="780"/>
    </row>
    <row r="653" ht="12.75" customHeight="1">
      <c r="A653" s="521"/>
      <c r="B653" s="521"/>
      <c r="C653" s="515"/>
      <c r="D653" s="515"/>
      <c r="E653" s="515"/>
      <c r="F653" s="515"/>
      <c r="G653" s="515"/>
      <c r="H653" s="515"/>
      <c r="I653" s="515"/>
      <c r="J653" s="515"/>
      <c r="K653" s="515"/>
      <c r="L653" s="515"/>
      <c r="M653" s="515"/>
      <c r="N653" s="515"/>
      <c r="O653" s="533"/>
      <c r="P653" s="786"/>
      <c r="Q653" s="787"/>
      <c r="R653" s="787"/>
      <c r="S653" s="787"/>
      <c r="T653" s="786"/>
      <c r="U653" s="787"/>
      <c r="V653" s="787"/>
      <c r="W653" s="787"/>
      <c r="X653" s="786"/>
      <c r="Y653" s="787"/>
      <c r="Z653" s="787"/>
      <c r="AA653" s="787"/>
      <c r="AB653" s="786"/>
      <c r="AC653" s="787"/>
      <c r="AD653" s="787"/>
      <c r="AE653" s="787"/>
      <c r="AF653" s="786"/>
      <c r="AG653" s="787"/>
      <c r="AH653" s="787"/>
      <c r="AI653" s="787"/>
      <c r="AJ653" s="786"/>
      <c r="AK653" s="787"/>
      <c r="AL653" s="787"/>
      <c r="AM653" s="787"/>
      <c r="AN653" s="786"/>
      <c r="AO653" s="787"/>
      <c r="AP653" s="787"/>
      <c r="AQ653" s="787"/>
      <c r="AR653" s="786"/>
      <c r="AS653" s="787"/>
      <c r="AT653" s="787"/>
      <c r="AU653" s="787"/>
      <c r="AV653" s="786"/>
      <c r="AW653" s="787"/>
      <c r="AX653" s="787"/>
      <c r="AY653" s="787"/>
      <c r="AZ653" s="780"/>
      <c r="BA653" s="780"/>
      <c r="BB653" s="780"/>
      <c r="BC653" s="780"/>
      <c r="BD653" s="541"/>
      <c r="BE653" s="541"/>
      <c r="BF653" s="541"/>
      <c r="BG653" s="541"/>
      <c r="BH653" s="780"/>
      <c r="BI653" s="780"/>
      <c r="BJ653" s="780"/>
      <c r="BK653" s="780"/>
      <c r="BL653" s="780"/>
      <c r="BM653" s="780"/>
    </row>
    <row r="654" ht="12.75" customHeight="1">
      <c r="A654" s="521"/>
      <c r="B654" s="521"/>
      <c r="C654" s="515"/>
      <c r="D654" s="515"/>
      <c r="E654" s="515"/>
      <c r="F654" s="515"/>
      <c r="G654" s="515"/>
      <c r="H654" s="515"/>
      <c r="I654" s="515"/>
      <c r="J654" s="515"/>
      <c r="K654" s="515"/>
      <c r="L654" s="515"/>
      <c r="M654" s="515"/>
      <c r="N654" s="515"/>
      <c r="O654" s="533"/>
      <c r="P654" s="786"/>
      <c r="Q654" s="787"/>
      <c r="R654" s="787"/>
      <c r="S654" s="787"/>
      <c r="T654" s="786"/>
      <c r="U654" s="787"/>
      <c r="V654" s="787"/>
      <c r="W654" s="787"/>
      <c r="X654" s="786"/>
      <c r="Y654" s="787"/>
      <c r="Z654" s="787"/>
      <c r="AA654" s="787"/>
      <c r="AB654" s="786"/>
      <c r="AC654" s="787"/>
      <c r="AD654" s="787"/>
      <c r="AE654" s="787"/>
      <c r="AF654" s="786"/>
      <c r="AG654" s="787"/>
      <c r="AH654" s="787"/>
      <c r="AI654" s="787"/>
      <c r="AJ654" s="786"/>
      <c r="AK654" s="787"/>
      <c r="AL654" s="787"/>
      <c r="AM654" s="787"/>
      <c r="AN654" s="786"/>
      <c r="AO654" s="787"/>
      <c r="AP654" s="787"/>
      <c r="AQ654" s="787"/>
      <c r="AR654" s="786"/>
      <c r="AS654" s="787"/>
      <c r="AT654" s="787"/>
      <c r="AU654" s="787"/>
      <c r="AV654" s="786"/>
      <c r="AW654" s="787"/>
      <c r="AX654" s="787"/>
      <c r="AY654" s="787"/>
      <c r="AZ654" s="780"/>
      <c r="BA654" s="780"/>
      <c r="BB654" s="780"/>
      <c r="BC654" s="780"/>
      <c r="BD654" s="541"/>
      <c r="BE654" s="541"/>
      <c r="BF654" s="541"/>
      <c r="BG654" s="541"/>
      <c r="BH654" s="780"/>
      <c r="BI654" s="780"/>
      <c r="BJ654" s="780"/>
      <c r="BK654" s="780"/>
      <c r="BL654" s="780"/>
      <c r="BM654" s="780"/>
    </row>
    <row r="655" ht="12.75" customHeight="1">
      <c r="A655" s="521"/>
      <c r="B655" s="521"/>
      <c r="C655" s="515"/>
      <c r="D655" s="515"/>
      <c r="E655" s="515"/>
      <c r="F655" s="515"/>
      <c r="G655" s="515"/>
      <c r="H655" s="515"/>
      <c r="I655" s="515"/>
      <c r="J655" s="515"/>
      <c r="K655" s="515"/>
      <c r="L655" s="515"/>
      <c r="M655" s="515"/>
      <c r="N655" s="515"/>
      <c r="O655" s="533"/>
      <c r="P655" s="786"/>
      <c r="Q655" s="787"/>
      <c r="R655" s="787"/>
      <c r="S655" s="787"/>
      <c r="T655" s="786"/>
      <c r="U655" s="787"/>
      <c r="V655" s="787"/>
      <c r="W655" s="787"/>
      <c r="X655" s="786"/>
      <c r="Y655" s="787"/>
      <c r="Z655" s="787"/>
      <c r="AA655" s="787"/>
      <c r="AB655" s="786"/>
      <c r="AC655" s="787"/>
      <c r="AD655" s="787"/>
      <c r="AE655" s="787"/>
      <c r="AF655" s="786"/>
      <c r="AG655" s="787"/>
      <c r="AH655" s="787"/>
      <c r="AI655" s="787"/>
      <c r="AJ655" s="786"/>
      <c r="AK655" s="787"/>
      <c r="AL655" s="787"/>
      <c r="AM655" s="787"/>
      <c r="AN655" s="786"/>
      <c r="AO655" s="787"/>
      <c r="AP655" s="787"/>
      <c r="AQ655" s="787"/>
      <c r="AR655" s="786"/>
      <c r="AS655" s="787"/>
      <c r="AT655" s="787"/>
      <c r="AU655" s="787"/>
      <c r="AV655" s="786"/>
      <c r="AW655" s="787"/>
      <c r="AX655" s="787"/>
      <c r="AY655" s="787"/>
      <c r="AZ655" s="780"/>
      <c r="BA655" s="780"/>
      <c r="BB655" s="780"/>
      <c r="BC655" s="780"/>
      <c r="BD655" s="541"/>
      <c r="BE655" s="541"/>
      <c r="BF655" s="541"/>
      <c r="BG655" s="541"/>
      <c r="BH655" s="780"/>
      <c r="BI655" s="780"/>
      <c r="BJ655" s="780"/>
      <c r="BK655" s="780"/>
      <c r="BL655" s="780"/>
      <c r="BM655" s="780"/>
    </row>
    <row r="656" ht="12.75" customHeight="1">
      <c r="A656" s="521"/>
      <c r="B656" s="521"/>
      <c r="C656" s="515"/>
      <c r="D656" s="515"/>
      <c r="E656" s="515"/>
      <c r="F656" s="515"/>
      <c r="G656" s="515"/>
      <c r="H656" s="515"/>
      <c r="I656" s="515"/>
      <c r="J656" s="515"/>
      <c r="K656" s="515"/>
      <c r="L656" s="515"/>
      <c r="M656" s="515"/>
      <c r="N656" s="515"/>
      <c r="O656" s="533"/>
      <c r="P656" s="786"/>
      <c r="Q656" s="787"/>
      <c r="R656" s="787"/>
      <c r="S656" s="787"/>
      <c r="T656" s="786"/>
      <c r="U656" s="787"/>
      <c r="V656" s="787"/>
      <c r="W656" s="787"/>
      <c r="X656" s="786"/>
      <c r="Y656" s="787"/>
      <c r="Z656" s="787"/>
      <c r="AA656" s="787"/>
      <c r="AB656" s="786"/>
      <c r="AC656" s="787"/>
      <c r="AD656" s="787"/>
      <c r="AE656" s="787"/>
      <c r="AF656" s="786"/>
      <c r="AG656" s="787"/>
      <c r="AH656" s="787"/>
      <c r="AI656" s="787"/>
      <c r="AJ656" s="786"/>
      <c r="AK656" s="787"/>
      <c r="AL656" s="787"/>
      <c r="AM656" s="787"/>
      <c r="AN656" s="786"/>
      <c r="AO656" s="787"/>
      <c r="AP656" s="787"/>
      <c r="AQ656" s="787"/>
      <c r="AR656" s="786"/>
      <c r="AS656" s="787"/>
      <c r="AT656" s="787"/>
      <c r="AU656" s="787"/>
      <c r="AV656" s="786"/>
      <c r="AW656" s="787"/>
      <c r="AX656" s="787"/>
      <c r="AY656" s="787"/>
      <c r="AZ656" s="780"/>
      <c r="BA656" s="780"/>
      <c r="BB656" s="780"/>
      <c r="BC656" s="780"/>
      <c r="BD656" s="541"/>
      <c r="BE656" s="541"/>
      <c r="BF656" s="541"/>
      <c r="BG656" s="541"/>
      <c r="BH656" s="780"/>
      <c r="BI656" s="780"/>
      <c r="BJ656" s="780"/>
      <c r="BK656" s="780"/>
      <c r="BL656" s="780"/>
      <c r="BM656" s="780"/>
    </row>
    <row r="657" ht="12.75" customHeight="1">
      <c r="A657" s="521"/>
      <c r="B657" s="521"/>
      <c r="C657" s="515"/>
      <c r="D657" s="515"/>
      <c r="E657" s="515"/>
      <c r="F657" s="515"/>
      <c r="G657" s="515"/>
      <c r="H657" s="515"/>
      <c r="I657" s="515"/>
      <c r="J657" s="515"/>
      <c r="K657" s="515"/>
      <c r="L657" s="515"/>
      <c r="M657" s="515"/>
      <c r="N657" s="515"/>
      <c r="O657" s="533"/>
      <c r="P657" s="786"/>
      <c r="Q657" s="787"/>
      <c r="R657" s="787"/>
      <c r="S657" s="787"/>
      <c r="T657" s="786"/>
      <c r="U657" s="787"/>
      <c r="V657" s="787"/>
      <c r="W657" s="787"/>
      <c r="X657" s="786"/>
      <c r="Y657" s="787"/>
      <c r="Z657" s="787"/>
      <c r="AA657" s="787"/>
      <c r="AB657" s="786"/>
      <c r="AC657" s="787"/>
      <c r="AD657" s="787"/>
      <c r="AE657" s="787"/>
      <c r="AF657" s="786"/>
      <c r="AG657" s="787"/>
      <c r="AH657" s="787"/>
      <c r="AI657" s="787"/>
      <c r="AJ657" s="786"/>
      <c r="AK657" s="787"/>
      <c r="AL657" s="787"/>
      <c r="AM657" s="787"/>
      <c r="AN657" s="786"/>
      <c r="AO657" s="787"/>
      <c r="AP657" s="787"/>
      <c r="AQ657" s="787"/>
      <c r="AR657" s="786"/>
      <c r="AS657" s="787"/>
      <c r="AT657" s="787"/>
      <c r="AU657" s="787"/>
      <c r="AV657" s="786"/>
      <c r="AW657" s="787"/>
      <c r="AX657" s="787"/>
      <c r="AY657" s="787"/>
      <c r="AZ657" s="780"/>
      <c r="BA657" s="780"/>
      <c r="BB657" s="780"/>
      <c r="BC657" s="780"/>
      <c r="BD657" s="541"/>
      <c r="BE657" s="541"/>
      <c r="BF657" s="541"/>
      <c r="BG657" s="541"/>
      <c r="BH657" s="780"/>
      <c r="BI657" s="780"/>
      <c r="BJ657" s="780"/>
      <c r="BK657" s="780"/>
      <c r="BL657" s="780"/>
      <c r="BM657" s="780"/>
    </row>
    <row r="658" ht="12.75" customHeight="1">
      <c r="A658" s="521"/>
      <c r="B658" s="521"/>
      <c r="C658" s="515"/>
      <c r="D658" s="515"/>
      <c r="E658" s="515"/>
      <c r="F658" s="515"/>
      <c r="G658" s="515"/>
      <c r="H658" s="515"/>
      <c r="I658" s="515"/>
      <c r="J658" s="515"/>
      <c r="K658" s="515"/>
      <c r="L658" s="515"/>
      <c r="M658" s="515"/>
      <c r="N658" s="515"/>
      <c r="O658" s="533"/>
      <c r="P658" s="786"/>
      <c r="Q658" s="787"/>
      <c r="R658" s="787"/>
      <c r="S658" s="787"/>
      <c r="T658" s="786"/>
      <c r="U658" s="787"/>
      <c r="V658" s="787"/>
      <c r="W658" s="787"/>
      <c r="X658" s="786"/>
      <c r="Y658" s="787"/>
      <c r="Z658" s="787"/>
      <c r="AA658" s="787"/>
      <c r="AB658" s="786"/>
      <c r="AC658" s="787"/>
      <c r="AD658" s="787"/>
      <c r="AE658" s="787"/>
      <c r="AF658" s="786"/>
      <c r="AG658" s="787"/>
      <c r="AH658" s="787"/>
      <c r="AI658" s="787"/>
      <c r="AJ658" s="786"/>
      <c r="AK658" s="787"/>
      <c r="AL658" s="787"/>
      <c r="AM658" s="787"/>
      <c r="AN658" s="786"/>
      <c r="AO658" s="787"/>
      <c r="AP658" s="787"/>
      <c r="AQ658" s="787"/>
      <c r="AR658" s="786"/>
      <c r="AS658" s="787"/>
      <c r="AT658" s="787"/>
      <c r="AU658" s="787"/>
      <c r="AV658" s="786"/>
      <c r="AW658" s="787"/>
      <c r="AX658" s="787"/>
      <c r="AY658" s="787"/>
      <c r="AZ658" s="780"/>
      <c r="BA658" s="780"/>
      <c r="BB658" s="780"/>
      <c r="BC658" s="780"/>
      <c r="BD658" s="541"/>
      <c r="BE658" s="541"/>
      <c r="BF658" s="541"/>
      <c r="BG658" s="541"/>
      <c r="BH658" s="780"/>
      <c r="BI658" s="780"/>
      <c r="BJ658" s="780"/>
      <c r="BK658" s="780"/>
      <c r="BL658" s="780"/>
      <c r="BM658" s="780"/>
    </row>
    <row r="659" ht="12.75" customHeight="1">
      <c r="A659" s="521"/>
      <c r="B659" s="521"/>
      <c r="C659" s="515"/>
      <c r="D659" s="515"/>
      <c r="E659" s="515"/>
      <c r="F659" s="515"/>
      <c r="G659" s="515"/>
      <c r="H659" s="515"/>
      <c r="I659" s="515"/>
      <c r="J659" s="515"/>
      <c r="K659" s="515"/>
      <c r="L659" s="515"/>
      <c r="M659" s="515"/>
      <c r="N659" s="515"/>
      <c r="O659" s="533"/>
      <c r="P659" s="786"/>
      <c r="Q659" s="787"/>
      <c r="R659" s="787"/>
      <c r="S659" s="787"/>
      <c r="T659" s="786"/>
      <c r="U659" s="787"/>
      <c r="V659" s="787"/>
      <c r="W659" s="787"/>
      <c r="X659" s="786"/>
      <c r="Y659" s="787"/>
      <c r="Z659" s="787"/>
      <c r="AA659" s="787"/>
      <c r="AB659" s="786"/>
      <c r="AC659" s="787"/>
      <c r="AD659" s="787"/>
      <c r="AE659" s="787"/>
      <c r="AF659" s="786"/>
      <c r="AG659" s="787"/>
      <c r="AH659" s="787"/>
      <c r="AI659" s="787"/>
      <c r="AJ659" s="786"/>
      <c r="AK659" s="787"/>
      <c r="AL659" s="787"/>
      <c r="AM659" s="787"/>
      <c r="AN659" s="786"/>
      <c r="AO659" s="787"/>
      <c r="AP659" s="787"/>
      <c r="AQ659" s="787"/>
      <c r="AR659" s="786"/>
      <c r="AS659" s="787"/>
      <c r="AT659" s="787"/>
      <c r="AU659" s="787"/>
      <c r="AV659" s="786"/>
      <c r="AW659" s="787"/>
      <c r="AX659" s="787"/>
      <c r="AY659" s="787"/>
      <c r="AZ659" s="780"/>
      <c r="BA659" s="780"/>
      <c r="BB659" s="780"/>
      <c r="BC659" s="780"/>
      <c r="BD659" s="541"/>
      <c r="BE659" s="541"/>
      <c r="BF659" s="541"/>
      <c r="BG659" s="541"/>
      <c r="BH659" s="780"/>
      <c r="BI659" s="780"/>
      <c r="BJ659" s="780"/>
      <c r="BK659" s="780"/>
      <c r="BL659" s="780"/>
      <c r="BM659" s="780"/>
    </row>
    <row r="660" ht="12.75" customHeight="1">
      <c r="A660" s="521"/>
      <c r="B660" s="521"/>
      <c r="C660" s="515"/>
      <c r="D660" s="515"/>
      <c r="E660" s="515"/>
      <c r="F660" s="515"/>
      <c r="G660" s="515"/>
      <c r="H660" s="515"/>
      <c r="I660" s="515"/>
      <c r="J660" s="515"/>
      <c r="K660" s="515"/>
      <c r="L660" s="515"/>
      <c r="M660" s="515"/>
      <c r="N660" s="515"/>
      <c r="O660" s="533"/>
      <c r="P660" s="786"/>
      <c r="Q660" s="787"/>
      <c r="R660" s="787"/>
      <c r="S660" s="787"/>
      <c r="T660" s="786"/>
      <c r="U660" s="787"/>
      <c r="V660" s="787"/>
      <c r="W660" s="787"/>
      <c r="X660" s="786"/>
      <c r="Y660" s="787"/>
      <c r="Z660" s="787"/>
      <c r="AA660" s="787"/>
      <c r="AB660" s="786"/>
      <c r="AC660" s="787"/>
      <c r="AD660" s="787"/>
      <c r="AE660" s="787"/>
      <c r="AF660" s="786"/>
      <c r="AG660" s="787"/>
      <c r="AH660" s="787"/>
      <c r="AI660" s="787"/>
      <c r="AJ660" s="786"/>
      <c r="AK660" s="787"/>
      <c r="AL660" s="787"/>
      <c r="AM660" s="787"/>
      <c r="AN660" s="786"/>
      <c r="AO660" s="787"/>
      <c r="AP660" s="787"/>
      <c r="AQ660" s="787"/>
      <c r="AR660" s="786"/>
      <c r="AS660" s="787"/>
      <c r="AT660" s="787"/>
      <c r="AU660" s="787"/>
      <c r="AV660" s="786"/>
      <c r="AW660" s="787"/>
      <c r="AX660" s="787"/>
      <c r="AY660" s="787"/>
      <c r="AZ660" s="780"/>
      <c r="BA660" s="780"/>
      <c r="BB660" s="780"/>
      <c r="BC660" s="780"/>
      <c r="BD660" s="541"/>
      <c r="BE660" s="541"/>
      <c r="BF660" s="541"/>
      <c r="BG660" s="541"/>
      <c r="BH660" s="780"/>
      <c r="BI660" s="780"/>
      <c r="BJ660" s="780"/>
      <c r="BK660" s="780"/>
      <c r="BL660" s="780"/>
      <c r="BM660" s="780"/>
    </row>
    <row r="661" ht="12.75" customHeight="1">
      <c r="A661" s="521"/>
      <c r="B661" s="521"/>
      <c r="C661" s="515"/>
      <c r="D661" s="515"/>
      <c r="E661" s="515"/>
      <c r="F661" s="515"/>
      <c r="G661" s="515"/>
      <c r="H661" s="515"/>
      <c r="I661" s="515"/>
      <c r="J661" s="515"/>
      <c r="K661" s="515"/>
      <c r="L661" s="515"/>
      <c r="M661" s="515"/>
      <c r="N661" s="515"/>
      <c r="O661" s="533"/>
      <c r="P661" s="786"/>
      <c r="Q661" s="787"/>
      <c r="R661" s="787"/>
      <c r="S661" s="787"/>
      <c r="T661" s="786"/>
      <c r="U661" s="787"/>
      <c r="V661" s="787"/>
      <c r="W661" s="787"/>
      <c r="X661" s="786"/>
      <c r="Y661" s="787"/>
      <c r="Z661" s="787"/>
      <c r="AA661" s="787"/>
      <c r="AB661" s="786"/>
      <c r="AC661" s="787"/>
      <c r="AD661" s="787"/>
      <c r="AE661" s="787"/>
      <c r="AF661" s="786"/>
      <c r="AG661" s="787"/>
      <c r="AH661" s="787"/>
      <c r="AI661" s="787"/>
      <c r="AJ661" s="786"/>
      <c r="AK661" s="787"/>
      <c r="AL661" s="787"/>
      <c r="AM661" s="787"/>
      <c r="AN661" s="786"/>
      <c r="AO661" s="787"/>
      <c r="AP661" s="787"/>
      <c r="AQ661" s="787"/>
      <c r="AR661" s="786"/>
      <c r="AS661" s="787"/>
      <c r="AT661" s="787"/>
      <c r="AU661" s="787"/>
      <c r="AV661" s="786"/>
      <c r="AW661" s="787"/>
      <c r="AX661" s="787"/>
      <c r="AY661" s="787"/>
      <c r="AZ661" s="780"/>
      <c r="BA661" s="780"/>
      <c r="BB661" s="780"/>
      <c r="BC661" s="780"/>
      <c r="BD661" s="541"/>
      <c r="BE661" s="541"/>
      <c r="BF661" s="541"/>
      <c r="BG661" s="541"/>
      <c r="BH661" s="780"/>
      <c r="BI661" s="780"/>
      <c r="BJ661" s="780"/>
      <c r="BK661" s="780"/>
      <c r="BL661" s="780"/>
      <c r="BM661" s="780"/>
    </row>
    <row r="662" ht="12.75" customHeight="1">
      <c r="A662" s="521"/>
      <c r="B662" s="521"/>
      <c r="C662" s="515"/>
      <c r="D662" s="515"/>
      <c r="E662" s="515"/>
      <c r="F662" s="515"/>
      <c r="G662" s="515"/>
      <c r="H662" s="515"/>
      <c r="I662" s="515"/>
      <c r="J662" s="515"/>
      <c r="K662" s="515"/>
      <c r="L662" s="515"/>
      <c r="M662" s="515"/>
      <c r="N662" s="515"/>
      <c r="O662" s="533"/>
      <c r="P662" s="786"/>
      <c r="Q662" s="787"/>
      <c r="R662" s="787"/>
      <c r="S662" s="787"/>
      <c r="T662" s="786"/>
      <c r="U662" s="787"/>
      <c r="V662" s="787"/>
      <c r="W662" s="787"/>
      <c r="X662" s="786"/>
      <c r="Y662" s="787"/>
      <c r="Z662" s="787"/>
      <c r="AA662" s="787"/>
      <c r="AB662" s="786"/>
      <c r="AC662" s="787"/>
      <c r="AD662" s="787"/>
      <c r="AE662" s="787"/>
      <c r="AF662" s="786"/>
      <c r="AG662" s="787"/>
      <c r="AH662" s="787"/>
      <c r="AI662" s="787"/>
      <c r="AJ662" s="786"/>
      <c r="AK662" s="787"/>
      <c r="AL662" s="787"/>
      <c r="AM662" s="787"/>
      <c r="AN662" s="786"/>
      <c r="AO662" s="787"/>
      <c r="AP662" s="787"/>
      <c r="AQ662" s="787"/>
      <c r="AR662" s="786"/>
      <c r="AS662" s="787"/>
      <c r="AT662" s="787"/>
      <c r="AU662" s="787"/>
      <c r="AV662" s="786"/>
      <c r="AW662" s="787"/>
      <c r="AX662" s="787"/>
      <c r="AY662" s="787"/>
      <c r="AZ662" s="780"/>
      <c r="BA662" s="780"/>
      <c r="BB662" s="780"/>
      <c r="BC662" s="780"/>
      <c r="BD662" s="541"/>
      <c r="BE662" s="541"/>
      <c r="BF662" s="541"/>
      <c r="BG662" s="541"/>
      <c r="BH662" s="780"/>
      <c r="BI662" s="780"/>
      <c r="BJ662" s="780"/>
      <c r="BK662" s="780"/>
      <c r="BL662" s="780"/>
      <c r="BM662" s="780"/>
    </row>
    <row r="663" ht="12.75" customHeight="1">
      <c r="A663" s="521"/>
      <c r="B663" s="521"/>
      <c r="C663" s="515"/>
      <c r="D663" s="515"/>
      <c r="E663" s="515"/>
      <c r="F663" s="515"/>
      <c r="G663" s="515"/>
      <c r="H663" s="515"/>
      <c r="I663" s="515"/>
      <c r="J663" s="515"/>
      <c r="K663" s="515"/>
      <c r="L663" s="515"/>
      <c r="M663" s="515"/>
      <c r="N663" s="515"/>
      <c r="O663" s="533"/>
      <c r="P663" s="786"/>
      <c r="Q663" s="787"/>
      <c r="R663" s="787"/>
      <c r="S663" s="787"/>
      <c r="T663" s="786"/>
      <c r="U663" s="787"/>
      <c r="V663" s="787"/>
      <c r="W663" s="787"/>
      <c r="X663" s="786"/>
      <c r="Y663" s="787"/>
      <c r="Z663" s="787"/>
      <c r="AA663" s="787"/>
      <c r="AB663" s="786"/>
      <c r="AC663" s="787"/>
      <c r="AD663" s="787"/>
      <c r="AE663" s="787"/>
      <c r="AF663" s="786"/>
      <c r="AG663" s="787"/>
      <c r="AH663" s="787"/>
      <c r="AI663" s="787"/>
      <c r="AJ663" s="786"/>
      <c r="AK663" s="787"/>
      <c r="AL663" s="787"/>
      <c r="AM663" s="787"/>
      <c r="AN663" s="786"/>
      <c r="AO663" s="787"/>
      <c r="AP663" s="787"/>
      <c r="AQ663" s="787"/>
      <c r="AR663" s="786"/>
      <c r="AS663" s="787"/>
      <c r="AT663" s="787"/>
      <c r="AU663" s="787"/>
      <c r="AV663" s="786"/>
      <c r="AW663" s="787"/>
      <c r="AX663" s="787"/>
      <c r="AY663" s="787"/>
      <c r="AZ663" s="780"/>
      <c r="BA663" s="780"/>
      <c r="BB663" s="780"/>
      <c r="BC663" s="780"/>
      <c r="BD663" s="541"/>
      <c r="BE663" s="541"/>
      <c r="BF663" s="541"/>
      <c r="BG663" s="541"/>
      <c r="BH663" s="780"/>
      <c r="BI663" s="780"/>
      <c r="BJ663" s="780"/>
      <c r="BK663" s="780"/>
      <c r="BL663" s="780"/>
      <c r="BM663" s="780"/>
    </row>
    <row r="664" ht="12.75" customHeight="1">
      <c r="A664" s="521"/>
      <c r="B664" s="521"/>
      <c r="C664" s="515"/>
      <c r="D664" s="515"/>
      <c r="E664" s="515"/>
      <c r="F664" s="515"/>
      <c r="G664" s="515"/>
      <c r="H664" s="515"/>
      <c r="I664" s="515"/>
      <c r="J664" s="515"/>
      <c r="K664" s="515"/>
      <c r="L664" s="515"/>
      <c r="M664" s="515"/>
      <c r="N664" s="515"/>
      <c r="O664" s="533"/>
      <c r="P664" s="786"/>
      <c r="Q664" s="787"/>
      <c r="R664" s="787"/>
      <c r="S664" s="787"/>
      <c r="T664" s="786"/>
      <c r="U664" s="787"/>
      <c r="V664" s="787"/>
      <c r="W664" s="787"/>
      <c r="X664" s="786"/>
      <c r="Y664" s="787"/>
      <c r="Z664" s="787"/>
      <c r="AA664" s="787"/>
      <c r="AB664" s="786"/>
      <c r="AC664" s="787"/>
      <c r="AD664" s="787"/>
      <c r="AE664" s="787"/>
      <c r="AF664" s="786"/>
      <c r="AG664" s="787"/>
      <c r="AH664" s="787"/>
      <c r="AI664" s="787"/>
      <c r="AJ664" s="786"/>
      <c r="AK664" s="787"/>
      <c r="AL664" s="787"/>
      <c r="AM664" s="787"/>
      <c r="AN664" s="786"/>
      <c r="AO664" s="787"/>
      <c r="AP664" s="787"/>
      <c r="AQ664" s="787"/>
      <c r="AR664" s="786"/>
      <c r="AS664" s="787"/>
      <c r="AT664" s="787"/>
      <c r="AU664" s="787"/>
      <c r="AV664" s="786"/>
      <c r="AW664" s="787"/>
      <c r="AX664" s="787"/>
      <c r="AY664" s="787"/>
      <c r="AZ664" s="780"/>
      <c r="BA664" s="780"/>
      <c r="BB664" s="780"/>
      <c r="BC664" s="780"/>
      <c r="BD664" s="541"/>
      <c r="BE664" s="541"/>
      <c r="BF664" s="541"/>
      <c r="BG664" s="541"/>
      <c r="BH664" s="780"/>
      <c r="BI664" s="780"/>
      <c r="BJ664" s="780"/>
      <c r="BK664" s="780"/>
      <c r="BL664" s="780"/>
      <c r="BM664" s="780"/>
    </row>
    <row r="665" ht="12.75" customHeight="1">
      <c r="A665" s="521"/>
      <c r="B665" s="521"/>
      <c r="C665" s="515"/>
      <c r="D665" s="515"/>
      <c r="E665" s="515"/>
      <c r="F665" s="515"/>
      <c r="G665" s="515"/>
      <c r="H665" s="515"/>
      <c r="I665" s="515"/>
      <c r="J665" s="515"/>
      <c r="K665" s="515"/>
      <c r="L665" s="515"/>
      <c r="M665" s="515"/>
      <c r="N665" s="515"/>
      <c r="O665" s="533"/>
      <c r="P665" s="786"/>
      <c r="Q665" s="787"/>
      <c r="R665" s="787"/>
      <c r="S665" s="787"/>
      <c r="T665" s="786"/>
      <c r="U665" s="787"/>
      <c r="V665" s="787"/>
      <c r="W665" s="787"/>
      <c r="X665" s="786"/>
      <c r="Y665" s="787"/>
      <c r="Z665" s="787"/>
      <c r="AA665" s="787"/>
      <c r="AB665" s="786"/>
      <c r="AC665" s="787"/>
      <c r="AD665" s="787"/>
      <c r="AE665" s="787"/>
      <c r="AF665" s="786"/>
      <c r="AG665" s="787"/>
      <c r="AH665" s="787"/>
      <c r="AI665" s="787"/>
      <c r="AJ665" s="786"/>
      <c r="AK665" s="787"/>
      <c r="AL665" s="787"/>
      <c r="AM665" s="787"/>
      <c r="AN665" s="786"/>
      <c r="AO665" s="787"/>
      <c r="AP665" s="787"/>
      <c r="AQ665" s="787"/>
      <c r="AR665" s="786"/>
      <c r="AS665" s="787"/>
      <c r="AT665" s="787"/>
      <c r="AU665" s="787"/>
      <c r="AV665" s="786"/>
      <c r="AW665" s="787"/>
      <c r="AX665" s="787"/>
      <c r="AY665" s="787"/>
      <c r="AZ665" s="780"/>
      <c r="BA665" s="780"/>
      <c r="BB665" s="780"/>
      <c r="BC665" s="780"/>
      <c r="BD665" s="541"/>
      <c r="BE665" s="541"/>
      <c r="BF665" s="541"/>
      <c r="BG665" s="541"/>
      <c r="BH665" s="780"/>
      <c r="BI665" s="780"/>
      <c r="BJ665" s="780"/>
      <c r="BK665" s="780"/>
      <c r="BL665" s="780"/>
      <c r="BM665" s="780"/>
    </row>
    <row r="666" ht="12.75" customHeight="1">
      <c r="A666" s="521"/>
      <c r="B666" s="521"/>
      <c r="C666" s="515"/>
      <c r="D666" s="515"/>
      <c r="E666" s="515"/>
      <c r="F666" s="515"/>
      <c r="G666" s="515"/>
      <c r="H666" s="515"/>
      <c r="I666" s="515"/>
      <c r="J666" s="515"/>
      <c r="K666" s="515"/>
      <c r="L666" s="515"/>
      <c r="M666" s="515"/>
      <c r="N666" s="515"/>
      <c r="O666" s="533"/>
      <c r="P666" s="786"/>
      <c r="Q666" s="787"/>
      <c r="R666" s="787"/>
      <c r="S666" s="787"/>
      <c r="T666" s="786"/>
      <c r="U666" s="787"/>
      <c r="V666" s="787"/>
      <c r="W666" s="787"/>
      <c r="X666" s="786"/>
      <c r="Y666" s="787"/>
      <c r="Z666" s="787"/>
      <c r="AA666" s="787"/>
      <c r="AB666" s="786"/>
      <c r="AC666" s="787"/>
      <c r="AD666" s="787"/>
      <c r="AE666" s="787"/>
      <c r="AF666" s="786"/>
      <c r="AG666" s="787"/>
      <c r="AH666" s="787"/>
      <c r="AI666" s="787"/>
      <c r="AJ666" s="786"/>
      <c r="AK666" s="787"/>
      <c r="AL666" s="787"/>
      <c r="AM666" s="787"/>
      <c r="AN666" s="786"/>
      <c r="AO666" s="787"/>
      <c r="AP666" s="787"/>
      <c r="AQ666" s="787"/>
      <c r="AR666" s="786"/>
      <c r="AS666" s="787"/>
      <c r="AT666" s="787"/>
      <c r="AU666" s="787"/>
      <c r="AV666" s="786"/>
      <c r="AW666" s="787"/>
      <c r="AX666" s="787"/>
      <c r="AY666" s="787"/>
      <c r="AZ666" s="780"/>
      <c r="BA666" s="780"/>
      <c r="BB666" s="780"/>
      <c r="BC666" s="780"/>
      <c r="BD666" s="541"/>
      <c r="BE666" s="541"/>
      <c r="BF666" s="541"/>
      <c r="BG666" s="541"/>
      <c r="BH666" s="780"/>
      <c r="BI666" s="780"/>
      <c r="BJ666" s="780"/>
      <c r="BK666" s="780"/>
      <c r="BL666" s="780"/>
      <c r="BM666" s="780"/>
    </row>
    <row r="667" ht="12.75" customHeight="1">
      <c r="A667" s="521"/>
      <c r="B667" s="521"/>
      <c r="C667" s="515"/>
      <c r="D667" s="515"/>
      <c r="E667" s="515"/>
      <c r="F667" s="515"/>
      <c r="G667" s="515"/>
      <c r="H667" s="515"/>
      <c r="I667" s="515"/>
      <c r="J667" s="515"/>
      <c r="K667" s="515"/>
      <c r="L667" s="515"/>
      <c r="M667" s="515"/>
      <c r="N667" s="515"/>
      <c r="O667" s="533"/>
      <c r="P667" s="786"/>
      <c r="Q667" s="787"/>
      <c r="R667" s="787"/>
      <c r="S667" s="787"/>
      <c r="T667" s="786"/>
      <c r="U667" s="787"/>
      <c r="V667" s="787"/>
      <c r="W667" s="787"/>
      <c r="X667" s="786"/>
      <c r="Y667" s="787"/>
      <c r="Z667" s="787"/>
      <c r="AA667" s="787"/>
      <c r="AB667" s="786"/>
      <c r="AC667" s="787"/>
      <c r="AD667" s="787"/>
      <c r="AE667" s="787"/>
      <c r="AF667" s="786"/>
      <c r="AG667" s="787"/>
      <c r="AH667" s="787"/>
      <c r="AI667" s="787"/>
      <c r="AJ667" s="786"/>
      <c r="AK667" s="787"/>
      <c r="AL667" s="787"/>
      <c r="AM667" s="787"/>
      <c r="AN667" s="786"/>
      <c r="AO667" s="787"/>
      <c r="AP667" s="787"/>
      <c r="AQ667" s="787"/>
      <c r="AR667" s="786"/>
      <c r="AS667" s="787"/>
      <c r="AT667" s="787"/>
      <c r="AU667" s="787"/>
      <c r="AV667" s="786"/>
      <c r="AW667" s="787"/>
      <c r="AX667" s="787"/>
      <c r="AY667" s="787"/>
      <c r="AZ667" s="780"/>
      <c r="BA667" s="780"/>
      <c r="BB667" s="780"/>
      <c r="BC667" s="780"/>
      <c r="BD667" s="541"/>
      <c r="BE667" s="541"/>
      <c r="BF667" s="541"/>
      <c r="BG667" s="541"/>
      <c r="BH667" s="780"/>
      <c r="BI667" s="780"/>
      <c r="BJ667" s="780"/>
      <c r="BK667" s="780"/>
      <c r="BL667" s="780"/>
      <c r="BM667" s="780"/>
    </row>
    <row r="668" ht="12.75" customHeight="1">
      <c r="A668" s="521"/>
      <c r="B668" s="521"/>
      <c r="C668" s="515"/>
      <c r="D668" s="515"/>
      <c r="E668" s="515"/>
      <c r="F668" s="515"/>
      <c r="G668" s="515"/>
      <c r="H668" s="515"/>
      <c r="I668" s="515"/>
      <c r="J668" s="515"/>
      <c r="K668" s="515"/>
      <c r="L668" s="515"/>
      <c r="M668" s="515"/>
      <c r="N668" s="515"/>
      <c r="O668" s="533"/>
      <c r="P668" s="786"/>
      <c r="Q668" s="787"/>
      <c r="R668" s="787"/>
      <c r="S668" s="787"/>
      <c r="T668" s="786"/>
      <c r="U668" s="787"/>
      <c r="V668" s="787"/>
      <c r="W668" s="787"/>
      <c r="X668" s="786"/>
      <c r="Y668" s="787"/>
      <c r="Z668" s="787"/>
      <c r="AA668" s="787"/>
      <c r="AB668" s="786"/>
      <c r="AC668" s="787"/>
      <c r="AD668" s="787"/>
      <c r="AE668" s="787"/>
      <c r="AF668" s="786"/>
      <c r="AG668" s="787"/>
      <c r="AH668" s="787"/>
      <c r="AI668" s="787"/>
      <c r="AJ668" s="786"/>
      <c r="AK668" s="787"/>
      <c r="AL668" s="787"/>
      <c r="AM668" s="787"/>
      <c r="AN668" s="786"/>
      <c r="AO668" s="787"/>
      <c r="AP668" s="787"/>
      <c r="AQ668" s="787"/>
      <c r="AR668" s="786"/>
      <c r="AS668" s="787"/>
      <c r="AT668" s="787"/>
      <c r="AU668" s="787"/>
      <c r="AV668" s="786"/>
      <c r="AW668" s="787"/>
      <c r="AX668" s="787"/>
      <c r="AY668" s="787"/>
      <c r="AZ668" s="780"/>
      <c r="BA668" s="780"/>
      <c r="BB668" s="780"/>
      <c r="BC668" s="780"/>
      <c r="BD668" s="541"/>
      <c r="BE668" s="541"/>
      <c r="BF668" s="541"/>
      <c r="BG668" s="541"/>
      <c r="BH668" s="780"/>
      <c r="BI668" s="780"/>
      <c r="BJ668" s="780"/>
      <c r="BK668" s="780"/>
      <c r="BL668" s="780"/>
      <c r="BM668" s="780"/>
    </row>
    <row r="669" ht="12.75" customHeight="1">
      <c r="A669" s="521"/>
      <c r="B669" s="521"/>
      <c r="C669" s="515"/>
      <c r="D669" s="515"/>
      <c r="E669" s="515"/>
      <c r="F669" s="515"/>
      <c r="G669" s="515"/>
      <c r="H669" s="515"/>
      <c r="I669" s="515"/>
      <c r="J669" s="515"/>
      <c r="K669" s="515"/>
      <c r="L669" s="515"/>
      <c r="M669" s="515"/>
      <c r="N669" s="515"/>
      <c r="O669" s="533"/>
      <c r="P669" s="786"/>
      <c r="Q669" s="787"/>
      <c r="R669" s="787"/>
      <c r="S669" s="787"/>
      <c r="T669" s="786"/>
      <c r="U669" s="787"/>
      <c r="V669" s="787"/>
      <c r="W669" s="787"/>
      <c r="X669" s="786"/>
      <c r="Y669" s="787"/>
      <c r="Z669" s="787"/>
      <c r="AA669" s="787"/>
      <c r="AB669" s="786"/>
      <c r="AC669" s="787"/>
      <c r="AD669" s="787"/>
      <c r="AE669" s="787"/>
      <c r="AF669" s="786"/>
      <c r="AG669" s="787"/>
      <c r="AH669" s="787"/>
      <c r="AI669" s="787"/>
      <c r="AJ669" s="786"/>
      <c r="AK669" s="787"/>
      <c r="AL669" s="787"/>
      <c r="AM669" s="787"/>
      <c r="AN669" s="786"/>
      <c r="AO669" s="787"/>
      <c r="AP669" s="787"/>
      <c r="AQ669" s="787"/>
      <c r="AR669" s="786"/>
      <c r="AS669" s="787"/>
      <c r="AT669" s="787"/>
      <c r="AU669" s="787"/>
      <c r="AV669" s="786"/>
      <c r="AW669" s="787"/>
      <c r="AX669" s="787"/>
      <c r="AY669" s="787"/>
      <c r="AZ669" s="780"/>
      <c r="BA669" s="780"/>
      <c r="BB669" s="780"/>
      <c r="BC669" s="780"/>
      <c r="BD669" s="541"/>
      <c r="BE669" s="541"/>
      <c r="BF669" s="541"/>
      <c r="BG669" s="541"/>
      <c r="BH669" s="780"/>
      <c r="BI669" s="780"/>
      <c r="BJ669" s="780"/>
      <c r="BK669" s="780"/>
      <c r="BL669" s="780"/>
      <c r="BM669" s="780"/>
    </row>
    <row r="670" ht="12.75" customHeight="1">
      <c r="A670" s="521"/>
      <c r="B670" s="521"/>
      <c r="C670" s="515"/>
      <c r="D670" s="515"/>
      <c r="E670" s="515"/>
      <c r="F670" s="515"/>
      <c r="G670" s="515"/>
      <c r="H670" s="515"/>
      <c r="I670" s="515"/>
      <c r="J670" s="515"/>
      <c r="K670" s="515"/>
      <c r="L670" s="515"/>
      <c r="M670" s="515"/>
      <c r="N670" s="515"/>
      <c r="O670" s="533"/>
      <c r="P670" s="786"/>
      <c r="Q670" s="787"/>
      <c r="R670" s="787"/>
      <c r="S670" s="787"/>
      <c r="T670" s="786"/>
      <c r="U670" s="787"/>
      <c r="V670" s="787"/>
      <c r="W670" s="787"/>
      <c r="X670" s="786"/>
      <c r="Y670" s="787"/>
      <c r="Z670" s="787"/>
      <c r="AA670" s="787"/>
      <c r="AB670" s="786"/>
      <c r="AC670" s="787"/>
      <c r="AD670" s="787"/>
      <c r="AE670" s="787"/>
      <c r="AF670" s="786"/>
      <c r="AG670" s="787"/>
      <c r="AH670" s="787"/>
      <c r="AI670" s="787"/>
      <c r="AJ670" s="786"/>
      <c r="AK670" s="787"/>
      <c r="AL670" s="787"/>
      <c r="AM670" s="787"/>
      <c r="AN670" s="786"/>
      <c r="AO670" s="787"/>
      <c r="AP670" s="787"/>
      <c r="AQ670" s="787"/>
      <c r="AR670" s="786"/>
      <c r="AS670" s="787"/>
      <c r="AT670" s="787"/>
      <c r="AU670" s="787"/>
      <c r="AV670" s="786"/>
      <c r="AW670" s="787"/>
      <c r="AX670" s="787"/>
      <c r="AY670" s="787"/>
      <c r="AZ670" s="780"/>
      <c r="BA670" s="780"/>
      <c r="BB670" s="780"/>
      <c r="BC670" s="780"/>
      <c r="BD670" s="541"/>
      <c r="BE670" s="541"/>
      <c r="BF670" s="541"/>
      <c r="BG670" s="541"/>
      <c r="BH670" s="780"/>
      <c r="BI670" s="780"/>
      <c r="BJ670" s="780"/>
      <c r="BK670" s="780"/>
      <c r="BL670" s="780"/>
      <c r="BM670" s="780"/>
    </row>
    <row r="671" ht="12.75" customHeight="1">
      <c r="A671" s="521"/>
      <c r="B671" s="521"/>
      <c r="C671" s="515"/>
      <c r="D671" s="515"/>
      <c r="E671" s="515"/>
      <c r="F671" s="515"/>
      <c r="G671" s="515"/>
      <c r="H671" s="515"/>
      <c r="I671" s="515"/>
      <c r="J671" s="515"/>
      <c r="K671" s="515"/>
      <c r="L671" s="515"/>
      <c r="M671" s="515"/>
      <c r="N671" s="515"/>
      <c r="O671" s="533"/>
      <c r="P671" s="786"/>
      <c r="Q671" s="787"/>
      <c r="R671" s="787"/>
      <c r="S671" s="787"/>
      <c r="T671" s="786"/>
      <c r="U671" s="787"/>
      <c r="V671" s="787"/>
      <c r="W671" s="787"/>
      <c r="X671" s="786"/>
      <c r="Y671" s="787"/>
      <c r="Z671" s="787"/>
      <c r="AA671" s="787"/>
      <c r="AB671" s="786"/>
      <c r="AC671" s="787"/>
      <c r="AD671" s="787"/>
      <c r="AE671" s="787"/>
      <c r="AF671" s="786"/>
      <c r="AG671" s="787"/>
      <c r="AH671" s="787"/>
      <c r="AI671" s="787"/>
      <c r="AJ671" s="786"/>
      <c r="AK671" s="787"/>
      <c r="AL671" s="787"/>
      <c r="AM671" s="787"/>
      <c r="AN671" s="786"/>
      <c r="AO671" s="787"/>
      <c r="AP671" s="787"/>
      <c r="AQ671" s="787"/>
      <c r="AR671" s="786"/>
      <c r="AS671" s="787"/>
      <c r="AT671" s="787"/>
      <c r="AU671" s="787"/>
      <c r="AV671" s="786"/>
      <c r="AW671" s="787"/>
      <c r="AX671" s="787"/>
      <c r="AY671" s="787"/>
      <c r="AZ671" s="780"/>
      <c r="BA671" s="780"/>
      <c r="BB671" s="780"/>
      <c r="BC671" s="780"/>
      <c r="BD671" s="541"/>
      <c r="BE671" s="541"/>
      <c r="BF671" s="541"/>
      <c r="BG671" s="541"/>
      <c r="BH671" s="780"/>
      <c r="BI671" s="780"/>
      <c r="BJ671" s="780"/>
      <c r="BK671" s="780"/>
      <c r="BL671" s="780"/>
      <c r="BM671" s="780"/>
    </row>
    <row r="672" ht="12.75" customHeight="1">
      <c r="A672" s="521"/>
      <c r="B672" s="521"/>
      <c r="C672" s="515"/>
      <c r="D672" s="515"/>
      <c r="E672" s="515"/>
      <c r="F672" s="515"/>
      <c r="G672" s="515"/>
      <c r="H672" s="515"/>
      <c r="I672" s="515"/>
      <c r="J672" s="515"/>
      <c r="K672" s="515"/>
      <c r="L672" s="515"/>
      <c r="M672" s="515"/>
      <c r="N672" s="515"/>
      <c r="O672" s="533"/>
      <c r="P672" s="786"/>
      <c r="Q672" s="787"/>
      <c r="R672" s="787"/>
      <c r="S672" s="787"/>
      <c r="T672" s="786"/>
      <c r="U672" s="787"/>
      <c r="V672" s="787"/>
      <c r="W672" s="787"/>
      <c r="X672" s="786"/>
      <c r="Y672" s="787"/>
      <c r="Z672" s="787"/>
      <c r="AA672" s="787"/>
      <c r="AB672" s="786"/>
      <c r="AC672" s="787"/>
      <c r="AD672" s="787"/>
      <c r="AE672" s="787"/>
      <c r="AF672" s="786"/>
      <c r="AG672" s="787"/>
      <c r="AH672" s="787"/>
      <c r="AI672" s="787"/>
      <c r="AJ672" s="786"/>
      <c r="AK672" s="787"/>
      <c r="AL672" s="787"/>
      <c r="AM672" s="787"/>
      <c r="AN672" s="786"/>
      <c r="AO672" s="787"/>
      <c r="AP672" s="787"/>
      <c r="AQ672" s="787"/>
      <c r="AR672" s="786"/>
      <c r="AS672" s="787"/>
      <c r="AT672" s="787"/>
      <c r="AU672" s="787"/>
      <c r="AV672" s="786"/>
      <c r="AW672" s="787"/>
      <c r="AX672" s="787"/>
      <c r="AY672" s="787"/>
      <c r="AZ672" s="780"/>
      <c r="BA672" s="780"/>
      <c r="BB672" s="780"/>
      <c r="BC672" s="780"/>
      <c r="BD672" s="541"/>
      <c r="BE672" s="541"/>
      <c r="BF672" s="541"/>
      <c r="BG672" s="541"/>
      <c r="BH672" s="780"/>
      <c r="BI672" s="780"/>
      <c r="BJ672" s="780"/>
      <c r="BK672" s="780"/>
      <c r="BL672" s="780"/>
      <c r="BM672" s="780"/>
    </row>
    <row r="673" ht="12.75" customHeight="1">
      <c r="A673" s="521"/>
      <c r="B673" s="521"/>
      <c r="C673" s="515"/>
      <c r="D673" s="515"/>
      <c r="E673" s="515"/>
      <c r="F673" s="515"/>
      <c r="G673" s="515"/>
      <c r="H673" s="515"/>
      <c r="I673" s="515"/>
      <c r="J673" s="515"/>
      <c r="K673" s="515"/>
      <c r="L673" s="515"/>
      <c r="M673" s="515"/>
      <c r="N673" s="515"/>
      <c r="O673" s="533"/>
      <c r="P673" s="786"/>
      <c r="Q673" s="787"/>
      <c r="R673" s="787"/>
      <c r="S673" s="787"/>
      <c r="T673" s="786"/>
      <c r="U673" s="787"/>
      <c r="V673" s="787"/>
      <c r="W673" s="787"/>
      <c r="X673" s="786"/>
      <c r="Y673" s="787"/>
      <c r="Z673" s="787"/>
      <c r="AA673" s="787"/>
      <c r="AB673" s="786"/>
      <c r="AC673" s="787"/>
      <c r="AD673" s="787"/>
      <c r="AE673" s="787"/>
      <c r="AF673" s="786"/>
      <c r="AG673" s="787"/>
      <c r="AH673" s="787"/>
      <c r="AI673" s="787"/>
      <c r="AJ673" s="786"/>
      <c r="AK673" s="787"/>
      <c r="AL673" s="787"/>
      <c r="AM673" s="787"/>
      <c r="AN673" s="786"/>
      <c r="AO673" s="787"/>
      <c r="AP673" s="787"/>
      <c r="AQ673" s="787"/>
      <c r="AR673" s="786"/>
      <c r="AS673" s="787"/>
      <c r="AT673" s="787"/>
      <c r="AU673" s="787"/>
      <c r="AV673" s="786"/>
      <c r="AW673" s="787"/>
      <c r="AX673" s="787"/>
      <c r="AY673" s="787"/>
      <c r="AZ673" s="780"/>
      <c r="BA673" s="780"/>
      <c r="BB673" s="780"/>
      <c r="BC673" s="780"/>
      <c r="BD673" s="541"/>
      <c r="BE673" s="541"/>
      <c r="BF673" s="541"/>
      <c r="BG673" s="541"/>
      <c r="BH673" s="780"/>
      <c r="BI673" s="780"/>
      <c r="BJ673" s="780"/>
      <c r="BK673" s="780"/>
      <c r="BL673" s="780"/>
      <c r="BM673" s="780"/>
    </row>
    <row r="674" ht="12.75" customHeight="1">
      <c r="A674" s="521"/>
      <c r="B674" s="521"/>
      <c r="C674" s="515"/>
      <c r="D674" s="515"/>
      <c r="E674" s="515"/>
      <c r="F674" s="515"/>
      <c r="G674" s="515"/>
      <c r="H674" s="515"/>
      <c r="I674" s="515"/>
      <c r="J674" s="515"/>
      <c r="K674" s="515"/>
      <c r="L674" s="515"/>
      <c r="M674" s="515"/>
      <c r="N674" s="515"/>
      <c r="O674" s="533"/>
      <c r="P674" s="786"/>
      <c r="Q674" s="787"/>
      <c r="R674" s="787"/>
      <c r="S674" s="787"/>
      <c r="T674" s="786"/>
      <c r="U674" s="787"/>
      <c r="V674" s="787"/>
      <c r="W674" s="787"/>
      <c r="X674" s="786"/>
      <c r="Y674" s="787"/>
      <c r="Z674" s="787"/>
      <c r="AA674" s="787"/>
      <c r="AB674" s="786"/>
      <c r="AC674" s="787"/>
      <c r="AD674" s="787"/>
      <c r="AE674" s="787"/>
      <c r="AF674" s="786"/>
      <c r="AG674" s="787"/>
      <c r="AH674" s="787"/>
      <c r="AI674" s="787"/>
      <c r="AJ674" s="786"/>
      <c r="AK674" s="787"/>
      <c r="AL674" s="787"/>
      <c r="AM674" s="787"/>
      <c r="AN674" s="786"/>
      <c r="AO674" s="787"/>
      <c r="AP674" s="787"/>
      <c r="AQ674" s="787"/>
      <c r="AR674" s="786"/>
      <c r="AS674" s="787"/>
      <c r="AT674" s="787"/>
      <c r="AU674" s="787"/>
      <c r="AV674" s="786"/>
      <c r="AW674" s="787"/>
      <c r="AX674" s="787"/>
      <c r="AY674" s="787"/>
      <c r="AZ674" s="780"/>
      <c r="BA674" s="780"/>
      <c r="BB674" s="780"/>
      <c r="BC674" s="780"/>
      <c r="BD674" s="541"/>
      <c r="BE674" s="541"/>
      <c r="BF674" s="541"/>
      <c r="BG674" s="541"/>
      <c r="BH674" s="780"/>
      <c r="BI674" s="780"/>
      <c r="BJ674" s="780"/>
      <c r="BK674" s="780"/>
      <c r="BL674" s="780"/>
      <c r="BM674" s="780"/>
    </row>
    <row r="675" ht="12.75" customHeight="1">
      <c r="A675" s="521"/>
      <c r="B675" s="521"/>
      <c r="C675" s="515"/>
      <c r="D675" s="515"/>
      <c r="E675" s="515"/>
      <c r="F675" s="515"/>
      <c r="G675" s="515"/>
      <c r="H675" s="515"/>
      <c r="I675" s="515"/>
      <c r="J675" s="515"/>
      <c r="K675" s="515"/>
      <c r="L675" s="515"/>
      <c r="M675" s="515"/>
      <c r="N675" s="515"/>
      <c r="O675" s="533"/>
      <c r="P675" s="786"/>
      <c r="Q675" s="787"/>
      <c r="R675" s="787"/>
      <c r="S675" s="787"/>
      <c r="T675" s="786"/>
      <c r="U675" s="787"/>
      <c r="V675" s="787"/>
      <c r="W675" s="787"/>
      <c r="X675" s="786"/>
      <c r="Y675" s="787"/>
      <c r="Z675" s="787"/>
      <c r="AA675" s="787"/>
      <c r="AB675" s="786"/>
      <c r="AC675" s="787"/>
      <c r="AD675" s="787"/>
      <c r="AE675" s="787"/>
      <c r="AF675" s="786"/>
      <c r="AG675" s="787"/>
      <c r="AH675" s="787"/>
      <c r="AI675" s="787"/>
      <c r="AJ675" s="786"/>
      <c r="AK675" s="787"/>
      <c r="AL675" s="787"/>
      <c r="AM675" s="787"/>
      <c r="AN675" s="786"/>
      <c r="AO675" s="787"/>
      <c r="AP675" s="787"/>
      <c r="AQ675" s="787"/>
      <c r="AR675" s="786"/>
      <c r="AS675" s="787"/>
      <c r="AT675" s="787"/>
      <c r="AU675" s="787"/>
      <c r="AV675" s="786"/>
      <c r="AW675" s="787"/>
      <c r="AX675" s="787"/>
      <c r="AY675" s="787"/>
      <c r="AZ675" s="780"/>
      <c r="BA675" s="780"/>
      <c r="BB675" s="780"/>
      <c r="BC675" s="780"/>
      <c r="BD675" s="541"/>
      <c r="BE675" s="541"/>
      <c r="BF675" s="541"/>
      <c r="BG675" s="541"/>
      <c r="BH675" s="780"/>
      <c r="BI675" s="780"/>
      <c r="BJ675" s="780"/>
      <c r="BK675" s="780"/>
      <c r="BL675" s="780"/>
      <c r="BM675" s="780"/>
    </row>
    <row r="676" ht="12.75" customHeight="1">
      <c r="A676" s="521"/>
      <c r="B676" s="521"/>
      <c r="C676" s="515"/>
      <c r="D676" s="515"/>
      <c r="E676" s="515"/>
      <c r="F676" s="515"/>
      <c r="G676" s="515"/>
      <c r="H676" s="515"/>
      <c r="I676" s="515"/>
      <c r="J676" s="515"/>
      <c r="K676" s="515"/>
      <c r="L676" s="515"/>
      <c r="M676" s="515"/>
      <c r="N676" s="515"/>
      <c r="O676" s="533"/>
      <c r="P676" s="786"/>
      <c r="Q676" s="787"/>
      <c r="R676" s="787"/>
      <c r="S676" s="787"/>
      <c r="T676" s="786"/>
      <c r="U676" s="787"/>
      <c r="V676" s="787"/>
      <c r="W676" s="787"/>
      <c r="X676" s="786"/>
      <c r="Y676" s="787"/>
      <c r="Z676" s="787"/>
      <c r="AA676" s="787"/>
      <c r="AB676" s="786"/>
      <c r="AC676" s="787"/>
      <c r="AD676" s="787"/>
      <c r="AE676" s="787"/>
      <c r="AF676" s="786"/>
      <c r="AG676" s="787"/>
      <c r="AH676" s="787"/>
      <c r="AI676" s="787"/>
      <c r="AJ676" s="786"/>
      <c r="AK676" s="787"/>
      <c r="AL676" s="787"/>
      <c r="AM676" s="787"/>
      <c r="AN676" s="786"/>
      <c r="AO676" s="787"/>
      <c r="AP676" s="787"/>
      <c r="AQ676" s="787"/>
      <c r="AR676" s="786"/>
      <c r="AS676" s="787"/>
      <c r="AT676" s="787"/>
      <c r="AU676" s="787"/>
      <c r="AV676" s="786"/>
      <c r="AW676" s="787"/>
      <c r="AX676" s="787"/>
      <c r="AY676" s="787"/>
      <c r="AZ676" s="780"/>
      <c r="BA676" s="780"/>
      <c r="BB676" s="780"/>
      <c r="BC676" s="780"/>
      <c r="BD676" s="541"/>
      <c r="BE676" s="541"/>
      <c r="BF676" s="541"/>
      <c r="BG676" s="541"/>
      <c r="BH676" s="780"/>
      <c r="BI676" s="780"/>
      <c r="BJ676" s="780"/>
      <c r="BK676" s="780"/>
      <c r="BL676" s="780"/>
      <c r="BM676" s="780"/>
    </row>
    <row r="677" ht="12.75" customHeight="1">
      <c r="A677" s="521"/>
      <c r="B677" s="521"/>
      <c r="C677" s="515"/>
      <c r="D677" s="515"/>
      <c r="E677" s="515"/>
      <c r="F677" s="515"/>
      <c r="G677" s="515"/>
      <c r="H677" s="515"/>
      <c r="I677" s="515"/>
      <c r="J677" s="515"/>
      <c r="K677" s="515"/>
      <c r="L677" s="515"/>
      <c r="M677" s="515"/>
      <c r="N677" s="515"/>
      <c r="O677" s="533"/>
      <c r="P677" s="786"/>
      <c r="Q677" s="787"/>
      <c r="R677" s="787"/>
      <c r="S677" s="787"/>
      <c r="T677" s="786"/>
      <c r="U677" s="787"/>
      <c r="V677" s="787"/>
      <c r="W677" s="787"/>
      <c r="X677" s="786"/>
      <c r="Y677" s="787"/>
      <c r="Z677" s="787"/>
      <c r="AA677" s="787"/>
      <c r="AB677" s="786"/>
      <c r="AC677" s="787"/>
      <c r="AD677" s="787"/>
      <c r="AE677" s="787"/>
      <c r="AF677" s="786"/>
      <c r="AG677" s="787"/>
      <c r="AH677" s="787"/>
      <c r="AI677" s="787"/>
      <c r="AJ677" s="786"/>
      <c r="AK677" s="787"/>
      <c r="AL677" s="787"/>
      <c r="AM677" s="787"/>
      <c r="AN677" s="786"/>
      <c r="AO677" s="787"/>
      <c r="AP677" s="787"/>
      <c r="AQ677" s="787"/>
      <c r="AR677" s="786"/>
      <c r="AS677" s="787"/>
      <c r="AT677" s="787"/>
      <c r="AU677" s="787"/>
      <c r="AV677" s="786"/>
      <c r="AW677" s="787"/>
      <c r="AX677" s="787"/>
      <c r="AY677" s="787"/>
      <c r="AZ677" s="780"/>
      <c r="BA677" s="780"/>
      <c r="BB677" s="780"/>
      <c r="BC677" s="780"/>
      <c r="BD677" s="541"/>
      <c r="BE677" s="541"/>
      <c r="BF677" s="541"/>
      <c r="BG677" s="541"/>
      <c r="BH677" s="780"/>
      <c r="BI677" s="780"/>
      <c r="BJ677" s="780"/>
      <c r="BK677" s="780"/>
      <c r="BL677" s="780"/>
      <c r="BM677" s="780"/>
    </row>
    <row r="678" ht="12.75" customHeight="1">
      <c r="A678" s="521"/>
      <c r="B678" s="521"/>
      <c r="C678" s="515"/>
      <c r="D678" s="515"/>
      <c r="E678" s="515"/>
      <c r="F678" s="515"/>
      <c r="G678" s="515"/>
      <c r="H678" s="515"/>
      <c r="I678" s="515"/>
      <c r="J678" s="515"/>
      <c r="K678" s="515"/>
      <c r="L678" s="515"/>
      <c r="M678" s="515"/>
      <c r="N678" s="515"/>
      <c r="O678" s="533"/>
      <c r="P678" s="786"/>
      <c r="Q678" s="787"/>
      <c r="R678" s="787"/>
      <c r="S678" s="787"/>
      <c r="T678" s="786"/>
      <c r="U678" s="787"/>
      <c r="V678" s="787"/>
      <c r="W678" s="787"/>
      <c r="X678" s="786"/>
      <c r="Y678" s="787"/>
      <c r="Z678" s="787"/>
      <c r="AA678" s="787"/>
      <c r="AB678" s="786"/>
      <c r="AC678" s="787"/>
      <c r="AD678" s="787"/>
      <c r="AE678" s="787"/>
      <c r="AF678" s="786"/>
      <c r="AG678" s="787"/>
      <c r="AH678" s="787"/>
      <c r="AI678" s="787"/>
      <c r="AJ678" s="786"/>
      <c r="AK678" s="787"/>
      <c r="AL678" s="787"/>
      <c r="AM678" s="787"/>
      <c r="AN678" s="786"/>
      <c r="AO678" s="787"/>
      <c r="AP678" s="787"/>
      <c r="AQ678" s="787"/>
      <c r="AR678" s="786"/>
      <c r="AS678" s="787"/>
      <c r="AT678" s="787"/>
      <c r="AU678" s="787"/>
      <c r="AV678" s="786"/>
      <c r="AW678" s="787"/>
      <c r="AX678" s="787"/>
      <c r="AY678" s="787"/>
      <c r="AZ678" s="780"/>
      <c r="BA678" s="780"/>
      <c r="BB678" s="780"/>
      <c r="BC678" s="780"/>
      <c r="BD678" s="541"/>
      <c r="BE678" s="541"/>
      <c r="BF678" s="541"/>
      <c r="BG678" s="541"/>
      <c r="BH678" s="780"/>
      <c r="BI678" s="780"/>
      <c r="BJ678" s="780"/>
      <c r="BK678" s="780"/>
      <c r="BL678" s="780"/>
      <c r="BM678" s="780"/>
    </row>
    <row r="679" ht="12.75" customHeight="1">
      <c r="A679" s="521"/>
      <c r="B679" s="521"/>
      <c r="C679" s="515"/>
      <c r="D679" s="515"/>
      <c r="E679" s="515"/>
      <c r="F679" s="515"/>
      <c r="G679" s="515"/>
      <c r="H679" s="515"/>
      <c r="I679" s="515"/>
      <c r="J679" s="515"/>
      <c r="K679" s="515"/>
      <c r="L679" s="515"/>
      <c r="M679" s="515"/>
      <c r="N679" s="515"/>
      <c r="O679" s="533"/>
      <c r="P679" s="786"/>
      <c r="Q679" s="787"/>
      <c r="R679" s="787"/>
      <c r="S679" s="787"/>
      <c r="T679" s="786"/>
      <c r="U679" s="787"/>
      <c r="V679" s="787"/>
      <c r="W679" s="787"/>
      <c r="X679" s="786"/>
      <c r="Y679" s="787"/>
      <c r="Z679" s="787"/>
      <c r="AA679" s="787"/>
      <c r="AB679" s="786"/>
      <c r="AC679" s="787"/>
      <c r="AD679" s="787"/>
      <c r="AE679" s="787"/>
      <c r="AF679" s="786"/>
      <c r="AG679" s="787"/>
      <c r="AH679" s="787"/>
      <c r="AI679" s="787"/>
      <c r="AJ679" s="786"/>
      <c r="AK679" s="787"/>
      <c r="AL679" s="787"/>
      <c r="AM679" s="787"/>
      <c r="AN679" s="786"/>
      <c r="AO679" s="787"/>
      <c r="AP679" s="787"/>
      <c r="AQ679" s="787"/>
      <c r="AR679" s="786"/>
      <c r="AS679" s="787"/>
      <c r="AT679" s="787"/>
      <c r="AU679" s="787"/>
      <c r="AV679" s="786"/>
      <c r="AW679" s="787"/>
      <c r="AX679" s="787"/>
      <c r="AY679" s="787"/>
      <c r="AZ679" s="780"/>
      <c r="BA679" s="780"/>
      <c r="BB679" s="780"/>
      <c r="BC679" s="780"/>
      <c r="BD679" s="541"/>
      <c r="BE679" s="541"/>
      <c r="BF679" s="541"/>
      <c r="BG679" s="541"/>
      <c r="BH679" s="780"/>
      <c r="BI679" s="780"/>
      <c r="BJ679" s="780"/>
      <c r="BK679" s="780"/>
      <c r="BL679" s="780"/>
      <c r="BM679" s="780"/>
    </row>
    <row r="680" ht="12.75" customHeight="1">
      <c r="A680" s="521"/>
      <c r="B680" s="521"/>
      <c r="C680" s="515"/>
      <c r="D680" s="515"/>
      <c r="E680" s="515"/>
      <c r="F680" s="515"/>
      <c r="G680" s="515"/>
      <c r="H680" s="515"/>
      <c r="I680" s="515"/>
      <c r="J680" s="515"/>
      <c r="K680" s="515"/>
      <c r="L680" s="515"/>
      <c r="M680" s="515"/>
      <c r="N680" s="515"/>
      <c r="O680" s="533"/>
      <c r="P680" s="786"/>
      <c r="Q680" s="787"/>
      <c r="R680" s="787"/>
      <c r="S680" s="787"/>
      <c r="T680" s="786"/>
      <c r="U680" s="787"/>
      <c r="V680" s="787"/>
      <c r="W680" s="787"/>
      <c r="X680" s="786"/>
      <c r="Y680" s="787"/>
      <c r="Z680" s="787"/>
      <c r="AA680" s="787"/>
      <c r="AB680" s="786"/>
      <c r="AC680" s="787"/>
      <c r="AD680" s="787"/>
      <c r="AE680" s="787"/>
      <c r="AF680" s="786"/>
      <c r="AG680" s="787"/>
      <c r="AH680" s="787"/>
      <c r="AI680" s="787"/>
      <c r="AJ680" s="786"/>
      <c r="AK680" s="787"/>
      <c r="AL680" s="787"/>
      <c r="AM680" s="787"/>
      <c r="AN680" s="786"/>
      <c r="AO680" s="787"/>
      <c r="AP680" s="787"/>
      <c r="AQ680" s="787"/>
      <c r="AR680" s="786"/>
      <c r="AS680" s="787"/>
      <c r="AT680" s="787"/>
      <c r="AU680" s="787"/>
      <c r="AV680" s="786"/>
      <c r="AW680" s="787"/>
      <c r="AX680" s="787"/>
      <c r="AY680" s="787"/>
      <c r="AZ680" s="780"/>
      <c r="BA680" s="780"/>
      <c r="BB680" s="780"/>
      <c r="BC680" s="780"/>
      <c r="BD680" s="541"/>
      <c r="BE680" s="541"/>
      <c r="BF680" s="541"/>
      <c r="BG680" s="541"/>
      <c r="BH680" s="780"/>
      <c r="BI680" s="780"/>
      <c r="BJ680" s="780"/>
      <c r="BK680" s="780"/>
      <c r="BL680" s="780"/>
      <c r="BM680" s="780"/>
    </row>
    <row r="681" ht="12.75" customHeight="1">
      <c r="A681" s="521"/>
      <c r="B681" s="521"/>
      <c r="C681" s="515"/>
      <c r="D681" s="515"/>
      <c r="E681" s="515"/>
      <c r="F681" s="515"/>
      <c r="G681" s="515"/>
      <c r="H681" s="515"/>
      <c r="I681" s="515"/>
      <c r="J681" s="515"/>
      <c r="K681" s="515"/>
      <c r="L681" s="515"/>
      <c r="M681" s="515"/>
      <c r="N681" s="515"/>
      <c r="O681" s="533"/>
      <c r="P681" s="786"/>
      <c r="Q681" s="787"/>
      <c r="R681" s="787"/>
      <c r="S681" s="787"/>
      <c r="T681" s="786"/>
      <c r="U681" s="787"/>
      <c r="V681" s="787"/>
      <c r="W681" s="787"/>
      <c r="X681" s="786"/>
      <c r="Y681" s="787"/>
      <c r="Z681" s="787"/>
      <c r="AA681" s="787"/>
      <c r="AB681" s="786"/>
      <c r="AC681" s="787"/>
      <c r="AD681" s="787"/>
      <c r="AE681" s="787"/>
      <c r="AF681" s="786"/>
      <c r="AG681" s="787"/>
      <c r="AH681" s="787"/>
      <c r="AI681" s="787"/>
      <c r="AJ681" s="786"/>
      <c r="AK681" s="787"/>
      <c r="AL681" s="787"/>
      <c r="AM681" s="787"/>
      <c r="AN681" s="786"/>
      <c r="AO681" s="787"/>
      <c r="AP681" s="787"/>
      <c r="AQ681" s="787"/>
      <c r="AR681" s="786"/>
      <c r="AS681" s="787"/>
      <c r="AT681" s="787"/>
      <c r="AU681" s="787"/>
      <c r="AV681" s="786"/>
      <c r="AW681" s="787"/>
      <c r="AX681" s="787"/>
      <c r="AY681" s="787"/>
      <c r="AZ681" s="780"/>
      <c r="BA681" s="780"/>
      <c r="BB681" s="780"/>
      <c r="BC681" s="780"/>
      <c r="BD681" s="541"/>
      <c r="BE681" s="541"/>
      <c r="BF681" s="541"/>
      <c r="BG681" s="541"/>
      <c r="BH681" s="780"/>
      <c r="BI681" s="780"/>
      <c r="BJ681" s="780"/>
      <c r="BK681" s="780"/>
      <c r="BL681" s="780"/>
      <c r="BM681" s="780"/>
    </row>
    <row r="682" ht="12.75" customHeight="1">
      <c r="A682" s="521"/>
      <c r="B682" s="521"/>
      <c r="C682" s="515"/>
      <c r="D682" s="515"/>
      <c r="E682" s="515"/>
      <c r="F682" s="515"/>
      <c r="G682" s="515"/>
      <c r="H682" s="515"/>
      <c r="I682" s="515"/>
      <c r="J682" s="515"/>
      <c r="K682" s="515"/>
      <c r="L682" s="515"/>
      <c r="M682" s="515"/>
      <c r="N682" s="515"/>
      <c r="O682" s="533"/>
      <c r="P682" s="786"/>
      <c r="Q682" s="787"/>
      <c r="R682" s="787"/>
      <c r="S682" s="787"/>
      <c r="T682" s="786"/>
      <c r="U682" s="787"/>
      <c r="V682" s="787"/>
      <c r="W682" s="787"/>
      <c r="X682" s="786"/>
      <c r="Y682" s="787"/>
      <c r="Z682" s="787"/>
      <c r="AA682" s="787"/>
      <c r="AB682" s="786"/>
      <c r="AC682" s="787"/>
      <c r="AD682" s="787"/>
      <c r="AE682" s="787"/>
      <c r="AF682" s="786"/>
      <c r="AG682" s="787"/>
      <c r="AH682" s="787"/>
      <c r="AI682" s="787"/>
      <c r="AJ682" s="786"/>
      <c r="AK682" s="787"/>
      <c r="AL682" s="787"/>
      <c r="AM682" s="787"/>
      <c r="AN682" s="786"/>
      <c r="AO682" s="787"/>
      <c r="AP682" s="787"/>
      <c r="AQ682" s="787"/>
      <c r="AR682" s="786"/>
      <c r="AS682" s="787"/>
      <c r="AT682" s="787"/>
      <c r="AU682" s="787"/>
      <c r="AV682" s="786"/>
      <c r="AW682" s="787"/>
      <c r="AX682" s="787"/>
      <c r="AY682" s="787"/>
      <c r="AZ682" s="780"/>
      <c r="BA682" s="780"/>
      <c r="BB682" s="780"/>
      <c r="BC682" s="780"/>
      <c r="BD682" s="541"/>
      <c r="BE682" s="541"/>
      <c r="BF682" s="541"/>
      <c r="BG682" s="541"/>
      <c r="BH682" s="780"/>
      <c r="BI682" s="780"/>
      <c r="BJ682" s="780"/>
      <c r="BK682" s="780"/>
      <c r="BL682" s="780"/>
      <c r="BM682" s="780"/>
    </row>
    <row r="683" ht="12.75" customHeight="1">
      <c r="A683" s="521"/>
      <c r="B683" s="521"/>
      <c r="C683" s="515"/>
      <c r="D683" s="515"/>
      <c r="E683" s="515"/>
      <c r="F683" s="515"/>
      <c r="G683" s="515"/>
      <c r="H683" s="515"/>
      <c r="I683" s="515"/>
      <c r="J683" s="515"/>
      <c r="K683" s="515"/>
      <c r="L683" s="515"/>
      <c r="M683" s="515"/>
      <c r="N683" s="515"/>
      <c r="O683" s="533"/>
      <c r="P683" s="786"/>
      <c r="Q683" s="787"/>
      <c r="R683" s="787"/>
      <c r="S683" s="787"/>
      <c r="T683" s="786"/>
      <c r="U683" s="787"/>
      <c r="V683" s="787"/>
      <c r="W683" s="787"/>
      <c r="X683" s="786"/>
      <c r="Y683" s="787"/>
      <c r="Z683" s="787"/>
      <c r="AA683" s="787"/>
      <c r="AB683" s="786"/>
      <c r="AC683" s="787"/>
      <c r="AD683" s="787"/>
      <c r="AE683" s="787"/>
      <c r="AF683" s="786"/>
      <c r="AG683" s="787"/>
      <c r="AH683" s="787"/>
      <c r="AI683" s="787"/>
      <c r="AJ683" s="786"/>
      <c r="AK683" s="787"/>
      <c r="AL683" s="787"/>
      <c r="AM683" s="787"/>
      <c r="AN683" s="786"/>
      <c r="AO683" s="787"/>
      <c r="AP683" s="787"/>
      <c r="AQ683" s="787"/>
      <c r="AR683" s="786"/>
      <c r="AS683" s="787"/>
      <c r="AT683" s="787"/>
      <c r="AU683" s="787"/>
      <c r="AV683" s="786"/>
      <c r="AW683" s="787"/>
      <c r="AX683" s="787"/>
      <c r="AY683" s="787"/>
      <c r="AZ683" s="780"/>
      <c r="BA683" s="780"/>
      <c r="BB683" s="780"/>
      <c r="BC683" s="780"/>
      <c r="BD683" s="541"/>
      <c r="BE683" s="541"/>
      <c r="BF683" s="541"/>
      <c r="BG683" s="541"/>
      <c r="BH683" s="780"/>
      <c r="BI683" s="780"/>
      <c r="BJ683" s="780"/>
      <c r="BK683" s="780"/>
      <c r="BL683" s="780"/>
      <c r="BM683" s="780"/>
    </row>
    <row r="684" ht="12.75" customHeight="1">
      <c r="A684" s="521"/>
      <c r="B684" s="521"/>
      <c r="C684" s="515"/>
      <c r="D684" s="515"/>
      <c r="E684" s="515"/>
      <c r="F684" s="515"/>
      <c r="G684" s="515"/>
      <c r="H684" s="515"/>
      <c r="I684" s="515"/>
      <c r="J684" s="515"/>
      <c r="K684" s="515"/>
      <c r="L684" s="515"/>
      <c r="M684" s="515"/>
      <c r="N684" s="515"/>
      <c r="O684" s="533"/>
      <c r="P684" s="786"/>
      <c r="Q684" s="787"/>
      <c r="R684" s="787"/>
      <c r="S684" s="787"/>
      <c r="T684" s="786"/>
      <c r="U684" s="787"/>
      <c r="V684" s="787"/>
      <c r="W684" s="787"/>
      <c r="X684" s="786"/>
      <c r="Y684" s="787"/>
      <c r="Z684" s="787"/>
      <c r="AA684" s="787"/>
      <c r="AB684" s="786"/>
      <c r="AC684" s="787"/>
      <c r="AD684" s="787"/>
      <c r="AE684" s="787"/>
      <c r="AF684" s="786"/>
      <c r="AG684" s="787"/>
      <c r="AH684" s="787"/>
      <c r="AI684" s="787"/>
      <c r="AJ684" s="786"/>
      <c r="AK684" s="787"/>
      <c r="AL684" s="787"/>
      <c r="AM684" s="787"/>
      <c r="AN684" s="786"/>
      <c r="AO684" s="787"/>
      <c r="AP684" s="787"/>
      <c r="AQ684" s="787"/>
      <c r="AR684" s="786"/>
      <c r="AS684" s="787"/>
      <c r="AT684" s="787"/>
      <c r="AU684" s="787"/>
      <c r="AV684" s="786"/>
      <c r="AW684" s="787"/>
      <c r="AX684" s="787"/>
      <c r="AY684" s="787"/>
      <c r="AZ684" s="780"/>
      <c r="BA684" s="780"/>
      <c r="BB684" s="780"/>
      <c r="BC684" s="780"/>
      <c r="BD684" s="541"/>
      <c r="BE684" s="541"/>
      <c r="BF684" s="541"/>
      <c r="BG684" s="541"/>
      <c r="BH684" s="780"/>
      <c r="BI684" s="780"/>
      <c r="BJ684" s="780"/>
      <c r="BK684" s="780"/>
      <c r="BL684" s="780"/>
      <c r="BM684" s="780"/>
    </row>
    <row r="685" ht="12.75" customHeight="1">
      <c r="A685" s="521"/>
      <c r="B685" s="521"/>
      <c r="C685" s="515"/>
      <c r="D685" s="515"/>
      <c r="E685" s="515"/>
      <c r="F685" s="515"/>
      <c r="G685" s="515"/>
      <c r="H685" s="515"/>
      <c r="I685" s="515"/>
      <c r="J685" s="515"/>
      <c r="K685" s="515"/>
      <c r="L685" s="515"/>
      <c r="M685" s="515"/>
      <c r="N685" s="515"/>
      <c r="O685" s="533"/>
      <c r="P685" s="786"/>
      <c r="Q685" s="787"/>
      <c r="R685" s="787"/>
      <c r="S685" s="787"/>
      <c r="T685" s="786"/>
      <c r="U685" s="787"/>
      <c r="V685" s="787"/>
      <c r="W685" s="787"/>
      <c r="X685" s="786"/>
      <c r="Y685" s="787"/>
      <c r="Z685" s="787"/>
      <c r="AA685" s="787"/>
      <c r="AB685" s="786"/>
      <c r="AC685" s="787"/>
      <c r="AD685" s="787"/>
      <c r="AE685" s="787"/>
      <c r="AF685" s="786"/>
      <c r="AG685" s="787"/>
      <c r="AH685" s="787"/>
      <c r="AI685" s="787"/>
      <c r="AJ685" s="786"/>
      <c r="AK685" s="787"/>
      <c r="AL685" s="787"/>
      <c r="AM685" s="787"/>
      <c r="AN685" s="786"/>
      <c r="AO685" s="787"/>
      <c r="AP685" s="787"/>
      <c r="AQ685" s="787"/>
      <c r="AR685" s="786"/>
      <c r="AS685" s="787"/>
      <c r="AT685" s="787"/>
      <c r="AU685" s="787"/>
      <c r="AV685" s="786"/>
      <c r="AW685" s="787"/>
      <c r="AX685" s="787"/>
      <c r="AY685" s="787"/>
      <c r="AZ685" s="780"/>
      <c r="BA685" s="780"/>
      <c r="BB685" s="780"/>
      <c r="BC685" s="780"/>
      <c r="BD685" s="541"/>
      <c r="BE685" s="541"/>
      <c r="BF685" s="541"/>
      <c r="BG685" s="541"/>
      <c r="BH685" s="780"/>
      <c r="BI685" s="780"/>
      <c r="BJ685" s="780"/>
      <c r="BK685" s="780"/>
      <c r="BL685" s="780"/>
      <c r="BM685" s="780"/>
    </row>
    <row r="686" ht="12.75" customHeight="1">
      <c r="A686" s="521"/>
      <c r="B686" s="521"/>
      <c r="C686" s="515"/>
      <c r="D686" s="515"/>
      <c r="E686" s="515"/>
      <c r="F686" s="515"/>
      <c r="G686" s="515"/>
      <c r="H686" s="515"/>
      <c r="I686" s="515"/>
      <c r="J686" s="515"/>
      <c r="K686" s="515"/>
      <c r="L686" s="515"/>
      <c r="M686" s="515"/>
      <c r="N686" s="515"/>
      <c r="O686" s="533"/>
      <c r="P686" s="786"/>
      <c r="Q686" s="787"/>
      <c r="R686" s="787"/>
      <c r="S686" s="787"/>
      <c r="T686" s="786"/>
      <c r="U686" s="787"/>
      <c r="V686" s="787"/>
      <c r="W686" s="787"/>
      <c r="X686" s="786"/>
      <c r="Y686" s="787"/>
      <c r="Z686" s="787"/>
      <c r="AA686" s="787"/>
      <c r="AB686" s="786"/>
      <c r="AC686" s="787"/>
      <c r="AD686" s="787"/>
      <c r="AE686" s="787"/>
      <c r="AF686" s="786"/>
      <c r="AG686" s="787"/>
      <c r="AH686" s="787"/>
      <c r="AI686" s="787"/>
      <c r="AJ686" s="786"/>
      <c r="AK686" s="787"/>
      <c r="AL686" s="787"/>
      <c r="AM686" s="787"/>
      <c r="AN686" s="786"/>
      <c r="AO686" s="787"/>
      <c r="AP686" s="787"/>
      <c r="AQ686" s="787"/>
      <c r="AR686" s="786"/>
      <c r="AS686" s="787"/>
      <c r="AT686" s="787"/>
      <c r="AU686" s="787"/>
      <c r="AV686" s="786"/>
      <c r="AW686" s="787"/>
      <c r="AX686" s="787"/>
      <c r="AY686" s="787"/>
      <c r="AZ686" s="780"/>
      <c r="BA686" s="780"/>
      <c r="BB686" s="780"/>
      <c r="BC686" s="780"/>
      <c r="BD686" s="541"/>
      <c r="BE686" s="541"/>
      <c r="BF686" s="541"/>
      <c r="BG686" s="541"/>
      <c r="BH686" s="780"/>
      <c r="BI686" s="780"/>
      <c r="BJ686" s="780"/>
      <c r="BK686" s="780"/>
      <c r="BL686" s="780"/>
      <c r="BM686" s="780"/>
    </row>
    <row r="687" ht="12.75" customHeight="1">
      <c r="A687" s="521"/>
      <c r="B687" s="521"/>
      <c r="C687" s="515"/>
      <c r="D687" s="515"/>
      <c r="E687" s="515"/>
      <c r="F687" s="515"/>
      <c r="G687" s="515"/>
      <c r="H687" s="515"/>
      <c r="I687" s="515"/>
      <c r="J687" s="515"/>
      <c r="K687" s="515"/>
      <c r="L687" s="515"/>
      <c r="M687" s="515"/>
      <c r="N687" s="515"/>
      <c r="O687" s="533"/>
      <c r="P687" s="786"/>
      <c r="Q687" s="787"/>
      <c r="R687" s="787"/>
      <c r="S687" s="787"/>
      <c r="T687" s="786"/>
      <c r="U687" s="787"/>
      <c r="V687" s="787"/>
      <c r="W687" s="787"/>
      <c r="X687" s="786"/>
      <c r="Y687" s="787"/>
      <c r="Z687" s="787"/>
      <c r="AA687" s="787"/>
      <c r="AB687" s="786"/>
      <c r="AC687" s="787"/>
      <c r="AD687" s="787"/>
      <c r="AE687" s="787"/>
      <c r="AF687" s="786"/>
      <c r="AG687" s="787"/>
      <c r="AH687" s="787"/>
      <c r="AI687" s="787"/>
      <c r="AJ687" s="786"/>
      <c r="AK687" s="787"/>
      <c r="AL687" s="787"/>
      <c r="AM687" s="787"/>
      <c r="AN687" s="786"/>
      <c r="AO687" s="787"/>
      <c r="AP687" s="787"/>
      <c r="AQ687" s="787"/>
      <c r="AR687" s="786"/>
      <c r="AS687" s="787"/>
      <c r="AT687" s="787"/>
      <c r="AU687" s="787"/>
      <c r="AV687" s="786"/>
      <c r="AW687" s="787"/>
      <c r="AX687" s="787"/>
      <c r="AY687" s="787"/>
      <c r="AZ687" s="780"/>
      <c r="BA687" s="780"/>
      <c r="BB687" s="780"/>
      <c r="BC687" s="780"/>
      <c r="BD687" s="541"/>
      <c r="BE687" s="541"/>
      <c r="BF687" s="541"/>
      <c r="BG687" s="541"/>
      <c r="BH687" s="780"/>
      <c r="BI687" s="780"/>
      <c r="BJ687" s="780"/>
      <c r="BK687" s="780"/>
      <c r="BL687" s="780"/>
      <c r="BM687" s="780"/>
    </row>
    <row r="688" ht="12.75" customHeight="1">
      <c r="A688" s="521"/>
      <c r="B688" s="521"/>
      <c r="C688" s="515"/>
      <c r="D688" s="515"/>
      <c r="E688" s="515"/>
      <c r="F688" s="515"/>
      <c r="G688" s="515"/>
      <c r="H688" s="515"/>
      <c r="I688" s="515"/>
      <c r="J688" s="515"/>
      <c r="K688" s="515"/>
      <c r="L688" s="515"/>
      <c r="M688" s="515"/>
      <c r="N688" s="515"/>
      <c r="O688" s="533"/>
      <c r="P688" s="786"/>
      <c r="Q688" s="787"/>
      <c r="R688" s="787"/>
      <c r="S688" s="787"/>
      <c r="T688" s="786"/>
      <c r="U688" s="787"/>
      <c r="V688" s="787"/>
      <c r="W688" s="787"/>
      <c r="X688" s="786"/>
      <c r="Y688" s="787"/>
      <c r="Z688" s="787"/>
      <c r="AA688" s="787"/>
      <c r="AB688" s="786"/>
      <c r="AC688" s="787"/>
      <c r="AD688" s="787"/>
      <c r="AE688" s="787"/>
      <c r="AF688" s="786"/>
      <c r="AG688" s="787"/>
      <c r="AH688" s="787"/>
      <c r="AI688" s="787"/>
      <c r="AJ688" s="786"/>
      <c r="AK688" s="787"/>
      <c r="AL688" s="787"/>
      <c r="AM688" s="787"/>
      <c r="AN688" s="786"/>
      <c r="AO688" s="787"/>
      <c r="AP688" s="787"/>
      <c r="AQ688" s="787"/>
      <c r="AR688" s="786"/>
      <c r="AS688" s="787"/>
      <c r="AT688" s="787"/>
      <c r="AU688" s="787"/>
      <c r="AV688" s="786"/>
      <c r="AW688" s="787"/>
      <c r="AX688" s="787"/>
      <c r="AY688" s="787"/>
      <c r="AZ688" s="780"/>
      <c r="BA688" s="780"/>
      <c r="BB688" s="780"/>
      <c r="BC688" s="780"/>
      <c r="BD688" s="541"/>
      <c r="BE688" s="541"/>
      <c r="BF688" s="541"/>
      <c r="BG688" s="541"/>
      <c r="BH688" s="780"/>
      <c r="BI688" s="780"/>
      <c r="BJ688" s="780"/>
      <c r="BK688" s="780"/>
      <c r="BL688" s="780"/>
      <c r="BM688" s="780"/>
    </row>
    <row r="689" ht="12.75" customHeight="1">
      <c r="A689" s="521"/>
      <c r="B689" s="521"/>
      <c r="C689" s="515"/>
      <c r="D689" s="515"/>
      <c r="E689" s="515"/>
      <c r="F689" s="515"/>
      <c r="G689" s="515"/>
      <c r="H689" s="515"/>
      <c r="I689" s="515"/>
      <c r="J689" s="515"/>
      <c r="K689" s="515"/>
      <c r="L689" s="515"/>
      <c r="M689" s="515"/>
      <c r="N689" s="515"/>
      <c r="O689" s="533"/>
      <c r="P689" s="786"/>
      <c r="Q689" s="787"/>
      <c r="R689" s="787"/>
      <c r="S689" s="787"/>
      <c r="T689" s="786"/>
      <c r="U689" s="787"/>
      <c r="V689" s="787"/>
      <c r="W689" s="787"/>
      <c r="X689" s="786"/>
      <c r="Y689" s="787"/>
      <c r="Z689" s="787"/>
      <c r="AA689" s="787"/>
      <c r="AB689" s="786"/>
      <c r="AC689" s="787"/>
      <c r="AD689" s="787"/>
      <c r="AE689" s="787"/>
      <c r="AF689" s="786"/>
      <c r="AG689" s="787"/>
      <c r="AH689" s="787"/>
      <c r="AI689" s="787"/>
      <c r="AJ689" s="786"/>
      <c r="AK689" s="787"/>
      <c r="AL689" s="787"/>
      <c r="AM689" s="787"/>
      <c r="AN689" s="786"/>
      <c r="AO689" s="787"/>
      <c r="AP689" s="787"/>
      <c r="AQ689" s="787"/>
      <c r="AR689" s="786"/>
      <c r="AS689" s="787"/>
      <c r="AT689" s="787"/>
      <c r="AU689" s="787"/>
      <c r="AV689" s="786"/>
      <c r="AW689" s="787"/>
      <c r="AX689" s="787"/>
      <c r="AY689" s="787"/>
      <c r="AZ689" s="780"/>
      <c r="BA689" s="780"/>
      <c r="BB689" s="780"/>
      <c r="BC689" s="780"/>
      <c r="BD689" s="541"/>
      <c r="BE689" s="541"/>
      <c r="BF689" s="541"/>
      <c r="BG689" s="541"/>
      <c r="BH689" s="780"/>
      <c r="BI689" s="780"/>
      <c r="BJ689" s="780"/>
      <c r="BK689" s="780"/>
      <c r="BL689" s="780"/>
      <c r="BM689" s="780"/>
    </row>
    <row r="690" ht="12.75" customHeight="1">
      <c r="A690" s="521"/>
      <c r="B690" s="521"/>
      <c r="C690" s="515"/>
      <c r="D690" s="515"/>
      <c r="E690" s="515"/>
      <c r="F690" s="515"/>
      <c r="G690" s="515"/>
      <c r="H690" s="515"/>
      <c r="I690" s="515"/>
      <c r="J690" s="515"/>
      <c r="K690" s="515"/>
      <c r="L690" s="515"/>
      <c r="M690" s="515"/>
      <c r="N690" s="515"/>
      <c r="O690" s="533"/>
      <c r="P690" s="786"/>
      <c r="Q690" s="787"/>
      <c r="R690" s="787"/>
      <c r="S690" s="787"/>
      <c r="T690" s="786"/>
      <c r="U690" s="787"/>
      <c r="V690" s="787"/>
      <c r="W690" s="787"/>
      <c r="X690" s="786"/>
      <c r="Y690" s="787"/>
      <c r="Z690" s="787"/>
      <c r="AA690" s="787"/>
      <c r="AB690" s="786"/>
      <c r="AC690" s="787"/>
      <c r="AD690" s="787"/>
      <c r="AE690" s="787"/>
      <c r="AF690" s="786"/>
      <c r="AG690" s="787"/>
      <c r="AH690" s="787"/>
      <c r="AI690" s="787"/>
      <c r="AJ690" s="786"/>
      <c r="AK690" s="787"/>
      <c r="AL690" s="787"/>
      <c r="AM690" s="787"/>
      <c r="AN690" s="786"/>
      <c r="AO690" s="787"/>
      <c r="AP690" s="787"/>
      <c r="AQ690" s="787"/>
      <c r="AR690" s="786"/>
      <c r="AS690" s="787"/>
      <c r="AT690" s="787"/>
      <c r="AU690" s="787"/>
      <c r="AV690" s="786"/>
      <c r="AW690" s="787"/>
      <c r="AX690" s="787"/>
      <c r="AY690" s="787"/>
      <c r="AZ690" s="780"/>
      <c r="BA690" s="780"/>
      <c r="BB690" s="780"/>
      <c r="BC690" s="780"/>
      <c r="BD690" s="541"/>
      <c r="BE690" s="541"/>
      <c r="BF690" s="541"/>
      <c r="BG690" s="541"/>
      <c r="BH690" s="780"/>
      <c r="BI690" s="780"/>
      <c r="BJ690" s="780"/>
      <c r="BK690" s="780"/>
      <c r="BL690" s="780"/>
      <c r="BM690" s="780"/>
    </row>
    <row r="691" ht="12.75" customHeight="1">
      <c r="A691" s="521"/>
      <c r="B691" s="521"/>
      <c r="C691" s="515"/>
      <c r="D691" s="515"/>
      <c r="E691" s="515"/>
      <c r="F691" s="515"/>
      <c r="G691" s="515"/>
      <c r="H691" s="515"/>
      <c r="I691" s="515"/>
      <c r="J691" s="515"/>
      <c r="K691" s="515"/>
      <c r="L691" s="515"/>
      <c r="M691" s="515"/>
      <c r="N691" s="515"/>
      <c r="O691" s="533"/>
      <c r="P691" s="786"/>
      <c r="Q691" s="787"/>
      <c r="R691" s="787"/>
      <c r="S691" s="787"/>
      <c r="T691" s="786"/>
      <c r="U691" s="787"/>
      <c r="V691" s="787"/>
      <c r="W691" s="787"/>
      <c r="X691" s="786"/>
      <c r="Y691" s="787"/>
      <c r="Z691" s="787"/>
      <c r="AA691" s="787"/>
      <c r="AB691" s="786"/>
      <c r="AC691" s="787"/>
      <c r="AD691" s="787"/>
      <c r="AE691" s="787"/>
      <c r="AF691" s="786"/>
      <c r="AG691" s="787"/>
      <c r="AH691" s="787"/>
      <c r="AI691" s="787"/>
      <c r="AJ691" s="786"/>
      <c r="AK691" s="787"/>
      <c r="AL691" s="787"/>
      <c r="AM691" s="787"/>
      <c r="AN691" s="786"/>
      <c r="AO691" s="787"/>
      <c r="AP691" s="787"/>
      <c r="AQ691" s="787"/>
      <c r="AR691" s="786"/>
      <c r="AS691" s="787"/>
      <c r="AT691" s="787"/>
      <c r="AU691" s="787"/>
      <c r="AV691" s="786"/>
      <c r="AW691" s="787"/>
      <c r="AX691" s="787"/>
      <c r="AY691" s="787"/>
      <c r="AZ691" s="780"/>
      <c r="BA691" s="780"/>
      <c r="BB691" s="780"/>
      <c r="BC691" s="780"/>
      <c r="BD691" s="541"/>
      <c r="BE691" s="541"/>
      <c r="BF691" s="541"/>
      <c r="BG691" s="541"/>
      <c r="BH691" s="780"/>
      <c r="BI691" s="780"/>
      <c r="BJ691" s="780"/>
      <c r="BK691" s="780"/>
      <c r="BL691" s="780"/>
      <c r="BM691" s="780"/>
    </row>
    <row r="692" ht="12.75" customHeight="1">
      <c r="A692" s="521"/>
      <c r="B692" s="521"/>
      <c r="C692" s="515"/>
      <c r="D692" s="515"/>
      <c r="E692" s="515"/>
      <c r="F692" s="515"/>
      <c r="G692" s="515"/>
      <c r="H692" s="515"/>
      <c r="I692" s="515"/>
      <c r="J692" s="515"/>
      <c r="K692" s="515"/>
      <c r="L692" s="515"/>
      <c r="M692" s="515"/>
      <c r="N692" s="515"/>
      <c r="O692" s="533"/>
      <c r="P692" s="786"/>
      <c r="Q692" s="787"/>
      <c r="R692" s="787"/>
      <c r="S692" s="787"/>
      <c r="T692" s="786"/>
      <c r="U692" s="787"/>
      <c r="V692" s="787"/>
      <c r="W692" s="787"/>
      <c r="X692" s="786"/>
      <c r="Y692" s="787"/>
      <c r="Z692" s="787"/>
      <c r="AA692" s="787"/>
      <c r="AB692" s="786"/>
      <c r="AC692" s="787"/>
      <c r="AD692" s="787"/>
      <c r="AE692" s="787"/>
      <c r="AF692" s="786"/>
      <c r="AG692" s="787"/>
      <c r="AH692" s="787"/>
      <c r="AI692" s="787"/>
      <c r="AJ692" s="786"/>
      <c r="AK692" s="787"/>
      <c r="AL692" s="787"/>
      <c r="AM692" s="787"/>
      <c r="AN692" s="786"/>
      <c r="AO692" s="787"/>
      <c r="AP692" s="787"/>
      <c r="AQ692" s="787"/>
      <c r="AR692" s="786"/>
      <c r="AS692" s="787"/>
      <c r="AT692" s="787"/>
      <c r="AU692" s="787"/>
      <c r="AV692" s="786"/>
      <c r="AW692" s="787"/>
      <c r="AX692" s="787"/>
      <c r="AY692" s="787"/>
      <c r="AZ692" s="780"/>
      <c r="BA692" s="780"/>
      <c r="BB692" s="780"/>
      <c r="BC692" s="780"/>
      <c r="BD692" s="541"/>
      <c r="BE692" s="541"/>
      <c r="BF692" s="541"/>
      <c r="BG692" s="541"/>
      <c r="BH692" s="780"/>
      <c r="BI692" s="780"/>
      <c r="BJ692" s="780"/>
      <c r="BK692" s="780"/>
      <c r="BL692" s="780"/>
      <c r="BM692" s="780"/>
    </row>
    <row r="693" ht="12.75" customHeight="1">
      <c r="A693" s="521"/>
      <c r="B693" s="521"/>
      <c r="C693" s="515"/>
      <c r="D693" s="515"/>
      <c r="E693" s="515"/>
      <c r="F693" s="515"/>
      <c r="G693" s="515"/>
      <c r="H693" s="515"/>
      <c r="I693" s="515"/>
      <c r="J693" s="515"/>
      <c r="K693" s="515"/>
      <c r="L693" s="515"/>
      <c r="M693" s="515"/>
      <c r="N693" s="515"/>
      <c r="O693" s="533"/>
      <c r="P693" s="786"/>
      <c r="Q693" s="787"/>
      <c r="R693" s="787"/>
      <c r="S693" s="787"/>
      <c r="T693" s="786"/>
      <c r="U693" s="787"/>
      <c r="V693" s="787"/>
      <c r="W693" s="787"/>
      <c r="X693" s="786"/>
      <c r="Y693" s="787"/>
      <c r="Z693" s="787"/>
      <c r="AA693" s="787"/>
      <c r="AB693" s="786"/>
      <c r="AC693" s="787"/>
      <c r="AD693" s="787"/>
      <c r="AE693" s="787"/>
      <c r="AF693" s="786"/>
      <c r="AG693" s="787"/>
      <c r="AH693" s="787"/>
      <c r="AI693" s="787"/>
      <c r="AJ693" s="786"/>
      <c r="AK693" s="787"/>
      <c r="AL693" s="787"/>
      <c r="AM693" s="787"/>
      <c r="AN693" s="786"/>
      <c r="AO693" s="787"/>
      <c r="AP693" s="787"/>
      <c r="AQ693" s="787"/>
      <c r="AR693" s="786"/>
      <c r="AS693" s="787"/>
      <c r="AT693" s="787"/>
      <c r="AU693" s="787"/>
      <c r="AV693" s="786"/>
      <c r="AW693" s="787"/>
      <c r="AX693" s="787"/>
      <c r="AY693" s="787"/>
      <c r="AZ693" s="780"/>
      <c r="BA693" s="780"/>
      <c r="BB693" s="780"/>
      <c r="BC693" s="780"/>
      <c r="BD693" s="541"/>
      <c r="BE693" s="541"/>
      <c r="BF693" s="541"/>
      <c r="BG693" s="541"/>
      <c r="BH693" s="780"/>
      <c r="BI693" s="780"/>
      <c r="BJ693" s="780"/>
      <c r="BK693" s="780"/>
      <c r="BL693" s="780"/>
      <c r="BM693" s="780"/>
    </row>
    <row r="694" ht="12.75" customHeight="1">
      <c r="A694" s="521"/>
      <c r="B694" s="521"/>
      <c r="C694" s="515"/>
      <c r="D694" s="515"/>
      <c r="E694" s="515"/>
      <c r="F694" s="515"/>
      <c r="G694" s="515"/>
      <c r="H694" s="515"/>
      <c r="I694" s="515"/>
      <c r="J694" s="515"/>
      <c r="K694" s="515"/>
      <c r="L694" s="515"/>
      <c r="M694" s="515"/>
      <c r="N694" s="515"/>
      <c r="O694" s="533"/>
      <c r="P694" s="786"/>
      <c r="Q694" s="787"/>
      <c r="R694" s="787"/>
      <c r="S694" s="787"/>
      <c r="T694" s="786"/>
      <c r="U694" s="787"/>
      <c r="V694" s="787"/>
      <c r="W694" s="787"/>
      <c r="X694" s="786"/>
      <c r="Y694" s="787"/>
      <c r="Z694" s="787"/>
      <c r="AA694" s="787"/>
      <c r="AB694" s="786"/>
      <c r="AC694" s="787"/>
      <c r="AD694" s="787"/>
      <c r="AE694" s="787"/>
      <c r="AF694" s="786"/>
      <c r="AG694" s="787"/>
      <c r="AH694" s="787"/>
      <c r="AI694" s="787"/>
      <c r="AJ694" s="786"/>
      <c r="AK694" s="787"/>
      <c r="AL694" s="787"/>
      <c r="AM694" s="787"/>
      <c r="AN694" s="786"/>
      <c r="AO694" s="787"/>
      <c r="AP694" s="787"/>
      <c r="AQ694" s="787"/>
      <c r="AR694" s="786"/>
      <c r="AS694" s="787"/>
      <c r="AT694" s="787"/>
      <c r="AU694" s="787"/>
      <c r="AV694" s="786"/>
      <c r="AW694" s="787"/>
      <c r="AX694" s="787"/>
      <c r="AY694" s="787"/>
      <c r="AZ694" s="780"/>
      <c r="BA694" s="780"/>
      <c r="BB694" s="780"/>
      <c r="BC694" s="780"/>
      <c r="BD694" s="541"/>
      <c r="BE694" s="541"/>
      <c r="BF694" s="541"/>
      <c r="BG694" s="541"/>
      <c r="BH694" s="780"/>
      <c r="BI694" s="780"/>
      <c r="BJ694" s="780"/>
      <c r="BK694" s="780"/>
      <c r="BL694" s="780"/>
      <c r="BM694" s="780"/>
    </row>
    <row r="695" ht="12.75" customHeight="1">
      <c r="A695" s="521"/>
      <c r="B695" s="521"/>
      <c r="C695" s="515"/>
      <c r="D695" s="515"/>
      <c r="E695" s="515"/>
      <c r="F695" s="515"/>
      <c r="G695" s="515"/>
      <c r="H695" s="515"/>
      <c r="I695" s="515"/>
      <c r="J695" s="515"/>
      <c r="K695" s="515"/>
      <c r="L695" s="515"/>
      <c r="M695" s="515"/>
      <c r="N695" s="515"/>
      <c r="O695" s="533"/>
      <c r="P695" s="786"/>
      <c r="Q695" s="787"/>
      <c r="R695" s="787"/>
      <c r="S695" s="787"/>
      <c r="T695" s="786"/>
      <c r="U695" s="787"/>
      <c r="V695" s="787"/>
      <c r="W695" s="787"/>
      <c r="X695" s="786"/>
      <c r="Y695" s="787"/>
      <c r="Z695" s="787"/>
      <c r="AA695" s="787"/>
      <c r="AB695" s="786"/>
      <c r="AC695" s="787"/>
      <c r="AD695" s="787"/>
      <c r="AE695" s="787"/>
      <c r="AF695" s="786"/>
      <c r="AG695" s="787"/>
      <c r="AH695" s="787"/>
      <c r="AI695" s="787"/>
      <c r="AJ695" s="786"/>
      <c r="AK695" s="787"/>
      <c r="AL695" s="787"/>
      <c r="AM695" s="787"/>
      <c r="AN695" s="786"/>
      <c r="AO695" s="787"/>
      <c r="AP695" s="787"/>
      <c r="AQ695" s="787"/>
      <c r="AR695" s="786"/>
      <c r="AS695" s="787"/>
      <c r="AT695" s="787"/>
      <c r="AU695" s="787"/>
      <c r="AV695" s="786"/>
      <c r="AW695" s="787"/>
      <c r="AX695" s="787"/>
      <c r="AY695" s="787"/>
      <c r="AZ695" s="780"/>
      <c r="BA695" s="780"/>
      <c r="BB695" s="780"/>
      <c r="BC695" s="780"/>
      <c r="BD695" s="541"/>
      <c r="BE695" s="541"/>
      <c r="BF695" s="541"/>
      <c r="BG695" s="541"/>
      <c r="BH695" s="780"/>
      <c r="BI695" s="780"/>
      <c r="BJ695" s="780"/>
      <c r="BK695" s="780"/>
      <c r="BL695" s="780"/>
      <c r="BM695" s="780"/>
    </row>
    <row r="696" ht="12.75" customHeight="1">
      <c r="A696" s="521"/>
      <c r="B696" s="521"/>
      <c r="C696" s="515"/>
      <c r="D696" s="515"/>
      <c r="E696" s="515"/>
      <c r="F696" s="515"/>
      <c r="G696" s="515"/>
      <c r="H696" s="515"/>
      <c r="I696" s="515"/>
      <c r="J696" s="515"/>
      <c r="K696" s="515"/>
      <c r="L696" s="515"/>
      <c r="M696" s="515"/>
      <c r="N696" s="515"/>
      <c r="O696" s="533"/>
      <c r="P696" s="786"/>
      <c r="Q696" s="787"/>
      <c r="R696" s="787"/>
      <c r="S696" s="787"/>
      <c r="T696" s="786"/>
      <c r="U696" s="787"/>
      <c r="V696" s="787"/>
      <c r="W696" s="787"/>
      <c r="X696" s="786"/>
      <c r="Y696" s="787"/>
      <c r="Z696" s="787"/>
      <c r="AA696" s="787"/>
      <c r="AB696" s="786"/>
      <c r="AC696" s="787"/>
      <c r="AD696" s="787"/>
      <c r="AE696" s="787"/>
      <c r="AF696" s="786"/>
      <c r="AG696" s="787"/>
      <c r="AH696" s="787"/>
      <c r="AI696" s="787"/>
      <c r="AJ696" s="786"/>
      <c r="AK696" s="787"/>
      <c r="AL696" s="787"/>
      <c r="AM696" s="787"/>
      <c r="AN696" s="786"/>
      <c r="AO696" s="787"/>
      <c r="AP696" s="787"/>
      <c r="AQ696" s="787"/>
      <c r="AR696" s="786"/>
      <c r="AS696" s="787"/>
      <c r="AT696" s="787"/>
      <c r="AU696" s="787"/>
      <c r="AV696" s="786"/>
      <c r="AW696" s="787"/>
      <c r="AX696" s="787"/>
      <c r="AY696" s="787"/>
      <c r="AZ696" s="780"/>
      <c r="BA696" s="780"/>
      <c r="BB696" s="780"/>
      <c r="BC696" s="780"/>
      <c r="BD696" s="541"/>
      <c r="BE696" s="541"/>
      <c r="BF696" s="541"/>
      <c r="BG696" s="541"/>
      <c r="BH696" s="780"/>
      <c r="BI696" s="780"/>
      <c r="BJ696" s="780"/>
      <c r="BK696" s="780"/>
      <c r="BL696" s="780"/>
      <c r="BM696" s="780"/>
    </row>
    <row r="697" ht="12.75" customHeight="1">
      <c r="A697" s="521"/>
      <c r="B697" s="521"/>
      <c r="C697" s="515"/>
      <c r="D697" s="515"/>
      <c r="E697" s="515"/>
      <c r="F697" s="515"/>
      <c r="G697" s="515"/>
      <c r="H697" s="515"/>
      <c r="I697" s="515"/>
      <c r="J697" s="515"/>
      <c r="K697" s="515"/>
      <c r="L697" s="515"/>
      <c r="M697" s="515"/>
      <c r="N697" s="515"/>
      <c r="O697" s="533"/>
      <c r="P697" s="786"/>
      <c r="Q697" s="787"/>
      <c r="R697" s="787"/>
      <c r="S697" s="787"/>
      <c r="T697" s="786"/>
      <c r="U697" s="787"/>
      <c r="V697" s="787"/>
      <c r="W697" s="787"/>
      <c r="X697" s="786"/>
      <c r="Y697" s="787"/>
      <c r="Z697" s="787"/>
      <c r="AA697" s="787"/>
      <c r="AB697" s="786"/>
      <c r="AC697" s="787"/>
      <c r="AD697" s="787"/>
      <c r="AE697" s="787"/>
      <c r="AF697" s="786"/>
      <c r="AG697" s="787"/>
      <c r="AH697" s="787"/>
      <c r="AI697" s="787"/>
      <c r="AJ697" s="786"/>
      <c r="AK697" s="787"/>
      <c r="AL697" s="787"/>
      <c r="AM697" s="787"/>
      <c r="AN697" s="786"/>
      <c r="AO697" s="787"/>
      <c r="AP697" s="787"/>
      <c r="AQ697" s="787"/>
      <c r="AR697" s="786"/>
      <c r="AS697" s="787"/>
      <c r="AT697" s="787"/>
      <c r="AU697" s="787"/>
      <c r="AV697" s="786"/>
      <c r="AW697" s="787"/>
      <c r="AX697" s="787"/>
      <c r="AY697" s="787"/>
      <c r="AZ697" s="780"/>
      <c r="BA697" s="780"/>
      <c r="BB697" s="780"/>
      <c r="BC697" s="780"/>
      <c r="BD697" s="541"/>
      <c r="BE697" s="541"/>
      <c r="BF697" s="541"/>
      <c r="BG697" s="541"/>
      <c r="BH697" s="780"/>
      <c r="BI697" s="780"/>
      <c r="BJ697" s="780"/>
      <c r="BK697" s="780"/>
      <c r="BL697" s="780"/>
      <c r="BM697" s="780"/>
    </row>
    <row r="698" ht="12.75" customHeight="1">
      <c r="A698" s="521"/>
      <c r="B698" s="521"/>
      <c r="C698" s="515"/>
      <c r="D698" s="515"/>
      <c r="E698" s="515"/>
      <c r="F698" s="515"/>
      <c r="G698" s="515"/>
      <c r="H698" s="515"/>
      <c r="I698" s="515"/>
      <c r="J698" s="515"/>
      <c r="K698" s="515"/>
      <c r="L698" s="515"/>
      <c r="M698" s="515"/>
      <c r="N698" s="515"/>
      <c r="O698" s="533"/>
      <c r="P698" s="786"/>
      <c r="Q698" s="787"/>
      <c r="R698" s="787"/>
      <c r="S698" s="787"/>
      <c r="T698" s="786"/>
      <c r="U698" s="787"/>
      <c r="V698" s="787"/>
      <c r="W698" s="787"/>
      <c r="X698" s="786"/>
      <c r="Y698" s="787"/>
      <c r="Z698" s="787"/>
      <c r="AA698" s="787"/>
      <c r="AB698" s="786"/>
      <c r="AC698" s="787"/>
      <c r="AD698" s="787"/>
      <c r="AE698" s="787"/>
      <c r="AF698" s="786"/>
      <c r="AG698" s="787"/>
      <c r="AH698" s="787"/>
      <c r="AI698" s="787"/>
      <c r="AJ698" s="786"/>
      <c r="AK698" s="787"/>
      <c r="AL698" s="787"/>
      <c r="AM698" s="787"/>
      <c r="AN698" s="786"/>
      <c r="AO698" s="787"/>
      <c r="AP698" s="787"/>
      <c r="AQ698" s="787"/>
      <c r="AR698" s="786"/>
      <c r="AS698" s="787"/>
      <c r="AT698" s="787"/>
      <c r="AU698" s="787"/>
      <c r="AV698" s="786"/>
      <c r="AW698" s="787"/>
      <c r="AX698" s="787"/>
      <c r="AY698" s="787"/>
      <c r="AZ698" s="780"/>
      <c r="BA698" s="780"/>
      <c r="BB698" s="780"/>
      <c r="BC698" s="780"/>
      <c r="BD698" s="541"/>
      <c r="BE698" s="541"/>
      <c r="BF698" s="541"/>
      <c r="BG698" s="541"/>
      <c r="BH698" s="780"/>
      <c r="BI698" s="780"/>
      <c r="BJ698" s="780"/>
      <c r="BK698" s="780"/>
      <c r="BL698" s="780"/>
      <c r="BM698" s="780"/>
    </row>
    <row r="699" ht="12.75" customHeight="1">
      <c r="A699" s="521"/>
      <c r="B699" s="521"/>
      <c r="C699" s="515"/>
      <c r="D699" s="515"/>
      <c r="E699" s="515"/>
      <c r="F699" s="515"/>
      <c r="G699" s="515"/>
      <c r="H699" s="515"/>
      <c r="I699" s="515"/>
      <c r="J699" s="515"/>
      <c r="K699" s="515"/>
      <c r="L699" s="515"/>
      <c r="M699" s="515"/>
      <c r="N699" s="515"/>
      <c r="O699" s="533"/>
      <c r="P699" s="786"/>
      <c r="Q699" s="787"/>
      <c r="R699" s="787"/>
      <c r="S699" s="787"/>
      <c r="T699" s="786"/>
      <c r="U699" s="787"/>
      <c r="V699" s="787"/>
      <c r="W699" s="787"/>
      <c r="X699" s="786"/>
      <c r="Y699" s="787"/>
      <c r="Z699" s="787"/>
      <c r="AA699" s="787"/>
      <c r="AB699" s="786"/>
      <c r="AC699" s="787"/>
      <c r="AD699" s="787"/>
      <c r="AE699" s="787"/>
      <c r="AF699" s="786"/>
      <c r="AG699" s="787"/>
      <c r="AH699" s="787"/>
      <c r="AI699" s="787"/>
      <c r="AJ699" s="786"/>
      <c r="AK699" s="787"/>
      <c r="AL699" s="787"/>
      <c r="AM699" s="787"/>
      <c r="AN699" s="786"/>
      <c r="AO699" s="787"/>
      <c r="AP699" s="787"/>
      <c r="AQ699" s="787"/>
      <c r="AR699" s="786"/>
      <c r="AS699" s="787"/>
      <c r="AT699" s="787"/>
      <c r="AU699" s="787"/>
      <c r="AV699" s="786"/>
      <c r="AW699" s="787"/>
      <c r="AX699" s="787"/>
      <c r="AY699" s="787"/>
      <c r="AZ699" s="780"/>
      <c r="BA699" s="780"/>
      <c r="BB699" s="780"/>
      <c r="BC699" s="780"/>
      <c r="BD699" s="541"/>
      <c r="BE699" s="541"/>
      <c r="BF699" s="541"/>
      <c r="BG699" s="541"/>
      <c r="BH699" s="780"/>
      <c r="BI699" s="780"/>
      <c r="BJ699" s="780"/>
      <c r="BK699" s="780"/>
      <c r="BL699" s="780"/>
      <c r="BM699" s="780"/>
    </row>
    <row r="700" ht="12.75" customHeight="1">
      <c r="A700" s="521"/>
      <c r="B700" s="521"/>
      <c r="C700" s="515"/>
      <c r="D700" s="515"/>
      <c r="E700" s="515"/>
      <c r="F700" s="515"/>
      <c r="G700" s="515"/>
      <c r="H700" s="515"/>
      <c r="I700" s="515"/>
      <c r="J700" s="515"/>
      <c r="K700" s="515"/>
      <c r="L700" s="515"/>
      <c r="M700" s="515"/>
      <c r="N700" s="515"/>
      <c r="O700" s="533"/>
      <c r="P700" s="786"/>
      <c r="Q700" s="787"/>
      <c r="R700" s="787"/>
      <c r="S700" s="787"/>
      <c r="T700" s="786"/>
      <c r="U700" s="787"/>
      <c r="V700" s="787"/>
      <c r="W700" s="787"/>
      <c r="X700" s="786"/>
      <c r="Y700" s="787"/>
      <c r="Z700" s="787"/>
      <c r="AA700" s="787"/>
      <c r="AB700" s="786"/>
      <c r="AC700" s="787"/>
      <c r="AD700" s="787"/>
      <c r="AE700" s="787"/>
      <c r="AF700" s="786"/>
      <c r="AG700" s="787"/>
      <c r="AH700" s="787"/>
      <c r="AI700" s="787"/>
      <c r="AJ700" s="786"/>
      <c r="AK700" s="787"/>
      <c r="AL700" s="787"/>
      <c r="AM700" s="787"/>
      <c r="AN700" s="786"/>
      <c r="AO700" s="787"/>
      <c r="AP700" s="787"/>
      <c r="AQ700" s="787"/>
      <c r="AR700" s="786"/>
      <c r="AS700" s="787"/>
      <c r="AT700" s="787"/>
      <c r="AU700" s="787"/>
      <c r="AV700" s="786"/>
      <c r="AW700" s="787"/>
      <c r="AX700" s="787"/>
      <c r="AY700" s="787"/>
      <c r="AZ700" s="780"/>
      <c r="BA700" s="780"/>
      <c r="BB700" s="780"/>
      <c r="BC700" s="780"/>
      <c r="BD700" s="541"/>
      <c r="BE700" s="541"/>
      <c r="BF700" s="541"/>
      <c r="BG700" s="541"/>
      <c r="BH700" s="780"/>
      <c r="BI700" s="780"/>
      <c r="BJ700" s="780"/>
      <c r="BK700" s="780"/>
      <c r="BL700" s="780"/>
      <c r="BM700" s="780"/>
    </row>
    <row r="701" ht="12.75" customHeight="1">
      <c r="A701" s="521"/>
      <c r="B701" s="521"/>
      <c r="C701" s="515"/>
      <c r="D701" s="515"/>
      <c r="E701" s="515"/>
      <c r="F701" s="515"/>
      <c r="G701" s="515"/>
      <c r="H701" s="515"/>
      <c r="I701" s="515"/>
      <c r="J701" s="515"/>
      <c r="K701" s="515"/>
      <c r="L701" s="515"/>
      <c r="M701" s="515"/>
      <c r="N701" s="515"/>
      <c r="O701" s="533"/>
      <c r="P701" s="786"/>
      <c r="Q701" s="787"/>
      <c r="R701" s="787"/>
      <c r="S701" s="787"/>
      <c r="T701" s="786"/>
      <c r="U701" s="787"/>
      <c r="V701" s="787"/>
      <c r="W701" s="787"/>
      <c r="X701" s="786"/>
      <c r="Y701" s="787"/>
      <c r="Z701" s="787"/>
      <c r="AA701" s="787"/>
      <c r="AB701" s="786"/>
      <c r="AC701" s="787"/>
      <c r="AD701" s="787"/>
      <c r="AE701" s="787"/>
      <c r="AF701" s="786"/>
      <c r="AG701" s="787"/>
      <c r="AH701" s="787"/>
      <c r="AI701" s="787"/>
      <c r="AJ701" s="786"/>
      <c r="AK701" s="787"/>
      <c r="AL701" s="787"/>
      <c r="AM701" s="787"/>
      <c r="AN701" s="786"/>
      <c r="AO701" s="787"/>
      <c r="AP701" s="787"/>
      <c r="AQ701" s="787"/>
      <c r="AR701" s="786"/>
      <c r="AS701" s="787"/>
      <c r="AT701" s="787"/>
      <c r="AU701" s="787"/>
      <c r="AV701" s="786"/>
      <c r="AW701" s="787"/>
      <c r="AX701" s="787"/>
      <c r="AY701" s="787"/>
      <c r="AZ701" s="780"/>
      <c r="BA701" s="780"/>
      <c r="BB701" s="780"/>
      <c r="BC701" s="780"/>
      <c r="BD701" s="541"/>
      <c r="BE701" s="541"/>
      <c r="BF701" s="541"/>
      <c r="BG701" s="541"/>
      <c r="BH701" s="780"/>
      <c r="BI701" s="780"/>
      <c r="BJ701" s="780"/>
      <c r="BK701" s="780"/>
      <c r="BL701" s="780"/>
      <c r="BM701" s="780"/>
    </row>
    <row r="702" ht="12.75" customHeight="1">
      <c r="A702" s="521"/>
      <c r="B702" s="521"/>
      <c r="C702" s="515"/>
      <c r="D702" s="515"/>
      <c r="E702" s="515"/>
      <c r="F702" s="515"/>
      <c r="G702" s="515"/>
      <c r="H702" s="515"/>
      <c r="I702" s="515"/>
      <c r="J702" s="515"/>
      <c r="K702" s="515"/>
      <c r="L702" s="515"/>
      <c r="M702" s="515"/>
      <c r="N702" s="515"/>
      <c r="O702" s="533"/>
      <c r="P702" s="786"/>
      <c r="Q702" s="787"/>
      <c r="R702" s="787"/>
      <c r="S702" s="787"/>
      <c r="T702" s="786"/>
      <c r="U702" s="787"/>
      <c r="V702" s="787"/>
      <c r="W702" s="787"/>
      <c r="X702" s="786"/>
      <c r="Y702" s="787"/>
      <c r="Z702" s="787"/>
      <c r="AA702" s="787"/>
      <c r="AB702" s="786"/>
      <c r="AC702" s="787"/>
      <c r="AD702" s="787"/>
      <c r="AE702" s="787"/>
      <c r="AF702" s="786"/>
      <c r="AG702" s="787"/>
      <c r="AH702" s="787"/>
      <c r="AI702" s="787"/>
      <c r="AJ702" s="786"/>
      <c r="AK702" s="787"/>
      <c r="AL702" s="787"/>
      <c r="AM702" s="787"/>
      <c r="AN702" s="786"/>
      <c r="AO702" s="787"/>
      <c r="AP702" s="787"/>
      <c r="AQ702" s="787"/>
      <c r="AR702" s="786"/>
      <c r="AS702" s="787"/>
      <c r="AT702" s="787"/>
      <c r="AU702" s="787"/>
      <c r="AV702" s="786"/>
      <c r="AW702" s="787"/>
      <c r="AX702" s="787"/>
      <c r="AY702" s="787"/>
      <c r="AZ702" s="780"/>
      <c r="BA702" s="780"/>
      <c r="BB702" s="780"/>
      <c r="BC702" s="780"/>
      <c r="BD702" s="541"/>
      <c r="BE702" s="541"/>
      <c r="BF702" s="541"/>
      <c r="BG702" s="541"/>
      <c r="BH702" s="780"/>
      <c r="BI702" s="780"/>
      <c r="BJ702" s="780"/>
      <c r="BK702" s="780"/>
      <c r="BL702" s="780"/>
      <c r="BM702" s="780"/>
    </row>
    <row r="703" ht="12.75" customHeight="1">
      <c r="A703" s="521"/>
      <c r="B703" s="521"/>
      <c r="C703" s="515"/>
      <c r="D703" s="515"/>
      <c r="E703" s="515"/>
      <c r="F703" s="515"/>
      <c r="G703" s="515"/>
      <c r="H703" s="515"/>
      <c r="I703" s="515"/>
      <c r="J703" s="515"/>
      <c r="K703" s="515"/>
      <c r="L703" s="515"/>
      <c r="M703" s="515"/>
      <c r="N703" s="515"/>
      <c r="O703" s="533"/>
      <c r="P703" s="786"/>
      <c r="Q703" s="787"/>
      <c r="R703" s="787"/>
      <c r="S703" s="787"/>
      <c r="T703" s="786"/>
      <c r="U703" s="787"/>
      <c r="V703" s="787"/>
      <c r="W703" s="787"/>
      <c r="X703" s="786"/>
      <c r="Y703" s="787"/>
      <c r="Z703" s="787"/>
      <c r="AA703" s="787"/>
      <c r="AB703" s="786"/>
      <c r="AC703" s="787"/>
      <c r="AD703" s="787"/>
      <c r="AE703" s="787"/>
      <c r="AF703" s="786"/>
      <c r="AG703" s="787"/>
      <c r="AH703" s="787"/>
      <c r="AI703" s="787"/>
      <c r="AJ703" s="786"/>
      <c r="AK703" s="787"/>
      <c r="AL703" s="787"/>
      <c r="AM703" s="787"/>
      <c r="AN703" s="786"/>
      <c r="AO703" s="787"/>
      <c r="AP703" s="787"/>
      <c r="AQ703" s="787"/>
      <c r="AR703" s="786"/>
      <c r="AS703" s="787"/>
      <c r="AT703" s="787"/>
      <c r="AU703" s="787"/>
      <c r="AV703" s="786"/>
      <c r="AW703" s="787"/>
      <c r="AX703" s="787"/>
      <c r="AY703" s="787"/>
      <c r="AZ703" s="780"/>
      <c r="BA703" s="780"/>
      <c r="BB703" s="780"/>
      <c r="BC703" s="780"/>
      <c r="BD703" s="541"/>
      <c r="BE703" s="541"/>
      <c r="BF703" s="541"/>
      <c r="BG703" s="541"/>
      <c r="BH703" s="780"/>
      <c r="BI703" s="780"/>
      <c r="BJ703" s="780"/>
      <c r="BK703" s="780"/>
      <c r="BL703" s="780"/>
      <c r="BM703" s="780"/>
    </row>
    <row r="704" ht="12.75" customHeight="1">
      <c r="A704" s="521"/>
      <c r="B704" s="521"/>
      <c r="C704" s="515"/>
      <c r="D704" s="515"/>
      <c r="E704" s="515"/>
      <c r="F704" s="515"/>
      <c r="G704" s="515"/>
      <c r="H704" s="515"/>
      <c r="I704" s="515"/>
      <c r="J704" s="515"/>
      <c r="K704" s="515"/>
      <c r="L704" s="515"/>
      <c r="M704" s="515"/>
      <c r="N704" s="515"/>
      <c r="O704" s="533"/>
      <c r="P704" s="786"/>
      <c r="Q704" s="787"/>
      <c r="R704" s="787"/>
      <c r="S704" s="787"/>
      <c r="T704" s="786"/>
      <c r="U704" s="787"/>
      <c r="V704" s="787"/>
      <c r="W704" s="787"/>
      <c r="X704" s="786"/>
      <c r="Y704" s="787"/>
      <c r="Z704" s="787"/>
      <c r="AA704" s="787"/>
      <c r="AB704" s="786"/>
      <c r="AC704" s="787"/>
      <c r="AD704" s="787"/>
      <c r="AE704" s="787"/>
      <c r="AF704" s="786"/>
      <c r="AG704" s="787"/>
      <c r="AH704" s="787"/>
      <c r="AI704" s="787"/>
      <c r="AJ704" s="786"/>
      <c r="AK704" s="787"/>
      <c r="AL704" s="787"/>
      <c r="AM704" s="787"/>
      <c r="AN704" s="786"/>
      <c r="AO704" s="787"/>
      <c r="AP704" s="787"/>
      <c r="AQ704" s="787"/>
      <c r="AR704" s="786"/>
      <c r="AS704" s="787"/>
      <c r="AT704" s="787"/>
      <c r="AU704" s="787"/>
      <c r="AV704" s="786"/>
      <c r="AW704" s="787"/>
      <c r="AX704" s="787"/>
      <c r="AY704" s="787"/>
      <c r="AZ704" s="780"/>
      <c r="BA704" s="780"/>
      <c r="BB704" s="780"/>
      <c r="BC704" s="780"/>
      <c r="BD704" s="541"/>
      <c r="BE704" s="541"/>
      <c r="BF704" s="541"/>
      <c r="BG704" s="541"/>
      <c r="BH704" s="780"/>
      <c r="BI704" s="780"/>
      <c r="BJ704" s="780"/>
      <c r="BK704" s="780"/>
      <c r="BL704" s="780"/>
      <c r="BM704" s="780"/>
    </row>
    <row r="705" ht="12.75" customHeight="1">
      <c r="A705" s="521"/>
      <c r="B705" s="521"/>
      <c r="C705" s="515"/>
      <c r="D705" s="515"/>
      <c r="E705" s="515"/>
      <c r="F705" s="515"/>
      <c r="G705" s="515"/>
      <c r="H705" s="515"/>
      <c r="I705" s="515"/>
      <c r="J705" s="515"/>
      <c r="K705" s="515"/>
      <c r="L705" s="515"/>
      <c r="M705" s="515"/>
      <c r="N705" s="515"/>
      <c r="O705" s="533"/>
      <c r="P705" s="786"/>
      <c r="Q705" s="787"/>
      <c r="R705" s="787"/>
      <c r="S705" s="787"/>
      <c r="T705" s="786"/>
      <c r="U705" s="787"/>
      <c r="V705" s="787"/>
      <c r="W705" s="787"/>
      <c r="X705" s="786"/>
      <c r="Y705" s="787"/>
      <c r="Z705" s="787"/>
      <c r="AA705" s="787"/>
      <c r="AB705" s="786"/>
      <c r="AC705" s="787"/>
      <c r="AD705" s="787"/>
      <c r="AE705" s="787"/>
      <c r="AF705" s="786"/>
      <c r="AG705" s="787"/>
      <c r="AH705" s="787"/>
      <c r="AI705" s="787"/>
      <c r="AJ705" s="786"/>
      <c r="AK705" s="787"/>
      <c r="AL705" s="787"/>
      <c r="AM705" s="787"/>
      <c r="AN705" s="786"/>
      <c r="AO705" s="787"/>
      <c r="AP705" s="787"/>
      <c r="AQ705" s="787"/>
      <c r="AR705" s="786"/>
      <c r="AS705" s="787"/>
      <c r="AT705" s="787"/>
      <c r="AU705" s="787"/>
      <c r="AV705" s="786"/>
      <c r="AW705" s="787"/>
      <c r="AX705" s="787"/>
      <c r="AY705" s="787"/>
      <c r="AZ705" s="780"/>
      <c r="BA705" s="780"/>
      <c r="BB705" s="780"/>
      <c r="BC705" s="780"/>
      <c r="BD705" s="541"/>
      <c r="BE705" s="541"/>
      <c r="BF705" s="541"/>
      <c r="BG705" s="541"/>
      <c r="BH705" s="780"/>
      <c r="BI705" s="780"/>
      <c r="BJ705" s="780"/>
      <c r="BK705" s="780"/>
      <c r="BL705" s="780"/>
      <c r="BM705" s="780"/>
    </row>
    <row r="706" ht="12.75" customHeight="1">
      <c r="A706" s="521"/>
      <c r="B706" s="521"/>
      <c r="C706" s="515"/>
      <c r="D706" s="515"/>
      <c r="E706" s="515"/>
      <c r="F706" s="515"/>
      <c r="G706" s="515"/>
      <c r="H706" s="515"/>
      <c r="I706" s="515"/>
      <c r="J706" s="515"/>
      <c r="K706" s="515"/>
      <c r="L706" s="515"/>
      <c r="M706" s="515"/>
      <c r="N706" s="515"/>
      <c r="O706" s="533"/>
      <c r="P706" s="786"/>
      <c r="Q706" s="787"/>
      <c r="R706" s="787"/>
      <c r="S706" s="787"/>
      <c r="T706" s="786"/>
      <c r="U706" s="787"/>
      <c r="V706" s="787"/>
      <c r="W706" s="787"/>
      <c r="X706" s="786"/>
      <c r="Y706" s="787"/>
      <c r="Z706" s="787"/>
      <c r="AA706" s="787"/>
      <c r="AB706" s="786"/>
      <c r="AC706" s="787"/>
      <c r="AD706" s="787"/>
      <c r="AE706" s="787"/>
      <c r="AF706" s="786"/>
      <c r="AG706" s="787"/>
      <c r="AH706" s="787"/>
      <c r="AI706" s="787"/>
      <c r="AJ706" s="786"/>
      <c r="AK706" s="787"/>
      <c r="AL706" s="787"/>
      <c r="AM706" s="787"/>
      <c r="AN706" s="786"/>
      <c r="AO706" s="787"/>
      <c r="AP706" s="787"/>
      <c r="AQ706" s="787"/>
      <c r="AR706" s="786"/>
      <c r="AS706" s="787"/>
      <c r="AT706" s="787"/>
      <c r="AU706" s="787"/>
      <c r="AV706" s="786"/>
      <c r="AW706" s="787"/>
      <c r="AX706" s="787"/>
      <c r="AY706" s="787"/>
      <c r="AZ706" s="780"/>
      <c r="BA706" s="780"/>
      <c r="BB706" s="780"/>
      <c r="BC706" s="780"/>
      <c r="BD706" s="541"/>
      <c r="BE706" s="541"/>
      <c r="BF706" s="541"/>
      <c r="BG706" s="541"/>
      <c r="BH706" s="780"/>
      <c r="BI706" s="780"/>
      <c r="BJ706" s="780"/>
      <c r="BK706" s="780"/>
      <c r="BL706" s="780"/>
      <c r="BM706" s="780"/>
    </row>
    <row r="707" ht="12.75" customHeight="1">
      <c r="A707" s="521"/>
      <c r="B707" s="521"/>
      <c r="C707" s="515"/>
      <c r="D707" s="515"/>
      <c r="E707" s="515"/>
      <c r="F707" s="515"/>
      <c r="G707" s="515"/>
      <c r="H707" s="515"/>
      <c r="I707" s="515"/>
      <c r="J707" s="515"/>
      <c r="K707" s="515"/>
      <c r="L707" s="515"/>
      <c r="M707" s="515"/>
      <c r="N707" s="515"/>
      <c r="O707" s="533"/>
      <c r="P707" s="786"/>
      <c r="Q707" s="787"/>
      <c r="R707" s="787"/>
      <c r="S707" s="787"/>
      <c r="T707" s="786"/>
      <c r="U707" s="787"/>
      <c r="V707" s="787"/>
      <c r="W707" s="787"/>
      <c r="X707" s="786"/>
      <c r="Y707" s="787"/>
      <c r="Z707" s="787"/>
      <c r="AA707" s="787"/>
      <c r="AB707" s="786"/>
      <c r="AC707" s="787"/>
      <c r="AD707" s="787"/>
      <c r="AE707" s="787"/>
      <c r="AF707" s="786"/>
      <c r="AG707" s="787"/>
      <c r="AH707" s="787"/>
      <c r="AI707" s="787"/>
      <c r="AJ707" s="786"/>
      <c r="AK707" s="787"/>
      <c r="AL707" s="787"/>
      <c r="AM707" s="787"/>
      <c r="AN707" s="786"/>
      <c r="AO707" s="787"/>
      <c r="AP707" s="787"/>
      <c r="AQ707" s="787"/>
      <c r="AR707" s="786"/>
      <c r="AS707" s="787"/>
      <c r="AT707" s="787"/>
      <c r="AU707" s="787"/>
      <c r="AV707" s="786"/>
      <c r="AW707" s="787"/>
      <c r="AX707" s="787"/>
      <c r="AY707" s="787"/>
      <c r="AZ707" s="780"/>
      <c r="BA707" s="780"/>
      <c r="BB707" s="780"/>
      <c r="BC707" s="780"/>
      <c r="BD707" s="541"/>
      <c r="BE707" s="541"/>
      <c r="BF707" s="541"/>
      <c r="BG707" s="541"/>
      <c r="BH707" s="780"/>
      <c r="BI707" s="780"/>
      <c r="BJ707" s="780"/>
      <c r="BK707" s="780"/>
      <c r="BL707" s="780"/>
      <c r="BM707" s="780"/>
    </row>
    <row r="708" ht="12.75" customHeight="1">
      <c r="A708" s="521"/>
      <c r="B708" s="521"/>
      <c r="C708" s="515"/>
      <c r="D708" s="515"/>
      <c r="E708" s="515"/>
      <c r="F708" s="515"/>
      <c r="G708" s="515"/>
      <c r="H708" s="515"/>
      <c r="I708" s="515"/>
      <c r="J708" s="515"/>
      <c r="K708" s="515"/>
      <c r="L708" s="515"/>
      <c r="M708" s="515"/>
      <c r="N708" s="515"/>
      <c r="O708" s="533"/>
      <c r="P708" s="786"/>
      <c r="Q708" s="787"/>
      <c r="R708" s="787"/>
      <c r="S708" s="787"/>
      <c r="T708" s="786"/>
      <c r="U708" s="787"/>
      <c r="V708" s="787"/>
      <c r="W708" s="787"/>
      <c r="X708" s="786"/>
      <c r="Y708" s="787"/>
      <c r="Z708" s="787"/>
      <c r="AA708" s="787"/>
      <c r="AB708" s="786"/>
      <c r="AC708" s="787"/>
      <c r="AD708" s="787"/>
      <c r="AE708" s="787"/>
      <c r="AF708" s="786"/>
      <c r="AG708" s="787"/>
      <c r="AH708" s="787"/>
      <c r="AI708" s="787"/>
      <c r="AJ708" s="786"/>
      <c r="AK708" s="787"/>
      <c r="AL708" s="787"/>
      <c r="AM708" s="787"/>
      <c r="AN708" s="786"/>
      <c r="AO708" s="787"/>
      <c r="AP708" s="787"/>
      <c r="AQ708" s="787"/>
      <c r="AR708" s="786"/>
      <c r="AS708" s="787"/>
      <c r="AT708" s="787"/>
      <c r="AU708" s="787"/>
      <c r="AV708" s="786"/>
      <c r="AW708" s="787"/>
      <c r="AX708" s="787"/>
      <c r="AY708" s="787"/>
      <c r="AZ708" s="780"/>
      <c r="BA708" s="780"/>
      <c r="BB708" s="780"/>
      <c r="BC708" s="780"/>
      <c r="BD708" s="541"/>
      <c r="BE708" s="541"/>
      <c r="BF708" s="541"/>
      <c r="BG708" s="541"/>
      <c r="BH708" s="780"/>
      <c r="BI708" s="780"/>
      <c r="BJ708" s="780"/>
      <c r="BK708" s="780"/>
      <c r="BL708" s="780"/>
      <c r="BM708" s="780"/>
    </row>
    <row r="709" ht="12.75" customHeight="1">
      <c r="A709" s="521"/>
      <c r="B709" s="521"/>
      <c r="C709" s="515"/>
      <c r="D709" s="515"/>
      <c r="E709" s="515"/>
      <c r="F709" s="515"/>
      <c r="G709" s="515"/>
      <c r="H709" s="515"/>
      <c r="I709" s="515"/>
      <c r="J709" s="515"/>
      <c r="K709" s="515"/>
      <c r="L709" s="515"/>
      <c r="M709" s="515"/>
      <c r="N709" s="515"/>
      <c r="O709" s="533"/>
      <c r="P709" s="786"/>
      <c r="Q709" s="787"/>
      <c r="R709" s="787"/>
      <c r="S709" s="787"/>
      <c r="T709" s="786"/>
      <c r="U709" s="787"/>
      <c r="V709" s="787"/>
      <c r="W709" s="787"/>
      <c r="X709" s="786"/>
      <c r="Y709" s="787"/>
      <c r="Z709" s="787"/>
      <c r="AA709" s="787"/>
      <c r="AB709" s="786"/>
      <c r="AC709" s="787"/>
      <c r="AD709" s="787"/>
      <c r="AE709" s="787"/>
      <c r="AF709" s="786"/>
      <c r="AG709" s="787"/>
      <c r="AH709" s="787"/>
      <c r="AI709" s="787"/>
      <c r="AJ709" s="786"/>
      <c r="AK709" s="787"/>
      <c r="AL709" s="787"/>
      <c r="AM709" s="787"/>
      <c r="AN709" s="786"/>
      <c r="AO709" s="787"/>
      <c r="AP709" s="787"/>
      <c r="AQ709" s="787"/>
      <c r="AR709" s="786"/>
      <c r="AS709" s="787"/>
      <c r="AT709" s="787"/>
      <c r="AU709" s="787"/>
      <c r="AV709" s="786"/>
      <c r="AW709" s="787"/>
      <c r="AX709" s="787"/>
      <c r="AY709" s="787"/>
      <c r="AZ709" s="780"/>
      <c r="BA709" s="780"/>
      <c r="BB709" s="780"/>
      <c r="BC709" s="780"/>
      <c r="BD709" s="541"/>
      <c r="BE709" s="541"/>
      <c r="BF709" s="541"/>
      <c r="BG709" s="541"/>
      <c r="BH709" s="780"/>
      <c r="BI709" s="780"/>
      <c r="BJ709" s="780"/>
      <c r="BK709" s="780"/>
      <c r="BL709" s="780"/>
      <c r="BM709" s="780"/>
    </row>
    <row r="710" ht="12.75" customHeight="1">
      <c r="A710" s="521"/>
      <c r="B710" s="521"/>
      <c r="C710" s="515"/>
      <c r="D710" s="515"/>
      <c r="E710" s="515"/>
      <c r="F710" s="515"/>
      <c r="G710" s="515"/>
      <c r="H710" s="515"/>
      <c r="I710" s="515"/>
      <c r="J710" s="515"/>
      <c r="K710" s="515"/>
      <c r="L710" s="515"/>
      <c r="M710" s="515"/>
      <c r="N710" s="515"/>
      <c r="O710" s="533"/>
      <c r="P710" s="786"/>
      <c r="Q710" s="787"/>
      <c r="R710" s="787"/>
      <c r="S710" s="787"/>
      <c r="T710" s="786"/>
      <c r="U710" s="787"/>
      <c r="V710" s="787"/>
      <c r="W710" s="787"/>
      <c r="X710" s="786"/>
      <c r="Y710" s="787"/>
      <c r="Z710" s="787"/>
      <c r="AA710" s="787"/>
      <c r="AB710" s="786"/>
      <c r="AC710" s="787"/>
      <c r="AD710" s="787"/>
      <c r="AE710" s="787"/>
      <c r="AF710" s="786"/>
      <c r="AG710" s="787"/>
      <c r="AH710" s="787"/>
      <c r="AI710" s="787"/>
      <c r="AJ710" s="786"/>
      <c r="AK710" s="787"/>
      <c r="AL710" s="787"/>
      <c r="AM710" s="787"/>
      <c r="AN710" s="786"/>
      <c r="AO710" s="787"/>
      <c r="AP710" s="787"/>
      <c r="AQ710" s="787"/>
      <c r="AR710" s="786"/>
      <c r="AS710" s="787"/>
      <c r="AT710" s="787"/>
      <c r="AU710" s="787"/>
      <c r="AV710" s="786"/>
      <c r="AW710" s="787"/>
      <c r="AX710" s="787"/>
      <c r="AY710" s="787"/>
      <c r="AZ710" s="780"/>
      <c r="BA710" s="780"/>
      <c r="BB710" s="780"/>
      <c r="BC710" s="780"/>
      <c r="BD710" s="541"/>
      <c r="BE710" s="541"/>
      <c r="BF710" s="541"/>
      <c r="BG710" s="541"/>
      <c r="BH710" s="780"/>
      <c r="BI710" s="780"/>
      <c r="BJ710" s="780"/>
      <c r="BK710" s="780"/>
      <c r="BL710" s="780"/>
      <c r="BM710" s="780"/>
    </row>
    <row r="711" ht="12.75" customHeight="1">
      <c r="A711" s="521"/>
      <c r="B711" s="521"/>
      <c r="C711" s="515"/>
      <c r="D711" s="515"/>
      <c r="E711" s="515"/>
      <c r="F711" s="515"/>
      <c r="G711" s="515"/>
      <c r="H711" s="515"/>
      <c r="I711" s="515"/>
      <c r="J711" s="515"/>
      <c r="K711" s="515"/>
      <c r="L711" s="515"/>
      <c r="M711" s="515"/>
      <c r="N711" s="515"/>
      <c r="O711" s="533"/>
      <c r="P711" s="786"/>
      <c r="Q711" s="787"/>
      <c r="R711" s="787"/>
      <c r="S711" s="787"/>
      <c r="T711" s="786"/>
      <c r="U711" s="787"/>
      <c r="V711" s="787"/>
      <c r="W711" s="787"/>
      <c r="X711" s="786"/>
      <c r="Y711" s="787"/>
      <c r="Z711" s="787"/>
      <c r="AA711" s="787"/>
      <c r="AB711" s="786"/>
      <c r="AC711" s="787"/>
      <c r="AD711" s="787"/>
      <c r="AE711" s="787"/>
      <c r="AF711" s="786"/>
      <c r="AG711" s="787"/>
      <c r="AH711" s="787"/>
      <c r="AI711" s="787"/>
      <c r="AJ711" s="786"/>
      <c r="AK711" s="787"/>
      <c r="AL711" s="787"/>
      <c r="AM711" s="787"/>
      <c r="AN711" s="786"/>
      <c r="AO711" s="787"/>
      <c r="AP711" s="787"/>
      <c r="AQ711" s="787"/>
      <c r="AR711" s="786"/>
      <c r="AS711" s="787"/>
      <c r="AT711" s="787"/>
      <c r="AU711" s="787"/>
      <c r="AV711" s="786"/>
      <c r="AW711" s="787"/>
      <c r="AX711" s="787"/>
      <c r="AY711" s="787"/>
      <c r="AZ711" s="780"/>
      <c r="BA711" s="780"/>
      <c r="BB711" s="780"/>
      <c r="BC711" s="780"/>
      <c r="BD711" s="541"/>
      <c r="BE711" s="541"/>
      <c r="BF711" s="541"/>
      <c r="BG711" s="541"/>
      <c r="BH711" s="780"/>
      <c r="BI711" s="780"/>
      <c r="BJ711" s="780"/>
      <c r="BK711" s="780"/>
      <c r="BL711" s="780"/>
      <c r="BM711" s="780"/>
    </row>
    <row r="712" ht="12.75" customHeight="1">
      <c r="A712" s="521"/>
      <c r="B712" s="521"/>
      <c r="C712" s="515"/>
      <c r="D712" s="515"/>
      <c r="E712" s="515"/>
      <c r="F712" s="515"/>
      <c r="G712" s="515"/>
      <c r="H712" s="515"/>
      <c r="I712" s="515"/>
      <c r="J712" s="515"/>
      <c r="K712" s="515"/>
      <c r="L712" s="515"/>
      <c r="M712" s="515"/>
      <c r="N712" s="515"/>
      <c r="O712" s="533"/>
      <c r="P712" s="786"/>
      <c r="Q712" s="787"/>
      <c r="R712" s="787"/>
      <c r="S712" s="787"/>
      <c r="T712" s="786"/>
      <c r="U712" s="787"/>
      <c r="V712" s="787"/>
      <c r="W712" s="787"/>
      <c r="X712" s="786"/>
      <c r="Y712" s="787"/>
      <c r="Z712" s="787"/>
      <c r="AA712" s="787"/>
      <c r="AB712" s="786"/>
      <c r="AC712" s="787"/>
      <c r="AD712" s="787"/>
      <c r="AE712" s="787"/>
      <c r="AF712" s="786"/>
      <c r="AG712" s="787"/>
      <c r="AH712" s="787"/>
      <c r="AI712" s="787"/>
      <c r="AJ712" s="786"/>
      <c r="AK712" s="787"/>
      <c r="AL712" s="787"/>
      <c r="AM712" s="787"/>
      <c r="AN712" s="786"/>
      <c r="AO712" s="787"/>
      <c r="AP712" s="787"/>
      <c r="AQ712" s="787"/>
      <c r="AR712" s="786"/>
      <c r="AS712" s="787"/>
      <c r="AT712" s="787"/>
      <c r="AU712" s="787"/>
      <c r="AV712" s="786"/>
      <c r="AW712" s="787"/>
      <c r="AX712" s="787"/>
      <c r="AY712" s="787"/>
      <c r="AZ712" s="780"/>
      <c r="BA712" s="780"/>
      <c r="BB712" s="780"/>
      <c r="BC712" s="780"/>
      <c r="BD712" s="541"/>
      <c r="BE712" s="541"/>
      <c r="BF712" s="541"/>
      <c r="BG712" s="541"/>
      <c r="BH712" s="780"/>
      <c r="BI712" s="780"/>
      <c r="BJ712" s="780"/>
      <c r="BK712" s="780"/>
      <c r="BL712" s="780"/>
      <c r="BM712" s="780"/>
    </row>
    <row r="713" ht="12.75" customHeight="1">
      <c r="A713" s="521"/>
      <c r="B713" s="521"/>
      <c r="C713" s="515"/>
      <c r="D713" s="515"/>
      <c r="E713" s="515"/>
      <c r="F713" s="515"/>
      <c r="G713" s="515"/>
      <c r="H713" s="515"/>
      <c r="I713" s="515"/>
      <c r="J713" s="515"/>
      <c r="K713" s="515"/>
      <c r="L713" s="515"/>
      <c r="M713" s="515"/>
      <c r="N713" s="515"/>
      <c r="O713" s="533"/>
      <c r="P713" s="786"/>
      <c r="Q713" s="787"/>
      <c r="R713" s="787"/>
      <c r="S713" s="787"/>
      <c r="T713" s="786"/>
      <c r="U713" s="787"/>
      <c r="V713" s="787"/>
      <c r="W713" s="787"/>
      <c r="X713" s="786"/>
      <c r="Y713" s="787"/>
      <c r="Z713" s="787"/>
      <c r="AA713" s="787"/>
      <c r="AB713" s="786"/>
      <c r="AC713" s="787"/>
      <c r="AD713" s="787"/>
      <c r="AE713" s="787"/>
      <c r="AF713" s="786"/>
      <c r="AG713" s="787"/>
      <c r="AH713" s="787"/>
      <c r="AI713" s="787"/>
      <c r="AJ713" s="786"/>
      <c r="AK713" s="787"/>
      <c r="AL713" s="787"/>
      <c r="AM713" s="787"/>
      <c r="AN713" s="786"/>
      <c r="AO713" s="787"/>
      <c r="AP713" s="787"/>
      <c r="AQ713" s="787"/>
      <c r="AR713" s="786"/>
      <c r="AS713" s="787"/>
      <c r="AT713" s="787"/>
      <c r="AU713" s="787"/>
      <c r="AV713" s="786"/>
      <c r="AW713" s="787"/>
      <c r="AX713" s="787"/>
      <c r="AY713" s="787"/>
      <c r="AZ713" s="780"/>
      <c r="BA713" s="780"/>
      <c r="BB713" s="780"/>
      <c r="BC713" s="780"/>
      <c r="BD713" s="541"/>
      <c r="BE713" s="541"/>
      <c r="BF713" s="541"/>
      <c r="BG713" s="541"/>
      <c r="BH713" s="780"/>
      <c r="BI713" s="780"/>
      <c r="BJ713" s="780"/>
      <c r="BK713" s="780"/>
      <c r="BL713" s="780"/>
      <c r="BM713" s="780"/>
    </row>
    <row r="714" ht="12.75" customHeight="1">
      <c r="A714" s="521"/>
      <c r="B714" s="521"/>
      <c r="C714" s="515"/>
      <c r="D714" s="515"/>
      <c r="E714" s="515"/>
      <c r="F714" s="515"/>
      <c r="G714" s="515"/>
      <c r="H714" s="515"/>
      <c r="I714" s="515"/>
      <c r="J714" s="515"/>
      <c r="K714" s="515"/>
      <c r="L714" s="515"/>
      <c r="M714" s="515"/>
      <c r="N714" s="515"/>
      <c r="O714" s="533"/>
      <c r="P714" s="786"/>
      <c r="Q714" s="787"/>
      <c r="R714" s="787"/>
      <c r="S714" s="787"/>
      <c r="T714" s="786"/>
      <c r="U714" s="787"/>
      <c r="V714" s="787"/>
      <c r="W714" s="787"/>
      <c r="X714" s="786"/>
      <c r="Y714" s="787"/>
      <c r="Z714" s="787"/>
      <c r="AA714" s="787"/>
      <c r="AB714" s="786"/>
      <c r="AC714" s="787"/>
      <c r="AD714" s="787"/>
      <c r="AE714" s="787"/>
      <c r="AF714" s="786"/>
      <c r="AG714" s="787"/>
      <c r="AH714" s="787"/>
      <c r="AI714" s="787"/>
      <c r="AJ714" s="786"/>
      <c r="AK714" s="787"/>
      <c r="AL714" s="787"/>
      <c r="AM714" s="787"/>
      <c r="AN714" s="786"/>
      <c r="AO714" s="787"/>
      <c r="AP714" s="787"/>
      <c r="AQ714" s="787"/>
      <c r="AR714" s="786"/>
      <c r="AS714" s="787"/>
      <c r="AT714" s="787"/>
      <c r="AU714" s="787"/>
      <c r="AV714" s="786"/>
      <c r="AW714" s="787"/>
      <c r="AX714" s="787"/>
      <c r="AY714" s="787"/>
      <c r="AZ714" s="780"/>
      <c r="BA714" s="780"/>
      <c r="BB714" s="780"/>
      <c r="BC714" s="780"/>
      <c r="BD714" s="541"/>
      <c r="BE714" s="541"/>
      <c r="BF714" s="541"/>
      <c r="BG714" s="541"/>
      <c r="BH714" s="780"/>
      <c r="BI714" s="780"/>
      <c r="BJ714" s="780"/>
      <c r="BK714" s="780"/>
      <c r="BL714" s="780"/>
      <c r="BM714" s="780"/>
    </row>
    <row r="715" ht="12.75" customHeight="1">
      <c r="A715" s="521"/>
      <c r="B715" s="521"/>
      <c r="C715" s="515"/>
      <c r="D715" s="515"/>
      <c r="E715" s="515"/>
      <c r="F715" s="515"/>
      <c r="G715" s="515"/>
      <c r="H715" s="515"/>
      <c r="I715" s="515"/>
      <c r="J715" s="515"/>
      <c r="K715" s="515"/>
      <c r="L715" s="515"/>
      <c r="M715" s="515"/>
      <c r="N715" s="515"/>
      <c r="O715" s="533"/>
      <c r="P715" s="786"/>
      <c r="Q715" s="787"/>
      <c r="R715" s="787"/>
      <c r="S715" s="787"/>
      <c r="T715" s="786"/>
      <c r="U715" s="787"/>
      <c r="V715" s="787"/>
      <c r="W715" s="787"/>
      <c r="X715" s="786"/>
      <c r="Y715" s="787"/>
      <c r="Z715" s="787"/>
      <c r="AA715" s="787"/>
      <c r="AB715" s="786"/>
      <c r="AC715" s="787"/>
      <c r="AD715" s="787"/>
      <c r="AE715" s="787"/>
      <c r="AF715" s="786"/>
      <c r="AG715" s="787"/>
      <c r="AH715" s="787"/>
      <c r="AI715" s="787"/>
      <c r="AJ715" s="786"/>
      <c r="AK715" s="787"/>
      <c r="AL715" s="787"/>
      <c r="AM715" s="787"/>
      <c r="AN715" s="786"/>
      <c r="AO715" s="787"/>
      <c r="AP715" s="787"/>
      <c r="AQ715" s="787"/>
      <c r="AR715" s="786"/>
      <c r="AS715" s="787"/>
      <c r="AT715" s="787"/>
      <c r="AU715" s="787"/>
      <c r="AV715" s="786"/>
      <c r="AW715" s="787"/>
      <c r="AX715" s="787"/>
      <c r="AY715" s="787"/>
      <c r="AZ715" s="780"/>
      <c r="BA715" s="780"/>
      <c r="BB715" s="780"/>
      <c r="BC715" s="780"/>
      <c r="BD715" s="541"/>
      <c r="BE715" s="541"/>
      <c r="BF715" s="541"/>
      <c r="BG715" s="541"/>
      <c r="BH715" s="780"/>
      <c r="BI715" s="780"/>
      <c r="BJ715" s="780"/>
      <c r="BK715" s="780"/>
      <c r="BL715" s="780"/>
      <c r="BM715" s="780"/>
    </row>
    <row r="716" ht="12.75" customHeight="1">
      <c r="A716" s="521"/>
      <c r="B716" s="521"/>
      <c r="C716" s="515"/>
      <c r="D716" s="515"/>
      <c r="E716" s="515"/>
      <c r="F716" s="515"/>
      <c r="G716" s="515"/>
      <c r="H716" s="515"/>
      <c r="I716" s="515"/>
      <c r="J716" s="515"/>
      <c r="K716" s="515"/>
      <c r="L716" s="515"/>
      <c r="M716" s="515"/>
      <c r="N716" s="515"/>
      <c r="O716" s="533"/>
      <c r="P716" s="786"/>
      <c r="Q716" s="787"/>
      <c r="R716" s="787"/>
      <c r="S716" s="787"/>
      <c r="T716" s="786"/>
      <c r="U716" s="787"/>
      <c r="V716" s="787"/>
      <c r="W716" s="787"/>
      <c r="X716" s="786"/>
      <c r="Y716" s="787"/>
      <c r="Z716" s="787"/>
      <c r="AA716" s="787"/>
      <c r="AB716" s="786"/>
      <c r="AC716" s="787"/>
      <c r="AD716" s="787"/>
      <c r="AE716" s="787"/>
      <c r="AF716" s="786"/>
      <c r="AG716" s="787"/>
      <c r="AH716" s="787"/>
      <c r="AI716" s="787"/>
      <c r="AJ716" s="786"/>
      <c r="AK716" s="787"/>
      <c r="AL716" s="787"/>
      <c r="AM716" s="787"/>
      <c r="AN716" s="786"/>
      <c r="AO716" s="787"/>
      <c r="AP716" s="787"/>
      <c r="AQ716" s="787"/>
      <c r="AR716" s="786"/>
      <c r="AS716" s="787"/>
      <c r="AT716" s="787"/>
      <c r="AU716" s="787"/>
      <c r="AV716" s="786"/>
      <c r="AW716" s="787"/>
      <c r="AX716" s="787"/>
      <c r="AY716" s="787"/>
      <c r="AZ716" s="780"/>
      <c r="BA716" s="780"/>
      <c r="BB716" s="780"/>
      <c r="BC716" s="780"/>
      <c r="BD716" s="541"/>
      <c r="BE716" s="541"/>
      <c r="BF716" s="541"/>
      <c r="BG716" s="541"/>
      <c r="BH716" s="780"/>
      <c r="BI716" s="780"/>
      <c r="BJ716" s="780"/>
      <c r="BK716" s="780"/>
      <c r="BL716" s="780"/>
      <c r="BM716" s="780"/>
    </row>
    <row r="717" ht="12.75" customHeight="1">
      <c r="A717" s="521"/>
      <c r="B717" s="521"/>
      <c r="C717" s="515"/>
      <c r="D717" s="515"/>
      <c r="E717" s="515"/>
      <c r="F717" s="515"/>
      <c r="G717" s="515"/>
      <c r="H717" s="515"/>
      <c r="I717" s="515"/>
      <c r="J717" s="515"/>
      <c r="K717" s="515"/>
      <c r="L717" s="515"/>
      <c r="M717" s="515"/>
      <c r="N717" s="515"/>
      <c r="O717" s="533"/>
      <c r="P717" s="786"/>
      <c r="Q717" s="787"/>
      <c r="R717" s="787"/>
      <c r="S717" s="787"/>
      <c r="T717" s="786"/>
      <c r="U717" s="787"/>
      <c r="V717" s="787"/>
      <c r="W717" s="787"/>
      <c r="X717" s="786"/>
      <c r="Y717" s="787"/>
      <c r="Z717" s="787"/>
      <c r="AA717" s="787"/>
      <c r="AB717" s="786"/>
      <c r="AC717" s="787"/>
      <c r="AD717" s="787"/>
      <c r="AE717" s="787"/>
      <c r="AF717" s="786"/>
      <c r="AG717" s="787"/>
      <c r="AH717" s="787"/>
      <c r="AI717" s="787"/>
      <c r="AJ717" s="786"/>
      <c r="AK717" s="787"/>
      <c r="AL717" s="787"/>
      <c r="AM717" s="787"/>
      <c r="AN717" s="786"/>
      <c r="AO717" s="787"/>
      <c r="AP717" s="787"/>
      <c r="AQ717" s="787"/>
      <c r="AR717" s="786"/>
      <c r="AS717" s="787"/>
      <c r="AT717" s="787"/>
      <c r="AU717" s="787"/>
      <c r="AV717" s="786"/>
      <c r="AW717" s="787"/>
      <c r="AX717" s="787"/>
      <c r="AY717" s="787"/>
      <c r="AZ717" s="780"/>
      <c r="BA717" s="780"/>
      <c r="BB717" s="780"/>
      <c r="BC717" s="780"/>
      <c r="BD717" s="541"/>
      <c r="BE717" s="541"/>
      <c r="BF717" s="541"/>
      <c r="BG717" s="541"/>
      <c r="BH717" s="780"/>
      <c r="BI717" s="780"/>
      <c r="BJ717" s="780"/>
      <c r="BK717" s="780"/>
      <c r="BL717" s="780"/>
      <c r="BM717" s="780"/>
    </row>
    <row r="718" ht="12.75" customHeight="1">
      <c r="A718" s="521"/>
      <c r="B718" s="521"/>
      <c r="C718" s="515"/>
      <c r="D718" s="515"/>
      <c r="E718" s="515"/>
      <c r="F718" s="515"/>
      <c r="G718" s="515"/>
      <c r="H718" s="515"/>
      <c r="I718" s="515"/>
      <c r="J718" s="515"/>
      <c r="K718" s="515"/>
      <c r="L718" s="515"/>
      <c r="M718" s="515"/>
      <c r="N718" s="515"/>
      <c r="O718" s="533"/>
      <c r="P718" s="786"/>
      <c r="Q718" s="787"/>
      <c r="R718" s="787"/>
      <c r="S718" s="787"/>
      <c r="T718" s="786"/>
      <c r="U718" s="787"/>
      <c r="V718" s="787"/>
      <c r="W718" s="787"/>
      <c r="X718" s="786"/>
      <c r="Y718" s="787"/>
      <c r="Z718" s="787"/>
      <c r="AA718" s="787"/>
      <c r="AB718" s="786"/>
      <c r="AC718" s="787"/>
      <c r="AD718" s="787"/>
      <c r="AE718" s="787"/>
      <c r="AF718" s="786"/>
      <c r="AG718" s="787"/>
      <c r="AH718" s="787"/>
      <c r="AI718" s="787"/>
      <c r="AJ718" s="786"/>
      <c r="AK718" s="787"/>
      <c r="AL718" s="787"/>
      <c r="AM718" s="787"/>
      <c r="AN718" s="786"/>
      <c r="AO718" s="787"/>
      <c r="AP718" s="787"/>
      <c r="AQ718" s="787"/>
      <c r="AR718" s="786"/>
      <c r="AS718" s="787"/>
      <c r="AT718" s="787"/>
      <c r="AU718" s="787"/>
      <c r="AV718" s="786"/>
      <c r="AW718" s="787"/>
      <c r="AX718" s="787"/>
      <c r="AY718" s="787"/>
      <c r="AZ718" s="780"/>
      <c r="BA718" s="780"/>
      <c r="BB718" s="780"/>
      <c r="BC718" s="780"/>
      <c r="BD718" s="541"/>
      <c r="BE718" s="541"/>
      <c r="BF718" s="541"/>
      <c r="BG718" s="541"/>
      <c r="BH718" s="780"/>
      <c r="BI718" s="780"/>
      <c r="BJ718" s="780"/>
      <c r="BK718" s="780"/>
      <c r="BL718" s="780"/>
      <c r="BM718" s="780"/>
    </row>
    <row r="719" ht="12.75" customHeight="1">
      <c r="A719" s="521"/>
      <c r="B719" s="521"/>
      <c r="C719" s="515"/>
      <c r="D719" s="515"/>
      <c r="E719" s="515"/>
      <c r="F719" s="515"/>
      <c r="G719" s="515"/>
      <c r="H719" s="515"/>
      <c r="I719" s="515"/>
      <c r="J719" s="515"/>
      <c r="K719" s="515"/>
      <c r="L719" s="515"/>
      <c r="M719" s="515"/>
      <c r="N719" s="515"/>
      <c r="O719" s="533"/>
      <c r="P719" s="786"/>
      <c r="Q719" s="787"/>
      <c r="R719" s="787"/>
      <c r="S719" s="787"/>
      <c r="T719" s="786"/>
      <c r="U719" s="787"/>
      <c r="V719" s="787"/>
      <c r="W719" s="787"/>
      <c r="X719" s="786"/>
      <c r="Y719" s="787"/>
      <c r="Z719" s="787"/>
      <c r="AA719" s="787"/>
      <c r="AB719" s="786"/>
      <c r="AC719" s="787"/>
      <c r="AD719" s="787"/>
      <c r="AE719" s="787"/>
      <c r="AF719" s="786"/>
      <c r="AG719" s="787"/>
      <c r="AH719" s="787"/>
      <c r="AI719" s="787"/>
      <c r="AJ719" s="786"/>
      <c r="AK719" s="787"/>
      <c r="AL719" s="787"/>
      <c r="AM719" s="787"/>
      <c r="AN719" s="786"/>
      <c r="AO719" s="787"/>
      <c r="AP719" s="787"/>
      <c r="AQ719" s="787"/>
      <c r="AR719" s="786"/>
      <c r="AS719" s="787"/>
      <c r="AT719" s="787"/>
      <c r="AU719" s="787"/>
      <c r="AV719" s="786"/>
      <c r="AW719" s="787"/>
      <c r="AX719" s="787"/>
      <c r="AY719" s="787"/>
      <c r="AZ719" s="780"/>
      <c r="BA719" s="780"/>
      <c r="BB719" s="780"/>
      <c r="BC719" s="780"/>
      <c r="BD719" s="541"/>
      <c r="BE719" s="541"/>
      <c r="BF719" s="541"/>
      <c r="BG719" s="541"/>
      <c r="BH719" s="780"/>
      <c r="BI719" s="780"/>
      <c r="BJ719" s="780"/>
      <c r="BK719" s="780"/>
      <c r="BL719" s="780"/>
      <c r="BM719" s="780"/>
    </row>
    <row r="720" ht="12.75" customHeight="1">
      <c r="A720" s="521"/>
      <c r="B720" s="521"/>
      <c r="C720" s="515"/>
      <c r="D720" s="515"/>
      <c r="E720" s="515"/>
      <c r="F720" s="515"/>
      <c r="G720" s="515"/>
      <c r="H720" s="515"/>
      <c r="I720" s="515"/>
      <c r="J720" s="515"/>
      <c r="K720" s="515"/>
      <c r="L720" s="515"/>
      <c r="M720" s="515"/>
      <c r="N720" s="515"/>
      <c r="O720" s="533"/>
      <c r="P720" s="786"/>
      <c r="Q720" s="787"/>
      <c r="R720" s="787"/>
      <c r="S720" s="787"/>
      <c r="T720" s="786"/>
      <c r="U720" s="787"/>
      <c r="V720" s="787"/>
      <c r="W720" s="787"/>
      <c r="X720" s="786"/>
      <c r="Y720" s="787"/>
      <c r="Z720" s="787"/>
      <c r="AA720" s="787"/>
      <c r="AB720" s="786"/>
      <c r="AC720" s="787"/>
      <c r="AD720" s="787"/>
      <c r="AE720" s="787"/>
      <c r="AF720" s="786"/>
      <c r="AG720" s="787"/>
      <c r="AH720" s="787"/>
      <c r="AI720" s="787"/>
      <c r="AJ720" s="786"/>
      <c r="AK720" s="787"/>
      <c r="AL720" s="787"/>
      <c r="AM720" s="787"/>
      <c r="AN720" s="786"/>
      <c r="AO720" s="787"/>
      <c r="AP720" s="787"/>
      <c r="AQ720" s="787"/>
      <c r="AR720" s="786"/>
      <c r="AS720" s="787"/>
      <c r="AT720" s="787"/>
      <c r="AU720" s="787"/>
      <c r="AV720" s="786"/>
      <c r="AW720" s="787"/>
      <c r="AX720" s="787"/>
      <c r="AY720" s="787"/>
      <c r="AZ720" s="780"/>
      <c r="BA720" s="780"/>
      <c r="BB720" s="780"/>
      <c r="BC720" s="780"/>
      <c r="BD720" s="541"/>
      <c r="BE720" s="541"/>
      <c r="BF720" s="541"/>
      <c r="BG720" s="541"/>
      <c r="BH720" s="780"/>
      <c r="BI720" s="780"/>
      <c r="BJ720" s="780"/>
      <c r="BK720" s="780"/>
      <c r="BL720" s="780"/>
      <c r="BM720" s="780"/>
    </row>
    <row r="721" ht="12.75" customHeight="1">
      <c r="A721" s="521"/>
      <c r="B721" s="521"/>
      <c r="C721" s="515"/>
      <c r="D721" s="515"/>
      <c r="E721" s="515"/>
      <c r="F721" s="515"/>
      <c r="G721" s="515"/>
      <c r="H721" s="515"/>
      <c r="I721" s="515"/>
      <c r="J721" s="515"/>
      <c r="K721" s="515"/>
      <c r="L721" s="515"/>
      <c r="M721" s="515"/>
      <c r="N721" s="515"/>
      <c r="O721" s="533"/>
      <c r="P721" s="786"/>
      <c r="Q721" s="787"/>
      <c r="R721" s="787"/>
      <c r="S721" s="787"/>
      <c r="T721" s="786"/>
      <c r="U721" s="787"/>
      <c r="V721" s="787"/>
      <c r="W721" s="787"/>
      <c r="X721" s="786"/>
      <c r="Y721" s="787"/>
      <c r="Z721" s="787"/>
      <c r="AA721" s="787"/>
      <c r="AB721" s="786"/>
      <c r="AC721" s="787"/>
      <c r="AD721" s="787"/>
      <c r="AE721" s="787"/>
      <c r="AF721" s="786"/>
      <c r="AG721" s="787"/>
      <c r="AH721" s="787"/>
      <c r="AI721" s="787"/>
      <c r="AJ721" s="786"/>
      <c r="AK721" s="787"/>
      <c r="AL721" s="787"/>
      <c r="AM721" s="787"/>
      <c r="AN721" s="786"/>
      <c r="AO721" s="787"/>
      <c r="AP721" s="787"/>
      <c r="AQ721" s="787"/>
      <c r="AR721" s="786"/>
      <c r="AS721" s="787"/>
      <c r="AT721" s="787"/>
      <c r="AU721" s="787"/>
      <c r="AV721" s="786"/>
      <c r="AW721" s="787"/>
      <c r="AX721" s="787"/>
      <c r="AY721" s="787"/>
      <c r="AZ721" s="780"/>
      <c r="BA721" s="780"/>
      <c r="BB721" s="780"/>
      <c r="BC721" s="780"/>
      <c r="BD721" s="541"/>
      <c r="BE721" s="541"/>
      <c r="BF721" s="541"/>
      <c r="BG721" s="541"/>
      <c r="BH721" s="780"/>
      <c r="BI721" s="780"/>
      <c r="BJ721" s="780"/>
      <c r="BK721" s="780"/>
      <c r="BL721" s="780"/>
      <c r="BM721" s="780"/>
    </row>
    <row r="722" ht="12.75" customHeight="1">
      <c r="A722" s="521"/>
      <c r="B722" s="521"/>
      <c r="C722" s="515"/>
      <c r="D722" s="515"/>
      <c r="E722" s="515"/>
      <c r="F722" s="515"/>
      <c r="G722" s="515"/>
      <c r="H722" s="515"/>
      <c r="I722" s="515"/>
      <c r="J722" s="515"/>
      <c r="K722" s="515"/>
      <c r="L722" s="515"/>
      <c r="M722" s="515"/>
      <c r="N722" s="515"/>
      <c r="O722" s="533"/>
      <c r="P722" s="786"/>
      <c r="Q722" s="787"/>
      <c r="R722" s="787"/>
      <c r="S722" s="787"/>
      <c r="T722" s="786"/>
      <c r="U722" s="787"/>
      <c r="V722" s="787"/>
      <c r="W722" s="787"/>
      <c r="X722" s="786"/>
      <c r="Y722" s="787"/>
      <c r="Z722" s="787"/>
      <c r="AA722" s="787"/>
      <c r="AB722" s="786"/>
      <c r="AC722" s="787"/>
      <c r="AD722" s="787"/>
      <c r="AE722" s="787"/>
      <c r="AF722" s="786"/>
      <c r="AG722" s="787"/>
      <c r="AH722" s="787"/>
      <c r="AI722" s="787"/>
      <c r="AJ722" s="786"/>
      <c r="AK722" s="787"/>
      <c r="AL722" s="787"/>
      <c r="AM722" s="787"/>
      <c r="AN722" s="786"/>
      <c r="AO722" s="787"/>
      <c r="AP722" s="787"/>
      <c r="AQ722" s="787"/>
      <c r="AR722" s="786"/>
      <c r="AS722" s="787"/>
      <c r="AT722" s="787"/>
      <c r="AU722" s="787"/>
      <c r="AV722" s="786"/>
      <c r="AW722" s="787"/>
      <c r="AX722" s="787"/>
      <c r="AY722" s="787"/>
      <c r="AZ722" s="780"/>
      <c r="BA722" s="780"/>
      <c r="BB722" s="780"/>
      <c r="BC722" s="780"/>
      <c r="BD722" s="541"/>
      <c r="BE722" s="541"/>
      <c r="BF722" s="541"/>
      <c r="BG722" s="541"/>
      <c r="BH722" s="780"/>
      <c r="BI722" s="780"/>
      <c r="BJ722" s="780"/>
      <c r="BK722" s="780"/>
      <c r="BL722" s="780"/>
      <c r="BM722" s="780"/>
    </row>
    <row r="723" ht="12.75" customHeight="1">
      <c r="A723" s="521"/>
      <c r="B723" s="521"/>
      <c r="C723" s="515"/>
      <c r="D723" s="515"/>
      <c r="E723" s="515"/>
      <c r="F723" s="515"/>
      <c r="G723" s="515"/>
      <c r="H723" s="515"/>
      <c r="I723" s="515"/>
      <c r="J723" s="515"/>
      <c r="K723" s="515"/>
      <c r="L723" s="515"/>
      <c r="M723" s="515"/>
      <c r="N723" s="515"/>
      <c r="O723" s="533"/>
      <c r="P723" s="786"/>
      <c r="Q723" s="787"/>
      <c r="R723" s="787"/>
      <c r="S723" s="787"/>
      <c r="T723" s="786"/>
      <c r="U723" s="787"/>
      <c r="V723" s="787"/>
      <c r="W723" s="787"/>
      <c r="X723" s="786"/>
      <c r="Y723" s="787"/>
      <c r="Z723" s="787"/>
      <c r="AA723" s="787"/>
      <c r="AB723" s="786"/>
      <c r="AC723" s="787"/>
      <c r="AD723" s="787"/>
      <c r="AE723" s="787"/>
      <c r="AF723" s="786"/>
      <c r="AG723" s="787"/>
      <c r="AH723" s="787"/>
      <c r="AI723" s="787"/>
      <c r="AJ723" s="786"/>
      <c r="AK723" s="787"/>
      <c r="AL723" s="787"/>
      <c r="AM723" s="787"/>
      <c r="AN723" s="786"/>
      <c r="AO723" s="787"/>
      <c r="AP723" s="787"/>
      <c r="AQ723" s="787"/>
      <c r="AR723" s="786"/>
      <c r="AS723" s="787"/>
      <c r="AT723" s="787"/>
      <c r="AU723" s="787"/>
      <c r="AV723" s="786"/>
      <c r="AW723" s="787"/>
      <c r="AX723" s="787"/>
      <c r="AY723" s="787"/>
      <c r="AZ723" s="780"/>
      <c r="BA723" s="780"/>
      <c r="BB723" s="780"/>
      <c r="BC723" s="780"/>
      <c r="BD723" s="541"/>
      <c r="BE723" s="541"/>
      <c r="BF723" s="541"/>
      <c r="BG723" s="541"/>
      <c r="BH723" s="780"/>
      <c r="BI723" s="780"/>
      <c r="BJ723" s="780"/>
      <c r="BK723" s="780"/>
      <c r="BL723" s="780"/>
      <c r="BM723" s="780"/>
    </row>
    <row r="724" ht="12.75" customHeight="1">
      <c r="A724" s="521"/>
      <c r="B724" s="521"/>
      <c r="C724" s="515"/>
      <c r="D724" s="515"/>
      <c r="E724" s="515"/>
      <c r="F724" s="515"/>
      <c r="G724" s="515"/>
      <c r="H724" s="515"/>
      <c r="I724" s="515"/>
      <c r="J724" s="515"/>
      <c r="K724" s="515"/>
      <c r="L724" s="515"/>
      <c r="M724" s="515"/>
      <c r="N724" s="515"/>
      <c r="O724" s="533"/>
      <c r="P724" s="786"/>
      <c r="Q724" s="787"/>
      <c r="R724" s="787"/>
      <c r="S724" s="787"/>
      <c r="T724" s="786"/>
      <c r="U724" s="787"/>
      <c r="V724" s="787"/>
      <c r="W724" s="787"/>
      <c r="X724" s="786"/>
      <c r="Y724" s="787"/>
      <c r="Z724" s="787"/>
      <c r="AA724" s="787"/>
      <c r="AB724" s="786"/>
      <c r="AC724" s="787"/>
      <c r="AD724" s="787"/>
      <c r="AE724" s="787"/>
      <c r="AF724" s="786"/>
      <c r="AG724" s="787"/>
      <c r="AH724" s="787"/>
      <c r="AI724" s="787"/>
      <c r="AJ724" s="786"/>
      <c r="AK724" s="787"/>
      <c r="AL724" s="787"/>
      <c r="AM724" s="787"/>
      <c r="AN724" s="786"/>
      <c r="AO724" s="787"/>
      <c r="AP724" s="787"/>
      <c r="AQ724" s="787"/>
      <c r="AR724" s="786"/>
      <c r="AS724" s="787"/>
      <c r="AT724" s="787"/>
      <c r="AU724" s="787"/>
      <c r="AV724" s="786"/>
      <c r="AW724" s="787"/>
      <c r="AX724" s="787"/>
      <c r="AY724" s="787"/>
      <c r="AZ724" s="780"/>
      <c r="BA724" s="780"/>
      <c r="BB724" s="780"/>
      <c r="BC724" s="780"/>
      <c r="BD724" s="541"/>
      <c r="BE724" s="541"/>
      <c r="BF724" s="541"/>
      <c r="BG724" s="541"/>
      <c r="BH724" s="780"/>
      <c r="BI724" s="780"/>
      <c r="BJ724" s="780"/>
      <c r="BK724" s="780"/>
      <c r="BL724" s="780"/>
      <c r="BM724" s="780"/>
    </row>
    <row r="725" ht="12.75" customHeight="1">
      <c r="A725" s="521"/>
      <c r="B725" s="521"/>
      <c r="C725" s="515"/>
      <c r="D725" s="515"/>
      <c r="E725" s="515"/>
      <c r="F725" s="515"/>
      <c r="G725" s="515"/>
      <c r="H725" s="515"/>
      <c r="I725" s="515"/>
      <c r="J725" s="515"/>
      <c r="K725" s="515"/>
      <c r="L725" s="515"/>
      <c r="M725" s="515"/>
      <c r="N725" s="515"/>
      <c r="O725" s="533"/>
      <c r="P725" s="786"/>
      <c r="Q725" s="787"/>
      <c r="R725" s="787"/>
      <c r="S725" s="787"/>
      <c r="T725" s="786"/>
      <c r="U725" s="787"/>
      <c r="V725" s="787"/>
      <c r="W725" s="787"/>
      <c r="X725" s="786"/>
      <c r="Y725" s="787"/>
      <c r="Z725" s="787"/>
      <c r="AA725" s="787"/>
      <c r="AB725" s="786"/>
      <c r="AC725" s="787"/>
      <c r="AD725" s="787"/>
      <c r="AE725" s="787"/>
      <c r="AF725" s="786"/>
      <c r="AG725" s="787"/>
      <c r="AH725" s="787"/>
      <c r="AI725" s="787"/>
      <c r="AJ725" s="786"/>
      <c r="AK725" s="787"/>
      <c r="AL725" s="787"/>
      <c r="AM725" s="787"/>
      <c r="AN725" s="786"/>
      <c r="AO725" s="787"/>
      <c r="AP725" s="787"/>
      <c r="AQ725" s="787"/>
      <c r="AR725" s="786"/>
      <c r="AS725" s="787"/>
      <c r="AT725" s="787"/>
      <c r="AU725" s="787"/>
      <c r="AV725" s="786"/>
      <c r="AW725" s="787"/>
      <c r="AX725" s="787"/>
      <c r="AY725" s="787"/>
      <c r="AZ725" s="780"/>
      <c r="BA725" s="780"/>
      <c r="BB725" s="780"/>
      <c r="BC725" s="780"/>
      <c r="BD725" s="541"/>
      <c r="BE725" s="541"/>
      <c r="BF725" s="541"/>
      <c r="BG725" s="541"/>
      <c r="BH725" s="780"/>
      <c r="BI725" s="780"/>
      <c r="BJ725" s="780"/>
      <c r="BK725" s="780"/>
      <c r="BL725" s="780"/>
      <c r="BM725" s="780"/>
    </row>
    <row r="726" ht="12.75" customHeight="1">
      <c r="A726" s="521"/>
      <c r="B726" s="521"/>
      <c r="C726" s="515"/>
      <c r="D726" s="515"/>
      <c r="E726" s="515"/>
      <c r="F726" s="515"/>
      <c r="G726" s="515"/>
      <c r="H726" s="515"/>
      <c r="I726" s="515"/>
      <c r="J726" s="515"/>
      <c r="K726" s="515"/>
      <c r="L726" s="515"/>
      <c r="M726" s="515"/>
      <c r="N726" s="515"/>
      <c r="O726" s="533"/>
      <c r="P726" s="786"/>
      <c r="Q726" s="787"/>
      <c r="R726" s="787"/>
      <c r="S726" s="787"/>
      <c r="T726" s="786"/>
      <c r="U726" s="787"/>
      <c r="V726" s="787"/>
      <c r="W726" s="787"/>
      <c r="X726" s="786"/>
      <c r="Y726" s="787"/>
      <c r="Z726" s="787"/>
      <c r="AA726" s="787"/>
      <c r="AB726" s="786"/>
      <c r="AC726" s="787"/>
      <c r="AD726" s="787"/>
      <c r="AE726" s="787"/>
      <c r="AF726" s="786"/>
      <c r="AG726" s="787"/>
      <c r="AH726" s="787"/>
      <c r="AI726" s="787"/>
      <c r="AJ726" s="786"/>
      <c r="AK726" s="787"/>
      <c r="AL726" s="787"/>
      <c r="AM726" s="787"/>
      <c r="AN726" s="786"/>
      <c r="AO726" s="787"/>
      <c r="AP726" s="787"/>
      <c r="AQ726" s="787"/>
      <c r="AR726" s="786"/>
      <c r="AS726" s="787"/>
      <c r="AT726" s="787"/>
      <c r="AU726" s="787"/>
      <c r="AV726" s="786"/>
      <c r="AW726" s="787"/>
      <c r="AX726" s="787"/>
      <c r="AY726" s="787"/>
      <c r="AZ726" s="780"/>
      <c r="BA726" s="780"/>
      <c r="BB726" s="780"/>
      <c r="BC726" s="780"/>
      <c r="BD726" s="541"/>
      <c r="BE726" s="541"/>
      <c r="BF726" s="541"/>
      <c r="BG726" s="541"/>
      <c r="BH726" s="780"/>
      <c r="BI726" s="780"/>
      <c r="BJ726" s="780"/>
      <c r="BK726" s="780"/>
      <c r="BL726" s="780"/>
      <c r="BM726" s="780"/>
    </row>
    <row r="727" ht="12.75" customHeight="1">
      <c r="A727" s="521"/>
      <c r="B727" s="521"/>
      <c r="C727" s="515"/>
      <c r="D727" s="515"/>
      <c r="E727" s="515"/>
      <c r="F727" s="515"/>
      <c r="G727" s="515"/>
      <c r="H727" s="515"/>
      <c r="I727" s="515"/>
      <c r="J727" s="515"/>
      <c r="K727" s="515"/>
      <c r="L727" s="515"/>
      <c r="M727" s="515"/>
      <c r="N727" s="515"/>
      <c r="O727" s="533"/>
      <c r="P727" s="786"/>
      <c r="Q727" s="787"/>
      <c r="R727" s="787"/>
      <c r="S727" s="787"/>
      <c r="T727" s="786"/>
      <c r="U727" s="787"/>
      <c r="V727" s="787"/>
      <c r="W727" s="787"/>
      <c r="X727" s="786"/>
      <c r="Y727" s="787"/>
      <c r="Z727" s="787"/>
      <c r="AA727" s="787"/>
      <c r="AB727" s="786"/>
      <c r="AC727" s="787"/>
      <c r="AD727" s="787"/>
      <c r="AE727" s="787"/>
      <c r="AF727" s="786"/>
      <c r="AG727" s="787"/>
      <c r="AH727" s="787"/>
      <c r="AI727" s="787"/>
      <c r="AJ727" s="786"/>
      <c r="AK727" s="787"/>
      <c r="AL727" s="787"/>
      <c r="AM727" s="787"/>
      <c r="AN727" s="786"/>
      <c r="AO727" s="787"/>
      <c r="AP727" s="787"/>
      <c r="AQ727" s="787"/>
      <c r="AR727" s="786"/>
      <c r="AS727" s="787"/>
      <c r="AT727" s="787"/>
      <c r="AU727" s="787"/>
      <c r="AV727" s="786"/>
      <c r="AW727" s="787"/>
      <c r="AX727" s="787"/>
      <c r="AY727" s="787"/>
      <c r="AZ727" s="780"/>
      <c r="BA727" s="780"/>
      <c r="BB727" s="780"/>
      <c r="BC727" s="780"/>
      <c r="BD727" s="541"/>
      <c r="BE727" s="541"/>
      <c r="BF727" s="541"/>
      <c r="BG727" s="541"/>
      <c r="BH727" s="780"/>
      <c r="BI727" s="780"/>
      <c r="BJ727" s="780"/>
      <c r="BK727" s="780"/>
      <c r="BL727" s="780"/>
      <c r="BM727" s="780"/>
    </row>
    <row r="728" ht="12.75" customHeight="1">
      <c r="A728" s="521"/>
      <c r="B728" s="521"/>
      <c r="C728" s="515"/>
      <c r="D728" s="515"/>
      <c r="E728" s="515"/>
      <c r="F728" s="515"/>
      <c r="G728" s="515"/>
      <c r="H728" s="515"/>
      <c r="I728" s="515"/>
      <c r="J728" s="515"/>
      <c r="K728" s="515"/>
      <c r="L728" s="515"/>
      <c r="M728" s="515"/>
      <c r="N728" s="515"/>
      <c r="O728" s="533"/>
      <c r="P728" s="786"/>
      <c r="Q728" s="787"/>
      <c r="R728" s="787"/>
      <c r="S728" s="787"/>
      <c r="T728" s="786"/>
      <c r="U728" s="787"/>
      <c r="V728" s="787"/>
      <c r="W728" s="787"/>
      <c r="X728" s="786"/>
      <c r="Y728" s="787"/>
      <c r="Z728" s="787"/>
      <c r="AA728" s="787"/>
      <c r="AB728" s="786"/>
      <c r="AC728" s="787"/>
      <c r="AD728" s="787"/>
      <c r="AE728" s="787"/>
      <c r="AF728" s="786"/>
      <c r="AG728" s="787"/>
      <c r="AH728" s="787"/>
      <c r="AI728" s="787"/>
      <c r="AJ728" s="786"/>
      <c r="AK728" s="787"/>
      <c r="AL728" s="787"/>
      <c r="AM728" s="787"/>
      <c r="AN728" s="786"/>
      <c r="AO728" s="787"/>
      <c r="AP728" s="787"/>
      <c r="AQ728" s="787"/>
      <c r="AR728" s="786"/>
      <c r="AS728" s="787"/>
      <c r="AT728" s="787"/>
      <c r="AU728" s="787"/>
      <c r="AV728" s="786"/>
      <c r="AW728" s="787"/>
      <c r="AX728" s="787"/>
      <c r="AY728" s="787"/>
      <c r="AZ728" s="780"/>
      <c r="BA728" s="780"/>
      <c r="BB728" s="780"/>
      <c r="BC728" s="780"/>
      <c r="BD728" s="541"/>
      <c r="BE728" s="541"/>
      <c r="BF728" s="541"/>
      <c r="BG728" s="541"/>
      <c r="BH728" s="780"/>
      <c r="BI728" s="780"/>
      <c r="BJ728" s="780"/>
      <c r="BK728" s="780"/>
      <c r="BL728" s="780"/>
      <c r="BM728" s="780"/>
    </row>
    <row r="729" ht="12.75" customHeight="1">
      <c r="A729" s="521"/>
      <c r="B729" s="521"/>
      <c r="C729" s="515"/>
      <c r="D729" s="515"/>
      <c r="E729" s="515"/>
      <c r="F729" s="515"/>
      <c r="G729" s="515"/>
      <c r="H729" s="515"/>
      <c r="I729" s="515"/>
      <c r="J729" s="515"/>
      <c r="K729" s="515"/>
      <c r="L729" s="515"/>
      <c r="M729" s="515"/>
      <c r="N729" s="515"/>
      <c r="O729" s="533"/>
      <c r="P729" s="786"/>
      <c r="Q729" s="787"/>
      <c r="R729" s="787"/>
      <c r="S729" s="787"/>
      <c r="T729" s="786"/>
      <c r="U729" s="787"/>
      <c r="V729" s="787"/>
      <c r="W729" s="787"/>
      <c r="X729" s="786"/>
      <c r="Y729" s="787"/>
      <c r="Z729" s="787"/>
      <c r="AA729" s="787"/>
      <c r="AB729" s="786"/>
      <c r="AC729" s="787"/>
      <c r="AD729" s="787"/>
      <c r="AE729" s="787"/>
      <c r="AF729" s="786"/>
      <c r="AG729" s="787"/>
      <c r="AH729" s="787"/>
      <c r="AI729" s="787"/>
      <c r="AJ729" s="786"/>
      <c r="AK729" s="787"/>
      <c r="AL729" s="787"/>
      <c r="AM729" s="787"/>
      <c r="AN729" s="786"/>
      <c r="AO729" s="787"/>
      <c r="AP729" s="787"/>
      <c r="AQ729" s="787"/>
      <c r="AR729" s="786"/>
      <c r="AS729" s="787"/>
      <c r="AT729" s="787"/>
      <c r="AU729" s="787"/>
      <c r="AV729" s="786"/>
      <c r="AW729" s="787"/>
      <c r="AX729" s="787"/>
      <c r="AY729" s="787"/>
      <c r="AZ729" s="780"/>
      <c r="BA729" s="780"/>
      <c r="BB729" s="780"/>
      <c r="BC729" s="780"/>
      <c r="BD729" s="541"/>
      <c r="BE729" s="541"/>
      <c r="BF729" s="541"/>
      <c r="BG729" s="541"/>
      <c r="BH729" s="780"/>
      <c r="BI729" s="780"/>
      <c r="BJ729" s="780"/>
      <c r="BK729" s="780"/>
      <c r="BL729" s="780"/>
      <c r="BM729" s="780"/>
    </row>
    <row r="730" ht="12.75" customHeight="1">
      <c r="A730" s="521"/>
      <c r="B730" s="521"/>
      <c r="C730" s="515"/>
      <c r="D730" s="515"/>
      <c r="E730" s="515"/>
      <c r="F730" s="515"/>
      <c r="G730" s="515"/>
      <c r="H730" s="515"/>
      <c r="I730" s="515"/>
      <c r="J730" s="515"/>
      <c r="K730" s="515"/>
      <c r="L730" s="515"/>
      <c r="M730" s="515"/>
      <c r="N730" s="515"/>
      <c r="O730" s="533"/>
      <c r="P730" s="786"/>
      <c r="Q730" s="787"/>
      <c r="R730" s="787"/>
      <c r="S730" s="787"/>
      <c r="T730" s="786"/>
      <c r="U730" s="787"/>
      <c r="V730" s="787"/>
      <c r="W730" s="787"/>
      <c r="X730" s="786"/>
      <c r="Y730" s="787"/>
      <c r="Z730" s="787"/>
      <c r="AA730" s="787"/>
      <c r="AB730" s="786"/>
      <c r="AC730" s="787"/>
      <c r="AD730" s="787"/>
      <c r="AE730" s="787"/>
      <c r="AF730" s="786"/>
      <c r="AG730" s="787"/>
      <c r="AH730" s="787"/>
      <c r="AI730" s="787"/>
      <c r="AJ730" s="786"/>
      <c r="AK730" s="787"/>
      <c r="AL730" s="787"/>
      <c r="AM730" s="787"/>
      <c r="AN730" s="786"/>
      <c r="AO730" s="787"/>
      <c r="AP730" s="787"/>
      <c r="AQ730" s="787"/>
      <c r="AR730" s="786"/>
      <c r="AS730" s="787"/>
      <c r="AT730" s="787"/>
      <c r="AU730" s="787"/>
      <c r="AV730" s="786"/>
      <c r="AW730" s="787"/>
      <c r="AX730" s="787"/>
      <c r="AY730" s="787"/>
      <c r="AZ730" s="780"/>
      <c r="BA730" s="780"/>
      <c r="BB730" s="780"/>
      <c r="BC730" s="780"/>
      <c r="BD730" s="541"/>
      <c r="BE730" s="541"/>
      <c r="BF730" s="541"/>
      <c r="BG730" s="541"/>
      <c r="BH730" s="780"/>
      <c r="BI730" s="780"/>
      <c r="BJ730" s="780"/>
      <c r="BK730" s="780"/>
      <c r="BL730" s="780"/>
      <c r="BM730" s="780"/>
    </row>
    <row r="731" ht="12.75" customHeight="1">
      <c r="A731" s="521"/>
      <c r="B731" s="521"/>
      <c r="C731" s="515"/>
      <c r="D731" s="515"/>
      <c r="E731" s="515"/>
      <c r="F731" s="515"/>
      <c r="G731" s="515"/>
      <c r="H731" s="515"/>
      <c r="I731" s="515"/>
      <c r="J731" s="515"/>
      <c r="K731" s="515"/>
      <c r="L731" s="515"/>
      <c r="M731" s="515"/>
      <c r="N731" s="515"/>
      <c r="O731" s="533"/>
      <c r="P731" s="786"/>
      <c r="Q731" s="787"/>
      <c r="R731" s="787"/>
      <c r="S731" s="787"/>
      <c r="T731" s="786"/>
      <c r="U731" s="787"/>
      <c r="V731" s="787"/>
      <c r="W731" s="787"/>
      <c r="X731" s="786"/>
      <c r="Y731" s="787"/>
      <c r="Z731" s="787"/>
      <c r="AA731" s="787"/>
      <c r="AB731" s="786"/>
      <c r="AC731" s="787"/>
      <c r="AD731" s="787"/>
      <c r="AE731" s="787"/>
      <c r="AF731" s="786"/>
      <c r="AG731" s="787"/>
      <c r="AH731" s="787"/>
      <c r="AI731" s="787"/>
      <c r="AJ731" s="786"/>
      <c r="AK731" s="787"/>
      <c r="AL731" s="787"/>
      <c r="AM731" s="787"/>
      <c r="AN731" s="786"/>
      <c r="AO731" s="787"/>
      <c r="AP731" s="787"/>
      <c r="AQ731" s="787"/>
      <c r="AR731" s="786"/>
      <c r="AS731" s="787"/>
      <c r="AT731" s="787"/>
      <c r="AU731" s="787"/>
      <c r="AV731" s="786"/>
      <c r="AW731" s="787"/>
      <c r="AX731" s="787"/>
      <c r="AY731" s="787"/>
      <c r="AZ731" s="780"/>
      <c r="BA731" s="780"/>
      <c r="BB731" s="780"/>
      <c r="BC731" s="780"/>
      <c r="BD731" s="541"/>
      <c r="BE731" s="541"/>
      <c r="BF731" s="541"/>
      <c r="BG731" s="541"/>
      <c r="BH731" s="780"/>
      <c r="BI731" s="780"/>
      <c r="BJ731" s="780"/>
      <c r="BK731" s="780"/>
      <c r="BL731" s="780"/>
      <c r="BM731" s="780"/>
    </row>
    <row r="732" ht="12.75" customHeight="1">
      <c r="A732" s="521"/>
      <c r="B732" s="521"/>
      <c r="C732" s="515"/>
      <c r="D732" s="515"/>
      <c r="E732" s="515"/>
      <c r="F732" s="515"/>
      <c r="G732" s="515"/>
      <c r="H732" s="515"/>
      <c r="I732" s="515"/>
      <c r="J732" s="515"/>
      <c r="K732" s="515"/>
      <c r="L732" s="515"/>
      <c r="M732" s="515"/>
      <c r="N732" s="515"/>
      <c r="O732" s="533"/>
      <c r="P732" s="786"/>
      <c r="Q732" s="787"/>
      <c r="R732" s="787"/>
      <c r="S732" s="787"/>
      <c r="T732" s="786"/>
      <c r="U732" s="787"/>
      <c r="V732" s="787"/>
      <c r="W732" s="787"/>
      <c r="X732" s="786"/>
      <c r="Y732" s="787"/>
      <c r="Z732" s="787"/>
      <c r="AA732" s="787"/>
      <c r="AB732" s="786"/>
      <c r="AC732" s="787"/>
      <c r="AD732" s="787"/>
      <c r="AE732" s="787"/>
      <c r="AF732" s="786"/>
      <c r="AG732" s="787"/>
      <c r="AH732" s="787"/>
      <c r="AI732" s="787"/>
      <c r="AJ732" s="786"/>
      <c r="AK732" s="787"/>
      <c r="AL732" s="787"/>
      <c r="AM732" s="787"/>
      <c r="AN732" s="786"/>
      <c r="AO732" s="787"/>
      <c r="AP732" s="787"/>
      <c r="AQ732" s="787"/>
      <c r="AR732" s="786"/>
      <c r="AS732" s="787"/>
      <c r="AT732" s="787"/>
      <c r="AU732" s="787"/>
      <c r="AV732" s="786"/>
      <c r="AW732" s="787"/>
      <c r="AX732" s="787"/>
      <c r="AY732" s="787"/>
      <c r="AZ732" s="780"/>
      <c r="BA732" s="780"/>
      <c r="BB732" s="780"/>
      <c r="BC732" s="780"/>
      <c r="BD732" s="541"/>
      <c r="BE732" s="541"/>
      <c r="BF732" s="541"/>
      <c r="BG732" s="541"/>
      <c r="BH732" s="780"/>
      <c r="BI732" s="780"/>
      <c r="BJ732" s="780"/>
      <c r="BK732" s="780"/>
      <c r="BL732" s="780"/>
      <c r="BM732" s="780"/>
    </row>
    <row r="733" ht="12.75" customHeight="1">
      <c r="A733" s="521"/>
      <c r="B733" s="521"/>
      <c r="C733" s="515"/>
      <c r="D733" s="515"/>
      <c r="E733" s="515"/>
      <c r="F733" s="515"/>
      <c r="G733" s="515"/>
      <c r="H733" s="515"/>
      <c r="I733" s="515"/>
      <c r="J733" s="515"/>
      <c r="K733" s="515"/>
      <c r="L733" s="515"/>
      <c r="M733" s="515"/>
      <c r="N733" s="515"/>
      <c r="O733" s="533"/>
      <c r="P733" s="786"/>
      <c r="Q733" s="787"/>
      <c r="R733" s="787"/>
      <c r="S733" s="787"/>
      <c r="T733" s="786"/>
      <c r="U733" s="787"/>
      <c r="V733" s="787"/>
      <c r="W733" s="787"/>
      <c r="X733" s="786"/>
      <c r="Y733" s="787"/>
      <c r="Z733" s="787"/>
      <c r="AA733" s="787"/>
      <c r="AB733" s="786"/>
      <c r="AC733" s="787"/>
      <c r="AD733" s="787"/>
      <c r="AE733" s="787"/>
      <c r="AF733" s="786"/>
      <c r="AG733" s="787"/>
      <c r="AH733" s="787"/>
      <c r="AI733" s="787"/>
      <c r="AJ733" s="786"/>
      <c r="AK733" s="787"/>
      <c r="AL733" s="787"/>
      <c r="AM733" s="787"/>
      <c r="AN733" s="786"/>
      <c r="AO733" s="787"/>
      <c r="AP733" s="787"/>
      <c r="AQ733" s="787"/>
      <c r="AR733" s="786"/>
      <c r="AS733" s="787"/>
      <c r="AT733" s="787"/>
      <c r="AU733" s="787"/>
      <c r="AV733" s="786"/>
      <c r="AW733" s="787"/>
      <c r="AX733" s="787"/>
      <c r="AY733" s="787"/>
      <c r="AZ733" s="780"/>
      <c r="BA733" s="780"/>
      <c r="BB733" s="780"/>
      <c r="BC733" s="780"/>
      <c r="BD733" s="541"/>
      <c r="BE733" s="541"/>
      <c r="BF733" s="541"/>
      <c r="BG733" s="541"/>
      <c r="BH733" s="780"/>
      <c r="BI733" s="780"/>
      <c r="BJ733" s="780"/>
      <c r="BK733" s="780"/>
      <c r="BL733" s="780"/>
      <c r="BM733" s="780"/>
    </row>
    <row r="734" ht="12.75" customHeight="1">
      <c r="A734" s="521"/>
      <c r="B734" s="521"/>
      <c r="C734" s="515"/>
      <c r="D734" s="515"/>
      <c r="E734" s="515"/>
      <c r="F734" s="515"/>
      <c r="G734" s="515"/>
      <c r="H734" s="515"/>
      <c r="I734" s="515"/>
      <c r="J734" s="515"/>
      <c r="K734" s="515"/>
      <c r="L734" s="515"/>
      <c r="M734" s="515"/>
      <c r="N734" s="515"/>
      <c r="O734" s="533"/>
      <c r="P734" s="786"/>
      <c r="Q734" s="787"/>
      <c r="R734" s="787"/>
      <c r="S734" s="787"/>
      <c r="T734" s="786"/>
      <c r="U734" s="787"/>
      <c r="V734" s="787"/>
      <c r="W734" s="787"/>
      <c r="X734" s="786"/>
      <c r="Y734" s="787"/>
      <c r="Z734" s="787"/>
      <c r="AA734" s="787"/>
      <c r="AB734" s="786"/>
      <c r="AC734" s="787"/>
      <c r="AD734" s="787"/>
      <c r="AE734" s="787"/>
      <c r="AF734" s="786"/>
      <c r="AG734" s="787"/>
      <c r="AH734" s="787"/>
      <c r="AI734" s="787"/>
      <c r="AJ734" s="786"/>
      <c r="AK734" s="787"/>
      <c r="AL734" s="787"/>
      <c r="AM734" s="787"/>
      <c r="AN734" s="786"/>
      <c r="AO734" s="787"/>
      <c r="AP734" s="787"/>
      <c r="AQ734" s="787"/>
      <c r="AR734" s="786"/>
      <c r="AS734" s="787"/>
      <c r="AT734" s="787"/>
      <c r="AU734" s="787"/>
      <c r="AV734" s="786"/>
      <c r="AW734" s="787"/>
      <c r="AX734" s="787"/>
      <c r="AY734" s="787"/>
      <c r="AZ734" s="780"/>
      <c r="BA734" s="780"/>
      <c r="BB734" s="780"/>
      <c r="BC734" s="780"/>
      <c r="BD734" s="541"/>
      <c r="BE734" s="541"/>
      <c r="BF734" s="541"/>
      <c r="BG734" s="541"/>
      <c r="BH734" s="780"/>
      <c r="BI734" s="780"/>
      <c r="BJ734" s="780"/>
      <c r="BK734" s="780"/>
      <c r="BL734" s="780"/>
      <c r="BM734" s="780"/>
    </row>
    <row r="735" ht="12.75" customHeight="1">
      <c r="A735" s="521"/>
      <c r="B735" s="521"/>
      <c r="C735" s="515"/>
      <c r="D735" s="515"/>
      <c r="E735" s="515"/>
      <c r="F735" s="515"/>
      <c r="G735" s="515"/>
      <c r="H735" s="515"/>
      <c r="I735" s="515"/>
      <c r="J735" s="515"/>
      <c r="K735" s="515"/>
      <c r="L735" s="515"/>
      <c r="M735" s="515"/>
      <c r="N735" s="515"/>
      <c r="O735" s="533"/>
      <c r="P735" s="786"/>
      <c r="Q735" s="787"/>
      <c r="R735" s="787"/>
      <c r="S735" s="787"/>
      <c r="T735" s="786"/>
      <c r="U735" s="787"/>
      <c r="V735" s="787"/>
      <c r="W735" s="787"/>
      <c r="X735" s="786"/>
      <c r="Y735" s="787"/>
      <c r="Z735" s="787"/>
      <c r="AA735" s="787"/>
      <c r="AB735" s="786"/>
      <c r="AC735" s="787"/>
      <c r="AD735" s="787"/>
      <c r="AE735" s="787"/>
      <c r="AF735" s="786"/>
      <c r="AG735" s="787"/>
      <c r="AH735" s="787"/>
      <c r="AI735" s="787"/>
      <c r="AJ735" s="786"/>
      <c r="AK735" s="787"/>
      <c r="AL735" s="787"/>
      <c r="AM735" s="787"/>
      <c r="AN735" s="786"/>
      <c r="AO735" s="787"/>
      <c r="AP735" s="787"/>
      <c r="AQ735" s="787"/>
      <c r="AR735" s="786"/>
      <c r="AS735" s="787"/>
      <c r="AT735" s="787"/>
      <c r="AU735" s="787"/>
      <c r="AV735" s="786"/>
      <c r="AW735" s="787"/>
      <c r="AX735" s="787"/>
      <c r="AY735" s="787"/>
      <c r="AZ735" s="780"/>
      <c r="BA735" s="780"/>
      <c r="BB735" s="780"/>
      <c r="BC735" s="780"/>
      <c r="BD735" s="541"/>
      <c r="BE735" s="541"/>
      <c r="BF735" s="541"/>
      <c r="BG735" s="541"/>
      <c r="BH735" s="780"/>
      <c r="BI735" s="780"/>
      <c r="BJ735" s="780"/>
      <c r="BK735" s="780"/>
      <c r="BL735" s="780"/>
      <c r="BM735" s="780"/>
    </row>
    <row r="736" ht="12.75" customHeight="1">
      <c r="A736" s="521"/>
      <c r="B736" s="521"/>
      <c r="C736" s="515"/>
      <c r="D736" s="515"/>
      <c r="E736" s="515"/>
      <c r="F736" s="515"/>
      <c r="G736" s="515"/>
      <c r="H736" s="515"/>
      <c r="I736" s="515"/>
      <c r="J736" s="515"/>
      <c r="K736" s="515"/>
      <c r="L736" s="515"/>
      <c r="M736" s="515"/>
      <c r="N736" s="515"/>
      <c r="O736" s="533"/>
      <c r="P736" s="786"/>
      <c r="Q736" s="787"/>
      <c r="R736" s="787"/>
      <c r="S736" s="787"/>
      <c r="T736" s="786"/>
      <c r="U736" s="787"/>
      <c r="V736" s="787"/>
      <c r="W736" s="787"/>
      <c r="X736" s="786"/>
      <c r="Y736" s="787"/>
      <c r="Z736" s="787"/>
      <c r="AA736" s="787"/>
      <c r="AB736" s="786"/>
      <c r="AC736" s="787"/>
      <c r="AD736" s="787"/>
      <c r="AE736" s="787"/>
      <c r="AF736" s="786"/>
      <c r="AG736" s="787"/>
      <c r="AH736" s="787"/>
      <c r="AI736" s="787"/>
      <c r="AJ736" s="786"/>
      <c r="AK736" s="787"/>
      <c r="AL736" s="787"/>
      <c r="AM736" s="787"/>
      <c r="AN736" s="786"/>
      <c r="AO736" s="787"/>
      <c r="AP736" s="787"/>
      <c r="AQ736" s="787"/>
      <c r="AR736" s="786"/>
      <c r="AS736" s="787"/>
      <c r="AT736" s="787"/>
      <c r="AU736" s="787"/>
      <c r="AV736" s="786"/>
      <c r="AW736" s="787"/>
      <c r="AX736" s="787"/>
      <c r="AY736" s="787"/>
      <c r="AZ736" s="780"/>
      <c r="BA736" s="780"/>
      <c r="BB736" s="780"/>
      <c r="BC736" s="780"/>
      <c r="BD736" s="541"/>
      <c r="BE736" s="541"/>
      <c r="BF736" s="541"/>
      <c r="BG736" s="541"/>
      <c r="BH736" s="780"/>
      <c r="BI736" s="780"/>
      <c r="BJ736" s="780"/>
      <c r="BK736" s="780"/>
      <c r="BL736" s="780"/>
      <c r="BM736" s="780"/>
    </row>
    <row r="737" ht="12.75" customHeight="1">
      <c r="A737" s="521"/>
      <c r="B737" s="521"/>
      <c r="C737" s="515"/>
      <c r="D737" s="515"/>
      <c r="E737" s="515"/>
      <c r="F737" s="515"/>
      <c r="G737" s="515"/>
      <c r="H737" s="515"/>
      <c r="I737" s="515"/>
      <c r="J737" s="515"/>
      <c r="K737" s="515"/>
      <c r="L737" s="515"/>
      <c r="M737" s="515"/>
      <c r="N737" s="515"/>
      <c r="O737" s="533"/>
      <c r="P737" s="786"/>
      <c r="Q737" s="787"/>
      <c r="R737" s="787"/>
      <c r="S737" s="787"/>
      <c r="T737" s="786"/>
      <c r="U737" s="787"/>
      <c r="V737" s="787"/>
      <c r="W737" s="787"/>
      <c r="X737" s="786"/>
      <c r="Y737" s="787"/>
      <c r="Z737" s="787"/>
      <c r="AA737" s="787"/>
      <c r="AB737" s="786"/>
      <c r="AC737" s="787"/>
      <c r="AD737" s="787"/>
      <c r="AE737" s="787"/>
      <c r="AF737" s="786"/>
      <c r="AG737" s="787"/>
      <c r="AH737" s="787"/>
      <c r="AI737" s="787"/>
      <c r="AJ737" s="786"/>
      <c r="AK737" s="787"/>
      <c r="AL737" s="787"/>
      <c r="AM737" s="787"/>
      <c r="AN737" s="786"/>
      <c r="AO737" s="787"/>
      <c r="AP737" s="787"/>
      <c r="AQ737" s="787"/>
      <c r="AR737" s="786"/>
      <c r="AS737" s="787"/>
      <c r="AT737" s="787"/>
      <c r="AU737" s="787"/>
      <c r="AV737" s="786"/>
      <c r="AW737" s="787"/>
      <c r="AX737" s="787"/>
      <c r="AY737" s="787"/>
      <c r="AZ737" s="780"/>
      <c r="BA737" s="780"/>
      <c r="BB737" s="780"/>
      <c r="BC737" s="780"/>
      <c r="BD737" s="541"/>
      <c r="BE737" s="541"/>
      <c r="BF737" s="541"/>
      <c r="BG737" s="541"/>
      <c r="BH737" s="780"/>
      <c r="BI737" s="780"/>
      <c r="BJ737" s="780"/>
      <c r="BK737" s="780"/>
      <c r="BL737" s="780"/>
      <c r="BM737" s="780"/>
    </row>
    <row r="738" ht="12.75" customHeight="1">
      <c r="A738" s="521"/>
      <c r="B738" s="521"/>
      <c r="C738" s="515"/>
      <c r="D738" s="515"/>
      <c r="E738" s="515"/>
      <c r="F738" s="515"/>
      <c r="G738" s="515"/>
      <c r="H738" s="515"/>
      <c r="I738" s="515"/>
      <c r="J738" s="515"/>
      <c r="K738" s="515"/>
      <c r="L738" s="515"/>
      <c r="M738" s="515"/>
      <c r="N738" s="515"/>
      <c r="O738" s="533"/>
      <c r="P738" s="786"/>
      <c r="Q738" s="787"/>
      <c r="R738" s="787"/>
      <c r="S738" s="787"/>
      <c r="T738" s="786"/>
      <c r="U738" s="787"/>
      <c r="V738" s="787"/>
      <c r="W738" s="787"/>
      <c r="X738" s="786"/>
      <c r="Y738" s="787"/>
      <c r="Z738" s="787"/>
      <c r="AA738" s="787"/>
      <c r="AB738" s="786"/>
      <c r="AC738" s="787"/>
      <c r="AD738" s="787"/>
      <c r="AE738" s="787"/>
      <c r="AF738" s="786"/>
      <c r="AG738" s="787"/>
      <c r="AH738" s="787"/>
      <c r="AI738" s="787"/>
      <c r="AJ738" s="786"/>
      <c r="AK738" s="787"/>
      <c r="AL738" s="787"/>
      <c r="AM738" s="787"/>
      <c r="AN738" s="786"/>
      <c r="AO738" s="787"/>
      <c r="AP738" s="787"/>
      <c r="AQ738" s="787"/>
      <c r="AR738" s="786"/>
      <c r="AS738" s="787"/>
      <c r="AT738" s="787"/>
      <c r="AU738" s="787"/>
      <c r="AV738" s="786"/>
      <c r="AW738" s="787"/>
      <c r="AX738" s="787"/>
      <c r="AY738" s="787"/>
      <c r="AZ738" s="780"/>
      <c r="BA738" s="780"/>
      <c r="BB738" s="780"/>
      <c r="BC738" s="780"/>
      <c r="BD738" s="541"/>
      <c r="BE738" s="541"/>
      <c r="BF738" s="541"/>
      <c r="BG738" s="541"/>
      <c r="BH738" s="780"/>
      <c r="BI738" s="780"/>
      <c r="BJ738" s="780"/>
      <c r="BK738" s="780"/>
      <c r="BL738" s="780"/>
      <c r="BM738" s="780"/>
    </row>
    <row r="739" ht="12.75" customHeight="1">
      <c r="A739" s="521"/>
      <c r="B739" s="521"/>
      <c r="C739" s="515"/>
      <c r="D739" s="515"/>
      <c r="E739" s="515"/>
      <c r="F739" s="515"/>
      <c r="G739" s="515"/>
      <c r="H739" s="515"/>
      <c r="I739" s="515"/>
      <c r="J739" s="515"/>
      <c r="K739" s="515"/>
      <c r="L739" s="515"/>
      <c r="M739" s="515"/>
      <c r="N739" s="515"/>
      <c r="O739" s="533"/>
      <c r="P739" s="786"/>
      <c r="Q739" s="787"/>
      <c r="R739" s="787"/>
      <c r="S739" s="787"/>
      <c r="T739" s="786"/>
      <c r="U739" s="787"/>
      <c r="V739" s="787"/>
      <c r="W739" s="787"/>
      <c r="X739" s="786"/>
      <c r="Y739" s="787"/>
      <c r="Z739" s="787"/>
      <c r="AA739" s="787"/>
      <c r="AB739" s="786"/>
      <c r="AC739" s="787"/>
      <c r="AD739" s="787"/>
      <c r="AE739" s="787"/>
      <c r="AF739" s="786"/>
      <c r="AG739" s="787"/>
      <c r="AH739" s="787"/>
      <c r="AI739" s="787"/>
      <c r="AJ739" s="786"/>
      <c r="AK739" s="787"/>
      <c r="AL739" s="787"/>
      <c r="AM739" s="787"/>
      <c r="AN739" s="786"/>
      <c r="AO739" s="787"/>
      <c r="AP739" s="787"/>
      <c r="AQ739" s="787"/>
      <c r="AR739" s="786"/>
      <c r="AS739" s="787"/>
      <c r="AT739" s="787"/>
      <c r="AU739" s="787"/>
      <c r="AV739" s="786"/>
      <c r="AW739" s="787"/>
      <c r="AX739" s="787"/>
      <c r="AY739" s="787"/>
      <c r="AZ739" s="780"/>
      <c r="BA739" s="780"/>
      <c r="BB739" s="780"/>
      <c r="BC739" s="780"/>
      <c r="BD739" s="541"/>
      <c r="BE739" s="541"/>
      <c r="BF739" s="541"/>
      <c r="BG739" s="541"/>
      <c r="BH739" s="780"/>
      <c r="BI739" s="780"/>
      <c r="BJ739" s="780"/>
      <c r="BK739" s="780"/>
      <c r="BL739" s="780"/>
      <c r="BM739" s="780"/>
    </row>
    <row r="740" ht="12.75" customHeight="1">
      <c r="A740" s="521"/>
      <c r="B740" s="521"/>
      <c r="C740" s="515"/>
      <c r="D740" s="515"/>
      <c r="E740" s="515"/>
      <c r="F740" s="515"/>
      <c r="G740" s="515"/>
      <c r="H740" s="515"/>
      <c r="I740" s="515"/>
      <c r="J740" s="515"/>
      <c r="K740" s="515"/>
      <c r="L740" s="515"/>
      <c r="M740" s="515"/>
      <c r="N740" s="515"/>
      <c r="O740" s="533"/>
      <c r="P740" s="786"/>
      <c r="Q740" s="787"/>
      <c r="R740" s="787"/>
      <c r="S740" s="787"/>
      <c r="T740" s="786"/>
      <c r="U740" s="787"/>
      <c r="V740" s="787"/>
      <c r="W740" s="787"/>
      <c r="X740" s="786"/>
      <c r="Y740" s="787"/>
      <c r="Z740" s="787"/>
      <c r="AA740" s="787"/>
      <c r="AB740" s="786"/>
      <c r="AC740" s="787"/>
      <c r="AD740" s="787"/>
      <c r="AE740" s="787"/>
      <c r="AF740" s="786"/>
      <c r="AG740" s="787"/>
      <c r="AH740" s="787"/>
      <c r="AI740" s="787"/>
      <c r="AJ740" s="786"/>
      <c r="AK740" s="787"/>
      <c r="AL740" s="787"/>
      <c r="AM740" s="787"/>
      <c r="AN740" s="786"/>
      <c r="AO740" s="787"/>
      <c r="AP740" s="787"/>
      <c r="AQ740" s="787"/>
      <c r="AR740" s="786"/>
      <c r="AS740" s="787"/>
      <c r="AT740" s="787"/>
      <c r="AU740" s="787"/>
      <c r="AV740" s="786"/>
      <c r="AW740" s="787"/>
      <c r="AX740" s="787"/>
      <c r="AY740" s="787"/>
      <c r="AZ740" s="780"/>
      <c r="BA740" s="780"/>
      <c r="BB740" s="780"/>
      <c r="BC740" s="780"/>
      <c r="BD740" s="541"/>
      <c r="BE740" s="541"/>
      <c r="BF740" s="541"/>
      <c r="BG740" s="541"/>
      <c r="BH740" s="780"/>
      <c r="BI740" s="780"/>
      <c r="BJ740" s="780"/>
      <c r="BK740" s="780"/>
      <c r="BL740" s="780"/>
      <c r="BM740" s="780"/>
    </row>
    <row r="741" ht="12.75" customHeight="1">
      <c r="A741" s="521"/>
      <c r="B741" s="521"/>
      <c r="C741" s="515"/>
      <c r="D741" s="515"/>
      <c r="E741" s="515"/>
      <c r="F741" s="515"/>
      <c r="G741" s="515"/>
      <c r="H741" s="515"/>
      <c r="I741" s="515"/>
      <c r="J741" s="515"/>
      <c r="K741" s="515"/>
      <c r="L741" s="515"/>
      <c r="M741" s="515"/>
      <c r="N741" s="515"/>
      <c r="O741" s="533"/>
      <c r="P741" s="786"/>
      <c r="Q741" s="787"/>
      <c r="R741" s="787"/>
      <c r="S741" s="787"/>
      <c r="T741" s="786"/>
      <c r="U741" s="787"/>
      <c r="V741" s="787"/>
      <c r="W741" s="787"/>
      <c r="X741" s="786"/>
      <c r="Y741" s="787"/>
      <c r="Z741" s="787"/>
      <c r="AA741" s="787"/>
      <c r="AB741" s="786"/>
      <c r="AC741" s="787"/>
      <c r="AD741" s="787"/>
      <c r="AE741" s="787"/>
      <c r="AF741" s="786"/>
      <c r="AG741" s="787"/>
      <c r="AH741" s="787"/>
      <c r="AI741" s="787"/>
      <c r="AJ741" s="786"/>
      <c r="AK741" s="787"/>
      <c r="AL741" s="787"/>
      <c r="AM741" s="787"/>
      <c r="AN741" s="786"/>
      <c r="AO741" s="787"/>
      <c r="AP741" s="787"/>
      <c r="AQ741" s="787"/>
      <c r="AR741" s="786"/>
      <c r="AS741" s="787"/>
      <c r="AT741" s="787"/>
      <c r="AU741" s="787"/>
      <c r="AV741" s="786"/>
      <c r="AW741" s="787"/>
      <c r="AX741" s="787"/>
      <c r="AY741" s="787"/>
      <c r="AZ741" s="780"/>
      <c r="BA741" s="780"/>
      <c r="BB741" s="780"/>
      <c r="BC741" s="780"/>
      <c r="BD741" s="541"/>
      <c r="BE741" s="541"/>
      <c r="BF741" s="541"/>
      <c r="BG741" s="541"/>
      <c r="BH741" s="780"/>
      <c r="BI741" s="780"/>
      <c r="BJ741" s="780"/>
      <c r="BK741" s="780"/>
      <c r="BL741" s="780"/>
      <c r="BM741" s="780"/>
    </row>
    <row r="742" ht="12.75" customHeight="1">
      <c r="A742" s="521"/>
      <c r="B742" s="521"/>
      <c r="C742" s="515"/>
      <c r="D742" s="515"/>
      <c r="E742" s="515"/>
      <c r="F742" s="515"/>
      <c r="G742" s="515"/>
      <c r="H742" s="515"/>
      <c r="I742" s="515"/>
      <c r="J742" s="515"/>
      <c r="K742" s="515"/>
      <c r="L742" s="515"/>
      <c r="M742" s="515"/>
      <c r="N742" s="515"/>
      <c r="O742" s="533"/>
      <c r="P742" s="786"/>
      <c r="Q742" s="787"/>
      <c r="R742" s="787"/>
      <c r="S742" s="787"/>
      <c r="T742" s="786"/>
      <c r="U742" s="787"/>
      <c r="V742" s="787"/>
      <c r="W742" s="787"/>
      <c r="X742" s="786"/>
      <c r="Y742" s="787"/>
      <c r="Z742" s="787"/>
      <c r="AA742" s="787"/>
      <c r="AB742" s="786"/>
      <c r="AC742" s="787"/>
      <c r="AD742" s="787"/>
      <c r="AE742" s="787"/>
      <c r="AF742" s="786"/>
      <c r="AG742" s="787"/>
      <c r="AH742" s="787"/>
      <c r="AI742" s="787"/>
      <c r="AJ742" s="786"/>
      <c r="AK742" s="787"/>
      <c r="AL742" s="787"/>
      <c r="AM742" s="787"/>
      <c r="AN742" s="786"/>
      <c r="AO742" s="787"/>
      <c r="AP742" s="787"/>
      <c r="AQ742" s="787"/>
      <c r="AR742" s="786"/>
      <c r="AS742" s="787"/>
      <c r="AT742" s="787"/>
      <c r="AU742" s="787"/>
      <c r="AV742" s="786"/>
      <c r="AW742" s="787"/>
      <c r="AX742" s="787"/>
      <c r="AY742" s="787"/>
      <c r="AZ742" s="780"/>
      <c r="BA742" s="780"/>
      <c r="BB742" s="780"/>
      <c r="BC742" s="780"/>
      <c r="BD742" s="541"/>
      <c r="BE742" s="541"/>
      <c r="BF742" s="541"/>
      <c r="BG742" s="541"/>
      <c r="BH742" s="780"/>
      <c r="BI742" s="780"/>
      <c r="BJ742" s="780"/>
      <c r="BK742" s="780"/>
      <c r="BL742" s="780"/>
      <c r="BM742" s="780"/>
    </row>
    <row r="743" ht="12.75" customHeight="1">
      <c r="A743" s="521"/>
      <c r="B743" s="521"/>
      <c r="C743" s="515"/>
      <c r="D743" s="515"/>
      <c r="E743" s="515"/>
      <c r="F743" s="515"/>
      <c r="G743" s="515"/>
      <c r="H743" s="515"/>
      <c r="I743" s="515"/>
      <c r="J743" s="515"/>
      <c r="K743" s="515"/>
      <c r="L743" s="515"/>
      <c r="M743" s="515"/>
      <c r="N743" s="515"/>
      <c r="O743" s="533"/>
      <c r="P743" s="786"/>
      <c r="Q743" s="787"/>
      <c r="R743" s="787"/>
      <c r="S743" s="787"/>
      <c r="T743" s="786"/>
      <c r="U743" s="787"/>
      <c r="V743" s="787"/>
      <c r="W743" s="787"/>
      <c r="X743" s="786"/>
      <c r="Y743" s="787"/>
      <c r="Z743" s="787"/>
      <c r="AA743" s="787"/>
      <c r="AB743" s="786"/>
      <c r="AC743" s="787"/>
      <c r="AD743" s="787"/>
      <c r="AE743" s="787"/>
      <c r="AF743" s="786"/>
      <c r="AG743" s="787"/>
      <c r="AH743" s="787"/>
      <c r="AI743" s="787"/>
      <c r="AJ743" s="786"/>
      <c r="AK743" s="787"/>
      <c r="AL743" s="787"/>
      <c r="AM743" s="787"/>
      <c r="AN743" s="786"/>
      <c r="AO743" s="787"/>
      <c r="AP743" s="787"/>
      <c r="AQ743" s="787"/>
      <c r="AR743" s="786"/>
      <c r="AS743" s="787"/>
      <c r="AT743" s="787"/>
      <c r="AU743" s="787"/>
      <c r="AV743" s="786"/>
      <c r="AW743" s="787"/>
      <c r="AX743" s="787"/>
      <c r="AY743" s="787"/>
      <c r="AZ743" s="780"/>
      <c r="BA743" s="780"/>
      <c r="BB743" s="780"/>
      <c r="BC743" s="780"/>
      <c r="BD743" s="541"/>
      <c r="BE743" s="541"/>
      <c r="BF743" s="541"/>
      <c r="BG743" s="541"/>
      <c r="BH743" s="780"/>
      <c r="BI743" s="780"/>
      <c r="BJ743" s="780"/>
      <c r="BK743" s="780"/>
      <c r="BL743" s="780"/>
      <c r="BM743" s="780"/>
    </row>
    <row r="744" ht="12.75" customHeight="1">
      <c r="A744" s="521"/>
      <c r="B744" s="521"/>
      <c r="C744" s="515"/>
      <c r="D744" s="515"/>
      <c r="E744" s="515"/>
      <c r="F744" s="515"/>
      <c r="G744" s="515"/>
      <c r="H744" s="515"/>
      <c r="I744" s="515"/>
      <c r="J744" s="515"/>
      <c r="K744" s="515"/>
      <c r="L744" s="515"/>
      <c r="M744" s="515"/>
      <c r="N744" s="515"/>
      <c r="O744" s="533"/>
      <c r="P744" s="786"/>
      <c r="Q744" s="787"/>
      <c r="R744" s="787"/>
      <c r="S744" s="787"/>
      <c r="T744" s="786"/>
      <c r="U744" s="787"/>
      <c r="V744" s="787"/>
      <c r="W744" s="787"/>
      <c r="X744" s="786"/>
      <c r="Y744" s="787"/>
      <c r="Z744" s="787"/>
      <c r="AA744" s="787"/>
      <c r="AB744" s="786"/>
      <c r="AC744" s="787"/>
      <c r="AD744" s="787"/>
      <c r="AE744" s="787"/>
      <c r="AF744" s="786"/>
      <c r="AG744" s="787"/>
      <c r="AH744" s="787"/>
      <c r="AI744" s="787"/>
      <c r="AJ744" s="786"/>
      <c r="AK744" s="787"/>
      <c r="AL744" s="787"/>
      <c r="AM744" s="787"/>
      <c r="AN744" s="786"/>
      <c r="AO744" s="787"/>
      <c r="AP744" s="787"/>
      <c r="AQ744" s="787"/>
      <c r="AR744" s="786"/>
      <c r="AS744" s="787"/>
      <c r="AT744" s="787"/>
      <c r="AU744" s="787"/>
      <c r="AV744" s="786"/>
      <c r="AW744" s="787"/>
      <c r="AX744" s="787"/>
      <c r="AY744" s="787"/>
      <c r="AZ744" s="780"/>
      <c r="BA744" s="780"/>
      <c r="BB744" s="780"/>
      <c r="BC744" s="780"/>
      <c r="BD744" s="541"/>
      <c r="BE744" s="541"/>
      <c r="BF744" s="541"/>
      <c r="BG744" s="541"/>
      <c r="BH744" s="780"/>
      <c r="BI744" s="780"/>
      <c r="BJ744" s="780"/>
      <c r="BK744" s="780"/>
      <c r="BL744" s="780"/>
      <c r="BM744" s="780"/>
    </row>
    <row r="745" ht="12.75" customHeight="1">
      <c r="A745" s="521"/>
      <c r="B745" s="521"/>
      <c r="C745" s="515"/>
      <c r="D745" s="515"/>
      <c r="E745" s="515"/>
      <c r="F745" s="515"/>
      <c r="G745" s="515"/>
      <c r="H745" s="515"/>
      <c r="I745" s="515"/>
      <c r="J745" s="515"/>
      <c r="K745" s="515"/>
      <c r="L745" s="515"/>
      <c r="M745" s="515"/>
      <c r="N745" s="515"/>
      <c r="O745" s="533"/>
      <c r="P745" s="786"/>
      <c r="Q745" s="787"/>
      <c r="R745" s="787"/>
      <c r="S745" s="787"/>
      <c r="T745" s="786"/>
      <c r="U745" s="787"/>
      <c r="V745" s="787"/>
      <c r="W745" s="787"/>
      <c r="X745" s="786"/>
      <c r="Y745" s="787"/>
      <c r="Z745" s="787"/>
      <c r="AA745" s="787"/>
      <c r="AB745" s="786"/>
      <c r="AC745" s="787"/>
      <c r="AD745" s="787"/>
      <c r="AE745" s="787"/>
      <c r="AF745" s="786"/>
      <c r="AG745" s="787"/>
      <c r="AH745" s="787"/>
      <c r="AI745" s="787"/>
      <c r="AJ745" s="786"/>
      <c r="AK745" s="787"/>
      <c r="AL745" s="787"/>
      <c r="AM745" s="787"/>
      <c r="AN745" s="786"/>
      <c r="AO745" s="787"/>
      <c r="AP745" s="787"/>
      <c r="AQ745" s="787"/>
      <c r="AR745" s="786"/>
      <c r="AS745" s="787"/>
      <c r="AT745" s="787"/>
      <c r="AU745" s="787"/>
      <c r="AV745" s="786"/>
      <c r="AW745" s="787"/>
      <c r="AX745" s="787"/>
      <c r="AY745" s="787"/>
      <c r="AZ745" s="780"/>
      <c r="BA745" s="780"/>
      <c r="BB745" s="780"/>
      <c r="BC745" s="780"/>
      <c r="BD745" s="541"/>
      <c r="BE745" s="541"/>
      <c r="BF745" s="541"/>
      <c r="BG745" s="541"/>
      <c r="BH745" s="780"/>
      <c r="BI745" s="780"/>
      <c r="BJ745" s="780"/>
      <c r="BK745" s="780"/>
      <c r="BL745" s="780"/>
      <c r="BM745" s="780"/>
    </row>
    <row r="746" ht="12.75" customHeight="1">
      <c r="A746" s="521"/>
      <c r="B746" s="521"/>
      <c r="C746" s="515"/>
      <c r="D746" s="515"/>
      <c r="E746" s="515"/>
      <c r="F746" s="515"/>
      <c r="G746" s="515"/>
      <c r="H746" s="515"/>
      <c r="I746" s="515"/>
      <c r="J746" s="515"/>
      <c r="K746" s="515"/>
      <c r="L746" s="515"/>
      <c r="M746" s="515"/>
      <c r="N746" s="515"/>
      <c r="O746" s="533"/>
      <c r="P746" s="786"/>
      <c r="Q746" s="787"/>
      <c r="R746" s="787"/>
      <c r="S746" s="787"/>
      <c r="T746" s="786"/>
      <c r="U746" s="787"/>
      <c r="V746" s="787"/>
      <c r="W746" s="787"/>
      <c r="X746" s="786"/>
      <c r="Y746" s="787"/>
      <c r="Z746" s="787"/>
      <c r="AA746" s="787"/>
      <c r="AB746" s="786"/>
      <c r="AC746" s="787"/>
      <c r="AD746" s="787"/>
      <c r="AE746" s="787"/>
      <c r="AF746" s="786"/>
      <c r="AG746" s="787"/>
      <c r="AH746" s="787"/>
      <c r="AI746" s="787"/>
      <c r="AJ746" s="786"/>
      <c r="AK746" s="787"/>
      <c r="AL746" s="787"/>
      <c r="AM746" s="787"/>
      <c r="AN746" s="786"/>
      <c r="AO746" s="787"/>
      <c r="AP746" s="787"/>
      <c r="AQ746" s="787"/>
      <c r="AR746" s="786"/>
      <c r="AS746" s="787"/>
      <c r="AT746" s="787"/>
      <c r="AU746" s="787"/>
      <c r="AV746" s="786"/>
      <c r="AW746" s="787"/>
      <c r="AX746" s="787"/>
      <c r="AY746" s="787"/>
      <c r="AZ746" s="780"/>
      <c r="BA746" s="780"/>
      <c r="BB746" s="780"/>
      <c r="BC746" s="780"/>
      <c r="BD746" s="541"/>
      <c r="BE746" s="541"/>
      <c r="BF746" s="541"/>
      <c r="BG746" s="541"/>
      <c r="BH746" s="780"/>
      <c r="BI746" s="780"/>
      <c r="BJ746" s="780"/>
      <c r="BK746" s="780"/>
      <c r="BL746" s="780"/>
      <c r="BM746" s="780"/>
    </row>
    <row r="747" ht="12.75" customHeight="1">
      <c r="A747" s="521"/>
      <c r="B747" s="521"/>
      <c r="C747" s="515"/>
      <c r="D747" s="515"/>
      <c r="E747" s="515"/>
      <c r="F747" s="515"/>
      <c r="G747" s="515"/>
      <c r="H747" s="515"/>
      <c r="I747" s="515"/>
      <c r="J747" s="515"/>
      <c r="K747" s="515"/>
      <c r="L747" s="515"/>
      <c r="M747" s="515"/>
      <c r="N747" s="515"/>
      <c r="O747" s="533"/>
      <c r="P747" s="786"/>
      <c r="Q747" s="787"/>
      <c r="R747" s="787"/>
      <c r="S747" s="787"/>
      <c r="T747" s="786"/>
      <c r="U747" s="787"/>
      <c r="V747" s="787"/>
      <c r="W747" s="787"/>
      <c r="X747" s="786"/>
      <c r="Y747" s="787"/>
      <c r="Z747" s="787"/>
      <c r="AA747" s="787"/>
      <c r="AB747" s="786"/>
      <c r="AC747" s="787"/>
      <c r="AD747" s="787"/>
      <c r="AE747" s="787"/>
      <c r="AF747" s="786"/>
      <c r="AG747" s="787"/>
      <c r="AH747" s="787"/>
      <c r="AI747" s="787"/>
      <c r="AJ747" s="786"/>
      <c r="AK747" s="787"/>
      <c r="AL747" s="787"/>
      <c r="AM747" s="787"/>
      <c r="AN747" s="786"/>
      <c r="AO747" s="787"/>
      <c r="AP747" s="787"/>
      <c r="AQ747" s="787"/>
      <c r="AR747" s="786"/>
      <c r="AS747" s="787"/>
      <c r="AT747" s="787"/>
      <c r="AU747" s="787"/>
      <c r="AV747" s="786"/>
      <c r="AW747" s="787"/>
      <c r="AX747" s="787"/>
      <c r="AY747" s="787"/>
      <c r="AZ747" s="780"/>
      <c r="BA747" s="780"/>
      <c r="BB747" s="780"/>
      <c r="BC747" s="780"/>
      <c r="BD747" s="541"/>
      <c r="BE747" s="541"/>
      <c r="BF747" s="541"/>
      <c r="BG747" s="541"/>
      <c r="BH747" s="780"/>
      <c r="BI747" s="780"/>
      <c r="BJ747" s="780"/>
      <c r="BK747" s="780"/>
      <c r="BL747" s="780"/>
      <c r="BM747" s="780"/>
    </row>
    <row r="748" ht="12.75" customHeight="1">
      <c r="A748" s="521"/>
      <c r="B748" s="521"/>
      <c r="C748" s="515"/>
      <c r="D748" s="515"/>
      <c r="E748" s="515"/>
      <c r="F748" s="515"/>
      <c r="G748" s="515"/>
      <c r="H748" s="515"/>
      <c r="I748" s="515"/>
      <c r="J748" s="515"/>
      <c r="K748" s="515"/>
      <c r="L748" s="515"/>
      <c r="M748" s="515"/>
      <c r="N748" s="515"/>
      <c r="O748" s="533"/>
      <c r="P748" s="786"/>
      <c r="Q748" s="787"/>
      <c r="R748" s="787"/>
      <c r="S748" s="787"/>
      <c r="T748" s="786"/>
      <c r="U748" s="787"/>
      <c r="V748" s="787"/>
      <c r="W748" s="787"/>
      <c r="X748" s="786"/>
      <c r="Y748" s="787"/>
      <c r="Z748" s="787"/>
      <c r="AA748" s="787"/>
      <c r="AB748" s="786"/>
      <c r="AC748" s="787"/>
      <c r="AD748" s="787"/>
      <c r="AE748" s="787"/>
      <c r="AF748" s="786"/>
      <c r="AG748" s="787"/>
      <c r="AH748" s="787"/>
      <c r="AI748" s="787"/>
      <c r="AJ748" s="786"/>
      <c r="AK748" s="787"/>
      <c r="AL748" s="787"/>
      <c r="AM748" s="787"/>
      <c r="AN748" s="786"/>
      <c r="AO748" s="787"/>
      <c r="AP748" s="787"/>
      <c r="AQ748" s="787"/>
      <c r="AR748" s="786"/>
      <c r="AS748" s="787"/>
      <c r="AT748" s="787"/>
      <c r="AU748" s="787"/>
      <c r="AV748" s="786"/>
      <c r="AW748" s="787"/>
      <c r="AX748" s="787"/>
      <c r="AY748" s="787"/>
      <c r="AZ748" s="780"/>
      <c r="BA748" s="780"/>
      <c r="BB748" s="780"/>
      <c r="BC748" s="780"/>
      <c r="BD748" s="541"/>
      <c r="BE748" s="541"/>
      <c r="BF748" s="541"/>
      <c r="BG748" s="541"/>
      <c r="BH748" s="780"/>
      <c r="BI748" s="780"/>
      <c r="BJ748" s="780"/>
      <c r="BK748" s="780"/>
      <c r="BL748" s="780"/>
      <c r="BM748" s="780"/>
    </row>
    <row r="749" ht="12.75" customHeight="1">
      <c r="A749" s="521"/>
      <c r="B749" s="521"/>
      <c r="C749" s="515"/>
      <c r="D749" s="515"/>
      <c r="E749" s="515"/>
      <c r="F749" s="515"/>
      <c r="G749" s="515"/>
      <c r="H749" s="515"/>
      <c r="I749" s="515"/>
      <c r="J749" s="515"/>
      <c r="K749" s="515"/>
      <c r="L749" s="515"/>
      <c r="M749" s="515"/>
      <c r="N749" s="515"/>
      <c r="O749" s="533"/>
      <c r="P749" s="786"/>
      <c r="Q749" s="787"/>
      <c r="R749" s="787"/>
      <c r="S749" s="787"/>
      <c r="T749" s="786"/>
      <c r="U749" s="787"/>
      <c r="V749" s="787"/>
      <c r="W749" s="787"/>
      <c r="X749" s="786"/>
      <c r="Y749" s="787"/>
      <c r="Z749" s="787"/>
      <c r="AA749" s="787"/>
      <c r="AB749" s="786"/>
      <c r="AC749" s="787"/>
      <c r="AD749" s="787"/>
      <c r="AE749" s="787"/>
      <c r="AF749" s="786"/>
      <c r="AG749" s="787"/>
      <c r="AH749" s="787"/>
      <c r="AI749" s="787"/>
      <c r="AJ749" s="786"/>
      <c r="AK749" s="787"/>
      <c r="AL749" s="787"/>
      <c r="AM749" s="787"/>
      <c r="AN749" s="786"/>
      <c r="AO749" s="787"/>
      <c r="AP749" s="787"/>
      <c r="AQ749" s="787"/>
      <c r="AR749" s="786"/>
      <c r="AS749" s="787"/>
      <c r="AT749" s="787"/>
      <c r="AU749" s="787"/>
      <c r="AV749" s="786"/>
      <c r="AW749" s="787"/>
      <c r="AX749" s="787"/>
      <c r="AY749" s="787"/>
      <c r="AZ749" s="780"/>
      <c r="BA749" s="780"/>
      <c r="BB749" s="780"/>
      <c r="BC749" s="780"/>
      <c r="BD749" s="541"/>
      <c r="BE749" s="541"/>
      <c r="BF749" s="541"/>
      <c r="BG749" s="541"/>
      <c r="BH749" s="780"/>
      <c r="BI749" s="780"/>
      <c r="BJ749" s="780"/>
      <c r="BK749" s="780"/>
      <c r="BL749" s="780"/>
      <c r="BM749" s="780"/>
    </row>
    <row r="750" ht="12.75" customHeight="1">
      <c r="A750" s="521"/>
      <c r="B750" s="521"/>
      <c r="C750" s="515"/>
      <c r="D750" s="515"/>
      <c r="E750" s="515"/>
      <c r="F750" s="515"/>
      <c r="G750" s="515"/>
      <c r="H750" s="515"/>
      <c r="I750" s="515"/>
      <c r="J750" s="515"/>
      <c r="K750" s="515"/>
      <c r="L750" s="515"/>
      <c r="M750" s="515"/>
      <c r="N750" s="515"/>
      <c r="O750" s="533"/>
      <c r="P750" s="786"/>
      <c r="Q750" s="787"/>
      <c r="R750" s="787"/>
      <c r="S750" s="787"/>
      <c r="T750" s="786"/>
      <c r="U750" s="787"/>
      <c r="V750" s="787"/>
      <c r="W750" s="787"/>
      <c r="X750" s="786"/>
      <c r="Y750" s="787"/>
      <c r="Z750" s="787"/>
      <c r="AA750" s="787"/>
      <c r="AB750" s="786"/>
      <c r="AC750" s="787"/>
      <c r="AD750" s="787"/>
      <c r="AE750" s="787"/>
      <c r="AF750" s="786"/>
      <c r="AG750" s="787"/>
      <c r="AH750" s="787"/>
      <c r="AI750" s="787"/>
      <c r="AJ750" s="786"/>
      <c r="AK750" s="787"/>
      <c r="AL750" s="787"/>
      <c r="AM750" s="787"/>
      <c r="AN750" s="786"/>
      <c r="AO750" s="787"/>
      <c r="AP750" s="787"/>
      <c r="AQ750" s="787"/>
      <c r="AR750" s="786"/>
      <c r="AS750" s="787"/>
      <c r="AT750" s="787"/>
      <c r="AU750" s="787"/>
      <c r="AV750" s="786"/>
      <c r="AW750" s="787"/>
      <c r="AX750" s="787"/>
      <c r="AY750" s="787"/>
      <c r="AZ750" s="780"/>
      <c r="BA750" s="780"/>
      <c r="BB750" s="780"/>
      <c r="BC750" s="780"/>
      <c r="BD750" s="541"/>
      <c r="BE750" s="541"/>
      <c r="BF750" s="541"/>
      <c r="BG750" s="541"/>
      <c r="BH750" s="780"/>
      <c r="BI750" s="780"/>
      <c r="BJ750" s="780"/>
      <c r="BK750" s="780"/>
      <c r="BL750" s="780"/>
      <c r="BM750" s="780"/>
    </row>
    <row r="751" ht="12.75" customHeight="1">
      <c r="A751" s="521"/>
      <c r="B751" s="521"/>
      <c r="C751" s="515"/>
      <c r="D751" s="515"/>
      <c r="E751" s="515"/>
      <c r="F751" s="515"/>
      <c r="G751" s="515"/>
      <c r="H751" s="515"/>
      <c r="I751" s="515"/>
      <c r="J751" s="515"/>
      <c r="K751" s="515"/>
      <c r="L751" s="515"/>
      <c r="M751" s="515"/>
      <c r="N751" s="515"/>
      <c r="O751" s="533"/>
      <c r="P751" s="786"/>
      <c r="Q751" s="787"/>
      <c r="R751" s="787"/>
      <c r="S751" s="787"/>
      <c r="T751" s="786"/>
      <c r="U751" s="787"/>
      <c r="V751" s="787"/>
      <c r="W751" s="787"/>
      <c r="X751" s="786"/>
      <c r="Y751" s="787"/>
      <c r="Z751" s="787"/>
      <c r="AA751" s="787"/>
      <c r="AB751" s="786"/>
      <c r="AC751" s="787"/>
      <c r="AD751" s="787"/>
      <c r="AE751" s="787"/>
      <c r="AF751" s="786"/>
      <c r="AG751" s="787"/>
      <c r="AH751" s="787"/>
      <c r="AI751" s="787"/>
      <c r="AJ751" s="786"/>
      <c r="AK751" s="787"/>
      <c r="AL751" s="787"/>
      <c r="AM751" s="787"/>
      <c r="AN751" s="786"/>
      <c r="AO751" s="787"/>
      <c r="AP751" s="787"/>
      <c r="AQ751" s="787"/>
      <c r="AR751" s="786"/>
      <c r="AS751" s="787"/>
      <c r="AT751" s="787"/>
      <c r="AU751" s="787"/>
      <c r="AV751" s="786"/>
      <c r="AW751" s="787"/>
      <c r="AX751" s="787"/>
      <c r="AY751" s="787"/>
      <c r="AZ751" s="780"/>
      <c r="BA751" s="780"/>
      <c r="BB751" s="780"/>
      <c r="BC751" s="780"/>
      <c r="BD751" s="541"/>
      <c r="BE751" s="541"/>
      <c r="BF751" s="541"/>
      <c r="BG751" s="541"/>
      <c r="BH751" s="780"/>
      <c r="BI751" s="780"/>
      <c r="BJ751" s="780"/>
      <c r="BK751" s="780"/>
      <c r="BL751" s="780"/>
      <c r="BM751" s="780"/>
    </row>
    <row r="752" ht="12.75" customHeight="1">
      <c r="A752" s="521"/>
      <c r="B752" s="521"/>
      <c r="C752" s="515"/>
      <c r="D752" s="515"/>
      <c r="E752" s="515"/>
      <c r="F752" s="515"/>
      <c r="G752" s="515"/>
      <c r="H752" s="515"/>
      <c r="I752" s="515"/>
      <c r="J752" s="515"/>
      <c r="K752" s="515"/>
      <c r="L752" s="515"/>
      <c r="M752" s="515"/>
      <c r="N752" s="515"/>
      <c r="O752" s="533"/>
      <c r="P752" s="786"/>
      <c r="Q752" s="787"/>
      <c r="R752" s="787"/>
      <c r="S752" s="787"/>
      <c r="T752" s="786"/>
      <c r="U752" s="787"/>
      <c r="V752" s="787"/>
      <c r="W752" s="787"/>
      <c r="X752" s="786"/>
      <c r="Y752" s="787"/>
      <c r="Z752" s="787"/>
      <c r="AA752" s="787"/>
      <c r="AB752" s="786"/>
      <c r="AC752" s="787"/>
      <c r="AD752" s="787"/>
      <c r="AE752" s="787"/>
      <c r="AF752" s="786"/>
      <c r="AG752" s="787"/>
      <c r="AH752" s="787"/>
      <c r="AI752" s="787"/>
      <c r="AJ752" s="786"/>
      <c r="AK752" s="787"/>
      <c r="AL752" s="787"/>
      <c r="AM752" s="787"/>
      <c r="AN752" s="786"/>
      <c r="AO752" s="787"/>
      <c r="AP752" s="787"/>
      <c r="AQ752" s="787"/>
      <c r="AR752" s="786"/>
      <c r="AS752" s="787"/>
      <c r="AT752" s="787"/>
      <c r="AU752" s="787"/>
      <c r="AV752" s="786"/>
      <c r="AW752" s="787"/>
      <c r="AX752" s="787"/>
      <c r="AY752" s="787"/>
      <c r="AZ752" s="780"/>
      <c r="BA752" s="780"/>
      <c r="BB752" s="780"/>
      <c r="BC752" s="780"/>
      <c r="BD752" s="541"/>
      <c r="BE752" s="541"/>
      <c r="BF752" s="541"/>
      <c r="BG752" s="541"/>
      <c r="BH752" s="780"/>
      <c r="BI752" s="780"/>
      <c r="BJ752" s="780"/>
      <c r="BK752" s="780"/>
      <c r="BL752" s="780"/>
      <c r="BM752" s="780"/>
    </row>
    <row r="753" ht="12.75" customHeight="1">
      <c r="A753" s="521"/>
      <c r="B753" s="521"/>
      <c r="C753" s="515"/>
      <c r="D753" s="515"/>
      <c r="E753" s="515"/>
      <c r="F753" s="515"/>
      <c r="G753" s="515"/>
      <c r="H753" s="515"/>
      <c r="I753" s="515"/>
      <c r="J753" s="515"/>
      <c r="K753" s="515"/>
      <c r="L753" s="515"/>
      <c r="M753" s="515"/>
      <c r="N753" s="515"/>
      <c r="O753" s="533"/>
      <c r="P753" s="786"/>
      <c r="Q753" s="787"/>
      <c r="R753" s="787"/>
      <c r="S753" s="787"/>
      <c r="T753" s="786"/>
      <c r="U753" s="787"/>
      <c r="V753" s="787"/>
      <c r="W753" s="787"/>
      <c r="X753" s="786"/>
      <c r="Y753" s="787"/>
      <c r="Z753" s="787"/>
      <c r="AA753" s="787"/>
      <c r="AB753" s="786"/>
      <c r="AC753" s="787"/>
      <c r="AD753" s="787"/>
      <c r="AE753" s="787"/>
      <c r="AF753" s="786"/>
      <c r="AG753" s="787"/>
      <c r="AH753" s="787"/>
      <c r="AI753" s="787"/>
      <c r="AJ753" s="786"/>
      <c r="AK753" s="787"/>
      <c r="AL753" s="787"/>
      <c r="AM753" s="787"/>
      <c r="AN753" s="786"/>
      <c r="AO753" s="787"/>
      <c r="AP753" s="787"/>
      <c r="AQ753" s="787"/>
      <c r="AR753" s="786"/>
      <c r="AS753" s="787"/>
      <c r="AT753" s="787"/>
      <c r="AU753" s="787"/>
      <c r="AV753" s="786"/>
      <c r="AW753" s="787"/>
      <c r="AX753" s="787"/>
      <c r="AY753" s="787"/>
      <c r="AZ753" s="780"/>
      <c r="BA753" s="780"/>
      <c r="BB753" s="780"/>
      <c r="BC753" s="780"/>
      <c r="BD753" s="541"/>
      <c r="BE753" s="541"/>
      <c r="BF753" s="541"/>
      <c r="BG753" s="541"/>
      <c r="BH753" s="780"/>
      <c r="BI753" s="780"/>
      <c r="BJ753" s="780"/>
      <c r="BK753" s="780"/>
      <c r="BL753" s="780"/>
      <c r="BM753" s="780"/>
    </row>
    <row r="754" ht="12.75" customHeight="1">
      <c r="A754" s="521"/>
      <c r="B754" s="521"/>
      <c r="C754" s="515"/>
      <c r="D754" s="515"/>
      <c r="E754" s="515"/>
      <c r="F754" s="515"/>
      <c r="G754" s="515"/>
      <c r="H754" s="515"/>
      <c r="I754" s="515"/>
      <c r="J754" s="515"/>
      <c r="K754" s="515"/>
      <c r="L754" s="515"/>
      <c r="M754" s="515"/>
      <c r="N754" s="515"/>
      <c r="O754" s="533"/>
      <c r="P754" s="786"/>
      <c r="Q754" s="787"/>
      <c r="R754" s="787"/>
      <c r="S754" s="787"/>
      <c r="T754" s="786"/>
      <c r="U754" s="787"/>
      <c r="V754" s="787"/>
      <c r="W754" s="787"/>
      <c r="X754" s="786"/>
      <c r="Y754" s="787"/>
      <c r="Z754" s="787"/>
      <c r="AA754" s="787"/>
      <c r="AB754" s="786"/>
      <c r="AC754" s="787"/>
      <c r="AD754" s="787"/>
      <c r="AE754" s="787"/>
      <c r="AF754" s="786"/>
      <c r="AG754" s="787"/>
      <c r="AH754" s="787"/>
      <c r="AI754" s="787"/>
      <c r="AJ754" s="786"/>
      <c r="AK754" s="787"/>
      <c r="AL754" s="787"/>
      <c r="AM754" s="787"/>
      <c r="AN754" s="786"/>
      <c r="AO754" s="787"/>
      <c r="AP754" s="787"/>
      <c r="AQ754" s="787"/>
      <c r="AR754" s="786"/>
      <c r="AS754" s="787"/>
      <c r="AT754" s="787"/>
      <c r="AU754" s="787"/>
      <c r="AV754" s="786"/>
      <c r="AW754" s="787"/>
      <c r="AX754" s="787"/>
      <c r="AY754" s="787"/>
      <c r="AZ754" s="780"/>
      <c r="BA754" s="780"/>
      <c r="BB754" s="780"/>
      <c r="BC754" s="780"/>
      <c r="BD754" s="541"/>
      <c r="BE754" s="541"/>
      <c r="BF754" s="541"/>
      <c r="BG754" s="541"/>
      <c r="BH754" s="780"/>
      <c r="BI754" s="780"/>
      <c r="BJ754" s="780"/>
      <c r="BK754" s="780"/>
      <c r="BL754" s="780"/>
      <c r="BM754" s="780"/>
    </row>
    <row r="755" ht="12.75" customHeight="1">
      <c r="A755" s="521"/>
      <c r="B755" s="521"/>
      <c r="C755" s="515"/>
      <c r="D755" s="515"/>
      <c r="E755" s="515"/>
      <c r="F755" s="515"/>
      <c r="G755" s="515"/>
      <c r="H755" s="515"/>
      <c r="I755" s="515"/>
      <c r="J755" s="515"/>
      <c r="K755" s="515"/>
      <c r="L755" s="515"/>
      <c r="M755" s="515"/>
      <c r="N755" s="515"/>
      <c r="O755" s="533"/>
      <c r="P755" s="786"/>
      <c r="Q755" s="787"/>
      <c r="R755" s="787"/>
      <c r="S755" s="787"/>
      <c r="T755" s="786"/>
      <c r="U755" s="787"/>
      <c r="V755" s="787"/>
      <c r="W755" s="787"/>
      <c r="X755" s="786"/>
      <c r="Y755" s="787"/>
      <c r="Z755" s="787"/>
      <c r="AA755" s="787"/>
      <c r="AB755" s="786"/>
      <c r="AC755" s="787"/>
      <c r="AD755" s="787"/>
      <c r="AE755" s="787"/>
      <c r="AF755" s="786"/>
      <c r="AG755" s="787"/>
      <c r="AH755" s="787"/>
      <c r="AI755" s="787"/>
      <c r="AJ755" s="786"/>
      <c r="AK755" s="787"/>
      <c r="AL755" s="787"/>
      <c r="AM755" s="787"/>
      <c r="AN755" s="786"/>
      <c r="AO755" s="787"/>
      <c r="AP755" s="787"/>
      <c r="AQ755" s="787"/>
      <c r="AR755" s="786"/>
      <c r="AS755" s="787"/>
      <c r="AT755" s="787"/>
      <c r="AU755" s="787"/>
      <c r="AV755" s="786"/>
      <c r="AW755" s="787"/>
      <c r="AX755" s="787"/>
      <c r="AY755" s="787"/>
      <c r="AZ755" s="780"/>
      <c r="BA755" s="780"/>
      <c r="BB755" s="780"/>
      <c r="BC755" s="780"/>
      <c r="BD755" s="541"/>
      <c r="BE755" s="541"/>
      <c r="BF755" s="541"/>
      <c r="BG755" s="541"/>
      <c r="BH755" s="780"/>
      <c r="BI755" s="780"/>
      <c r="BJ755" s="780"/>
      <c r="BK755" s="780"/>
      <c r="BL755" s="780"/>
      <c r="BM755" s="780"/>
    </row>
    <row r="756" ht="12.75" customHeight="1">
      <c r="A756" s="521"/>
      <c r="B756" s="521"/>
      <c r="C756" s="515"/>
      <c r="D756" s="515"/>
      <c r="E756" s="515"/>
      <c r="F756" s="515"/>
      <c r="G756" s="515"/>
      <c r="H756" s="515"/>
      <c r="I756" s="515"/>
      <c r="J756" s="515"/>
      <c r="K756" s="515"/>
      <c r="L756" s="515"/>
      <c r="M756" s="515"/>
      <c r="N756" s="515"/>
      <c r="O756" s="533"/>
      <c r="P756" s="786"/>
      <c r="Q756" s="787"/>
      <c r="R756" s="787"/>
      <c r="S756" s="787"/>
      <c r="T756" s="786"/>
      <c r="U756" s="787"/>
      <c r="V756" s="787"/>
      <c r="W756" s="787"/>
      <c r="X756" s="786"/>
      <c r="Y756" s="787"/>
      <c r="Z756" s="787"/>
      <c r="AA756" s="787"/>
      <c r="AB756" s="786"/>
      <c r="AC756" s="787"/>
      <c r="AD756" s="787"/>
      <c r="AE756" s="787"/>
      <c r="AF756" s="786"/>
      <c r="AG756" s="787"/>
      <c r="AH756" s="787"/>
      <c r="AI756" s="787"/>
      <c r="AJ756" s="786"/>
      <c r="AK756" s="787"/>
      <c r="AL756" s="787"/>
      <c r="AM756" s="787"/>
      <c r="AN756" s="786"/>
      <c r="AO756" s="787"/>
      <c r="AP756" s="787"/>
      <c r="AQ756" s="787"/>
      <c r="AR756" s="786"/>
      <c r="AS756" s="787"/>
      <c r="AT756" s="787"/>
      <c r="AU756" s="787"/>
      <c r="AV756" s="786"/>
      <c r="AW756" s="787"/>
      <c r="AX756" s="787"/>
      <c r="AY756" s="787"/>
      <c r="AZ756" s="780"/>
      <c r="BA756" s="780"/>
      <c r="BB756" s="780"/>
      <c r="BC756" s="780"/>
      <c r="BD756" s="541"/>
      <c r="BE756" s="541"/>
      <c r="BF756" s="541"/>
      <c r="BG756" s="541"/>
      <c r="BH756" s="780"/>
      <c r="BI756" s="780"/>
      <c r="BJ756" s="780"/>
      <c r="BK756" s="780"/>
      <c r="BL756" s="780"/>
      <c r="BM756" s="780"/>
    </row>
    <row r="757" ht="12.75" customHeight="1">
      <c r="A757" s="521"/>
      <c r="B757" s="521"/>
      <c r="C757" s="515"/>
      <c r="D757" s="515"/>
      <c r="E757" s="515"/>
      <c r="F757" s="515"/>
      <c r="G757" s="515"/>
      <c r="H757" s="515"/>
      <c r="I757" s="515"/>
      <c r="J757" s="515"/>
      <c r="K757" s="515"/>
      <c r="L757" s="515"/>
      <c r="M757" s="515"/>
      <c r="N757" s="515"/>
      <c r="O757" s="533"/>
      <c r="P757" s="786"/>
      <c r="Q757" s="787"/>
      <c r="R757" s="787"/>
      <c r="S757" s="787"/>
      <c r="T757" s="786"/>
      <c r="U757" s="787"/>
      <c r="V757" s="787"/>
      <c r="W757" s="787"/>
      <c r="X757" s="786"/>
      <c r="Y757" s="787"/>
      <c r="Z757" s="787"/>
      <c r="AA757" s="787"/>
      <c r="AB757" s="786"/>
      <c r="AC757" s="787"/>
      <c r="AD757" s="787"/>
      <c r="AE757" s="787"/>
      <c r="AF757" s="786"/>
      <c r="AG757" s="787"/>
      <c r="AH757" s="787"/>
      <c r="AI757" s="787"/>
      <c r="AJ757" s="786"/>
      <c r="AK757" s="787"/>
      <c r="AL757" s="787"/>
      <c r="AM757" s="787"/>
      <c r="AN757" s="786"/>
      <c r="AO757" s="787"/>
      <c r="AP757" s="787"/>
      <c r="AQ757" s="787"/>
      <c r="AR757" s="786"/>
      <c r="AS757" s="787"/>
      <c r="AT757" s="787"/>
      <c r="AU757" s="787"/>
      <c r="AV757" s="786"/>
      <c r="AW757" s="787"/>
      <c r="AX757" s="787"/>
      <c r="AY757" s="787"/>
      <c r="AZ757" s="780"/>
      <c r="BA757" s="780"/>
      <c r="BB757" s="780"/>
      <c r="BC757" s="780"/>
      <c r="BD757" s="541"/>
      <c r="BE757" s="541"/>
      <c r="BF757" s="541"/>
      <c r="BG757" s="541"/>
      <c r="BH757" s="780"/>
      <c r="BI757" s="780"/>
      <c r="BJ757" s="780"/>
      <c r="BK757" s="780"/>
      <c r="BL757" s="780"/>
      <c r="BM757" s="780"/>
    </row>
    <row r="758" ht="12.75" customHeight="1">
      <c r="A758" s="521"/>
      <c r="B758" s="521"/>
      <c r="C758" s="515"/>
      <c r="D758" s="515"/>
      <c r="E758" s="515"/>
      <c r="F758" s="515"/>
      <c r="G758" s="515"/>
      <c r="H758" s="515"/>
      <c r="I758" s="515"/>
      <c r="J758" s="515"/>
      <c r="K758" s="515"/>
      <c r="L758" s="515"/>
      <c r="M758" s="515"/>
      <c r="N758" s="515"/>
      <c r="O758" s="533"/>
      <c r="P758" s="786"/>
      <c r="Q758" s="787"/>
      <c r="R758" s="787"/>
      <c r="S758" s="787"/>
      <c r="T758" s="786"/>
      <c r="U758" s="787"/>
      <c r="V758" s="787"/>
      <c r="W758" s="787"/>
      <c r="X758" s="786"/>
      <c r="Y758" s="787"/>
      <c r="Z758" s="787"/>
      <c r="AA758" s="787"/>
      <c r="AB758" s="786"/>
      <c r="AC758" s="787"/>
      <c r="AD758" s="787"/>
      <c r="AE758" s="787"/>
      <c r="AF758" s="786"/>
      <c r="AG758" s="787"/>
      <c r="AH758" s="787"/>
      <c r="AI758" s="787"/>
      <c r="AJ758" s="786"/>
      <c r="AK758" s="787"/>
      <c r="AL758" s="787"/>
      <c r="AM758" s="787"/>
      <c r="AN758" s="786"/>
      <c r="AO758" s="787"/>
      <c r="AP758" s="787"/>
      <c r="AQ758" s="787"/>
      <c r="AR758" s="786"/>
      <c r="AS758" s="787"/>
      <c r="AT758" s="787"/>
      <c r="AU758" s="787"/>
      <c r="AV758" s="786"/>
      <c r="AW758" s="787"/>
      <c r="AX758" s="787"/>
      <c r="AY758" s="787"/>
      <c r="AZ758" s="780"/>
      <c r="BA758" s="780"/>
      <c r="BB758" s="780"/>
      <c r="BC758" s="780"/>
      <c r="BD758" s="541"/>
      <c r="BE758" s="541"/>
      <c r="BF758" s="541"/>
      <c r="BG758" s="541"/>
      <c r="BH758" s="780"/>
      <c r="BI758" s="780"/>
      <c r="BJ758" s="780"/>
      <c r="BK758" s="780"/>
      <c r="BL758" s="780"/>
      <c r="BM758" s="780"/>
    </row>
    <row r="759" ht="12.75" customHeight="1">
      <c r="A759" s="521"/>
      <c r="B759" s="521"/>
      <c r="C759" s="515"/>
      <c r="D759" s="515"/>
      <c r="E759" s="515"/>
      <c r="F759" s="515"/>
      <c r="G759" s="515"/>
      <c r="H759" s="515"/>
      <c r="I759" s="515"/>
      <c r="J759" s="515"/>
      <c r="K759" s="515"/>
      <c r="L759" s="515"/>
      <c r="M759" s="515"/>
      <c r="N759" s="515"/>
      <c r="O759" s="533"/>
      <c r="P759" s="786"/>
      <c r="Q759" s="787"/>
      <c r="R759" s="787"/>
      <c r="S759" s="787"/>
      <c r="T759" s="786"/>
      <c r="U759" s="787"/>
      <c r="V759" s="787"/>
      <c r="W759" s="787"/>
      <c r="X759" s="786"/>
      <c r="Y759" s="787"/>
      <c r="Z759" s="787"/>
      <c r="AA759" s="787"/>
      <c r="AB759" s="786"/>
      <c r="AC759" s="787"/>
      <c r="AD759" s="787"/>
      <c r="AE759" s="787"/>
      <c r="AF759" s="786"/>
      <c r="AG759" s="787"/>
      <c r="AH759" s="787"/>
      <c r="AI759" s="787"/>
      <c r="AJ759" s="786"/>
      <c r="AK759" s="787"/>
      <c r="AL759" s="787"/>
      <c r="AM759" s="787"/>
      <c r="AN759" s="786"/>
      <c r="AO759" s="787"/>
      <c r="AP759" s="787"/>
      <c r="AQ759" s="787"/>
      <c r="AR759" s="786"/>
      <c r="AS759" s="787"/>
      <c r="AT759" s="787"/>
      <c r="AU759" s="787"/>
      <c r="AV759" s="786"/>
      <c r="AW759" s="787"/>
      <c r="AX759" s="787"/>
      <c r="AY759" s="787"/>
      <c r="AZ759" s="780"/>
      <c r="BA759" s="780"/>
      <c r="BB759" s="780"/>
      <c r="BC759" s="780"/>
      <c r="BD759" s="541"/>
      <c r="BE759" s="541"/>
      <c r="BF759" s="541"/>
      <c r="BG759" s="541"/>
      <c r="BH759" s="780"/>
      <c r="BI759" s="780"/>
      <c r="BJ759" s="780"/>
      <c r="BK759" s="780"/>
      <c r="BL759" s="780"/>
      <c r="BM759" s="780"/>
    </row>
    <row r="760" ht="12.75" customHeight="1">
      <c r="A760" s="521"/>
      <c r="B760" s="521"/>
      <c r="C760" s="515"/>
      <c r="D760" s="515"/>
      <c r="E760" s="515"/>
      <c r="F760" s="515"/>
      <c r="G760" s="515"/>
      <c r="H760" s="515"/>
      <c r="I760" s="515"/>
      <c r="J760" s="515"/>
      <c r="K760" s="515"/>
      <c r="L760" s="515"/>
      <c r="M760" s="515"/>
      <c r="N760" s="515"/>
      <c r="O760" s="533"/>
      <c r="P760" s="786"/>
      <c r="Q760" s="787"/>
      <c r="R760" s="787"/>
      <c r="S760" s="787"/>
      <c r="T760" s="786"/>
      <c r="U760" s="787"/>
      <c r="V760" s="787"/>
      <c r="W760" s="787"/>
      <c r="X760" s="786"/>
      <c r="Y760" s="787"/>
      <c r="Z760" s="787"/>
      <c r="AA760" s="787"/>
      <c r="AB760" s="786"/>
      <c r="AC760" s="787"/>
      <c r="AD760" s="787"/>
      <c r="AE760" s="787"/>
      <c r="AF760" s="786"/>
      <c r="AG760" s="787"/>
      <c r="AH760" s="787"/>
      <c r="AI760" s="787"/>
      <c r="AJ760" s="786"/>
      <c r="AK760" s="787"/>
      <c r="AL760" s="787"/>
      <c r="AM760" s="787"/>
      <c r="AN760" s="786"/>
      <c r="AO760" s="787"/>
      <c r="AP760" s="787"/>
      <c r="AQ760" s="787"/>
      <c r="AR760" s="786"/>
      <c r="AS760" s="787"/>
      <c r="AT760" s="787"/>
      <c r="AU760" s="787"/>
      <c r="AV760" s="786"/>
      <c r="AW760" s="787"/>
      <c r="AX760" s="787"/>
      <c r="AY760" s="787"/>
      <c r="AZ760" s="780"/>
      <c r="BA760" s="780"/>
      <c r="BB760" s="780"/>
      <c r="BC760" s="780"/>
      <c r="BD760" s="541"/>
      <c r="BE760" s="541"/>
      <c r="BF760" s="541"/>
      <c r="BG760" s="541"/>
      <c r="BH760" s="780"/>
      <c r="BI760" s="780"/>
      <c r="BJ760" s="780"/>
      <c r="BK760" s="780"/>
      <c r="BL760" s="780"/>
      <c r="BM760" s="780"/>
    </row>
    <row r="761" ht="12.75" customHeight="1">
      <c r="A761" s="521"/>
      <c r="B761" s="521"/>
      <c r="C761" s="515"/>
      <c r="D761" s="515"/>
      <c r="E761" s="515"/>
      <c r="F761" s="515"/>
      <c r="G761" s="515"/>
      <c r="H761" s="515"/>
      <c r="I761" s="515"/>
      <c r="J761" s="515"/>
      <c r="K761" s="515"/>
      <c r="L761" s="515"/>
      <c r="M761" s="515"/>
      <c r="N761" s="515"/>
      <c r="O761" s="533"/>
      <c r="P761" s="786"/>
      <c r="Q761" s="787"/>
      <c r="R761" s="787"/>
      <c r="S761" s="787"/>
      <c r="T761" s="786"/>
      <c r="U761" s="787"/>
      <c r="V761" s="787"/>
      <c r="W761" s="787"/>
      <c r="X761" s="786"/>
      <c r="Y761" s="787"/>
      <c r="Z761" s="787"/>
      <c r="AA761" s="787"/>
      <c r="AB761" s="786"/>
      <c r="AC761" s="787"/>
      <c r="AD761" s="787"/>
      <c r="AE761" s="787"/>
      <c r="AF761" s="786"/>
      <c r="AG761" s="787"/>
      <c r="AH761" s="787"/>
      <c r="AI761" s="787"/>
      <c r="AJ761" s="786"/>
      <c r="AK761" s="787"/>
      <c r="AL761" s="787"/>
      <c r="AM761" s="787"/>
      <c r="AN761" s="786"/>
      <c r="AO761" s="787"/>
      <c r="AP761" s="787"/>
      <c r="AQ761" s="787"/>
      <c r="AR761" s="786"/>
      <c r="AS761" s="787"/>
      <c r="AT761" s="787"/>
      <c r="AU761" s="787"/>
      <c r="AV761" s="786"/>
      <c r="AW761" s="787"/>
      <c r="AX761" s="787"/>
      <c r="AY761" s="787"/>
      <c r="AZ761" s="780"/>
      <c r="BA761" s="780"/>
      <c r="BB761" s="780"/>
      <c r="BC761" s="780"/>
      <c r="BD761" s="541"/>
      <c r="BE761" s="541"/>
      <c r="BF761" s="541"/>
      <c r="BG761" s="541"/>
      <c r="BH761" s="780"/>
      <c r="BI761" s="780"/>
      <c r="BJ761" s="780"/>
      <c r="BK761" s="780"/>
      <c r="BL761" s="780"/>
      <c r="BM761" s="780"/>
    </row>
    <row r="762" ht="12.75" customHeight="1">
      <c r="A762" s="521"/>
      <c r="B762" s="521"/>
      <c r="C762" s="515"/>
      <c r="D762" s="515"/>
      <c r="E762" s="515"/>
      <c r="F762" s="515"/>
      <c r="G762" s="515"/>
      <c r="H762" s="515"/>
      <c r="I762" s="515"/>
      <c r="J762" s="515"/>
      <c r="K762" s="515"/>
      <c r="L762" s="515"/>
      <c r="M762" s="515"/>
      <c r="N762" s="515"/>
      <c r="O762" s="533"/>
      <c r="P762" s="786"/>
      <c r="Q762" s="787"/>
      <c r="R762" s="787"/>
      <c r="S762" s="787"/>
      <c r="T762" s="786"/>
      <c r="U762" s="787"/>
      <c r="V762" s="787"/>
      <c r="W762" s="787"/>
      <c r="X762" s="786"/>
      <c r="Y762" s="787"/>
      <c r="Z762" s="787"/>
      <c r="AA762" s="787"/>
      <c r="AB762" s="786"/>
      <c r="AC762" s="787"/>
      <c r="AD762" s="787"/>
      <c r="AE762" s="787"/>
      <c r="AF762" s="786"/>
      <c r="AG762" s="787"/>
      <c r="AH762" s="787"/>
      <c r="AI762" s="787"/>
      <c r="AJ762" s="786"/>
      <c r="AK762" s="787"/>
      <c r="AL762" s="787"/>
      <c r="AM762" s="787"/>
      <c r="AN762" s="786"/>
      <c r="AO762" s="787"/>
      <c r="AP762" s="787"/>
      <c r="AQ762" s="787"/>
      <c r="AR762" s="786"/>
      <c r="AS762" s="787"/>
      <c r="AT762" s="787"/>
      <c r="AU762" s="787"/>
      <c r="AV762" s="786"/>
      <c r="AW762" s="787"/>
      <c r="AX762" s="787"/>
      <c r="AY762" s="787"/>
      <c r="AZ762" s="780"/>
      <c r="BA762" s="780"/>
      <c r="BB762" s="780"/>
      <c r="BC762" s="780"/>
      <c r="BD762" s="541"/>
      <c r="BE762" s="541"/>
      <c r="BF762" s="541"/>
      <c r="BG762" s="541"/>
      <c r="BH762" s="780"/>
      <c r="BI762" s="780"/>
      <c r="BJ762" s="780"/>
      <c r="BK762" s="780"/>
      <c r="BL762" s="780"/>
      <c r="BM762" s="780"/>
    </row>
    <row r="763" ht="12.75" customHeight="1">
      <c r="A763" s="521"/>
      <c r="B763" s="521"/>
      <c r="C763" s="515"/>
      <c r="D763" s="515"/>
      <c r="E763" s="515"/>
      <c r="F763" s="515"/>
      <c r="G763" s="515"/>
      <c r="H763" s="515"/>
      <c r="I763" s="515"/>
      <c r="J763" s="515"/>
      <c r="K763" s="515"/>
      <c r="L763" s="515"/>
      <c r="M763" s="515"/>
      <c r="N763" s="515"/>
      <c r="O763" s="533"/>
      <c r="P763" s="786"/>
      <c r="Q763" s="787"/>
      <c r="R763" s="787"/>
      <c r="S763" s="787"/>
      <c r="T763" s="786"/>
      <c r="U763" s="787"/>
      <c r="V763" s="787"/>
      <c r="W763" s="787"/>
      <c r="X763" s="786"/>
      <c r="Y763" s="787"/>
      <c r="Z763" s="787"/>
      <c r="AA763" s="787"/>
      <c r="AB763" s="786"/>
      <c r="AC763" s="787"/>
      <c r="AD763" s="787"/>
      <c r="AE763" s="787"/>
      <c r="AF763" s="786"/>
      <c r="AG763" s="787"/>
      <c r="AH763" s="787"/>
      <c r="AI763" s="787"/>
      <c r="AJ763" s="786"/>
      <c r="AK763" s="787"/>
      <c r="AL763" s="787"/>
      <c r="AM763" s="787"/>
      <c r="AN763" s="786"/>
      <c r="AO763" s="787"/>
      <c r="AP763" s="787"/>
      <c r="AQ763" s="787"/>
      <c r="AR763" s="786"/>
      <c r="AS763" s="787"/>
      <c r="AT763" s="787"/>
      <c r="AU763" s="787"/>
      <c r="AV763" s="786"/>
      <c r="AW763" s="787"/>
      <c r="AX763" s="787"/>
      <c r="AY763" s="787"/>
      <c r="AZ763" s="780"/>
      <c r="BA763" s="780"/>
      <c r="BB763" s="780"/>
      <c r="BC763" s="780"/>
      <c r="BD763" s="541"/>
      <c r="BE763" s="541"/>
      <c r="BF763" s="541"/>
      <c r="BG763" s="541"/>
      <c r="BH763" s="780"/>
      <c r="BI763" s="780"/>
      <c r="BJ763" s="780"/>
      <c r="BK763" s="780"/>
      <c r="BL763" s="780"/>
      <c r="BM763" s="780"/>
    </row>
    <row r="764" ht="12.75" customHeight="1">
      <c r="A764" s="521"/>
      <c r="B764" s="521"/>
      <c r="C764" s="515"/>
      <c r="D764" s="515"/>
      <c r="E764" s="515"/>
      <c r="F764" s="515"/>
      <c r="G764" s="515"/>
      <c r="H764" s="515"/>
      <c r="I764" s="515"/>
      <c r="J764" s="515"/>
      <c r="K764" s="515"/>
      <c r="L764" s="515"/>
      <c r="M764" s="515"/>
      <c r="N764" s="515"/>
      <c r="O764" s="533"/>
      <c r="P764" s="786"/>
      <c r="Q764" s="787"/>
      <c r="R764" s="787"/>
      <c r="S764" s="787"/>
      <c r="T764" s="786"/>
      <c r="U764" s="787"/>
      <c r="V764" s="787"/>
      <c r="W764" s="787"/>
      <c r="X764" s="786"/>
      <c r="Y764" s="787"/>
      <c r="Z764" s="787"/>
      <c r="AA764" s="787"/>
      <c r="AB764" s="786"/>
      <c r="AC764" s="787"/>
      <c r="AD764" s="787"/>
      <c r="AE764" s="787"/>
      <c r="AF764" s="786"/>
      <c r="AG764" s="787"/>
      <c r="AH764" s="787"/>
      <c r="AI764" s="787"/>
      <c r="AJ764" s="786"/>
      <c r="AK764" s="787"/>
      <c r="AL764" s="787"/>
      <c r="AM764" s="787"/>
      <c r="AN764" s="786"/>
      <c r="AO764" s="787"/>
      <c r="AP764" s="787"/>
      <c r="AQ764" s="787"/>
      <c r="AR764" s="786"/>
      <c r="AS764" s="787"/>
      <c r="AT764" s="787"/>
      <c r="AU764" s="787"/>
      <c r="AV764" s="786"/>
      <c r="AW764" s="787"/>
      <c r="AX764" s="787"/>
      <c r="AY764" s="787"/>
      <c r="AZ764" s="780"/>
      <c r="BA764" s="780"/>
      <c r="BB764" s="780"/>
      <c r="BC764" s="780"/>
      <c r="BD764" s="541"/>
      <c r="BE764" s="541"/>
      <c r="BF764" s="541"/>
      <c r="BG764" s="541"/>
      <c r="BH764" s="780"/>
      <c r="BI764" s="780"/>
      <c r="BJ764" s="780"/>
      <c r="BK764" s="780"/>
      <c r="BL764" s="780"/>
      <c r="BM764" s="780"/>
    </row>
    <row r="765" ht="12.75" customHeight="1">
      <c r="A765" s="521"/>
      <c r="B765" s="521"/>
      <c r="C765" s="515"/>
      <c r="D765" s="515"/>
      <c r="E765" s="515"/>
      <c r="F765" s="515"/>
      <c r="G765" s="515"/>
      <c r="H765" s="515"/>
      <c r="I765" s="515"/>
      <c r="J765" s="515"/>
      <c r="K765" s="515"/>
      <c r="L765" s="515"/>
      <c r="M765" s="515"/>
      <c r="N765" s="515"/>
      <c r="O765" s="533"/>
      <c r="P765" s="786"/>
      <c r="Q765" s="787"/>
      <c r="R765" s="787"/>
      <c r="S765" s="787"/>
      <c r="T765" s="786"/>
      <c r="U765" s="787"/>
      <c r="V765" s="787"/>
      <c r="W765" s="787"/>
      <c r="X765" s="786"/>
      <c r="Y765" s="787"/>
      <c r="Z765" s="787"/>
      <c r="AA765" s="787"/>
      <c r="AB765" s="786"/>
      <c r="AC765" s="787"/>
      <c r="AD765" s="787"/>
      <c r="AE765" s="787"/>
      <c r="AF765" s="786"/>
      <c r="AG765" s="787"/>
      <c r="AH765" s="787"/>
      <c r="AI765" s="787"/>
      <c r="AJ765" s="786"/>
      <c r="AK765" s="787"/>
      <c r="AL765" s="787"/>
      <c r="AM765" s="787"/>
      <c r="AN765" s="786"/>
      <c r="AO765" s="787"/>
      <c r="AP765" s="787"/>
      <c r="AQ765" s="787"/>
      <c r="AR765" s="786"/>
      <c r="AS765" s="787"/>
      <c r="AT765" s="787"/>
      <c r="AU765" s="787"/>
      <c r="AV765" s="786"/>
      <c r="AW765" s="787"/>
      <c r="AX765" s="787"/>
      <c r="AY765" s="787"/>
      <c r="AZ765" s="780"/>
      <c r="BA765" s="780"/>
      <c r="BB765" s="780"/>
      <c r="BC765" s="780"/>
      <c r="BD765" s="541"/>
      <c r="BE765" s="541"/>
      <c r="BF765" s="541"/>
      <c r="BG765" s="541"/>
      <c r="BH765" s="780"/>
      <c r="BI765" s="780"/>
      <c r="BJ765" s="780"/>
      <c r="BK765" s="780"/>
      <c r="BL765" s="780"/>
      <c r="BM765" s="780"/>
    </row>
    <row r="766" ht="12.75" customHeight="1">
      <c r="A766" s="521"/>
      <c r="B766" s="521"/>
      <c r="C766" s="515"/>
      <c r="D766" s="515"/>
      <c r="E766" s="515"/>
      <c r="F766" s="515"/>
      <c r="G766" s="515"/>
      <c r="H766" s="515"/>
      <c r="I766" s="515"/>
      <c r="J766" s="515"/>
      <c r="K766" s="515"/>
      <c r="L766" s="515"/>
      <c r="M766" s="515"/>
      <c r="N766" s="515"/>
      <c r="O766" s="533"/>
      <c r="P766" s="786"/>
      <c r="Q766" s="787"/>
      <c r="R766" s="787"/>
      <c r="S766" s="787"/>
      <c r="T766" s="786"/>
      <c r="U766" s="787"/>
      <c r="V766" s="787"/>
      <c r="W766" s="787"/>
      <c r="X766" s="786"/>
      <c r="Y766" s="787"/>
      <c r="Z766" s="787"/>
      <c r="AA766" s="787"/>
      <c r="AB766" s="786"/>
      <c r="AC766" s="787"/>
      <c r="AD766" s="787"/>
      <c r="AE766" s="787"/>
      <c r="AF766" s="786"/>
      <c r="AG766" s="787"/>
      <c r="AH766" s="787"/>
      <c r="AI766" s="787"/>
      <c r="AJ766" s="786"/>
      <c r="AK766" s="787"/>
      <c r="AL766" s="787"/>
      <c r="AM766" s="787"/>
      <c r="AN766" s="786"/>
      <c r="AO766" s="787"/>
      <c r="AP766" s="787"/>
      <c r="AQ766" s="787"/>
      <c r="AR766" s="786"/>
      <c r="AS766" s="787"/>
      <c r="AT766" s="787"/>
      <c r="AU766" s="787"/>
      <c r="AV766" s="786"/>
      <c r="AW766" s="787"/>
      <c r="AX766" s="787"/>
      <c r="AY766" s="787"/>
      <c r="AZ766" s="780"/>
      <c r="BA766" s="780"/>
      <c r="BB766" s="780"/>
      <c r="BC766" s="780"/>
      <c r="BD766" s="541"/>
      <c r="BE766" s="541"/>
      <c r="BF766" s="541"/>
      <c r="BG766" s="541"/>
      <c r="BH766" s="780"/>
      <c r="BI766" s="780"/>
      <c r="BJ766" s="780"/>
      <c r="BK766" s="780"/>
      <c r="BL766" s="780"/>
      <c r="BM766" s="780"/>
    </row>
    <row r="767" ht="12.75" customHeight="1">
      <c r="A767" s="521"/>
      <c r="B767" s="521"/>
      <c r="C767" s="515"/>
      <c r="D767" s="515"/>
      <c r="E767" s="515"/>
      <c r="F767" s="515"/>
      <c r="G767" s="515"/>
      <c r="H767" s="515"/>
      <c r="I767" s="515"/>
      <c r="J767" s="515"/>
      <c r="K767" s="515"/>
      <c r="L767" s="515"/>
      <c r="M767" s="515"/>
      <c r="N767" s="515"/>
      <c r="O767" s="533"/>
      <c r="P767" s="786"/>
      <c r="Q767" s="787"/>
      <c r="R767" s="787"/>
      <c r="S767" s="787"/>
      <c r="T767" s="786"/>
      <c r="U767" s="787"/>
      <c r="V767" s="787"/>
      <c r="W767" s="787"/>
      <c r="X767" s="786"/>
      <c r="Y767" s="787"/>
      <c r="Z767" s="787"/>
      <c r="AA767" s="787"/>
      <c r="AB767" s="786"/>
      <c r="AC767" s="787"/>
      <c r="AD767" s="787"/>
      <c r="AE767" s="787"/>
      <c r="AF767" s="786"/>
      <c r="AG767" s="787"/>
      <c r="AH767" s="787"/>
      <c r="AI767" s="787"/>
      <c r="AJ767" s="786"/>
      <c r="AK767" s="787"/>
      <c r="AL767" s="787"/>
      <c r="AM767" s="787"/>
      <c r="AN767" s="786"/>
      <c r="AO767" s="787"/>
      <c r="AP767" s="787"/>
      <c r="AQ767" s="787"/>
      <c r="AR767" s="786"/>
      <c r="AS767" s="787"/>
      <c r="AT767" s="787"/>
      <c r="AU767" s="787"/>
      <c r="AV767" s="786"/>
      <c r="AW767" s="787"/>
      <c r="AX767" s="787"/>
      <c r="AY767" s="787"/>
      <c r="AZ767" s="780"/>
      <c r="BA767" s="780"/>
      <c r="BB767" s="780"/>
      <c r="BC767" s="780"/>
      <c r="BD767" s="541"/>
      <c r="BE767" s="541"/>
      <c r="BF767" s="541"/>
      <c r="BG767" s="541"/>
      <c r="BH767" s="780"/>
      <c r="BI767" s="780"/>
      <c r="BJ767" s="780"/>
      <c r="BK767" s="780"/>
      <c r="BL767" s="780"/>
      <c r="BM767" s="780"/>
    </row>
    <row r="768" ht="12.75" customHeight="1">
      <c r="A768" s="521"/>
      <c r="B768" s="521"/>
      <c r="C768" s="515"/>
      <c r="D768" s="515"/>
      <c r="E768" s="515"/>
      <c r="F768" s="515"/>
      <c r="G768" s="515"/>
      <c r="H768" s="515"/>
      <c r="I768" s="515"/>
      <c r="J768" s="515"/>
      <c r="K768" s="515"/>
      <c r="L768" s="515"/>
      <c r="M768" s="515"/>
      <c r="N768" s="515"/>
      <c r="O768" s="533"/>
      <c r="P768" s="786"/>
      <c r="Q768" s="787"/>
      <c r="R768" s="787"/>
      <c r="S768" s="787"/>
      <c r="T768" s="786"/>
      <c r="U768" s="787"/>
      <c r="V768" s="787"/>
      <c r="W768" s="787"/>
      <c r="X768" s="786"/>
      <c r="Y768" s="787"/>
      <c r="Z768" s="787"/>
      <c r="AA768" s="787"/>
      <c r="AB768" s="786"/>
      <c r="AC768" s="787"/>
      <c r="AD768" s="787"/>
      <c r="AE768" s="787"/>
      <c r="AF768" s="786"/>
      <c r="AG768" s="787"/>
      <c r="AH768" s="787"/>
      <c r="AI768" s="787"/>
      <c r="AJ768" s="786"/>
      <c r="AK768" s="787"/>
      <c r="AL768" s="787"/>
      <c r="AM768" s="787"/>
      <c r="AN768" s="786"/>
      <c r="AO768" s="787"/>
      <c r="AP768" s="787"/>
      <c r="AQ768" s="787"/>
      <c r="AR768" s="786"/>
      <c r="AS768" s="787"/>
      <c r="AT768" s="787"/>
      <c r="AU768" s="787"/>
      <c r="AV768" s="786"/>
      <c r="AW768" s="787"/>
      <c r="AX768" s="787"/>
      <c r="AY768" s="787"/>
      <c r="AZ768" s="780"/>
      <c r="BA768" s="780"/>
      <c r="BB768" s="780"/>
      <c r="BC768" s="780"/>
      <c r="BD768" s="541"/>
      <c r="BE768" s="541"/>
      <c r="BF768" s="541"/>
      <c r="BG768" s="541"/>
      <c r="BH768" s="780"/>
      <c r="BI768" s="780"/>
      <c r="BJ768" s="780"/>
      <c r="BK768" s="780"/>
      <c r="BL768" s="780"/>
      <c r="BM768" s="780"/>
    </row>
    <row r="769" ht="12.75" customHeight="1">
      <c r="A769" s="521"/>
      <c r="B769" s="521"/>
      <c r="C769" s="515"/>
      <c r="D769" s="515"/>
      <c r="E769" s="515"/>
      <c r="F769" s="515"/>
      <c r="G769" s="515"/>
      <c r="H769" s="515"/>
      <c r="I769" s="515"/>
      <c r="J769" s="515"/>
      <c r="K769" s="515"/>
      <c r="L769" s="515"/>
      <c r="M769" s="515"/>
      <c r="N769" s="515"/>
      <c r="O769" s="533"/>
      <c r="P769" s="786"/>
      <c r="Q769" s="787"/>
      <c r="R769" s="787"/>
      <c r="S769" s="787"/>
      <c r="T769" s="786"/>
      <c r="U769" s="787"/>
      <c r="V769" s="787"/>
      <c r="W769" s="787"/>
      <c r="X769" s="786"/>
      <c r="Y769" s="787"/>
      <c r="Z769" s="787"/>
      <c r="AA769" s="787"/>
      <c r="AB769" s="786"/>
      <c r="AC769" s="787"/>
      <c r="AD769" s="787"/>
      <c r="AE769" s="787"/>
      <c r="AF769" s="786"/>
      <c r="AG769" s="787"/>
      <c r="AH769" s="787"/>
      <c r="AI769" s="787"/>
      <c r="AJ769" s="786"/>
      <c r="AK769" s="787"/>
      <c r="AL769" s="787"/>
      <c r="AM769" s="787"/>
      <c r="AN769" s="786"/>
      <c r="AO769" s="787"/>
      <c r="AP769" s="787"/>
      <c r="AQ769" s="787"/>
      <c r="AR769" s="786"/>
      <c r="AS769" s="787"/>
      <c r="AT769" s="787"/>
      <c r="AU769" s="787"/>
      <c r="AV769" s="786"/>
      <c r="AW769" s="787"/>
      <c r="AX769" s="787"/>
      <c r="AY769" s="787"/>
      <c r="AZ769" s="780"/>
      <c r="BA769" s="780"/>
      <c r="BB769" s="780"/>
      <c r="BC769" s="780"/>
      <c r="BD769" s="541"/>
      <c r="BE769" s="541"/>
      <c r="BF769" s="541"/>
      <c r="BG769" s="541"/>
      <c r="BH769" s="780"/>
      <c r="BI769" s="780"/>
      <c r="BJ769" s="780"/>
      <c r="BK769" s="780"/>
      <c r="BL769" s="780"/>
      <c r="BM769" s="780"/>
    </row>
    <row r="770" ht="12.75" customHeight="1">
      <c r="A770" s="521"/>
      <c r="B770" s="521"/>
      <c r="C770" s="515"/>
      <c r="D770" s="515"/>
      <c r="E770" s="515"/>
      <c r="F770" s="515"/>
      <c r="G770" s="515"/>
      <c r="H770" s="515"/>
      <c r="I770" s="515"/>
      <c r="J770" s="515"/>
      <c r="K770" s="515"/>
      <c r="L770" s="515"/>
      <c r="M770" s="515"/>
      <c r="N770" s="515"/>
      <c r="O770" s="533"/>
      <c r="P770" s="786"/>
      <c r="Q770" s="787"/>
      <c r="R770" s="787"/>
      <c r="S770" s="787"/>
      <c r="T770" s="786"/>
      <c r="U770" s="787"/>
      <c r="V770" s="787"/>
      <c r="W770" s="787"/>
      <c r="X770" s="786"/>
      <c r="Y770" s="787"/>
      <c r="Z770" s="787"/>
      <c r="AA770" s="787"/>
      <c r="AB770" s="786"/>
      <c r="AC770" s="787"/>
      <c r="AD770" s="787"/>
      <c r="AE770" s="787"/>
      <c r="AF770" s="786"/>
      <c r="AG770" s="787"/>
      <c r="AH770" s="787"/>
      <c r="AI770" s="787"/>
      <c r="AJ770" s="786"/>
      <c r="AK770" s="787"/>
      <c r="AL770" s="787"/>
      <c r="AM770" s="787"/>
      <c r="AN770" s="786"/>
      <c r="AO770" s="787"/>
      <c r="AP770" s="787"/>
      <c r="AQ770" s="787"/>
      <c r="AR770" s="786"/>
      <c r="AS770" s="787"/>
      <c r="AT770" s="787"/>
      <c r="AU770" s="787"/>
      <c r="AV770" s="786"/>
      <c r="AW770" s="787"/>
      <c r="AX770" s="787"/>
      <c r="AY770" s="787"/>
      <c r="AZ770" s="780"/>
      <c r="BA770" s="780"/>
      <c r="BB770" s="780"/>
      <c r="BC770" s="780"/>
      <c r="BD770" s="541"/>
      <c r="BE770" s="541"/>
      <c r="BF770" s="541"/>
      <c r="BG770" s="541"/>
      <c r="BH770" s="780"/>
      <c r="BI770" s="780"/>
      <c r="BJ770" s="780"/>
      <c r="BK770" s="780"/>
      <c r="BL770" s="780"/>
      <c r="BM770" s="780"/>
    </row>
    <row r="771" ht="12.75" customHeight="1">
      <c r="A771" s="521"/>
      <c r="B771" s="521"/>
      <c r="C771" s="515"/>
      <c r="D771" s="515"/>
      <c r="E771" s="515"/>
      <c r="F771" s="515"/>
      <c r="G771" s="515"/>
      <c r="H771" s="515"/>
      <c r="I771" s="515"/>
      <c r="J771" s="515"/>
      <c r="K771" s="515"/>
      <c r="L771" s="515"/>
      <c r="M771" s="515"/>
      <c r="N771" s="515"/>
      <c r="O771" s="533"/>
      <c r="P771" s="786"/>
      <c r="Q771" s="787"/>
      <c r="R771" s="787"/>
      <c r="S771" s="787"/>
      <c r="T771" s="786"/>
      <c r="U771" s="787"/>
      <c r="V771" s="787"/>
      <c r="W771" s="787"/>
      <c r="X771" s="786"/>
      <c r="Y771" s="787"/>
      <c r="Z771" s="787"/>
      <c r="AA771" s="787"/>
      <c r="AB771" s="786"/>
      <c r="AC771" s="787"/>
      <c r="AD771" s="787"/>
      <c r="AE771" s="787"/>
      <c r="AF771" s="786"/>
      <c r="AG771" s="787"/>
      <c r="AH771" s="787"/>
      <c r="AI771" s="787"/>
      <c r="AJ771" s="786"/>
      <c r="AK771" s="787"/>
      <c r="AL771" s="787"/>
      <c r="AM771" s="787"/>
      <c r="AN771" s="786"/>
      <c r="AO771" s="787"/>
      <c r="AP771" s="787"/>
      <c r="AQ771" s="787"/>
      <c r="AR771" s="786"/>
      <c r="AS771" s="787"/>
      <c r="AT771" s="787"/>
      <c r="AU771" s="787"/>
      <c r="AV771" s="786"/>
      <c r="AW771" s="787"/>
      <c r="AX771" s="787"/>
      <c r="AY771" s="787"/>
      <c r="AZ771" s="780"/>
      <c r="BA771" s="780"/>
      <c r="BB771" s="780"/>
      <c r="BC771" s="780"/>
      <c r="BD771" s="541"/>
      <c r="BE771" s="541"/>
      <c r="BF771" s="541"/>
      <c r="BG771" s="541"/>
      <c r="BH771" s="780"/>
      <c r="BI771" s="780"/>
      <c r="BJ771" s="780"/>
      <c r="BK771" s="780"/>
      <c r="BL771" s="780"/>
      <c r="BM771" s="780"/>
    </row>
    <row r="772" ht="12.75" customHeight="1">
      <c r="A772" s="521"/>
      <c r="B772" s="521"/>
      <c r="C772" s="515"/>
      <c r="D772" s="515"/>
      <c r="E772" s="515"/>
      <c r="F772" s="515"/>
      <c r="G772" s="515"/>
      <c r="H772" s="515"/>
      <c r="I772" s="515"/>
      <c r="J772" s="515"/>
      <c r="K772" s="515"/>
      <c r="L772" s="515"/>
      <c r="M772" s="515"/>
      <c r="N772" s="515"/>
      <c r="O772" s="533"/>
      <c r="P772" s="786"/>
      <c r="Q772" s="787"/>
      <c r="R772" s="787"/>
      <c r="S772" s="787"/>
      <c r="T772" s="786"/>
      <c r="U772" s="787"/>
      <c r="V772" s="787"/>
      <c r="W772" s="787"/>
      <c r="X772" s="786"/>
      <c r="Y772" s="787"/>
      <c r="Z772" s="787"/>
      <c r="AA772" s="787"/>
      <c r="AB772" s="786"/>
      <c r="AC772" s="787"/>
      <c r="AD772" s="787"/>
      <c r="AE772" s="787"/>
      <c r="AF772" s="786"/>
      <c r="AG772" s="787"/>
      <c r="AH772" s="787"/>
      <c r="AI772" s="787"/>
      <c r="AJ772" s="786"/>
      <c r="AK772" s="787"/>
      <c r="AL772" s="787"/>
      <c r="AM772" s="787"/>
      <c r="AN772" s="786"/>
      <c r="AO772" s="787"/>
      <c r="AP772" s="787"/>
      <c r="AQ772" s="787"/>
      <c r="AR772" s="786"/>
      <c r="AS772" s="787"/>
      <c r="AT772" s="787"/>
      <c r="AU772" s="787"/>
      <c r="AV772" s="786"/>
      <c r="AW772" s="787"/>
      <c r="AX772" s="787"/>
      <c r="AY772" s="787"/>
      <c r="AZ772" s="780"/>
      <c r="BA772" s="780"/>
      <c r="BB772" s="780"/>
      <c r="BC772" s="780"/>
      <c r="BD772" s="541"/>
      <c r="BE772" s="541"/>
      <c r="BF772" s="541"/>
      <c r="BG772" s="541"/>
      <c r="BH772" s="780"/>
      <c r="BI772" s="780"/>
      <c r="BJ772" s="780"/>
      <c r="BK772" s="780"/>
      <c r="BL772" s="780"/>
      <c r="BM772" s="780"/>
    </row>
    <row r="773" ht="12.75" customHeight="1">
      <c r="A773" s="521"/>
      <c r="B773" s="521"/>
      <c r="C773" s="515"/>
      <c r="D773" s="515"/>
      <c r="E773" s="515"/>
      <c r="F773" s="515"/>
      <c r="G773" s="515"/>
      <c r="H773" s="515"/>
      <c r="I773" s="515"/>
      <c r="J773" s="515"/>
      <c r="K773" s="515"/>
      <c r="L773" s="515"/>
      <c r="M773" s="515"/>
      <c r="N773" s="515"/>
      <c r="O773" s="533"/>
      <c r="P773" s="786"/>
      <c r="Q773" s="787"/>
      <c r="R773" s="787"/>
      <c r="S773" s="787"/>
      <c r="T773" s="786"/>
      <c r="U773" s="787"/>
      <c r="V773" s="787"/>
      <c r="W773" s="787"/>
      <c r="X773" s="786"/>
      <c r="Y773" s="787"/>
      <c r="Z773" s="787"/>
      <c r="AA773" s="787"/>
      <c r="AB773" s="786"/>
      <c r="AC773" s="787"/>
      <c r="AD773" s="787"/>
      <c r="AE773" s="787"/>
      <c r="AF773" s="786"/>
      <c r="AG773" s="787"/>
      <c r="AH773" s="787"/>
      <c r="AI773" s="787"/>
      <c r="AJ773" s="786"/>
      <c r="AK773" s="787"/>
      <c r="AL773" s="787"/>
      <c r="AM773" s="787"/>
      <c r="AN773" s="786"/>
      <c r="AO773" s="787"/>
      <c r="AP773" s="787"/>
      <c r="AQ773" s="787"/>
      <c r="AR773" s="786"/>
      <c r="AS773" s="787"/>
      <c r="AT773" s="787"/>
      <c r="AU773" s="787"/>
      <c r="AV773" s="786"/>
      <c r="AW773" s="787"/>
      <c r="AX773" s="787"/>
      <c r="AY773" s="787"/>
      <c r="AZ773" s="780"/>
      <c r="BA773" s="780"/>
      <c r="BB773" s="780"/>
      <c r="BC773" s="780"/>
      <c r="BD773" s="541"/>
      <c r="BE773" s="541"/>
      <c r="BF773" s="541"/>
      <c r="BG773" s="541"/>
      <c r="BH773" s="780"/>
      <c r="BI773" s="780"/>
      <c r="BJ773" s="780"/>
      <c r="BK773" s="780"/>
      <c r="BL773" s="780"/>
      <c r="BM773" s="780"/>
    </row>
    <row r="774" ht="12.75" customHeight="1">
      <c r="A774" s="521"/>
      <c r="B774" s="521"/>
      <c r="C774" s="515"/>
      <c r="D774" s="515"/>
      <c r="E774" s="515"/>
      <c r="F774" s="515"/>
      <c r="G774" s="515"/>
      <c r="H774" s="515"/>
      <c r="I774" s="515"/>
      <c r="J774" s="515"/>
      <c r="K774" s="515"/>
      <c r="L774" s="515"/>
      <c r="M774" s="515"/>
      <c r="N774" s="515"/>
      <c r="O774" s="533"/>
      <c r="P774" s="786"/>
      <c r="Q774" s="787"/>
      <c r="R774" s="787"/>
      <c r="S774" s="787"/>
      <c r="T774" s="786"/>
      <c r="U774" s="787"/>
      <c r="V774" s="787"/>
      <c r="W774" s="787"/>
      <c r="X774" s="786"/>
      <c r="Y774" s="787"/>
      <c r="Z774" s="787"/>
      <c r="AA774" s="787"/>
      <c r="AB774" s="786"/>
      <c r="AC774" s="787"/>
      <c r="AD774" s="787"/>
      <c r="AE774" s="787"/>
      <c r="AF774" s="786"/>
      <c r="AG774" s="787"/>
      <c r="AH774" s="787"/>
      <c r="AI774" s="787"/>
      <c r="AJ774" s="786"/>
      <c r="AK774" s="787"/>
      <c r="AL774" s="787"/>
      <c r="AM774" s="787"/>
      <c r="AN774" s="786"/>
      <c r="AO774" s="787"/>
      <c r="AP774" s="787"/>
      <c r="AQ774" s="787"/>
      <c r="AR774" s="786"/>
      <c r="AS774" s="787"/>
      <c r="AT774" s="787"/>
      <c r="AU774" s="787"/>
      <c r="AV774" s="786"/>
      <c r="AW774" s="787"/>
      <c r="AX774" s="787"/>
      <c r="AY774" s="787"/>
      <c r="AZ774" s="780"/>
      <c r="BA774" s="780"/>
      <c r="BB774" s="780"/>
      <c r="BC774" s="780"/>
      <c r="BD774" s="541"/>
      <c r="BE774" s="541"/>
      <c r="BF774" s="541"/>
      <c r="BG774" s="541"/>
      <c r="BH774" s="780"/>
      <c r="BI774" s="780"/>
      <c r="BJ774" s="780"/>
      <c r="BK774" s="780"/>
      <c r="BL774" s="780"/>
      <c r="BM774" s="780"/>
    </row>
    <row r="775" ht="12.75" customHeight="1">
      <c r="A775" s="521"/>
      <c r="B775" s="521"/>
      <c r="C775" s="515"/>
      <c r="D775" s="515"/>
      <c r="E775" s="515"/>
      <c r="F775" s="515"/>
      <c r="G775" s="515"/>
      <c r="H775" s="515"/>
      <c r="I775" s="515"/>
      <c r="J775" s="515"/>
      <c r="K775" s="515"/>
      <c r="L775" s="515"/>
      <c r="M775" s="515"/>
      <c r="N775" s="515"/>
      <c r="O775" s="533"/>
      <c r="P775" s="786"/>
      <c r="Q775" s="787"/>
      <c r="R775" s="787"/>
      <c r="S775" s="787"/>
      <c r="T775" s="786"/>
      <c r="U775" s="787"/>
      <c r="V775" s="787"/>
      <c r="W775" s="787"/>
      <c r="X775" s="786"/>
      <c r="Y775" s="787"/>
      <c r="Z775" s="787"/>
      <c r="AA775" s="787"/>
      <c r="AB775" s="786"/>
      <c r="AC775" s="787"/>
      <c r="AD775" s="787"/>
      <c r="AE775" s="787"/>
      <c r="AF775" s="786"/>
      <c r="AG775" s="787"/>
      <c r="AH775" s="787"/>
      <c r="AI775" s="787"/>
      <c r="AJ775" s="786"/>
      <c r="AK775" s="787"/>
      <c r="AL775" s="787"/>
      <c r="AM775" s="787"/>
      <c r="AN775" s="786"/>
      <c r="AO775" s="787"/>
      <c r="AP775" s="787"/>
      <c r="AQ775" s="787"/>
      <c r="AR775" s="786"/>
      <c r="AS775" s="787"/>
      <c r="AT775" s="787"/>
      <c r="AU775" s="787"/>
      <c r="AV775" s="786"/>
      <c r="AW775" s="787"/>
      <c r="AX775" s="787"/>
      <c r="AY775" s="787"/>
      <c r="AZ775" s="780"/>
      <c r="BA775" s="780"/>
      <c r="BB775" s="780"/>
      <c r="BC775" s="780"/>
      <c r="BD775" s="541"/>
      <c r="BE775" s="541"/>
      <c r="BF775" s="541"/>
      <c r="BG775" s="541"/>
      <c r="BH775" s="780"/>
      <c r="BI775" s="780"/>
      <c r="BJ775" s="780"/>
      <c r="BK775" s="780"/>
      <c r="BL775" s="780"/>
      <c r="BM775" s="780"/>
    </row>
    <row r="776" ht="12.75" customHeight="1">
      <c r="A776" s="521"/>
      <c r="B776" s="521"/>
      <c r="C776" s="515"/>
      <c r="D776" s="515"/>
      <c r="E776" s="515"/>
      <c r="F776" s="515"/>
      <c r="G776" s="515"/>
      <c r="H776" s="515"/>
      <c r="I776" s="515"/>
      <c r="J776" s="515"/>
      <c r="K776" s="515"/>
      <c r="L776" s="515"/>
      <c r="M776" s="515"/>
      <c r="N776" s="515"/>
      <c r="O776" s="533"/>
      <c r="P776" s="786"/>
      <c r="Q776" s="787"/>
      <c r="R776" s="787"/>
      <c r="S776" s="787"/>
      <c r="T776" s="786"/>
      <c r="U776" s="787"/>
      <c r="V776" s="787"/>
      <c r="W776" s="787"/>
      <c r="X776" s="786"/>
      <c r="Y776" s="787"/>
      <c r="Z776" s="787"/>
      <c r="AA776" s="787"/>
      <c r="AB776" s="786"/>
      <c r="AC776" s="787"/>
      <c r="AD776" s="787"/>
      <c r="AE776" s="787"/>
      <c r="AF776" s="786"/>
      <c r="AG776" s="787"/>
      <c r="AH776" s="787"/>
      <c r="AI776" s="787"/>
      <c r="AJ776" s="786"/>
      <c r="AK776" s="787"/>
      <c r="AL776" s="787"/>
      <c r="AM776" s="787"/>
      <c r="AN776" s="786"/>
      <c r="AO776" s="787"/>
      <c r="AP776" s="787"/>
      <c r="AQ776" s="787"/>
      <c r="AR776" s="786"/>
      <c r="AS776" s="787"/>
      <c r="AT776" s="787"/>
      <c r="AU776" s="787"/>
      <c r="AV776" s="786"/>
      <c r="AW776" s="787"/>
      <c r="AX776" s="787"/>
      <c r="AY776" s="787"/>
      <c r="AZ776" s="780"/>
      <c r="BA776" s="780"/>
      <c r="BB776" s="780"/>
      <c r="BC776" s="780"/>
      <c r="BD776" s="541"/>
      <c r="BE776" s="541"/>
      <c r="BF776" s="541"/>
      <c r="BG776" s="541"/>
      <c r="BH776" s="780"/>
      <c r="BI776" s="780"/>
      <c r="BJ776" s="780"/>
      <c r="BK776" s="780"/>
      <c r="BL776" s="780"/>
      <c r="BM776" s="780"/>
    </row>
    <row r="777" ht="12.75" customHeight="1">
      <c r="A777" s="521"/>
      <c r="B777" s="521"/>
      <c r="C777" s="515"/>
      <c r="D777" s="515"/>
      <c r="E777" s="515"/>
      <c r="F777" s="515"/>
      <c r="G777" s="515"/>
      <c r="H777" s="515"/>
      <c r="I777" s="515"/>
      <c r="J777" s="515"/>
      <c r="K777" s="515"/>
      <c r="L777" s="515"/>
      <c r="M777" s="515"/>
      <c r="N777" s="515"/>
      <c r="O777" s="533"/>
      <c r="P777" s="786"/>
      <c r="Q777" s="787"/>
      <c r="R777" s="787"/>
      <c r="S777" s="787"/>
      <c r="T777" s="786"/>
      <c r="U777" s="787"/>
      <c r="V777" s="787"/>
      <c r="W777" s="787"/>
      <c r="X777" s="786"/>
      <c r="Y777" s="787"/>
      <c r="Z777" s="787"/>
      <c r="AA777" s="787"/>
      <c r="AB777" s="786"/>
      <c r="AC777" s="787"/>
      <c r="AD777" s="787"/>
      <c r="AE777" s="787"/>
      <c r="AF777" s="786"/>
      <c r="AG777" s="787"/>
      <c r="AH777" s="787"/>
      <c r="AI777" s="787"/>
      <c r="AJ777" s="786"/>
      <c r="AK777" s="787"/>
      <c r="AL777" s="787"/>
      <c r="AM777" s="787"/>
      <c r="AN777" s="786"/>
      <c r="AO777" s="787"/>
      <c r="AP777" s="787"/>
      <c r="AQ777" s="787"/>
      <c r="AR777" s="786"/>
      <c r="AS777" s="787"/>
      <c r="AT777" s="787"/>
      <c r="AU777" s="787"/>
      <c r="AV777" s="786"/>
      <c r="AW777" s="787"/>
      <c r="AX777" s="787"/>
      <c r="AY777" s="787"/>
      <c r="AZ777" s="780"/>
      <c r="BA777" s="780"/>
      <c r="BB777" s="780"/>
      <c r="BC777" s="780"/>
      <c r="BD777" s="541"/>
      <c r="BE777" s="541"/>
      <c r="BF777" s="541"/>
      <c r="BG777" s="541"/>
      <c r="BH777" s="780"/>
      <c r="BI777" s="780"/>
      <c r="BJ777" s="780"/>
      <c r="BK777" s="780"/>
      <c r="BL777" s="780"/>
      <c r="BM777" s="780"/>
    </row>
    <row r="778" ht="12.75" customHeight="1">
      <c r="A778" s="521"/>
      <c r="B778" s="521"/>
      <c r="C778" s="515"/>
      <c r="D778" s="515"/>
      <c r="E778" s="515"/>
      <c r="F778" s="515"/>
      <c r="G778" s="515"/>
      <c r="H778" s="515"/>
      <c r="I778" s="515"/>
      <c r="J778" s="515"/>
      <c r="K778" s="515"/>
      <c r="L778" s="515"/>
      <c r="M778" s="515"/>
      <c r="N778" s="515"/>
      <c r="O778" s="533"/>
      <c r="P778" s="786"/>
      <c r="Q778" s="787"/>
      <c r="R778" s="787"/>
      <c r="S778" s="787"/>
      <c r="T778" s="786"/>
      <c r="U778" s="787"/>
      <c r="V778" s="787"/>
      <c r="W778" s="787"/>
      <c r="X778" s="786"/>
      <c r="Y778" s="787"/>
      <c r="Z778" s="787"/>
      <c r="AA778" s="787"/>
      <c r="AB778" s="786"/>
      <c r="AC778" s="787"/>
      <c r="AD778" s="787"/>
      <c r="AE778" s="787"/>
      <c r="AF778" s="786"/>
      <c r="AG778" s="787"/>
      <c r="AH778" s="787"/>
      <c r="AI778" s="787"/>
      <c r="AJ778" s="786"/>
      <c r="AK778" s="787"/>
      <c r="AL778" s="787"/>
      <c r="AM778" s="787"/>
      <c r="AN778" s="786"/>
      <c r="AO778" s="787"/>
      <c r="AP778" s="787"/>
      <c r="AQ778" s="787"/>
      <c r="AR778" s="786"/>
      <c r="AS778" s="787"/>
      <c r="AT778" s="787"/>
      <c r="AU778" s="787"/>
      <c r="AV778" s="786"/>
      <c r="AW778" s="787"/>
      <c r="AX778" s="787"/>
      <c r="AY778" s="787"/>
      <c r="AZ778" s="780"/>
      <c r="BA778" s="780"/>
      <c r="BB778" s="780"/>
      <c r="BC778" s="780"/>
      <c r="BD778" s="541"/>
      <c r="BE778" s="541"/>
      <c r="BF778" s="541"/>
      <c r="BG778" s="541"/>
      <c r="BH778" s="780"/>
      <c r="BI778" s="780"/>
      <c r="BJ778" s="780"/>
      <c r="BK778" s="780"/>
      <c r="BL778" s="780"/>
      <c r="BM778" s="780"/>
    </row>
    <row r="779" ht="12.75" customHeight="1">
      <c r="A779" s="521"/>
      <c r="B779" s="521"/>
      <c r="C779" s="515"/>
      <c r="D779" s="515"/>
      <c r="E779" s="515"/>
      <c r="F779" s="515"/>
      <c r="G779" s="515"/>
      <c r="H779" s="515"/>
      <c r="I779" s="515"/>
      <c r="J779" s="515"/>
      <c r="K779" s="515"/>
      <c r="L779" s="515"/>
      <c r="M779" s="515"/>
      <c r="N779" s="515"/>
      <c r="O779" s="533"/>
      <c r="P779" s="786"/>
      <c r="Q779" s="787"/>
      <c r="R779" s="787"/>
      <c r="S779" s="787"/>
      <c r="T779" s="786"/>
      <c r="U779" s="787"/>
      <c r="V779" s="787"/>
      <c r="W779" s="787"/>
      <c r="X779" s="786"/>
      <c r="Y779" s="787"/>
      <c r="Z779" s="787"/>
      <c r="AA779" s="787"/>
      <c r="AB779" s="786"/>
      <c r="AC779" s="787"/>
      <c r="AD779" s="787"/>
      <c r="AE779" s="787"/>
      <c r="AF779" s="786"/>
      <c r="AG779" s="787"/>
      <c r="AH779" s="787"/>
      <c r="AI779" s="787"/>
      <c r="AJ779" s="786"/>
      <c r="AK779" s="787"/>
      <c r="AL779" s="787"/>
      <c r="AM779" s="787"/>
      <c r="AN779" s="786"/>
      <c r="AO779" s="787"/>
      <c r="AP779" s="787"/>
      <c r="AQ779" s="787"/>
      <c r="AR779" s="786"/>
      <c r="AS779" s="787"/>
      <c r="AT779" s="787"/>
      <c r="AU779" s="787"/>
      <c r="AV779" s="786"/>
      <c r="AW779" s="787"/>
      <c r="AX779" s="787"/>
      <c r="AY779" s="787"/>
      <c r="AZ779" s="780"/>
      <c r="BA779" s="780"/>
      <c r="BB779" s="780"/>
      <c r="BC779" s="780"/>
      <c r="BD779" s="541"/>
      <c r="BE779" s="541"/>
      <c r="BF779" s="541"/>
      <c r="BG779" s="541"/>
      <c r="BH779" s="780"/>
      <c r="BI779" s="780"/>
      <c r="BJ779" s="780"/>
      <c r="BK779" s="780"/>
      <c r="BL779" s="780"/>
      <c r="BM779" s="780"/>
    </row>
    <row r="780" ht="12.75" customHeight="1">
      <c r="A780" s="521"/>
      <c r="B780" s="521"/>
      <c r="C780" s="515"/>
      <c r="D780" s="515"/>
      <c r="E780" s="515"/>
      <c r="F780" s="515"/>
      <c r="G780" s="515"/>
      <c r="H780" s="515"/>
      <c r="I780" s="515"/>
      <c r="J780" s="515"/>
      <c r="K780" s="515"/>
      <c r="L780" s="515"/>
      <c r="M780" s="515"/>
      <c r="N780" s="515"/>
      <c r="O780" s="533"/>
      <c r="P780" s="786"/>
      <c r="Q780" s="787"/>
      <c r="R780" s="787"/>
      <c r="S780" s="787"/>
      <c r="T780" s="786"/>
      <c r="U780" s="787"/>
      <c r="V780" s="787"/>
      <c r="W780" s="787"/>
      <c r="X780" s="786"/>
      <c r="Y780" s="787"/>
      <c r="Z780" s="787"/>
      <c r="AA780" s="787"/>
      <c r="AB780" s="786"/>
      <c r="AC780" s="787"/>
      <c r="AD780" s="787"/>
      <c r="AE780" s="787"/>
      <c r="AF780" s="786"/>
      <c r="AG780" s="787"/>
      <c r="AH780" s="787"/>
      <c r="AI780" s="787"/>
      <c r="AJ780" s="786"/>
      <c r="AK780" s="787"/>
      <c r="AL780" s="787"/>
      <c r="AM780" s="787"/>
      <c r="AN780" s="786"/>
      <c r="AO780" s="787"/>
      <c r="AP780" s="787"/>
      <c r="AQ780" s="787"/>
      <c r="AR780" s="786"/>
      <c r="AS780" s="787"/>
      <c r="AT780" s="787"/>
      <c r="AU780" s="787"/>
      <c r="AV780" s="786"/>
      <c r="AW780" s="787"/>
      <c r="AX780" s="787"/>
      <c r="AY780" s="787"/>
      <c r="AZ780" s="780"/>
      <c r="BA780" s="780"/>
      <c r="BB780" s="780"/>
      <c r="BC780" s="780"/>
      <c r="BD780" s="541"/>
      <c r="BE780" s="541"/>
      <c r="BF780" s="541"/>
      <c r="BG780" s="541"/>
      <c r="BH780" s="780"/>
      <c r="BI780" s="780"/>
      <c r="BJ780" s="780"/>
      <c r="BK780" s="780"/>
      <c r="BL780" s="780"/>
      <c r="BM780" s="780"/>
    </row>
    <row r="781" ht="12.75" customHeight="1">
      <c r="A781" s="521"/>
      <c r="B781" s="521"/>
      <c r="C781" s="515"/>
      <c r="D781" s="515"/>
      <c r="E781" s="515"/>
      <c r="F781" s="515"/>
      <c r="G781" s="515"/>
      <c r="H781" s="515"/>
      <c r="I781" s="515"/>
      <c r="J781" s="515"/>
      <c r="K781" s="515"/>
      <c r="L781" s="515"/>
      <c r="M781" s="515"/>
      <c r="N781" s="515"/>
      <c r="O781" s="533"/>
      <c r="P781" s="786"/>
      <c r="Q781" s="787"/>
      <c r="R781" s="787"/>
      <c r="S781" s="787"/>
      <c r="T781" s="786"/>
      <c r="U781" s="787"/>
      <c r="V781" s="787"/>
      <c r="W781" s="787"/>
      <c r="X781" s="786"/>
      <c r="Y781" s="787"/>
      <c r="Z781" s="787"/>
      <c r="AA781" s="787"/>
      <c r="AB781" s="786"/>
      <c r="AC781" s="787"/>
      <c r="AD781" s="787"/>
      <c r="AE781" s="787"/>
      <c r="AF781" s="786"/>
      <c r="AG781" s="787"/>
      <c r="AH781" s="787"/>
      <c r="AI781" s="787"/>
      <c r="AJ781" s="786"/>
      <c r="AK781" s="787"/>
      <c r="AL781" s="787"/>
      <c r="AM781" s="787"/>
      <c r="AN781" s="786"/>
      <c r="AO781" s="787"/>
      <c r="AP781" s="787"/>
      <c r="AQ781" s="787"/>
      <c r="AR781" s="786"/>
      <c r="AS781" s="787"/>
      <c r="AT781" s="787"/>
      <c r="AU781" s="787"/>
      <c r="AV781" s="786"/>
      <c r="AW781" s="787"/>
      <c r="AX781" s="787"/>
      <c r="AY781" s="787"/>
      <c r="AZ781" s="780"/>
      <c r="BA781" s="780"/>
      <c r="BB781" s="780"/>
      <c r="BC781" s="780"/>
      <c r="BD781" s="541"/>
      <c r="BE781" s="541"/>
      <c r="BF781" s="541"/>
      <c r="BG781" s="541"/>
      <c r="BH781" s="780"/>
      <c r="BI781" s="780"/>
      <c r="BJ781" s="780"/>
      <c r="BK781" s="780"/>
      <c r="BL781" s="780"/>
      <c r="BM781" s="780"/>
    </row>
    <row r="782" ht="12.75" customHeight="1">
      <c r="A782" s="521"/>
      <c r="B782" s="521"/>
      <c r="C782" s="515"/>
      <c r="D782" s="515"/>
      <c r="E782" s="515"/>
      <c r="F782" s="515"/>
      <c r="G782" s="515"/>
      <c r="H782" s="515"/>
      <c r="I782" s="515"/>
      <c r="J782" s="515"/>
      <c r="K782" s="515"/>
      <c r="L782" s="515"/>
      <c r="M782" s="515"/>
      <c r="N782" s="515"/>
      <c r="O782" s="533"/>
      <c r="P782" s="786"/>
      <c r="Q782" s="787"/>
      <c r="R782" s="787"/>
      <c r="S782" s="787"/>
      <c r="T782" s="786"/>
      <c r="U782" s="787"/>
      <c r="V782" s="787"/>
      <c r="W782" s="787"/>
      <c r="X782" s="786"/>
      <c r="Y782" s="787"/>
      <c r="Z782" s="787"/>
      <c r="AA782" s="787"/>
      <c r="AB782" s="786"/>
      <c r="AC782" s="787"/>
      <c r="AD782" s="787"/>
      <c r="AE782" s="787"/>
      <c r="AF782" s="786"/>
      <c r="AG782" s="787"/>
      <c r="AH782" s="787"/>
      <c r="AI782" s="787"/>
      <c r="AJ782" s="786"/>
      <c r="AK782" s="787"/>
      <c r="AL782" s="787"/>
      <c r="AM782" s="787"/>
      <c r="AN782" s="786"/>
      <c r="AO782" s="787"/>
      <c r="AP782" s="787"/>
      <c r="AQ782" s="787"/>
      <c r="AR782" s="786"/>
      <c r="AS782" s="787"/>
      <c r="AT782" s="787"/>
      <c r="AU782" s="787"/>
      <c r="AV782" s="786"/>
      <c r="AW782" s="787"/>
      <c r="AX782" s="787"/>
      <c r="AY782" s="787"/>
      <c r="AZ782" s="780"/>
      <c r="BA782" s="780"/>
      <c r="BB782" s="780"/>
      <c r="BC782" s="780"/>
      <c r="BD782" s="541"/>
      <c r="BE782" s="541"/>
      <c r="BF782" s="541"/>
      <c r="BG782" s="541"/>
      <c r="BH782" s="780"/>
      <c r="BI782" s="780"/>
      <c r="BJ782" s="780"/>
      <c r="BK782" s="780"/>
      <c r="BL782" s="780"/>
      <c r="BM782" s="780"/>
    </row>
    <row r="783" ht="12.75" customHeight="1">
      <c r="A783" s="521"/>
      <c r="B783" s="521"/>
      <c r="C783" s="515"/>
      <c r="D783" s="515"/>
      <c r="E783" s="515"/>
      <c r="F783" s="515"/>
      <c r="G783" s="515"/>
      <c r="H783" s="515"/>
      <c r="I783" s="515"/>
      <c r="J783" s="515"/>
      <c r="K783" s="515"/>
      <c r="L783" s="515"/>
      <c r="M783" s="515"/>
      <c r="N783" s="515"/>
      <c r="O783" s="533"/>
      <c r="P783" s="786"/>
      <c r="Q783" s="787"/>
      <c r="R783" s="787"/>
      <c r="S783" s="787"/>
      <c r="T783" s="786"/>
      <c r="U783" s="787"/>
      <c r="V783" s="787"/>
      <c r="W783" s="787"/>
      <c r="X783" s="786"/>
      <c r="Y783" s="787"/>
      <c r="Z783" s="787"/>
      <c r="AA783" s="787"/>
      <c r="AB783" s="786"/>
      <c r="AC783" s="787"/>
      <c r="AD783" s="787"/>
      <c r="AE783" s="787"/>
      <c r="AF783" s="786"/>
      <c r="AG783" s="787"/>
      <c r="AH783" s="787"/>
      <c r="AI783" s="787"/>
      <c r="AJ783" s="786"/>
      <c r="AK783" s="787"/>
      <c r="AL783" s="787"/>
      <c r="AM783" s="787"/>
      <c r="AN783" s="786"/>
      <c r="AO783" s="787"/>
      <c r="AP783" s="787"/>
      <c r="AQ783" s="787"/>
      <c r="AR783" s="786"/>
      <c r="AS783" s="787"/>
      <c r="AT783" s="787"/>
      <c r="AU783" s="787"/>
      <c r="AV783" s="786"/>
      <c r="AW783" s="787"/>
      <c r="AX783" s="787"/>
      <c r="AY783" s="787"/>
      <c r="AZ783" s="780"/>
      <c r="BA783" s="780"/>
      <c r="BB783" s="780"/>
      <c r="BC783" s="780"/>
      <c r="BD783" s="541"/>
      <c r="BE783" s="541"/>
      <c r="BF783" s="541"/>
      <c r="BG783" s="541"/>
      <c r="BH783" s="780"/>
      <c r="BI783" s="780"/>
      <c r="BJ783" s="780"/>
      <c r="BK783" s="780"/>
      <c r="BL783" s="780"/>
      <c r="BM783" s="780"/>
    </row>
    <row r="784" ht="12.75" customHeight="1">
      <c r="A784" s="521"/>
      <c r="B784" s="521"/>
      <c r="C784" s="515"/>
      <c r="D784" s="515"/>
      <c r="E784" s="515"/>
      <c r="F784" s="515"/>
      <c r="G784" s="515"/>
      <c r="H784" s="515"/>
      <c r="I784" s="515"/>
      <c r="J784" s="515"/>
      <c r="K784" s="515"/>
      <c r="L784" s="515"/>
      <c r="M784" s="515"/>
      <c r="N784" s="515"/>
      <c r="O784" s="533"/>
      <c r="P784" s="786"/>
      <c r="Q784" s="787"/>
      <c r="R784" s="787"/>
      <c r="S784" s="787"/>
      <c r="T784" s="786"/>
      <c r="U784" s="787"/>
      <c r="V784" s="787"/>
      <c r="W784" s="787"/>
      <c r="X784" s="786"/>
      <c r="Y784" s="787"/>
      <c r="Z784" s="787"/>
      <c r="AA784" s="787"/>
      <c r="AB784" s="786"/>
      <c r="AC784" s="787"/>
      <c r="AD784" s="787"/>
      <c r="AE784" s="787"/>
      <c r="AF784" s="786"/>
      <c r="AG784" s="787"/>
      <c r="AH784" s="787"/>
      <c r="AI784" s="787"/>
      <c r="AJ784" s="786"/>
      <c r="AK784" s="787"/>
      <c r="AL784" s="787"/>
      <c r="AM784" s="787"/>
      <c r="AN784" s="786"/>
      <c r="AO784" s="787"/>
      <c r="AP784" s="787"/>
      <c r="AQ784" s="787"/>
      <c r="AR784" s="786"/>
      <c r="AS784" s="787"/>
      <c r="AT784" s="787"/>
      <c r="AU784" s="787"/>
      <c r="AV784" s="786"/>
      <c r="AW784" s="787"/>
      <c r="AX784" s="787"/>
      <c r="AY784" s="787"/>
      <c r="AZ784" s="780"/>
      <c r="BA784" s="780"/>
      <c r="BB784" s="780"/>
      <c r="BC784" s="780"/>
      <c r="BD784" s="541"/>
      <c r="BE784" s="541"/>
      <c r="BF784" s="541"/>
      <c r="BG784" s="541"/>
      <c r="BH784" s="780"/>
      <c r="BI784" s="780"/>
      <c r="BJ784" s="780"/>
      <c r="BK784" s="780"/>
      <c r="BL784" s="780"/>
      <c r="BM784" s="780"/>
    </row>
    <row r="785" ht="12.75" customHeight="1">
      <c r="A785" s="521"/>
      <c r="B785" s="521"/>
      <c r="C785" s="515"/>
      <c r="D785" s="515"/>
      <c r="E785" s="515"/>
      <c r="F785" s="515"/>
      <c r="G785" s="515"/>
      <c r="H785" s="515"/>
      <c r="I785" s="515"/>
      <c r="J785" s="515"/>
      <c r="K785" s="515"/>
      <c r="L785" s="515"/>
      <c r="M785" s="515"/>
      <c r="N785" s="515"/>
      <c r="O785" s="533"/>
      <c r="P785" s="786"/>
      <c r="Q785" s="787"/>
      <c r="R785" s="787"/>
      <c r="S785" s="787"/>
      <c r="T785" s="786"/>
      <c r="U785" s="787"/>
      <c r="V785" s="787"/>
      <c r="W785" s="787"/>
      <c r="X785" s="786"/>
      <c r="Y785" s="787"/>
      <c r="Z785" s="787"/>
      <c r="AA785" s="787"/>
      <c r="AB785" s="786"/>
      <c r="AC785" s="787"/>
      <c r="AD785" s="787"/>
      <c r="AE785" s="787"/>
      <c r="AF785" s="786"/>
      <c r="AG785" s="787"/>
      <c r="AH785" s="787"/>
      <c r="AI785" s="787"/>
      <c r="AJ785" s="786"/>
      <c r="AK785" s="787"/>
      <c r="AL785" s="787"/>
      <c r="AM785" s="787"/>
      <c r="AN785" s="786"/>
      <c r="AO785" s="787"/>
      <c r="AP785" s="787"/>
      <c r="AQ785" s="787"/>
      <c r="AR785" s="786"/>
      <c r="AS785" s="787"/>
      <c r="AT785" s="787"/>
      <c r="AU785" s="787"/>
      <c r="AV785" s="786"/>
      <c r="AW785" s="787"/>
      <c r="AX785" s="787"/>
      <c r="AY785" s="787"/>
      <c r="AZ785" s="780"/>
      <c r="BA785" s="780"/>
      <c r="BB785" s="780"/>
      <c r="BC785" s="780"/>
      <c r="BD785" s="541"/>
      <c r="BE785" s="541"/>
      <c r="BF785" s="541"/>
      <c r="BG785" s="541"/>
      <c r="BH785" s="780"/>
      <c r="BI785" s="780"/>
      <c r="BJ785" s="780"/>
      <c r="BK785" s="780"/>
      <c r="BL785" s="780"/>
      <c r="BM785" s="780"/>
    </row>
    <row r="786" ht="12.75" customHeight="1">
      <c r="A786" s="521"/>
      <c r="B786" s="521"/>
      <c r="C786" s="515"/>
      <c r="D786" s="515"/>
      <c r="E786" s="515"/>
      <c r="F786" s="515"/>
      <c r="G786" s="515"/>
      <c r="H786" s="515"/>
      <c r="I786" s="515"/>
      <c r="J786" s="515"/>
      <c r="K786" s="515"/>
      <c r="L786" s="515"/>
      <c r="M786" s="515"/>
      <c r="N786" s="515"/>
      <c r="O786" s="533"/>
      <c r="P786" s="786"/>
      <c r="Q786" s="787"/>
      <c r="R786" s="787"/>
      <c r="S786" s="787"/>
      <c r="T786" s="786"/>
      <c r="U786" s="787"/>
      <c r="V786" s="787"/>
      <c r="W786" s="787"/>
      <c r="X786" s="786"/>
      <c r="Y786" s="787"/>
      <c r="Z786" s="787"/>
      <c r="AA786" s="787"/>
      <c r="AB786" s="786"/>
      <c r="AC786" s="787"/>
      <c r="AD786" s="787"/>
      <c r="AE786" s="787"/>
      <c r="AF786" s="786"/>
      <c r="AG786" s="787"/>
      <c r="AH786" s="787"/>
      <c r="AI786" s="787"/>
      <c r="AJ786" s="786"/>
      <c r="AK786" s="787"/>
      <c r="AL786" s="787"/>
      <c r="AM786" s="787"/>
      <c r="AN786" s="786"/>
      <c r="AO786" s="787"/>
      <c r="AP786" s="787"/>
      <c r="AQ786" s="787"/>
      <c r="AR786" s="786"/>
      <c r="AS786" s="787"/>
      <c r="AT786" s="787"/>
      <c r="AU786" s="787"/>
      <c r="AV786" s="786"/>
      <c r="AW786" s="787"/>
      <c r="AX786" s="787"/>
      <c r="AY786" s="787"/>
      <c r="AZ786" s="780"/>
      <c r="BA786" s="780"/>
      <c r="BB786" s="780"/>
      <c r="BC786" s="780"/>
      <c r="BD786" s="541"/>
      <c r="BE786" s="541"/>
      <c r="BF786" s="541"/>
      <c r="BG786" s="541"/>
      <c r="BH786" s="780"/>
      <c r="BI786" s="780"/>
      <c r="BJ786" s="780"/>
      <c r="BK786" s="780"/>
      <c r="BL786" s="780"/>
      <c r="BM786" s="780"/>
    </row>
    <row r="787" ht="12.75" customHeight="1">
      <c r="A787" s="521"/>
      <c r="B787" s="521"/>
      <c r="C787" s="515"/>
      <c r="D787" s="515"/>
      <c r="E787" s="515"/>
      <c r="F787" s="515"/>
      <c r="G787" s="515"/>
      <c r="H787" s="515"/>
      <c r="I787" s="515"/>
      <c r="J787" s="515"/>
      <c r="K787" s="515"/>
      <c r="L787" s="515"/>
      <c r="M787" s="515"/>
      <c r="N787" s="515"/>
      <c r="O787" s="533"/>
      <c r="P787" s="786"/>
      <c r="Q787" s="787"/>
      <c r="R787" s="787"/>
      <c r="S787" s="787"/>
      <c r="T787" s="786"/>
      <c r="U787" s="787"/>
      <c r="V787" s="787"/>
      <c r="W787" s="787"/>
      <c r="X787" s="786"/>
      <c r="Y787" s="787"/>
      <c r="Z787" s="787"/>
      <c r="AA787" s="787"/>
      <c r="AB787" s="786"/>
      <c r="AC787" s="787"/>
      <c r="AD787" s="787"/>
      <c r="AE787" s="787"/>
      <c r="AF787" s="786"/>
      <c r="AG787" s="787"/>
      <c r="AH787" s="787"/>
      <c r="AI787" s="787"/>
      <c r="AJ787" s="786"/>
      <c r="AK787" s="787"/>
      <c r="AL787" s="787"/>
      <c r="AM787" s="787"/>
      <c r="AN787" s="786"/>
      <c r="AO787" s="787"/>
      <c r="AP787" s="787"/>
      <c r="AQ787" s="787"/>
      <c r="AR787" s="786"/>
      <c r="AS787" s="787"/>
      <c r="AT787" s="787"/>
      <c r="AU787" s="787"/>
      <c r="AV787" s="786"/>
      <c r="AW787" s="787"/>
      <c r="AX787" s="787"/>
      <c r="AY787" s="787"/>
      <c r="AZ787" s="780"/>
      <c r="BA787" s="780"/>
      <c r="BB787" s="780"/>
      <c r="BC787" s="780"/>
      <c r="BD787" s="541"/>
      <c r="BE787" s="541"/>
      <c r="BF787" s="541"/>
      <c r="BG787" s="541"/>
      <c r="BH787" s="780"/>
      <c r="BI787" s="780"/>
      <c r="BJ787" s="780"/>
      <c r="BK787" s="780"/>
      <c r="BL787" s="780"/>
      <c r="BM787" s="780"/>
    </row>
    <row r="788" ht="12.75" customHeight="1">
      <c r="A788" s="521"/>
      <c r="B788" s="521"/>
      <c r="C788" s="515"/>
      <c r="D788" s="515"/>
      <c r="E788" s="515"/>
      <c r="F788" s="515"/>
      <c r="G788" s="515"/>
      <c r="H788" s="515"/>
      <c r="I788" s="515"/>
      <c r="J788" s="515"/>
      <c r="K788" s="515"/>
      <c r="L788" s="515"/>
      <c r="M788" s="515"/>
      <c r="N788" s="515"/>
      <c r="O788" s="533"/>
      <c r="P788" s="786"/>
      <c r="Q788" s="787"/>
      <c r="R788" s="787"/>
      <c r="S788" s="787"/>
      <c r="T788" s="786"/>
      <c r="U788" s="787"/>
      <c r="V788" s="787"/>
      <c r="W788" s="787"/>
      <c r="X788" s="786"/>
      <c r="Y788" s="787"/>
      <c r="Z788" s="787"/>
      <c r="AA788" s="787"/>
      <c r="AB788" s="786"/>
      <c r="AC788" s="787"/>
      <c r="AD788" s="787"/>
      <c r="AE788" s="787"/>
      <c r="AF788" s="786"/>
      <c r="AG788" s="787"/>
      <c r="AH788" s="787"/>
      <c r="AI788" s="787"/>
      <c r="AJ788" s="786"/>
      <c r="AK788" s="787"/>
      <c r="AL788" s="787"/>
      <c r="AM788" s="787"/>
      <c r="AN788" s="786"/>
      <c r="AO788" s="787"/>
      <c r="AP788" s="787"/>
      <c r="AQ788" s="787"/>
      <c r="AR788" s="786"/>
      <c r="AS788" s="787"/>
      <c r="AT788" s="787"/>
      <c r="AU788" s="787"/>
      <c r="AV788" s="786"/>
      <c r="AW788" s="787"/>
      <c r="AX788" s="787"/>
      <c r="AY788" s="787"/>
      <c r="AZ788" s="780"/>
      <c r="BA788" s="780"/>
      <c r="BB788" s="780"/>
      <c r="BC788" s="780"/>
      <c r="BD788" s="541"/>
      <c r="BE788" s="541"/>
      <c r="BF788" s="541"/>
      <c r="BG788" s="541"/>
      <c r="BH788" s="780"/>
      <c r="BI788" s="780"/>
      <c r="BJ788" s="780"/>
      <c r="BK788" s="780"/>
      <c r="BL788" s="780"/>
      <c r="BM788" s="780"/>
    </row>
    <row r="789" ht="12.75" customHeight="1">
      <c r="A789" s="521"/>
      <c r="B789" s="521"/>
      <c r="C789" s="515"/>
      <c r="D789" s="515"/>
      <c r="E789" s="515"/>
      <c r="F789" s="515"/>
      <c r="G789" s="515"/>
      <c r="H789" s="515"/>
      <c r="I789" s="515"/>
      <c r="J789" s="515"/>
      <c r="K789" s="515"/>
      <c r="L789" s="515"/>
      <c r="M789" s="515"/>
      <c r="N789" s="515"/>
      <c r="O789" s="533"/>
      <c r="P789" s="786"/>
      <c r="Q789" s="787"/>
      <c r="R789" s="787"/>
      <c r="S789" s="787"/>
      <c r="T789" s="786"/>
      <c r="U789" s="787"/>
      <c r="V789" s="787"/>
      <c r="W789" s="787"/>
      <c r="X789" s="786"/>
      <c r="Y789" s="787"/>
      <c r="Z789" s="787"/>
      <c r="AA789" s="787"/>
      <c r="AB789" s="786"/>
      <c r="AC789" s="787"/>
      <c r="AD789" s="787"/>
      <c r="AE789" s="787"/>
      <c r="AF789" s="786"/>
      <c r="AG789" s="787"/>
      <c r="AH789" s="787"/>
      <c r="AI789" s="787"/>
      <c r="AJ789" s="786"/>
      <c r="AK789" s="787"/>
      <c r="AL789" s="787"/>
      <c r="AM789" s="787"/>
      <c r="AN789" s="786"/>
      <c r="AO789" s="787"/>
      <c r="AP789" s="787"/>
      <c r="AQ789" s="787"/>
      <c r="AR789" s="786"/>
      <c r="AS789" s="787"/>
      <c r="AT789" s="787"/>
      <c r="AU789" s="787"/>
      <c r="AV789" s="786"/>
      <c r="AW789" s="787"/>
      <c r="AX789" s="787"/>
      <c r="AY789" s="787"/>
      <c r="AZ789" s="780"/>
      <c r="BA789" s="780"/>
      <c r="BB789" s="780"/>
      <c r="BC789" s="780"/>
      <c r="BD789" s="541"/>
      <c r="BE789" s="541"/>
      <c r="BF789" s="541"/>
      <c r="BG789" s="541"/>
      <c r="BH789" s="780"/>
      <c r="BI789" s="780"/>
      <c r="BJ789" s="780"/>
      <c r="BK789" s="780"/>
      <c r="BL789" s="780"/>
      <c r="BM789" s="780"/>
    </row>
    <row r="790" ht="12.75" customHeight="1">
      <c r="A790" s="521"/>
      <c r="B790" s="521"/>
      <c r="C790" s="515"/>
      <c r="D790" s="515"/>
      <c r="E790" s="515"/>
      <c r="F790" s="515"/>
      <c r="G790" s="515"/>
      <c r="H790" s="515"/>
      <c r="I790" s="515"/>
      <c r="J790" s="515"/>
      <c r="K790" s="515"/>
      <c r="L790" s="515"/>
      <c r="M790" s="515"/>
      <c r="N790" s="515"/>
      <c r="O790" s="533"/>
      <c r="P790" s="786"/>
      <c r="Q790" s="787"/>
      <c r="R790" s="787"/>
      <c r="S790" s="787"/>
      <c r="T790" s="786"/>
      <c r="U790" s="787"/>
      <c r="V790" s="787"/>
      <c r="W790" s="787"/>
      <c r="X790" s="786"/>
      <c r="Y790" s="787"/>
      <c r="Z790" s="787"/>
      <c r="AA790" s="787"/>
      <c r="AB790" s="786"/>
      <c r="AC790" s="787"/>
      <c r="AD790" s="787"/>
      <c r="AE790" s="787"/>
      <c r="AF790" s="786"/>
      <c r="AG790" s="787"/>
      <c r="AH790" s="787"/>
      <c r="AI790" s="787"/>
      <c r="AJ790" s="786"/>
      <c r="AK790" s="787"/>
      <c r="AL790" s="787"/>
      <c r="AM790" s="787"/>
      <c r="AN790" s="786"/>
      <c r="AO790" s="787"/>
      <c r="AP790" s="787"/>
      <c r="AQ790" s="787"/>
      <c r="AR790" s="786"/>
      <c r="AS790" s="787"/>
      <c r="AT790" s="787"/>
      <c r="AU790" s="787"/>
      <c r="AV790" s="786"/>
      <c r="AW790" s="787"/>
      <c r="AX790" s="787"/>
      <c r="AY790" s="787"/>
      <c r="AZ790" s="780"/>
      <c r="BA790" s="780"/>
      <c r="BB790" s="780"/>
      <c r="BC790" s="780"/>
      <c r="BD790" s="541"/>
      <c r="BE790" s="541"/>
      <c r="BF790" s="541"/>
      <c r="BG790" s="541"/>
      <c r="BH790" s="780"/>
      <c r="BI790" s="780"/>
      <c r="BJ790" s="780"/>
      <c r="BK790" s="780"/>
      <c r="BL790" s="780"/>
      <c r="BM790" s="780"/>
    </row>
    <row r="791" ht="12.75" customHeight="1">
      <c r="A791" s="521"/>
      <c r="B791" s="521"/>
      <c r="C791" s="515"/>
      <c r="D791" s="515"/>
      <c r="E791" s="515"/>
      <c r="F791" s="515"/>
      <c r="G791" s="515"/>
      <c r="H791" s="515"/>
      <c r="I791" s="515"/>
      <c r="J791" s="515"/>
      <c r="K791" s="515"/>
      <c r="L791" s="515"/>
      <c r="M791" s="515"/>
      <c r="N791" s="515"/>
      <c r="O791" s="533"/>
      <c r="P791" s="786"/>
      <c r="Q791" s="787"/>
      <c r="R791" s="787"/>
      <c r="S791" s="787"/>
      <c r="T791" s="786"/>
      <c r="U791" s="787"/>
      <c r="V791" s="787"/>
      <c r="W791" s="787"/>
      <c r="X791" s="786"/>
      <c r="Y791" s="787"/>
      <c r="Z791" s="787"/>
      <c r="AA791" s="787"/>
      <c r="AB791" s="786"/>
      <c r="AC791" s="787"/>
      <c r="AD791" s="787"/>
      <c r="AE791" s="787"/>
      <c r="AF791" s="786"/>
      <c r="AG791" s="787"/>
      <c r="AH791" s="787"/>
      <c r="AI791" s="787"/>
      <c r="AJ791" s="786"/>
      <c r="AK791" s="787"/>
      <c r="AL791" s="787"/>
      <c r="AM791" s="787"/>
      <c r="AN791" s="786"/>
      <c r="AO791" s="787"/>
      <c r="AP791" s="787"/>
      <c r="AQ791" s="787"/>
      <c r="AR791" s="786"/>
      <c r="AS791" s="787"/>
      <c r="AT791" s="787"/>
      <c r="AU791" s="787"/>
      <c r="AV791" s="786"/>
      <c r="AW791" s="787"/>
      <c r="AX791" s="787"/>
      <c r="AY791" s="787"/>
      <c r="AZ791" s="780"/>
      <c r="BA791" s="780"/>
      <c r="BB791" s="780"/>
      <c r="BC791" s="780"/>
      <c r="BD791" s="541"/>
      <c r="BE791" s="541"/>
      <c r="BF791" s="541"/>
      <c r="BG791" s="541"/>
      <c r="BH791" s="780"/>
      <c r="BI791" s="780"/>
      <c r="BJ791" s="780"/>
      <c r="BK791" s="780"/>
      <c r="BL791" s="780"/>
      <c r="BM791" s="780"/>
    </row>
    <row r="792" ht="12.75" customHeight="1">
      <c r="A792" s="521"/>
      <c r="B792" s="521"/>
      <c r="C792" s="515"/>
      <c r="D792" s="515"/>
      <c r="E792" s="515"/>
      <c r="F792" s="515"/>
      <c r="G792" s="515"/>
      <c r="H792" s="515"/>
      <c r="I792" s="515"/>
      <c r="J792" s="515"/>
      <c r="K792" s="515"/>
      <c r="L792" s="515"/>
      <c r="M792" s="515"/>
      <c r="N792" s="515"/>
      <c r="O792" s="533"/>
      <c r="P792" s="786"/>
      <c r="Q792" s="787"/>
      <c r="R792" s="787"/>
      <c r="S792" s="787"/>
      <c r="T792" s="786"/>
      <c r="U792" s="787"/>
      <c r="V792" s="787"/>
      <c r="W792" s="787"/>
      <c r="X792" s="786"/>
      <c r="Y792" s="787"/>
      <c r="Z792" s="787"/>
      <c r="AA792" s="787"/>
      <c r="AB792" s="786"/>
      <c r="AC792" s="787"/>
      <c r="AD792" s="787"/>
      <c r="AE792" s="787"/>
      <c r="AF792" s="786"/>
      <c r="AG792" s="787"/>
      <c r="AH792" s="787"/>
      <c r="AI792" s="787"/>
      <c r="AJ792" s="786"/>
      <c r="AK792" s="787"/>
      <c r="AL792" s="787"/>
      <c r="AM792" s="787"/>
      <c r="AN792" s="786"/>
      <c r="AO792" s="787"/>
      <c r="AP792" s="787"/>
      <c r="AQ792" s="787"/>
      <c r="AR792" s="786"/>
      <c r="AS792" s="787"/>
      <c r="AT792" s="787"/>
      <c r="AU792" s="787"/>
      <c r="AV792" s="786"/>
      <c r="AW792" s="787"/>
      <c r="AX792" s="787"/>
      <c r="AY792" s="787"/>
      <c r="AZ792" s="780"/>
      <c r="BA792" s="780"/>
      <c r="BB792" s="780"/>
      <c r="BC792" s="780"/>
      <c r="BD792" s="541"/>
      <c r="BE792" s="541"/>
      <c r="BF792" s="541"/>
      <c r="BG792" s="541"/>
      <c r="BH792" s="780"/>
      <c r="BI792" s="780"/>
      <c r="BJ792" s="780"/>
      <c r="BK792" s="780"/>
      <c r="BL792" s="780"/>
      <c r="BM792" s="780"/>
    </row>
    <row r="793" ht="12.75" customHeight="1">
      <c r="A793" s="521"/>
      <c r="B793" s="521"/>
      <c r="C793" s="515"/>
      <c r="D793" s="515"/>
      <c r="E793" s="515"/>
      <c r="F793" s="515"/>
      <c r="G793" s="515"/>
      <c r="H793" s="515"/>
      <c r="I793" s="515"/>
      <c r="J793" s="515"/>
      <c r="K793" s="515"/>
      <c r="L793" s="515"/>
      <c r="M793" s="515"/>
      <c r="N793" s="515"/>
      <c r="O793" s="533"/>
      <c r="P793" s="786"/>
      <c r="Q793" s="787"/>
      <c r="R793" s="787"/>
      <c r="S793" s="787"/>
      <c r="T793" s="786"/>
      <c r="U793" s="787"/>
      <c r="V793" s="787"/>
      <c r="W793" s="787"/>
      <c r="X793" s="786"/>
      <c r="Y793" s="787"/>
      <c r="Z793" s="787"/>
      <c r="AA793" s="787"/>
      <c r="AB793" s="786"/>
      <c r="AC793" s="787"/>
      <c r="AD793" s="787"/>
      <c r="AE793" s="787"/>
      <c r="AF793" s="786"/>
      <c r="AG793" s="787"/>
      <c r="AH793" s="787"/>
      <c r="AI793" s="787"/>
      <c r="AJ793" s="786"/>
      <c r="AK793" s="787"/>
      <c r="AL793" s="787"/>
      <c r="AM793" s="787"/>
      <c r="AN793" s="786"/>
      <c r="AO793" s="787"/>
      <c r="AP793" s="787"/>
      <c r="AQ793" s="787"/>
      <c r="AR793" s="786"/>
      <c r="AS793" s="787"/>
      <c r="AT793" s="787"/>
      <c r="AU793" s="787"/>
      <c r="AV793" s="786"/>
      <c r="AW793" s="787"/>
      <c r="AX793" s="787"/>
      <c r="AY793" s="787"/>
      <c r="AZ793" s="780"/>
      <c r="BA793" s="780"/>
      <c r="BB793" s="780"/>
      <c r="BC793" s="780"/>
      <c r="BD793" s="541"/>
      <c r="BE793" s="541"/>
      <c r="BF793" s="541"/>
      <c r="BG793" s="541"/>
      <c r="BH793" s="780"/>
      <c r="BI793" s="780"/>
      <c r="BJ793" s="780"/>
      <c r="BK793" s="780"/>
      <c r="BL793" s="780"/>
      <c r="BM793" s="780"/>
    </row>
    <row r="794" ht="12.75" customHeight="1">
      <c r="A794" s="521"/>
      <c r="B794" s="521"/>
      <c r="C794" s="515"/>
      <c r="D794" s="515"/>
      <c r="E794" s="515"/>
      <c r="F794" s="515"/>
      <c r="G794" s="515"/>
      <c r="H794" s="515"/>
      <c r="I794" s="515"/>
      <c r="J794" s="515"/>
      <c r="K794" s="515"/>
      <c r="L794" s="515"/>
      <c r="M794" s="515"/>
      <c r="N794" s="515"/>
      <c r="O794" s="533"/>
      <c r="P794" s="786"/>
      <c r="Q794" s="787"/>
      <c r="R794" s="787"/>
      <c r="S794" s="787"/>
      <c r="T794" s="786"/>
      <c r="U794" s="787"/>
      <c r="V794" s="787"/>
      <c r="W794" s="787"/>
      <c r="X794" s="786"/>
      <c r="Y794" s="787"/>
      <c r="Z794" s="787"/>
      <c r="AA794" s="787"/>
      <c r="AB794" s="786"/>
      <c r="AC794" s="787"/>
      <c r="AD794" s="787"/>
      <c r="AE794" s="787"/>
      <c r="AF794" s="786"/>
      <c r="AG794" s="787"/>
      <c r="AH794" s="787"/>
      <c r="AI794" s="787"/>
      <c r="AJ794" s="786"/>
      <c r="AK794" s="787"/>
      <c r="AL794" s="787"/>
      <c r="AM794" s="787"/>
      <c r="AN794" s="786"/>
      <c r="AO794" s="787"/>
      <c r="AP794" s="787"/>
      <c r="AQ794" s="787"/>
      <c r="AR794" s="786"/>
      <c r="AS794" s="787"/>
      <c r="AT794" s="787"/>
      <c r="AU794" s="787"/>
      <c r="AV794" s="786"/>
      <c r="AW794" s="787"/>
      <c r="AX794" s="787"/>
      <c r="AY794" s="787"/>
      <c r="AZ794" s="780"/>
      <c r="BA794" s="780"/>
      <c r="BB794" s="780"/>
      <c r="BC794" s="780"/>
      <c r="BD794" s="541"/>
      <c r="BE794" s="541"/>
      <c r="BF794" s="541"/>
      <c r="BG794" s="541"/>
      <c r="BH794" s="780"/>
      <c r="BI794" s="780"/>
      <c r="BJ794" s="780"/>
      <c r="BK794" s="780"/>
      <c r="BL794" s="780"/>
      <c r="BM794" s="780"/>
    </row>
    <row r="795" ht="12.75" customHeight="1">
      <c r="A795" s="521"/>
      <c r="B795" s="521"/>
      <c r="C795" s="515"/>
      <c r="D795" s="515"/>
      <c r="E795" s="515"/>
      <c r="F795" s="515"/>
      <c r="G795" s="515"/>
      <c r="H795" s="515"/>
      <c r="I795" s="515"/>
      <c r="J795" s="515"/>
      <c r="K795" s="515"/>
      <c r="L795" s="515"/>
      <c r="M795" s="515"/>
      <c r="N795" s="515"/>
      <c r="O795" s="533"/>
      <c r="P795" s="786"/>
      <c r="Q795" s="787"/>
      <c r="R795" s="787"/>
      <c r="S795" s="787"/>
      <c r="T795" s="786"/>
      <c r="U795" s="787"/>
      <c r="V795" s="787"/>
      <c r="W795" s="787"/>
      <c r="X795" s="786"/>
      <c r="Y795" s="787"/>
      <c r="Z795" s="787"/>
      <c r="AA795" s="787"/>
      <c r="AB795" s="786"/>
      <c r="AC795" s="787"/>
      <c r="AD795" s="787"/>
      <c r="AE795" s="787"/>
      <c r="AF795" s="786"/>
      <c r="AG795" s="787"/>
      <c r="AH795" s="787"/>
      <c r="AI795" s="787"/>
      <c r="AJ795" s="786"/>
      <c r="AK795" s="787"/>
      <c r="AL795" s="787"/>
      <c r="AM795" s="787"/>
      <c r="AN795" s="786"/>
      <c r="AO795" s="787"/>
      <c r="AP795" s="787"/>
      <c r="AQ795" s="787"/>
      <c r="AR795" s="786"/>
      <c r="AS795" s="787"/>
      <c r="AT795" s="787"/>
      <c r="AU795" s="787"/>
      <c r="AV795" s="786"/>
      <c r="AW795" s="787"/>
      <c r="AX795" s="787"/>
      <c r="AY795" s="787"/>
      <c r="AZ795" s="780"/>
      <c r="BA795" s="780"/>
      <c r="BB795" s="780"/>
      <c r="BC795" s="780"/>
      <c r="BD795" s="541"/>
      <c r="BE795" s="541"/>
      <c r="BF795" s="541"/>
      <c r="BG795" s="541"/>
      <c r="BH795" s="780"/>
      <c r="BI795" s="780"/>
      <c r="BJ795" s="780"/>
      <c r="BK795" s="780"/>
      <c r="BL795" s="780"/>
      <c r="BM795" s="780"/>
    </row>
    <row r="796" ht="12.75" customHeight="1">
      <c r="A796" s="521"/>
      <c r="B796" s="521"/>
      <c r="C796" s="515"/>
      <c r="D796" s="515"/>
      <c r="E796" s="515"/>
      <c r="F796" s="515"/>
      <c r="G796" s="515"/>
      <c r="H796" s="515"/>
      <c r="I796" s="515"/>
      <c r="J796" s="515"/>
      <c r="K796" s="515"/>
      <c r="L796" s="515"/>
      <c r="M796" s="515"/>
      <c r="N796" s="515"/>
      <c r="O796" s="533"/>
      <c r="P796" s="786"/>
      <c r="Q796" s="787"/>
      <c r="R796" s="787"/>
      <c r="S796" s="787"/>
      <c r="T796" s="786"/>
      <c r="U796" s="787"/>
      <c r="V796" s="787"/>
      <c r="W796" s="787"/>
      <c r="X796" s="786"/>
      <c r="Y796" s="787"/>
      <c r="Z796" s="787"/>
      <c r="AA796" s="787"/>
      <c r="AB796" s="786"/>
      <c r="AC796" s="787"/>
      <c r="AD796" s="787"/>
      <c r="AE796" s="787"/>
      <c r="AF796" s="786"/>
      <c r="AG796" s="787"/>
      <c r="AH796" s="787"/>
      <c r="AI796" s="787"/>
      <c r="AJ796" s="786"/>
      <c r="AK796" s="787"/>
      <c r="AL796" s="787"/>
      <c r="AM796" s="787"/>
      <c r="AN796" s="786"/>
      <c r="AO796" s="787"/>
      <c r="AP796" s="787"/>
      <c r="AQ796" s="787"/>
      <c r="AR796" s="786"/>
      <c r="AS796" s="787"/>
      <c r="AT796" s="787"/>
      <c r="AU796" s="787"/>
      <c r="AV796" s="786"/>
      <c r="AW796" s="787"/>
      <c r="AX796" s="787"/>
      <c r="AY796" s="787"/>
      <c r="AZ796" s="780"/>
      <c r="BA796" s="780"/>
      <c r="BB796" s="780"/>
      <c r="BC796" s="780"/>
      <c r="BD796" s="541"/>
      <c r="BE796" s="541"/>
      <c r="BF796" s="541"/>
      <c r="BG796" s="541"/>
      <c r="BH796" s="780"/>
      <c r="BI796" s="780"/>
      <c r="BJ796" s="780"/>
      <c r="BK796" s="780"/>
      <c r="BL796" s="780"/>
      <c r="BM796" s="780"/>
    </row>
    <row r="797" ht="12.75" customHeight="1">
      <c r="A797" s="521"/>
      <c r="B797" s="521"/>
      <c r="C797" s="515"/>
      <c r="D797" s="515"/>
      <c r="E797" s="515"/>
      <c r="F797" s="515"/>
      <c r="G797" s="515"/>
      <c r="H797" s="515"/>
      <c r="I797" s="515"/>
      <c r="J797" s="515"/>
      <c r="K797" s="515"/>
      <c r="L797" s="515"/>
      <c r="M797" s="515"/>
      <c r="N797" s="515"/>
      <c r="O797" s="533"/>
      <c r="P797" s="786"/>
      <c r="Q797" s="787"/>
      <c r="R797" s="787"/>
      <c r="S797" s="787"/>
      <c r="T797" s="786"/>
      <c r="U797" s="787"/>
      <c r="V797" s="787"/>
      <c r="W797" s="787"/>
      <c r="X797" s="786"/>
      <c r="Y797" s="787"/>
      <c r="Z797" s="787"/>
      <c r="AA797" s="787"/>
      <c r="AB797" s="786"/>
      <c r="AC797" s="787"/>
      <c r="AD797" s="787"/>
      <c r="AE797" s="787"/>
      <c r="AF797" s="786"/>
      <c r="AG797" s="787"/>
      <c r="AH797" s="787"/>
      <c r="AI797" s="787"/>
      <c r="AJ797" s="786"/>
      <c r="AK797" s="787"/>
      <c r="AL797" s="787"/>
      <c r="AM797" s="787"/>
      <c r="AN797" s="786"/>
      <c r="AO797" s="787"/>
      <c r="AP797" s="787"/>
      <c r="AQ797" s="787"/>
      <c r="AR797" s="786"/>
      <c r="AS797" s="787"/>
      <c r="AT797" s="787"/>
      <c r="AU797" s="787"/>
      <c r="AV797" s="786"/>
      <c r="AW797" s="787"/>
      <c r="AX797" s="787"/>
      <c r="AY797" s="787"/>
      <c r="AZ797" s="780"/>
      <c r="BA797" s="780"/>
      <c r="BB797" s="780"/>
      <c r="BC797" s="780"/>
      <c r="BD797" s="541"/>
      <c r="BE797" s="541"/>
      <c r="BF797" s="541"/>
      <c r="BG797" s="541"/>
      <c r="BH797" s="780"/>
      <c r="BI797" s="780"/>
      <c r="BJ797" s="780"/>
      <c r="BK797" s="780"/>
      <c r="BL797" s="780"/>
      <c r="BM797" s="780"/>
    </row>
    <row r="798" ht="12.75" customHeight="1">
      <c r="A798" s="521"/>
      <c r="B798" s="521"/>
      <c r="C798" s="515"/>
      <c r="D798" s="515"/>
      <c r="E798" s="515"/>
      <c r="F798" s="515"/>
      <c r="G798" s="515"/>
      <c r="H798" s="515"/>
      <c r="I798" s="515"/>
      <c r="J798" s="515"/>
      <c r="K798" s="515"/>
      <c r="L798" s="515"/>
      <c r="M798" s="515"/>
      <c r="N798" s="515"/>
      <c r="O798" s="533"/>
      <c r="P798" s="786"/>
      <c r="Q798" s="787"/>
      <c r="R798" s="787"/>
      <c r="S798" s="787"/>
      <c r="T798" s="786"/>
      <c r="U798" s="787"/>
      <c r="V798" s="787"/>
      <c r="W798" s="787"/>
      <c r="X798" s="786"/>
      <c r="Y798" s="787"/>
      <c r="Z798" s="787"/>
      <c r="AA798" s="787"/>
      <c r="AB798" s="786"/>
      <c r="AC798" s="787"/>
      <c r="AD798" s="787"/>
      <c r="AE798" s="787"/>
      <c r="AF798" s="786"/>
      <c r="AG798" s="787"/>
      <c r="AH798" s="787"/>
      <c r="AI798" s="787"/>
      <c r="AJ798" s="786"/>
      <c r="AK798" s="787"/>
      <c r="AL798" s="787"/>
      <c r="AM798" s="787"/>
      <c r="AN798" s="786"/>
      <c r="AO798" s="787"/>
      <c r="AP798" s="787"/>
      <c r="AQ798" s="787"/>
      <c r="AR798" s="786"/>
      <c r="AS798" s="787"/>
      <c r="AT798" s="787"/>
      <c r="AU798" s="787"/>
      <c r="AV798" s="786"/>
      <c r="AW798" s="787"/>
      <c r="AX798" s="787"/>
      <c r="AY798" s="787"/>
      <c r="AZ798" s="780"/>
      <c r="BA798" s="780"/>
      <c r="BB798" s="780"/>
      <c r="BC798" s="780"/>
      <c r="BD798" s="541"/>
      <c r="BE798" s="541"/>
      <c r="BF798" s="541"/>
      <c r="BG798" s="541"/>
      <c r="BH798" s="780"/>
      <c r="BI798" s="780"/>
      <c r="BJ798" s="780"/>
      <c r="BK798" s="780"/>
      <c r="BL798" s="780"/>
      <c r="BM798" s="780"/>
    </row>
    <row r="799" ht="12.75" customHeight="1">
      <c r="A799" s="521"/>
      <c r="B799" s="521"/>
      <c r="C799" s="515"/>
      <c r="D799" s="515"/>
      <c r="E799" s="515"/>
      <c r="F799" s="515"/>
      <c r="G799" s="515"/>
      <c r="H799" s="515"/>
      <c r="I799" s="515"/>
      <c r="J799" s="515"/>
      <c r="K799" s="515"/>
      <c r="L799" s="515"/>
      <c r="M799" s="515"/>
      <c r="N799" s="515"/>
      <c r="O799" s="533"/>
      <c r="P799" s="786"/>
      <c r="Q799" s="787"/>
      <c r="R799" s="787"/>
      <c r="S799" s="787"/>
      <c r="T799" s="786"/>
      <c r="U799" s="787"/>
      <c r="V799" s="787"/>
      <c r="W799" s="787"/>
      <c r="X799" s="786"/>
      <c r="Y799" s="787"/>
      <c r="Z799" s="787"/>
      <c r="AA799" s="787"/>
      <c r="AB799" s="786"/>
      <c r="AC799" s="787"/>
      <c r="AD799" s="787"/>
      <c r="AE799" s="787"/>
      <c r="AF799" s="786"/>
      <c r="AG799" s="787"/>
      <c r="AH799" s="787"/>
      <c r="AI799" s="787"/>
      <c r="AJ799" s="786"/>
      <c r="AK799" s="787"/>
      <c r="AL799" s="787"/>
      <c r="AM799" s="787"/>
      <c r="AN799" s="786"/>
      <c r="AO799" s="787"/>
      <c r="AP799" s="787"/>
      <c r="AQ799" s="787"/>
      <c r="AR799" s="786"/>
      <c r="AS799" s="787"/>
      <c r="AT799" s="787"/>
      <c r="AU799" s="787"/>
      <c r="AV799" s="786"/>
      <c r="AW799" s="787"/>
      <c r="AX799" s="787"/>
      <c r="AY799" s="787"/>
      <c r="AZ799" s="780"/>
      <c r="BA799" s="780"/>
      <c r="BB799" s="780"/>
      <c r="BC799" s="780"/>
      <c r="BD799" s="541"/>
      <c r="BE799" s="541"/>
      <c r="BF799" s="541"/>
      <c r="BG799" s="541"/>
      <c r="BH799" s="780"/>
      <c r="BI799" s="780"/>
      <c r="BJ799" s="780"/>
      <c r="BK799" s="780"/>
      <c r="BL799" s="780"/>
      <c r="BM799" s="780"/>
    </row>
    <row r="800" ht="12.75" customHeight="1">
      <c r="A800" s="521"/>
      <c r="B800" s="521"/>
      <c r="C800" s="515"/>
      <c r="D800" s="515"/>
      <c r="E800" s="515"/>
      <c r="F800" s="515"/>
      <c r="G800" s="515"/>
      <c r="H800" s="515"/>
      <c r="I800" s="515"/>
      <c r="J800" s="515"/>
      <c r="K800" s="515"/>
      <c r="L800" s="515"/>
      <c r="M800" s="515"/>
      <c r="N800" s="515"/>
      <c r="O800" s="533"/>
      <c r="P800" s="786"/>
      <c r="Q800" s="787"/>
      <c r="R800" s="787"/>
      <c r="S800" s="787"/>
      <c r="T800" s="786"/>
      <c r="U800" s="787"/>
      <c r="V800" s="787"/>
      <c r="W800" s="787"/>
      <c r="X800" s="786"/>
      <c r="Y800" s="787"/>
      <c r="Z800" s="787"/>
      <c r="AA800" s="787"/>
      <c r="AB800" s="786"/>
      <c r="AC800" s="787"/>
      <c r="AD800" s="787"/>
      <c r="AE800" s="787"/>
      <c r="AF800" s="786"/>
      <c r="AG800" s="787"/>
      <c r="AH800" s="787"/>
      <c r="AI800" s="787"/>
      <c r="AJ800" s="786"/>
      <c r="AK800" s="787"/>
      <c r="AL800" s="787"/>
      <c r="AM800" s="787"/>
      <c r="AN800" s="786"/>
      <c r="AO800" s="787"/>
      <c r="AP800" s="787"/>
      <c r="AQ800" s="787"/>
      <c r="AR800" s="786"/>
      <c r="AS800" s="787"/>
      <c r="AT800" s="787"/>
      <c r="AU800" s="787"/>
      <c r="AV800" s="786"/>
      <c r="AW800" s="787"/>
      <c r="AX800" s="787"/>
      <c r="AY800" s="787"/>
      <c r="AZ800" s="780"/>
      <c r="BA800" s="780"/>
      <c r="BB800" s="780"/>
      <c r="BC800" s="780"/>
      <c r="BD800" s="541"/>
      <c r="BE800" s="541"/>
      <c r="BF800" s="541"/>
      <c r="BG800" s="541"/>
      <c r="BH800" s="780"/>
      <c r="BI800" s="780"/>
      <c r="BJ800" s="780"/>
      <c r="BK800" s="780"/>
      <c r="BL800" s="780"/>
      <c r="BM800" s="780"/>
    </row>
    <row r="801" ht="12.75" customHeight="1">
      <c r="A801" s="521"/>
      <c r="B801" s="521"/>
      <c r="C801" s="515"/>
      <c r="D801" s="515"/>
      <c r="E801" s="515"/>
      <c r="F801" s="515"/>
      <c r="G801" s="515"/>
      <c r="H801" s="515"/>
      <c r="I801" s="515"/>
      <c r="J801" s="515"/>
      <c r="K801" s="515"/>
      <c r="L801" s="515"/>
      <c r="M801" s="515"/>
      <c r="N801" s="515"/>
      <c r="O801" s="533"/>
      <c r="P801" s="786"/>
      <c r="Q801" s="787"/>
      <c r="R801" s="787"/>
      <c r="S801" s="787"/>
      <c r="T801" s="786"/>
      <c r="U801" s="787"/>
      <c r="V801" s="787"/>
      <c r="W801" s="787"/>
      <c r="X801" s="786"/>
      <c r="Y801" s="787"/>
      <c r="Z801" s="787"/>
      <c r="AA801" s="787"/>
      <c r="AB801" s="786"/>
      <c r="AC801" s="787"/>
      <c r="AD801" s="787"/>
      <c r="AE801" s="787"/>
      <c r="AF801" s="786"/>
      <c r="AG801" s="787"/>
      <c r="AH801" s="787"/>
      <c r="AI801" s="787"/>
      <c r="AJ801" s="786"/>
      <c r="AK801" s="787"/>
      <c r="AL801" s="787"/>
      <c r="AM801" s="787"/>
      <c r="AN801" s="786"/>
      <c r="AO801" s="787"/>
      <c r="AP801" s="787"/>
      <c r="AQ801" s="787"/>
      <c r="AR801" s="786"/>
      <c r="AS801" s="787"/>
      <c r="AT801" s="787"/>
      <c r="AU801" s="787"/>
      <c r="AV801" s="786"/>
      <c r="AW801" s="787"/>
      <c r="AX801" s="787"/>
      <c r="AY801" s="787"/>
      <c r="AZ801" s="780"/>
      <c r="BA801" s="780"/>
      <c r="BB801" s="780"/>
      <c r="BC801" s="780"/>
      <c r="BD801" s="541"/>
      <c r="BE801" s="541"/>
      <c r="BF801" s="541"/>
      <c r="BG801" s="541"/>
      <c r="BH801" s="780"/>
      <c r="BI801" s="780"/>
      <c r="BJ801" s="780"/>
      <c r="BK801" s="780"/>
      <c r="BL801" s="780"/>
      <c r="BM801" s="780"/>
    </row>
    <row r="802" ht="12.75" customHeight="1">
      <c r="A802" s="521"/>
      <c r="B802" s="521"/>
      <c r="C802" s="515"/>
      <c r="D802" s="515"/>
      <c r="E802" s="515"/>
      <c r="F802" s="515"/>
      <c r="G802" s="515"/>
      <c r="H802" s="515"/>
      <c r="I802" s="515"/>
      <c r="J802" s="515"/>
      <c r="K802" s="515"/>
      <c r="L802" s="515"/>
      <c r="M802" s="515"/>
      <c r="N802" s="515"/>
      <c r="O802" s="533"/>
      <c r="P802" s="786"/>
      <c r="Q802" s="787"/>
      <c r="R802" s="787"/>
      <c r="S802" s="787"/>
      <c r="T802" s="786"/>
      <c r="U802" s="787"/>
      <c r="V802" s="787"/>
      <c r="W802" s="787"/>
      <c r="X802" s="786"/>
      <c r="Y802" s="787"/>
      <c r="Z802" s="787"/>
      <c r="AA802" s="787"/>
      <c r="AB802" s="786"/>
      <c r="AC802" s="787"/>
      <c r="AD802" s="787"/>
      <c r="AE802" s="787"/>
      <c r="AF802" s="786"/>
      <c r="AG802" s="787"/>
      <c r="AH802" s="787"/>
      <c r="AI802" s="787"/>
      <c r="AJ802" s="786"/>
      <c r="AK802" s="787"/>
      <c r="AL802" s="787"/>
      <c r="AM802" s="787"/>
      <c r="AN802" s="786"/>
      <c r="AO802" s="787"/>
      <c r="AP802" s="787"/>
      <c r="AQ802" s="787"/>
      <c r="AR802" s="786"/>
      <c r="AS802" s="787"/>
      <c r="AT802" s="787"/>
      <c r="AU802" s="787"/>
      <c r="AV802" s="786"/>
      <c r="AW802" s="787"/>
      <c r="AX802" s="787"/>
      <c r="AY802" s="787"/>
      <c r="AZ802" s="780"/>
      <c r="BA802" s="780"/>
      <c r="BB802" s="780"/>
      <c r="BC802" s="780"/>
      <c r="BD802" s="541"/>
      <c r="BE802" s="541"/>
      <c r="BF802" s="541"/>
      <c r="BG802" s="541"/>
      <c r="BH802" s="780"/>
      <c r="BI802" s="780"/>
      <c r="BJ802" s="780"/>
      <c r="BK802" s="780"/>
      <c r="BL802" s="780"/>
      <c r="BM802" s="780"/>
    </row>
    <row r="803" ht="12.75" customHeight="1">
      <c r="A803" s="521"/>
      <c r="B803" s="521"/>
      <c r="C803" s="515"/>
      <c r="D803" s="515"/>
      <c r="E803" s="515"/>
      <c r="F803" s="515"/>
      <c r="G803" s="515"/>
      <c r="H803" s="515"/>
      <c r="I803" s="515"/>
      <c r="J803" s="515"/>
      <c r="K803" s="515"/>
      <c r="L803" s="515"/>
      <c r="M803" s="515"/>
      <c r="N803" s="515"/>
      <c r="O803" s="533"/>
      <c r="P803" s="786"/>
      <c r="Q803" s="787"/>
      <c r="R803" s="787"/>
      <c r="S803" s="787"/>
      <c r="T803" s="786"/>
      <c r="U803" s="787"/>
      <c r="V803" s="787"/>
      <c r="W803" s="787"/>
      <c r="X803" s="786"/>
      <c r="Y803" s="787"/>
      <c r="Z803" s="787"/>
      <c r="AA803" s="787"/>
      <c r="AB803" s="786"/>
      <c r="AC803" s="787"/>
      <c r="AD803" s="787"/>
      <c r="AE803" s="787"/>
      <c r="AF803" s="786"/>
      <c r="AG803" s="787"/>
      <c r="AH803" s="787"/>
      <c r="AI803" s="787"/>
      <c r="AJ803" s="786"/>
      <c r="AK803" s="787"/>
      <c r="AL803" s="787"/>
      <c r="AM803" s="787"/>
      <c r="AN803" s="786"/>
      <c r="AO803" s="787"/>
      <c r="AP803" s="787"/>
      <c r="AQ803" s="787"/>
      <c r="AR803" s="786"/>
      <c r="AS803" s="787"/>
      <c r="AT803" s="787"/>
      <c r="AU803" s="787"/>
      <c r="AV803" s="786"/>
      <c r="AW803" s="787"/>
      <c r="AX803" s="787"/>
      <c r="AY803" s="787"/>
      <c r="AZ803" s="780"/>
      <c r="BA803" s="780"/>
      <c r="BB803" s="780"/>
      <c r="BC803" s="780"/>
      <c r="BD803" s="541"/>
      <c r="BE803" s="541"/>
      <c r="BF803" s="541"/>
      <c r="BG803" s="541"/>
      <c r="BH803" s="780"/>
      <c r="BI803" s="780"/>
      <c r="BJ803" s="780"/>
      <c r="BK803" s="780"/>
      <c r="BL803" s="780"/>
      <c r="BM803" s="780"/>
    </row>
    <row r="804" ht="12.75" customHeight="1">
      <c r="A804" s="521"/>
      <c r="B804" s="521"/>
      <c r="C804" s="515"/>
      <c r="D804" s="515"/>
      <c r="E804" s="515"/>
      <c r="F804" s="515"/>
      <c r="G804" s="515"/>
      <c r="H804" s="515"/>
      <c r="I804" s="515"/>
      <c r="J804" s="515"/>
      <c r="K804" s="515"/>
      <c r="L804" s="515"/>
      <c r="M804" s="515"/>
      <c r="N804" s="515"/>
      <c r="O804" s="533"/>
      <c r="P804" s="786"/>
      <c r="Q804" s="787"/>
      <c r="R804" s="787"/>
      <c r="S804" s="787"/>
      <c r="T804" s="786"/>
      <c r="U804" s="787"/>
      <c r="V804" s="787"/>
      <c r="W804" s="787"/>
      <c r="X804" s="786"/>
      <c r="Y804" s="787"/>
      <c r="Z804" s="787"/>
      <c r="AA804" s="787"/>
      <c r="AB804" s="786"/>
      <c r="AC804" s="787"/>
      <c r="AD804" s="787"/>
      <c r="AE804" s="787"/>
      <c r="AF804" s="786"/>
      <c r="AG804" s="787"/>
      <c r="AH804" s="787"/>
      <c r="AI804" s="787"/>
      <c r="AJ804" s="786"/>
      <c r="AK804" s="787"/>
      <c r="AL804" s="787"/>
      <c r="AM804" s="787"/>
      <c r="AN804" s="786"/>
      <c r="AO804" s="787"/>
      <c r="AP804" s="787"/>
      <c r="AQ804" s="787"/>
      <c r="AR804" s="786"/>
      <c r="AS804" s="787"/>
      <c r="AT804" s="787"/>
      <c r="AU804" s="787"/>
      <c r="AV804" s="786"/>
      <c r="AW804" s="787"/>
      <c r="AX804" s="787"/>
      <c r="AY804" s="787"/>
      <c r="AZ804" s="780"/>
      <c r="BA804" s="780"/>
      <c r="BB804" s="780"/>
      <c r="BC804" s="780"/>
      <c r="BD804" s="541"/>
      <c r="BE804" s="541"/>
      <c r="BF804" s="541"/>
      <c r="BG804" s="541"/>
      <c r="BH804" s="780"/>
      <c r="BI804" s="780"/>
      <c r="BJ804" s="780"/>
      <c r="BK804" s="780"/>
      <c r="BL804" s="780"/>
      <c r="BM804" s="780"/>
    </row>
    <row r="805" ht="12.75" customHeight="1">
      <c r="A805" s="521"/>
      <c r="B805" s="521"/>
      <c r="C805" s="515"/>
      <c r="D805" s="515"/>
      <c r="E805" s="515"/>
      <c r="F805" s="515"/>
      <c r="G805" s="515"/>
      <c r="H805" s="515"/>
      <c r="I805" s="515"/>
      <c r="J805" s="515"/>
      <c r="K805" s="515"/>
      <c r="L805" s="515"/>
      <c r="M805" s="515"/>
      <c r="N805" s="515"/>
      <c r="O805" s="533"/>
      <c r="P805" s="786"/>
      <c r="Q805" s="787"/>
      <c r="R805" s="787"/>
      <c r="S805" s="787"/>
      <c r="T805" s="786"/>
      <c r="U805" s="787"/>
      <c r="V805" s="787"/>
      <c r="W805" s="787"/>
      <c r="X805" s="786"/>
      <c r="Y805" s="787"/>
      <c r="Z805" s="787"/>
      <c r="AA805" s="787"/>
      <c r="AB805" s="786"/>
      <c r="AC805" s="787"/>
      <c r="AD805" s="787"/>
      <c r="AE805" s="787"/>
      <c r="AF805" s="786"/>
      <c r="AG805" s="787"/>
      <c r="AH805" s="787"/>
      <c r="AI805" s="787"/>
      <c r="AJ805" s="786"/>
      <c r="AK805" s="787"/>
      <c r="AL805" s="787"/>
      <c r="AM805" s="787"/>
      <c r="AN805" s="786"/>
      <c r="AO805" s="787"/>
      <c r="AP805" s="787"/>
      <c r="AQ805" s="787"/>
      <c r="AR805" s="786"/>
      <c r="AS805" s="787"/>
      <c r="AT805" s="787"/>
      <c r="AU805" s="787"/>
      <c r="AV805" s="786"/>
      <c r="AW805" s="787"/>
      <c r="AX805" s="787"/>
      <c r="AY805" s="787"/>
      <c r="AZ805" s="780"/>
      <c r="BA805" s="780"/>
      <c r="BB805" s="780"/>
      <c r="BC805" s="780"/>
      <c r="BD805" s="541"/>
      <c r="BE805" s="541"/>
      <c r="BF805" s="541"/>
      <c r="BG805" s="541"/>
      <c r="BH805" s="780"/>
      <c r="BI805" s="780"/>
      <c r="BJ805" s="780"/>
      <c r="BK805" s="780"/>
      <c r="BL805" s="780"/>
      <c r="BM805" s="780"/>
    </row>
    <row r="806" ht="12.75" customHeight="1">
      <c r="A806" s="521"/>
      <c r="B806" s="521"/>
      <c r="C806" s="515"/>
      <c r="D806" s="515"/>
      <c r="E806" s="515"/>
      <c r="F806" s="515"/>
      <c r="G806" s="515"/>
      <c r="H806" s="515"/>
      <c r="I806" s="515"/>
      <c r="J806" s="515"/>
      <c r="K806" s="515"/>
      <c r="L806" s="515"/>
      <c r="M806" s="515"/>
      <c r="N806" s="515"/>
      <c r="O806" s="533"/>
      <c r="P806" s="786"/>
      <c r="Q806" s="787"/>
      <c r="R806" s="787"/>
      <c r="S806" s="787"/>
      <c r="T806" s="786"/>
      <c r="U806" s="787"/>
      <c r="V806" s="787"/>
      <c r="W806" s="787"/>
      <c r="X806" s="786"/>
      <c r="Y806" s="787"/>
      <c r="Z806" s="787"/>
      <c r="AA806" s="787"/>
      <c r="AB806" s="786"/>
      <c r="AC806" s="787"/>
      <c r="AD806" s="787"/>
      <c r="AE806" s="787"/>
      <c r="AF806" s="786"/>
      <c r="AG806" s="787"/>
      <c r="AH806" s="787"/>
      <c r="AI806" s="787"/>
      <c r="AJ806" s="786"/>
      <c r="AK806" s="787"/>
      <c r="AL806" s="787"/>
      <c r="AM806" s="787"/>
      <c r="AN806" s="786"/>
      <c r="AO806" s="787"/>
      <c r="AP806" s="787"/>
      <c r="AQ806" s="787"/>
      <c r="AR806" s="786"/>
      <c r="AS806" s="787"/>
      <c r="AT806" s="787"/>
      <c r="AU806" s="787"/>
      <c r="AV806" s="786"/>
      <c r="AW806" s="787"/>
      <c r="AX806" s="787"/>
      <c r="AY806" s="787"/>
      <c r="AZ806" s="780"/>
      <c r="BA806" s="780"/>
      <c r="BB806" s="780"/>
      <c r="BC806" s="780"/>
      <c r="BD806" s="541"/>
      <c r="BE806" s="541"/>
      <c r="BF806" s="541"/>
      <c r="BG806" s="541"/>
      <c r="BH806" s="780"/>
      <c r="BI806" s="780"/>
      <c r="BJ806" s="780"/>
      <c r="BK806" s="780"/>
      <c r="BL806" s="780"/>
      <c r="BM806" s="780"/>
    </row>
    <row r="807" ht="12.75" customHeight="1">
      <c r="A807" s="521"/>
      <c r="B807" s="521"/>
      <c r="C807" s="515"/>
      <c r="D807" s="515"/>
      <c r="E807" s="515"/>
      <c r="F807" s="515"/>
      <c r="G807" s="515"/>
      <c r="H807" s="515"/>
      <c r="I807" s="515"/>
      <c r="J807" s="515"/>
      <c r="K807" s="515"/>
      <c r="L807" s="515"/>
      <c r="M807" s="515"/>
      <c r="N807" s="515"/>
      <c r="O807" s="533"/>
      <c r="P807" s="786"/>
      <c r="Q807" s="787"/>
      <c r="R807" s="787"/>
      <c r="S807" s="787"/>
      <c r="T807" s="786"/>
      <c r="U807" s="787"/>
      <c r="V807" s="787"/>
      <c r="W807" s="787"/>
      <c r="X807" s="786"/>
      <c r="Y807" s="787"/>
      <c r="Z807" s="787"/>
      <c r="AA807" s="787"/>
      <c r="AB807" s="786"/>
      <c r="AC807" s="787"/>
      <c r="AD807" s="787"/>
      <c r="AE807" s="787"/>
      <c r="AF807" s="786"/>
      <c r="AG807" s="787"/>
      <c r="AH807" s="787"/>
      <c r="AI807" s="787"/>
      <c r="AJ807" s="786"/>
      <c r="AK807" s="787"/>
      <c r="AL807" s="787"/>
      <c r="AM807" s="787"/>
      <c r="AN807" s="786"/>
      <c r="AO807" s="787"/>
      <c r="AP807" s="787"/>
      <c r="AQ807" s="787"/>
      <c r="AR807" s="786"/>
      <c r="AS807" s="787"/>
      <c r="AT807" s="787"/>
      <c r="AU807" s="787"/>
      <c r="AV807" s="786"/>
      <c r="AW807" s="787"/>
      <c r="AX807" s="787"/>
      <c r="AY807" s="787"/>
      <c r="AZ807" s="780"/>
      <c r="BA807" s="780"/>
      <c r="BB807" s="780"/>
      <c r="BC807" s="780"/>
      <c r="BD807" s="541"/>
      <c r="BE807" s="541"/>
      <c r="BF807" s="541"/>
      <c r="BG807" s="541"/>
      <c r="BH807" s="780"/>
      <c r="BI807" s="780"/>
      <c r="BJ807" s="780"/>
      <c r="BK807" s="780"/>
      <c r="BL807" s="780"/>
      <c r="BM807" s="780"/>
    </row>
    <row r="808" ht="12.75" customHeight="1">
      <c r="A808" s="521"/>
      <c r="B808" s="521"/>
      <c r="C808" s="515"/>
      <c r="D808" s="515"/>
      <c r="E808" s="515"/>
      <c r="F808" s="515"/>
      <c r="G808" s="515"/>
      <c r="H808" s="515"/>
      <c r="I808" s="515"/>
      <c r="J808" s="515"/>
      <c r="K808" s="515"/>
      <c r="L808" s="515"/>
      <c r="M808" s="515"/>
      <c r="N808" s="515"/>
      <c r="O808" s="533"/>
      <c r="P808" s="786"/>
      <c r="Q808" s="787"/>
      <c r="R808" s="787"/>
      <c r="S808" s="787"/>
      <c r="T808" s="786"/>
      <c r="U808" s="787"/>
      <c r="V808" s="787"/>
      <c r="W808" s="787"/>
      <c r="X808" s="786"/>
      <c r="Y808" s="787"/>
      <c r="Z808" s="787"/>
      <c r="AA808" s="787"/>
      <c r="AB808" s="786"/>
      <c r="AC808" s="787"/>
      <c r="AD808" s="787"/>
      <c r="AE808" s="787"/>
      <c r="AF808" s="786"/>
      <c r="AG808" s="787"/>
      <c r="AH808" s="787"/>
      <c r="AI808" s="787"/>
      <c r="AJ808" s="786"/>
      <c r="AK808" s="787"/>
      <c r="AL808" s="787"/>
      <c r="AM808" s="787"/>
      <c r="AN808" s="786"/>
      <c r="AO808" s="787"/>
      <c r="AP808" s="787"/>
      <c r="AQ808" s="787"/>
      <c r="AR808" s="786"/>
      <c r="AS808" s="787"/>
      <c r="AT808" s="787"/>
      <c r="AU808" s="787"/>
      <c r="AV808" s="786"/>
      <c r="AW808" s="787"/>
      <c r="AX808" s="787"/>
      <c r="AY808" s="787"/>
      <c r="AZ808" s="780"/>
      <c r="BA808" s="780"/>
      <c r="BB808" s="780"/>
      <c r="BC808" s="780"/>
      <c r="BD808" s="541"/>
      <c r="BE808" s="541"/>
      <c r="BF808" s="541"/>
      <c r="BG808" s="541"/>
      <c r="BH808" s="780"/>
      <c r="BI808" s="780"/>
      <c r="BJ808" s="780"/>
      <c r="BK808" s="780"/>
      <c r="BL808" s="780"/>
      <c r="BM808" s="780"/>
    </row>
    <row r="809" ht="12.75" customHeight="1">
      <c r="A809" s="521"/>
      <c r="B809" s="521"/>
      <c r="C809" s="515"/>
      <c r="D809" s="515"/>
      <c r="E809" s="515"/>
      <c r="F809" s="515"/>
      <c r="G809" s="515"/>
      <c r="H809" s="515"/>
      <c r="I809" s="515"/>
      <c r="J809" s="515"/>
      <c r="K809" s="515"/>
      <c r="L809" s="515"/>
      <c r="M809" s="515"/>
      <c r="N809" s="515"/>
      <c r="O809" s="533"/>
      <c r="P809" s="786"/>
      <c r="Q809" s="787"/>
      <c r="R809" s="787"/>
      <c r="S809" s="787"/>
      <c r="T809" s="786"/>
      <c r="U809" s="787"/>
      <c r="V809" s="787"/>
      <c r="W809" s="787"/>
      <c r="X809" s="786"/>
      <c r="Y809" s="787"/>
      <c r="Z809" s="787"/>
      <c r="AA809" s="787"/>
      <c r="AB809" s="786"/>
      <c r="AC809" s="787"/>
      <c r="AD809" s="787"/>
      <c r="AE809" s="787"/>
      <c r="AF809" s="786"/>
      <c r="AG809" s="787"/>
      <c r="AH809" s="787"/>
      <c r="AI809" s="787"/>
      <c r="AJ809" s="786"/>
      <c r="AK809" s="787"/>
      <c r="AL809" s="787"/>
      <c r="AM809" s="787"/>
      <c r="AN809" s="786"/>
      <c r="AO809" s="787"/>
      <c r="AP809" s="787"/>
      <c r="AQ809" s="787"/>
      <c r="AR809" s="786"/>
      <c r="AS809" s="787"/>
      <c r="AT809" s="787"/>
      <c r="AU809" s="787"/>
      <c r="AV809" s="786"/>
      <c r="AW809" s="787"/>
      <c r="AX809" s="787"/>
      <c r="AY809" s="787"/>
      <c r="AZ809" s="780"/>
      <c r="BA809" s="780"/>
      <c r="BB809" s="780"/>
      <c r="BC809" s="780"/>
      <c r="BD809" s="541"/>
      <c r="BE809" s="541"/>
      <c r="BF809" s="541"/>
      <c r="BG809" s="541"/>
      <c r="BH809" s="780"/>
      <c r="BI809" s="780"/>
      <c r="BJ809" s="780"/>
      <c r="BK809" s="780"/>
      <c r="BL809" s="780"/>
      <c r="BM809" s="780"/>
    </row>
    <row r="810" ht="12.75" customHeight="1">
      <c r="A810" s="521"/>
      <c r="B810" s="521"/>
      <c r="C810" s="515"/>
      <c r="D810" s="515"/>
      <c r="E810" s="515"/>
      <c r="F810" s="515"/>
      <c r="G810" s="515"/>
      <c r="H810" s="515"/>
      <c r="I810" s="515"/>
      <c r="J810" s="515"/>
      <c r="K810" s="515"/>
      <c r="L810" s="515"/>
      <c r="M810" s="515"/>
      <c r="N810" s="515"/>
      <c r="O810" s="533"/>
      <c r="P810" s="786"/>
      <c r="Q810" s="787"/>
      <c r="R810" s="787"/>
      <c r="S810" s="787"/>
      <c r="T810" s="786"/>
      <c r="U810" s="787"/>
      <c r="V810" s="787"/>
      <c r="W810" s="787"/>
      <c r="X810" s="786"/>
      <c r="Y810" s="787"/>
      <c r="Z810" s="787"/>
      <c r="AA810" s="787"/>
      <c r="AB810" s="786"/>
      <c r="AC810" s="787"/>
      <c r="AD810" s="787"/>
      <c r="AE810" s="787"/>
      <c r="AF810" s="786"/>
      <c r="AG810" s="787"/>
      <c r="AH810" s="787"/>
      <c r="AI810" s="787"/>
      <c r="AJ810" s="786"/>
      <c r="AK810" s="787"/>
      <c r="AL810" s="787"/>
      <c r="AM810" s="787"/>
      <c r="AN810" s="786"/>
      <c r="AO810" s="787"/>
      <c r="AP810" s="787"/>
      <c r="AQ810" s="787"/>
      <c r="AR810" s="786"/>
      <c r="AS810" s="787"/>
      <c r="AT810" s="787"/>
      <c r="AU810" s="787"/>
      <c r="AV810" s="786"/>
      <c r="AW810" s="787"/>
      <c r="AX810" s="787"/>
      <c r="AY810" s="787"/>
      <c r="AZ810" s="780"/>
      <c r="BA810" s="780"/>
      <c r="BB810" s="780"/>
      <c r="BC810" s="780"/>
      <c r="BD810" s="541"/>
      <c r="BE810" s="541"/>
      <c r="BF810" s="541"/>
      <c r="BG810" s="541"/>
      <c r="BH810" s="780"/>
      <c r="BI810" s="780"/>
      <c r="BJ810" s="780"/>
      <c r="BK810" s="780"/>
      <c r="BL810" s="780"/>
      <c r="BM810" s="780"/>
    </row>
    <row r="811" ht="12.75" customHeight="1">
      <c r="A811" s="521"/>
      <c r="B811" s="521"/>
      <c r="C811" s="515"/>
      <c r="D811" s="515"/>
      <c r="E811" s="515"/>
      <c r="F811" s="515"/>
      <c r="G811" s="515"/>
      <c r="H811" s="515"/>
      <c r="I811" s="515"/>
      <c r="J811" s="515"/>
      <c r="K811" s="515"/>
      <c r="L811" s="515"/>
      <c r="M811" s="515"/>
      <c r="N811" s="515"/>
      <c r="O811" s="533"/>
      <c r="P811" s="786"/>
      <c r="Q811" s="787"/>
      <c r="R811" s="787"/>
      <c r="S811" s="787"/>
      <c r="T811" s="786"/>
      <c r="U811" s="787"/>
      <c r="V811" s="787"/>
      <c r="W811" s="787"/>
      <c r="X811" s="786"/>
      <c r="Y811" s="787"/>
      <c r="Z811" s="787"/>
      <c r="AA811" s="787"/>
      <c r="AB811" s="786"/>
      <c r="AC811" s="787"/>
      <c r="AD811" s="787"/>
      <c r="AE811" s="787"/>
      <c r="AF811" s="786"/>
      <c r="AG811" s="787"/>
      <c r="AH811" s="787"/>
      <c r="AI811" s="787"/>
      <c r="AJ811" s="786"/>
      <c r="AK811" s="787"/>
      <c r="AL811" s="787"/>
      <c r="AM811" s="787"/>
      <c r="AN811" s="786"/>
      <c r="AO811" s="787"/>
      <c r="AP811" s="787"/>
      <c r="AQ811" s="787"/>
      <c r="AR811" s="786"/>
      <c r="AS811" s="787"/>
      <c r="AT811" s="787"/>
      <c r="AU811" s="787"/>
      <c r="AV811" s="786"/>
      <c r="AW811" s="787"/>
      <c r="AX811" s="787"/>
      <c r="AY811" s="787"/>
      <c r="AZ811" s="780"/>
      <c r="BA811" s="780"/>
      <c r="BB811" s="780"/>
      <c r="BC811" s="780"/>
      <c r="BD811" s="541"/>
      <c r="BE811" s="541"/>
      <c r="BF811" s="541"/>
      <c r="BG811" s="541"/>
      <c r="BH811" s="780"/>
      <c r="BI811" s="780"/>
      <c r="BJ811" s="780"/>
      <c r="BK811" s="780"/>
      <c r="BL811" s="780"/>
      <c r="BM811" s="780"/>
    </row>
    <row r="812" ht="12.75" customHeight="1">
      <c r="A812" s="521"/>
      <c r="B812" s="521"/>
      <c r="C812" s="515"/>
      <c r="D812" s="515"/>
      <c r="E812" s="515"/>
      <c r="F812" s="515"/>
      <c r="G812" s="515"/>
      <c r="H812" s="515"/>
      <c r="I812" s="515"/>
      <c r="J812" s="515"/>
      <c r="K812" s="515"/>
      <c r="L812" s="515"/>
      <c r="M812" s="515"/>
      <c r="N812" s="515"/>
      <c r="O812" s="533"/>
      <c r="P812" s="786"/>
      <c r="Q812" s="787"/>
      <c r="R812" s="787"/>
      <c r="S812" s="787"/>
      <c r="T812" s="786"/>
      <c r="U812" s="787"/>
      <c r="V812" s="787"/>
      <c r="W812" s="787"/>
      <c r="X812" s="786"/>
      <c r="Y812" s="787"/>
      <c r="Z812" s="787"/>
      <c r="AA812" s="787"/>
      <c r="AB812" s="786"/>
      <c r="AC812" s="787"/>
      <c r="AD812" s="787"/>
      <c r="AE812" s="787"/>
      <c r="AF812" s="786"/>
      <c r="AG812" s="787"/>
      <c r="AH812" s="787"/>
      <c r="AI812" s="787"/>
      <c r="AJ812" s="786"/>
      <c r="AK812" s="787"/>
      <c r="AL812" s="787"/>
      <c r="AM812" s="787"/>
      <c r="AN812" s="786"/>
      <c r="AO812" s="787"/>
      <c r="AP812" s="787"/>
      <c r="AQ812" s="787"/>
      <c r="AR812" s="786"/>
      <c r="AS812" s="787"/>
      <c r="AT812" s="787"/>
      <c r="AU812" s="787"/>
      <c r="AV812" s="786"/>
      <c r="AW812" s="787"/>
      <c r="AX812" s="787"/>
      <c r="AY812" s="787"/>
      <c r="AZ812" s="780"/>
      <c r="BA812" s="780"/>
      <c r="BB812" s="780"/>
      <c r="BC812" s="780"/>
      <c r="BD812" s="541"/>
      <c r="BE812" s="541"/>
      <c r="BF812" s="541"/>
      <c r="BG812" s="541"/>
      <c r="BH812" s="780"/>
      <c r="BI812" s="780"/>
      <c r="BJ812" s="780"/>
      <c r="BK812" s="780"/>
      <c r="BL812" s="780"/>
      <c r="BM812" s="780"/>
    </row>
    <row r="813" ht="12.75" customHeight="1">
      <c r="A813" s="521"/>
      <c r="B813" s="521"/>
      <c r="C813" s="515"/>
      <c r="D813" s="515"/>
      <c r="E813" s="515"/>
      <c r="F813" s="515"/>
      <c r="G813" s="515"/>
      <c r="H813" s="515"/>
      <c r="I813" s="515"/>
      <c r="J813" s="515"/>
      <c r="K813" s="515"/>
      <c r="L813" s="515"/>
      <c r="M813" s="515"/>
      <c r="N813" s="515"/>
      <c r="O813" s="533"/>
      <c r="P813" s="786"/>
      <c r="Q813" s="787"/>
      <c r="R813" s="787"/>
      <c r="S813" s="787"/>
      <c r="T813" s="786"/>
      <c r="U813" s="787"/>
      <c r="V813" s="787"/>
      <c r="W813" s="787"/>
      <c r="X813" s="786"/>
      <c r="Y813" s="787"/>
      <c r="Z813" s="787"/>
      <c r="AA813" s="787"/>
      <c r="AB813" s="786"/>
      <c r="AC813" s="787"/>
      <c r="AD813" s="787"/>
      <c r="AE813" s="787"/>
      <c r="AF813" s="786"/>
      <c r="AG813" s="787"/>
      <c r="AH813" s="787"/>
      <c r="AI813" s="787"/>
      <c r="AJ813" s="786"/>
      <c r="AK813" s="787"/>
      <c r="AL813" s="787"/>
      <c r="AM813" s="787"/>
      <c r="AN813" s="786"/>
      <c r="AO813" s="787"/>
      <c r="AP813" s="787"/>
      <c r="AQ813" s="787"/>
      <c r="AR813" s="786"/>
      <c r="AS813" s="787"/>
      <c r="AT813" s="787"/>
      <c r="AU813" s="787"/>
      <c r="AV813" s="786"/>
      <c r="AW813" s="787"/>
      <c r="AX813" s="787"/>
      <c r="AY813" s="787"/>
      <c r="AZ813" s="780"/>
      <c r="BA813" s="780"/>
      <c r="BB813" s="780"/>
      <c r="BC813" s="780"/>
      <c r="BD813" s="541"/>
      <c r="BE813" s="541"/>
      <c r="BF813" s="541"/>
      <c r="BG813" s="541"/>
      <c r="BH813" s="780"/>
      <c r="BI813" s="780"/>
      <c r="BJ813" s="780"/>
      <c r="BK813" s="780"/>
      <c r="BL813" s="780"/>
      <c r="BM813" s="780"/>
    </row>
    <row r="814" ht="12.75" customHeight="1">
      <c r="A814" s="521"/>
      <c r="B814" s="521"/>
      <c r="C814" s="515"/>
      <c r="D814" s="515"/>
      <c r="E814" s="515"/>
      <c r="F814" s="515"/>
      <c r="G814" s="515"/>
      <c r="H814" s="515"/>
      <c r="I814" s="515"/>
      <c r="J814" s="515"/>
      <c r="K814" s="515"/>
      <c r="L814" s="515"/>
      <c r="M814" s="515"/>
      <c r="N814" s="515"/>
      <c r="O814" s="533"/>
      <c r="P814" s="786"/>
      <c r="Q814" s="787"/>
      <c r="R814" s="787"/>
      <c r="S814" s="787"/>
      <c r="T814" s="786"/>
      <c r="U814" s="787"/>
      <c r="V814" s="787"/>
      <c r="W814" s="787"/>
      <c r="X814" s="786"/>
      <c r="Y814" s="787"/>
      <c r="Z814" s="787"/>
      <c r="AA814" s="787"/>
      <c r="AB814" s="786"/>
      <c r="AC814" s="787"/>
      <c r="AD814" s="787"/>
      <c r="AE814" s="787"/>
      <c r="AF814" s="786"/>
      <c r="AG814" s="787"/>
      <c r="AH814" s="787"/>
      <c r="AI814" s="787"/>
      <c r="AJ814" s="786"/>
      <c r="AK814" s="787"/>
      <c r="AL814" s="787"/>
      <c r="AM814" s="787"/>
      <c r="AN814" s="786"/>
      <c r="AO814" s="787"/>
      <c r="AP814" s="787"/>
      <c r="AQ814" s="787"/>
      <c r="AR814" s="786"/>
      <c r="AS814" s="787"/>
      <c r="AT814" s="787"/>
      <c r="AU814" s="787"/>
      <c r="AV814" s="786"/>
      <c r="AW814" s="787"/>
      <c r="AX814" s="787"/>
      <c r="AY814" s="787"/>
      <c r="AZ814" s="780"/>
      <c r="BA814" s="780"/>
      <c r="BB814" s="780"/>
      <c r="BC814" s="780"/>
      <c r="BD814" s="541"/>
      <c r="BE814" s="541"/>
      <c r="BF814" s="541"/>
      <c r="BG814" s="541"/>
      <c r="BH814" s="780"/>
      <c r="BI814" s="780"/>
      <c r="BJ814" s="780"/>
      <c r="BK814" s="780"/>
      <c r="BL814" s="780"/>
      <c r="BM814" s="780"/>
    </row>
    <row r="815" ht="12.75" customHeight="1">
      <c r="A815" s="521"/>
      <c r="B815" s="521"/>
      <c r="C815" s="515"/>
      <c r="D815" s="515"/>
      <c r="E815" s="515"/>
      <c r="F815" s="515"/>
      <c r="G815" s="515"/>
      <c r="H815" s="515"/>
      <c r="I815" s="515"/>
      <c r="J815" s="515"/>
      <c r="K815" s="515"/>
      <c r="L815" s="515"/>
      <c r="M815" s="515"/>
      <c r="N815" s="515"/>
      <c r="O815" s="533"/>
      <c r="P815" s="786"/>
      <c r="Q815" s="787"/>
      <c r="R815" s="787"/>
      <c r="S815" s="787"/>
      <c r="T815" s="786"/>
      <c r="U815" s="787"/>
      <c r="V815" s="787"/>
      <c r="W815" s="787"/>
      <c r="X815" s="786"/>
      <c r="Y815" s="787"/>
      <c r="Z815" s="787"/>
      <c r="AA815" s="787"/>
      <c r="AB815" s="786"/>
      <c r="AC815" s="787"/>
      <c r="AD815" s="787"/>
      <c r="AE815" s="787"/>
      <c r="AF815" s="786"/>
      <c r="AG815" s="787"/>
      <c r="AH815" s="787"/>
      <c r="AI815" s="787"/>
      <c r="AJ815" s="786"/>
      <c r="AK815" s="787"/>
      <c r="AL815" s="787"/>
      <c r="AM815" s="787"/>
      <c r="AN815" s="786"/>
      <c r="AO815" s="787"/>
      <c r="AP815" s="787"/>
      <c r="AQ815" s="787"/>
      <c r="AR815" s="786"/>
      <c r="AS815" s="787"/>
      <c r="AT815" s="787"/>
      <c r="AU815" s="787"/>
      <c r="AV815" s="786"/>
      <c r="AW815" s="787"/>
      <c r="AX815" s="787"/>
      <c r="AY815" s="787"/>
      <c r="AZ815" s="780"/>
      <c r="BA815" s="780"/>
      <c r="BB815" s="780"/>
      <c r="BC815" s="780"/>
      <c r="BD815" s="541"/>
      <c r="BE815" s="541"/>
      <c r="BF815" s="541"/>
      <c r="BG815" s="541"/>
      <c r="BH815" s="780"/>
      <c r="BI815" s="780"/>
      <c r="BJ815" s="780"/>
      <c r="BK815" s="780"/>
      <c r="BL815" s="780"/>
      <c r="BM815" s="780"/>
    </row>
    <row r="816" ht="12.75" customHeight="1">
      <c r="A816" s="521"/>
      <c r="B816" s="521"/>
      <c r="C816" s="515"/>
      <c r="D816" s="515"/>
      <c r="E816" s="515"/>
      <c r="F816" s="515"/>
      <c r="G816" s="515"/>
      <c r="H816" s="515"/>
      <c r="I816" s="515"/>
      <c r="J816" s="515"/>
      <c r="K816" s="515"/>
      <c r="L816" s="515"/>
      <c r="M816" s="515"/>
      <c r="N816" s="515"/>
      <c r="O816" s="533"/>
      <c r="P816" s="786"/>
      <c r="Q816" s="787"/>
      <c r="R816" s="787"/>
      <c r="S816" s="787"/>
      <c r="T816" s="786"/>
      <c r="U816" s="787"/>
      <c r="V816" s="787"/>
      <c r="W816" s="787"/>
      <c r="X816" s="786"/>
      <c r="Y816" s="787"/>
      <c r="Z816" s="787"/>
      <c r="AA816" s="787"/>
      <c r="AB816" s="786"/>
      <c r="AC816" s="787"/>
      <c r="AD816" s="787"/>
      <c r="AE816" s="787"/>
      <c r="AF816" s="786"/>
      <c r="AG816" s="787"/>
      <c r="AH816" s="787"/>
      <c r="AI816" s="787"/>
      <c r="AJ816" s="786"/>
      <c r="AK816" s="787"/>
      <c r="AL816" s="787"/>
      <c r="AM816" s="787"/>
      <c r="AN816" s="786"/>
      <c r="AO816" s="787"/>
      <c r="AP816" s="787"/>
      <c r="AQ816" s="787"/>
      <c r="AR816" s="786"/>
      <c r="AS816" s="787"/>
      <c r="AT816" s="787"/>
      <c r="AU816" s="787"/>
      <c r="AV816" s="786"/>
      <c r="AW816" s="787"/>
      <c r="AX816" s="787"/>
      <c r="AY816" s="787"/>
      <c r="AZ816" s="780"/>
      <c r="BA816" s="780"/>
      <c r="BB816" s="780"/>
      <c r="BC816" s="780"/>
      <c r="BD816" s="541"/>
      <c r="BE816" s="541"/>
      <c r="BF816" s="541"/>
      <c r="BG816" s="541"/>
      <c r="BH816" s="780"/>
      <c r="BI816" s="780"/>
      <c r="BJ816" s="780"/>
      <c r="BK816" s="780"/>
      <c r="BL816" s="780"/>
      <c r="BM816" s="780"/>
    </row>
    <row r="817" ht="12.75" customHeight="1">
      <c r="A817" s="521"/>
      <c r="B817" s="521"/>
      <c r="C817" s="515"/>
      <c r="D817" s="515"/>
      <c r="E817" s="515"/>
      <c r="F817" s="515"/>
      <c r="G817" s="515"/>
      <c r="H817" s="515"/>
      <c r="I817" s="515"/>
      <c r="J817" s="515"/>
      <c r="K817" s="515"/>
      <c r="L817" s="515"/>
      <c r="M817" s="515"/>
      <c r="N817" s="515"/>
      <c r="O817" s="533"/>
      <c r="P817" s="786"/>
      <c r="Q817" s="787"/>
      <c r="R817" s="787"/>
      <c r="S817" s="787"/>
      <c r="T817" s="786"/>
      <c r="U817" s="787"/>
      <c r="V817" s="787"/>
      <c r="W817" s="787"/>
      <c r="X817" s="786"/>
      <c r="Y817" s="787"/>
      <c r="Z817" s="787"/>
      <c r="AA817" s="787"/>
      <c r="AB817" s="786"/>
      <c r="AC817" s="787"/>
      <c r="AD817" s="787"/>
      <c r="AE817" s="787"/>
      <c r="AF817" s="786"/>
      <c r="AG817" s="787"/>
      <c r="AH817" s="787"/>
      <c r="AI817" s="787"/>
      <c r="AJ817" s="786"/>
      <c r="AK817" s="787"/>
      <c r="AL817" s="787"/>
      <c r="AM817" s="787"/>
      <c r="AN817" s="786"/>
      <c r="AO817" s="787"/>
      <c r="AP817" s="787"/>
      <c r="AQ817" s="787"/>
      <c r="AR817" s="786"/>
      <c r="AS817" s="787"/>
      <c r="AT817" s="787"/>
      <c r="AU817" s="787"/>
      <c r="AV817" s="786"/>
      <c r="AW817" s="787"/>
      <c r="AX817" s="787"/>
      <c r="AY817" s="787"/>
      <c r="AZ817" s="780"/>
      <c r="BA817" s="780"/>
      <c r="BB817" s="780"/>
      <c r="BC817" s="780"/>
      <c r="BD817" s="541"/>
      <c r="BE817" s="541"/>
      <c r="BF817" s="541"/>
      <c r="BG817" s="541"/>
      <c r="BH817" s="780"/>
      <c r="BI817" s="780"/>
      <c r="BJ817" s="780"/>
      <c r="BK817" s="780"/>
      <c r="BL817" s="780"/>
      <c r="BM817" s="780"/>
    </row>
    <row r="818" ht="12.75" customHeight="1">
      <c r="A818" s="521"/>
      <c r="B818" s="521"/>
      <c r="C818" s="515"/>
      <c r="D818" s="515"/>
      <c r="E818" s="515"/>
      <c r="F818" s="515"/>
      <c r="G818" s="515"/>
      <c r="H818" s="515"/>
      <c r="I818" s="515"/>
      <c r="J818" s="515"/>
      <c r="K818" s="515"/>
      <c r="L818" s="515"/>
      <c r="M818" s="515"/>
      <c r="N818" s="515"/>
      <c r="O818" s="533"/>
      <c r="P818" s="786"/>
      <c r="Q818" s="787"/>
      <c r="R818" s="787"/>
      <c r="S818" s="787"/>
      <c r="T818" s="786"/>
      <c r="U818" s="787"/>
      <c r="V818" s="787"/>
      <c r="W818" s="787"/>
      <c r="X818" s="786"/>
      <c r="Y818" s="787"/>
      <c r="Z818" s="787"/>
      <c r="AA818" s="787"/>
      <c r="AB818" s="786"/>
      <c r="AC818" s="787"/>
      <c r="AD818" s="787"/>
      <c r="AE818" s="787"/>
      <c r="AF818" s="786"/>
      <c r="AG818" s="787"/>
      <c r="AH818" s="787"/>
      <c r="AI818" s="787"/>
      <c r="AJ818" s="786"/>
      <c r="AK818" s="787"/>
      <c r="AL818" s="787"/>
      <c r="AM818" s="787"/>
      <c r="AN818" s="786"/>
      <c r="AO818" s="787"/>
      <c r="AP818" s="787"/>
      <c r="AQ818" s="787"/>
      <c r="AR818" s="786"/>
      <c r="AS818" s="787"/>
      <c r="AT818" s="787"/>
      <c r="AU818" s="787"/>
      <c r="AV818" s="786"/>
      <c r="AW818" s="787"/>
      <c r="AX818" s="787"/>
      <c r="AY818" s="787"/>
      <c r="AZ818" s="780"/>
      <c r="BA818" s="780"/>
      <c r="BB818" s="780"/>
      <c r="BC818" s="780"/>
      <c r="BD818" s="541"/>
      <c r="BE818" s="541"/>
      <c r="BF818" s="541"/>
      <c r="BG818" s="541"/>
      <c r="BH818" s="780"/>
      <c r="BI818" s="780"/>
      <c r="BJ818" s="780"/>
      <c r="BK818" s="780"/>
      <c r="BL818" s="780"/>
      <c r="BM818" s="780"/>
    </row>
    <row r="819" ht="12.75" customHeight="1">
      <c r="A819" s="521"/>
      <c r="B819" s="521"/>
      <c r="C819" s="515"/>
      <c r="D819" s="515"/>
      <c r="E819" s="515"/>
      <c r="F819" s="515"/>
      <c r="G819" s="515"/>
      <c r="H819" s="515"/>
      <c r="I819" s="515"/>
      <c r="J819" s="515"/>
      <c r="K819" s="515"/>
      <c r="L819" s="515"/>
      <c r="M819" s="515"/>
      <c r="N819" s="515"/>
      <c r="O819" s="533"/>
      <c r="P819" s="786"/>
      <c r="Q819" s="787"/>
      <c r="R819" s="787"/>
      <c r="S819" s="787"/>
      <c r="T819" s="786"/>
      <c r="U819" s="787"/>
      <c r="V819" s="787"/>
      <c r="W819" s="787"/>
      <c r="X819" s="786"/>
      <c r="Y819" s="787"/>
      <c r="Z819" s="787"/>
      <c r="AA819" s="787"/>
      <c r="AB819" s="786"/>
      <c r="AC819" s="787"/>
      <c r="AD819" s="787"/>
      <c r="AE819" s="787"/>
      <c r="AF819" s="786"/>
      <c r="AG819" s="787"/>
      <c r="AH819" s="787"/>
      <c r="AI819" s="787"/>
      <c r="AJ819" s="786"/>
      <c r="AK819" s="787"/>
      <c r="AL819" s="787"/>
      <c r="AM819" s="787"/>
      <c r="AN819" s="786"/>
      <c r="AO819" s="787"/>
      <c r="AP819" s="787"/>
      <c r="AQ819" s="787"/>
      <c r="AR819" s="786"/>
      <c r="AS819" s="787"/>
      <c r="AT819" s="787"/>
      <c r="AU819" s="787"/>
      <c r="AV819" s="786"/>
      <c r="AW819" s="787"/>
      <c r="AX819" s="787"/>
      <c r="AY819" s="787"/>
      <c r="AZ819" s="780"/>
      <c r="BA819" s="780"/>
      <c r="BB819" s="780"/>
      <c r="BC819" s="780"/>
      <c r="BD819" s="541"/>
      <c r="BE819" s="541"/>
      <c r="BF819" s="541"/>
      <c r="BG819" s="541"/>
      <c r="BH819" s="780"/>
      <c r="BI819" s="780"/>
      <c r="BJ819" s="780"/>
      <c r="BK819" s="780"/>
      <c r="BL819" s="780"/>
      <c r="BM819" s="780"/>
    </row>
    <row r="820" ht="12.75" customHeight="1">
      <c r="A820" s="521"/>
      <c r="B820" s="521"/>
      <c r="C820" s="515"/>
      <c r="D820" s="515"/>
      <c r="E820" s="515"/>
      <c r="F820" s="515"/>
      <c r="G820" s="515"/>
      <c r="H820" s="515"/>
      <c r="I820" s="515"/>
      <c r="J820" s="515"/>
      <c r="K820" s="515"/>
      <c r="L820" s="515"/>
      <c r="M820" s="515"/>
      <c r="N820" s="515"/>
      <c r="O820" s="533"/>
      <c r="P820" s="786"/>
      <c r="Q820" s="787"/>
      <c r="R820" s="787"/>
      <c r="S820" s="787"/>
      <c r="T820" s="786"/>
      <c r="U820" s="787"/>
      <c r="V820" s="787"/>
      <c r="W820" s="787"/>
      <c r="X820" s="786"/>
      <c r="Y820" s="787"/>
      <c r="Z820" s="787"/>
      <c r="AA820" s="787"/>
      <c r="AB820" s="786"/>
      <c r="AC820" s="787"/>
      <c r="AD820" s="787"/>
      <c r="AE820" s="787"/>
      <c r="AF820" s="786"/>
      <c r="AG820" s="787"/>
      <c r="AH820" s="787"/>
      <c r="AI820" s="787"/>
      <c r="AJ820" s="786"/>
      <c r="AK820" s="787"/>
      <c r="AL820" s="787"/>
      <c r="AM820" s="787"/>
      <c r="AN820" s="786"/>
      <c r="AO820" s="787"/>
      <c r="AP820" s="787"/>
      <c r="AQ820" s="787"/>
      <c r="AR820" s="786"/>
      <c r="AS820" s="787"/>
      <c r="AT820" s="787"/>
      <c r="AU820" s="787"/>
      <c r="AV820" s="786"/>
      <c r="AW820" s="787"/>
      <c r="AX820" s="787"/>
      <c r="AY820" s="787"/>
      <c r="AZ820" s="780"/>
      <c r="BA820" s="780"/>
      <c r="BB820" s="780"/>
      <c r="BC820" s="780"/>
      <c r="BD820" s="541"/>
      <c r="BE820" s="541"/>
      <c r="BF820" s="541"/>
      <c r="BG820" s="541"/>
      <c r="BH820" s="780"/>
      <c r="BI820" s="780"/>
      <c r="BJ820" s="780"/>
      <c r="BK820" s="780"/>
      <c r="BL820" s="780"/>
      <c r="BM820" s="780"/>
    </row>
    <row r="821" ht="12.75" customHeight="1">
      <c r="A821" s="521"/>
      <c r="B821" s="521"/>
      <c r="C821" s="515"/>
      <c r="D821" s="515"/>
      <c r="E821" s="515"/>
      <c r="F821" s="515"/>
      <c r="G821" s="515"/>
      <c r="H821" s="515"/>
      <c r="I821" s="515"/>
      <c r="J821" s="515"/>
      <c r="K821" s="515"/>
      <c r="L821" s="515"/>
      <c r="M821" s="515"/>
      <c r="N821" s="515"/>
      <c r="O821" s="533"/>
      <c r="P821" s="786"/>
      <c r="Q821" s="787"/>
      <c r="R821" s="787"/>
      <c r="S821" s="787"/>
      <c r="T821" s="786"/>
      <c r="U821" s="787"/>
      <c r="V821" s="787"/>
      <c r="W821" s="787"/>
      <c r="X821" s="786"/>
      <c r="Y821" s="787"/>
      <c r="Z821" s="787"/>
      <c r="AA821" s="787"/>
      <c r="AB821" s="786"/>
      <c r="AC821" s="787"/>
      <c r="AD821" s="787"/>
      <c r="AE821" s="787"/>
      <c r="AF821" s="786"/>
      <c r="AG821" s="787"/>
      <c r="AH821" s="787"/>
      <c r="AI821" s="787"/>
      <c r="AJ821" s="786"/>
      <c r="AK821" s="787"/>
      <c r="AL821" s="787"/>
      <c r="AM821" s="787"/>
      <c r="AN821" s="786"/>
      <c r="AO821" s="787"/>
      <c r="AP821" s="787"/>
      <c r="AQ821" s="787"/>
      <c r="AR821" s="786"/>
      <c r="AS821" s="787"/>
      <c r="AT821" s="787"/>
      <c r="AU821" s="787"/>
      <c r="AV821" s="786"/>
      <c r="AW821" s="787"/>
      <c r="AX821" s="787"/>
      <c r="AY821" s="787"/>
      <c r="AZ821" s="780"/>
      <c r="BA821" s="780"/>
      <c r="BB821" s="780"/>
      <c r="BC821" s="780"/>
      <c r="BD821" s="541"/>
      <c r="BE821" s="541"/>
      <c r="BF821" s="541"/>
      <c r="BG821" s="541"/>
      <c r="BH821" s="780"/>
      <c r="BI821" s="780"/>
      <c r="BJ821" s="780"/>
      <c r="BK821" s="780"/>
      <c r="BL821" s="780"/>
      <c r="BM821" s="780"/>
    </row>
    <row r="822" ht="12.75" customHeight="1">
      <c r="A822" s="521"/>
      <c r="B822" s="521"/>
      <c r="C822" s="515"/>
      <c r="D822" s="515"/>
      <c r="E822" s="515"/>
      <c r="F822" s="515"/>
      <c r="G822" s="515"/>
      <c r="H822" s="515"/>
      <c r="I822" s="515"/>
      <c r="J822" s="515"/>
      <c r="K822" s="515"/>
      <c r="L822" s="515"/>
      <c r="M822" s="515"/>
      <c r="N822" s="515"/>
      <c r="O822" s="533"/>
      <c r="P822" s="786"/>
      <c r="Q822" s="787"/>
      <c r="R822" s="787"/>
      <c r="S822" s="787"/>
      <c r="T822" s="786"/>
      <c r="U822" s="787"/>
      <c r="V822" s="787"/>
      <c r="W822" s="787"/>
      <c r="X822" s="786"/>
      <c r="Y822" s="787"/>
      <c r="Z822" s="787"/>
      <c r="AA822" s="787"/>
      <c r="AB822" s="786"/>
      <c r="AC822" s="787"/>
      <c r="AD822" s="787"/>
      <c r="AE822" s="787"/>
      <c r="AF822" s="786"/>
      <c r="AG822" s="787"/>
      <c r="AH822" s="787"/>
      <c r="AI822" s="787"/>
      <c r="AJ822" s="786"/>
      <c r="AK822" s="787"/>
      <c r="AL822" s="787"/>
      <c r="AM822" s="787"/>
      <c r="AN822" s="786"/>
      <c r="AO822" s="787"/>
      <c r="AP822" s="787"/>
      <c r="AQ822" s="787"/>
      <c r="AR822" s="786"/>
      <c r="AS822" s="787"/>
      <c r="AT822" s="787"/>
      <c r="AU822" s="787"/>
      <c r="AV822" s="786"/>
      <c r="AW822" s="787"/>
      <c r="AX822" s="787"/>
      <c r="AY822" s="787"/>
      <c r="AZ822" s="780"/>
      <c r="BA822" s="780"/>
      <c r="BB822" s="780"/>
      <c r="BC822" s="780"/>
      <c r="BD822" s="541"/>
      <c r="BE822" s="541"/>
      <c r="BF822" s="541"/>
      <c r="BG822" s="541"/>
      <c r="BH822" s="780"/>
      <c r="BI822" s="780"/>
      <c r="BJ822" s="780"/>
      <c r="BK822" s="780"/>
      <c r="BL822" s="780"/>
      <c r="BM822" s="780"/>
    </row>
    <row r="823" ht="12.75" customHeight="1">
      <c r="A823" s="521"/>
      <c r="B823" s="521"/>
      <c r="C823" s="515"/>
      <c r="D823" s="515"/>
      <c r="E823" s="515"/>
      <c r="F823" s="515"/>
      <c r="G823" s="515"/>
      <c r="H823" s="515"/>
      <c r="I823" s="515"/>
      <c r="J823" s="515"/>
      <c r="K823" s="515"/>
      <c r="L823" s="515"/>
      <c r="M823" s="515"/>
      <c r="N823" s="515"/>
      <c r="O823" s="533"/>
      <c r="P823" s="786"/>
      <c r="Q823" s="787"/>
      <c r="R823" s="787"/>
      <c r="S823" s="787"/>
      <c r="T823" s="786"/>
      <c r="U823" s="787"/>
      <c r="V823" s="787"/>
      <c r="W823" s="787"/>
      <c r="X823" s="786"/>
      <c r="Y823" s="787"/>
      <c r="Z823" s="787"/>
      <c r="AA823" s="787"/>
      <c r="AB823" s="786"/>
      <c r="AC823" s="787"/>
      <c r="AD823" s="787"/>
      <c r="AE823" s="787"/>
      <c r="AF823" s="786"/>
      <c r="AG823" s="787"/>
      <c r="AH823" s="787"/>
      <c r="AI823" s="787"/>
      <c r="AJ823" s="786"/>
      <c r="AK823" s="787"/>
      <c r="AL823" s="787"/>
      <c r="AM823" s="787"/>
      <c r="AN823" s="786"/>
      <c r="AO823" s="787"/>
      <c r="AP823" s="787"/>
      <c r="AQ823" s="787"/>
      <c r="AR823" s="786"/>
      <c r="AS823" s="787"/>
      <c r="AT823" s="787"/>
      <c r="AU823" s="787"/>
      <c r="AV823" s="786"/>
      <c r="AW823" s="787"/>
      <c r="AX823" s="787"/>
      <c r="AY823" s="787"/>
      <c r="AZ823" s="780"/>
      <c r="BA823" s="780"/>
      <c r="BB823" s="780"/>
      <c r="BC823" s="780"/>
      <c r="BD823" s="541"/>
      <c r="BE823" s="541"/>
      <c r="BF823" s="541"/>
      <c r="BG823" s="541"/>
      <c r="BH823" s="780"/>
      <c r="BI823" s="780"/>
      <c r="BJ823" s="780"/>
      <c r="BK823" s="780"/>
      <c r="BL823" s="780"/>
      <c r="BM823" s="780"/>
    </row>
    <row r="824" ht="12.75" customHeight="1">
      <c r="A824" s="521"/>
      <c r="B824" s="521"/>
      <c r="C824" s="515"/>
      <c r="D824" s="515"/>
      <c r="E824" s="515"/>
      <c r="F824" s="515"/>
      <c r="G824" s="515"/>
      <c r="H824" s="515"/>
      <c r="I824" s="515"/>
      <c r="J824" s="515"/>
      <c r="K824" s="515"/>
      <c r="L824" s="515"/>
      <c r="M824" s="515"/>
      <c r="N824" s="515"/>
      <c r="O824" s="533"/>
      <c r="P824" s="786"/>
      <c r="Q824" s="787"/>
      <c r="R824" s="787"/>
      <c r="S824" s="787"/>
      <c r="T824" s="786"/>
      <c r="U824" s="787"/>
      <c r="V824" s="787"/>
      <c r="W824" s="787"/>
      <c r="X824" s="786"/>
      <c r="Y824" s="787"/>
      <c r="Z824" s="787"/>
      <c r="AA824" s="787"/>
      <c r="AB824" s="786"/>
      <c r="AC824" s="787"/>
      <c r="AD824" s="787"/>
      <c r="AE824" s="787"/>
      <c r="AF824" s="786"/>
      <c r="AG824" s="787"/>
      <c r="AH824" s="787"/>
      <c r="AI824" s="787"/>
      <c r="AJ824" s="786"/>
      <c r="AK824" s="787"/>
      <c r="AL824" s="787"/>
      <c r="AM824" s="787"/>
      <c r="AN824" s="786"/>
      <c r="AO824" s="787"/>
      <c r="AP824" s="787"/>
      <c r="AQ824" s="787"/>
      <c r="AR824" s="786"/>
      <c r="AS824" s="787"/>
      <c r="AT824" s="787"/>
      <c r="AU824" s="787"/>
      <c r="AV824" s="786"/>
      <c r="AW824" s="787"/>
      <c r="AX824" s="787"/>
      <c r="AY824" s="787"/>
      <c r="AZ824" s="780"/>
      <c r="BA824" s="780"/>
      <c r="BB824" s="780"/>
      <c r="BC824" s="780"/>
      <c r="BD824" s="541"/>
      <c r="BE824" s="541"/>
      <c r="BF824" s="541"/>
      <c r="BG824" s="541"/>
      <c r="BH824" s="780"/>
      <c r="BI824" s="780"/>
      <c r="BJ824" s="780"/>
      <c r="BK824" s="780"/>
      <c r="BL824" s="780"/>
      <c r="BM824" s="780"/>
    </row>
    <row r="825" ht="12.75" customHeight="1">
      <c r="A825" s="521"/>
      <c r="B825" s="521"/>
      <c r="C825" s="515"/>
      <c r="D825" s="515"/>
      <c r="E825" s="515"/>
      <c r="F825" s="515"/>
      <c r="G825" s="515"/>
      <c r="H825" s="515"/>
      <c r="I825" s="515"/>
      <c r="J825" s="515"/>
      <c r="K825" s="515"/>
      <c r="L825" s="515"/>
      <c r="M825" s="515"/>
      <c r="N825" s="515"/>
      <c r="O825" s="533"/>
      <c r="P825" s="786"/>
      <c r="Q825" s="787"/>
      <c r="R825" s="787"/>
      <c r="S825" s="787"/>
      <c r="T825" s="786"/>
      <c r="U825" s="787"/>
      <c r="V825" s="787"/>
      <c r="W825" s="787"/>
      <c r="X825" s="786"/>
      <c r="Y825" s="787"/>
      <c r="Z825" s="787"/>
      <c r="AA825" s="787"/>
      <c r="AB825" s="786"/>
      <c r="AC825" s="787"/>
      <c r="AD825" s="787"/>
      <c r="AE825" s="787"/>
      <c r="AF825" s="786"/>
      <c r="AG825" s="787"/>
      <c r="AH825" s="787"/>
      <c r="AI825" s="787"/>
      <c r="AJ825" s="786"/>
      <c r="AK825" s="787"/>
      <c r="AL825" s="787"/>
      <c r="AM825" s="787"/>
      <c r="AN825" s="786"/>
      <c r="AO825" s="787"/>
      <c r="AP825" s="787"/>
      <c r="AQ825" s="787"/>
      <c r="AR825" s="786"/>
      <c r="AS825" s="787"/>
      <c r="AT825" s="787"/>
      <c r="AU825" s="787"/>
      <c r="AV825" s="786"/>
      <c r="AW825" s="787"/>
      <c r="AX825" s="787"/>
      <c r="AY825" s="787"/>
      <c r="AZ825" s="780"/>
      <c r="BA825" s="780"/>
      <c r="BB825" s="780"/>
      <c r="BC825" s="780"/>
      <c r="BD825" s="541"/>
      <c r="BE825" s="541"/>
      <c r="BF825" s="541"/>
      <c r="BG825" s="541"/>
      <c r="BH825" s="780"/>
      <c r="BI825" s="780"/>
      <c r="BJ825" s="780"/>
      <c r="BK825" s="780"/>
      <c r="BL825" s="780"/>
      <c r="BM825" s="780"/>
    </row>
    <row r="826" ht="12.75" customHeight="1">
      <c r="A826" s="521"/>
      <c r="B826" s="521"/>
      <c r="C826" s="515"/>
      <c r="D826" s="515"/>
      <c r="E826" s="515"/>
      <c r="F826" s="515"/>
      <c r="G826" s="515"/>
      <c r="H826" s="515"/>
      <c r="I826" s="515"/>
      <c r="J826" s="515"/>
      <c r="K826" s="515"/>
      <c r="L826" s="515"/>
      <c r="M826" s="515"/>
      <c r="N826" s="515"/>
      <c r="O826" s="533"/>
      <c r="P826" s="786"/>
      <c r="Q826" s="787"/>
      <c r="R826" s="787"/>
      <c r="S826" s="787"/>
      <c r="T826" s="786"/>
      <c r="U826" s="787"/>
      <c r="V826" s="787"/>
      <c r="W826" s="787"/>
      <c r="X826" s="786"/>
      <c r="Y826" s="787"/>
      <c r="Z826" s="787"/>
      <c r="AA826" s="787"/>
      <c r="AB826" s="786"/>
      <c r="AC826" s="787"/>
      <c r="AD826" s="787"/>
      <c r="AE826" s="787"/>
      <c r="AF826" s="786"/>
      <c r="AG826" s="787"/>
      <c r="AH826" s="787"/>
      <c r="AI826" s="787"/>
      <c r="AJ826" s="786"/>
      <c r="AK826" s="787"/>
      <c r="AL826" s="787"/>
      <c r="AM826" s="787"/>
      <c r="AN826" s="786"/>
      <c r="AO826" s="787"/>
      <c r="AP826" s="787"/>
      <c r="AQ826" s="787"/>
      <c r="AR826" s="786"/>
      <c r="AS826" s="787"/>
      <c r="AT826" s="787"/>
      <c r="AU826" s="787"/>
      <c r="AV826" s="786"/>
      <c r="AW826" s="787"/>
      <c r="AX826" s="787"/>
      <c r="AY826" s="787"/>
      <c r="AZ826" s="780"/>
      <c r="BA826" s="780"/>
      <c r="BB826" s="780"/>
      <c r="BC826" s="780"/>
      <c r="BD826" s="541"/>
      <c r="BE826" s="541"/>
      <c r="BF826" s="541"/>
      <c r="BG826" s="541"/>
      <c r="BH826" s="780"/>
      <c r="BI826" s="780"/>
      <c r="BJ826" s="780"/>
      <c r="BK826" s="780"/>
      <c r="BL826" s="780"/>
      <c r="BM826" s="780"/>
    </row>
    <row r="827" ht="12.75" customHeight="1">
      <c r="A827" s="521"/>
      <c r="B827" s="521"/>
      <c r="C827" s="515"/>
      <c r="D827" s="515"/>
      <c r="E827" s="515"/>
      <c r="F827" s="515"/>
      <c r="G827" s="515"/>
      <c r="H827" s="515"/>
      <c r="I827" s="515"/>
      <c r="J827" s="515"/>
      <c r="K827" s="515"/>
      <c r="L827" s="515"/>
      <c r="M827" s="515"/>
      <c r="N827" s="515"/>
      <c r="O827" s="533"/>
      <c r="P827" s="786"/>
      <c r="Q827" s="787"/>
      <c r="R827" s="787"/>
      <c r="S827" s="787"/>
      <c r="T827" s="786"/>
      <c r="U827" s="787"/>
      <c r="V827" s="787"/>
      <c r="W827" s="787"/>
      <c r="X827" s="786"/>
      <c r="Y827" s="787"/>
      <c r="Z827" s="787"/>
      <c r="AA827" s="787"/>
      <c r="AB827" s="786"/>
      <c r="AC827" s="787"/>
      <c r="AD827" s="787"/>
      <c r="AE827" s="787"/>
      <c r="AF827" s="786"/>
      <c r="AG827" s="787"/>
      <c r="AH827" s="787"/>
      <c r="AI827" s="787"/>
      <c r="AJ827" s="786"/>
      <c r="AK827" s="787"/>
      <c r="AL827" s="787"/>
      <c r="AM827" s="787"/>
      <c r="AN827" s="786"/>
      <c r="AO827" s="787"/>
      <c r="AP827" s="787"/>
      <c r="AQ827" s="787"/>
      <c r="AR827" s="786"/>
      <c r="AS827" s="787"/>
      <c r="AT827" s="787"/>
      <c r="AU827" s="787"/>
      <c r="AV827" s="786"/>
      <c r="AW827" s="787"/>
      <c r="AX827" s="787"/>
      <c r="AY827" s="787"/>
      <c r="AZ827" s="780"/>
      <c r="BA827" s="780"/>
      <c r="BB827" s="780"/>
      <c r="BC827" s="780"/>
      <c r="BD827" s="541"/>
      <c r="BE827" s="541"/>
      <c r="BF827" s="541"/>
      <c r="BG827" s="541"/>
      <c r="BH827" s="780"/>
      <c r="BI827" s="780"/>
      <c r="BJ827" s="780"/>
      <c r="BK827" s="780"/>
      <c r="BL827" s="780"/>
      <c r="BM827" s="780"/>
    </row>
    <row r="828" ht="12.75" customHeight="1">
      <c r="A828" s="521"/>
      <c r="B828" s="521"/>
      <c r="C828" s="515"/>
      <c r="D828" s="515"/>
      <c r="E828" s="515"/>
      <c r="F828" s="515"/>
      <c r="G828" s="515"/>
      <c r="H828" s="515"/>
      <c r="I828" s="515"/>
      <c r="J828" s="515"/>
      <c r="K828" s="515"/>
      <c r="L828" s="515"/>
      <c r="M828" s="515"/>
      <c r="N828" s="515"/>
      <c r="O828" s="533"/>
      <c r="P828" s="786"/>
      <c r="Q828" s="787"/>
      <c r="R828" s="787"/>
      <c r="S828" s="787"/>
      <c r="T828" s="786"/>
      <c r="U828" s="787"/>
      <c r="V828" s="787"/>
      <c r="W828" s="787"/>
      <c r="X828" s="786"/>
      <c r="Y828" s="787"/>
      <c r="Z828" s="787"/>
      <c r="AA828" s="787"/>
      <c r="AB828" s="786"/>
      <c r="AC828" s="787"/>
      <c r="AD828" s="787"/>
      <c r="AE828" s="787"/>
      <c r="AF828" s="786"/>
      <c r="AG828" s="787"/>
      <c r="AH828" s="787"/>
      <c r="AI828" s="787"/>
      <c r="AJ828" s="786"/>
      <c r="AK828" s="787"/>
      <c r="AL828" s="787"/>
      <c r="AM828" s="787"/>
      <c r="AN828" s="786"/>
      <c r="AO828" s="787"/>
      <c r="AP828" s="787"/>
      <c r="AQ828" s="787"/>
      <c r="AR828" s="786"/>
      <c r="AS828" s="787"/>
      <c r="AT828" s="787"/>
      <c r="AU828" s="787"/>
      <c r="AV828" s="786"/>
      <c r="AW828" s="787"/>
      <c r="AX828" s="787"/>
      <c r="AY828" s="787"/>
      <c r="AZ828" s="780"/>
      <c r="BA828" s="780"/>
      <c r="BB828" s="780"/>
      <c r="BC828" s="780"/>
      <c r="BD828" s="541"/>
      <c r="BE828" s="541"/>
      <c r="BF828" s="541"/>
      <c r="BG828" s="541"/>
      <c r="BH828" s="780"/>
      <c r="BI828" s="780"/>
      <c r="BJ828" s="780"/>
      <c r="BK828" s="780"/>
      <c r="BL828" s="780"/>
      <c r="BM828" s="780"/>
    </row>
    <row r="829" ht="12.75" customHeight="1">
      <c r="A829" s="521"/>
      <c r="B829" s="521"/>
      <c r="C829" s="515"/>
      <c r="D829" s="515"/>
      <c r="E829" s="515"/>
      <c r="F829" s="515"/>
      <c r="G829" s="515"/>
      <c r="H829" s="515"/>
      <c r="I829" s="515"/>
      <c r="J829" s="515"/>
      <c r="K829" s="515"/>
      <c r="L829" s="515"/>
      <c r="M829" s="515"/>
      <c r="N829" s="515"/>
      <c r="O829" s="533"/>
      <c r="P829" s="786"/>
      <c r="Q829" s="787"/>
      <c r="R829" s="787"/>
      <c r="S829" s="787"/>
      <c r="T829" s="786"/>
      <c r="U829" s="787"/>
      <c r="V829" s="787"/>
      <c r="W829" s="787"/>
      <c r="X829" s="786"/>
      <c r="Y829" s="787"/>
      <c r="Z829" s="787"/>
      <c r="AA829" s="787"/>
      <c r="AB829" s="786"/>
      <c r="AC829" s="787"/>
      <c r="AD829" s="787"/>
      <c r="AE829" s="787"/>
      <c r="AF829" s="786"/>
      <c r="AG829" s="787"/>
      <c r="AH829" s="787"/>
      <c r="AI829" s="787"/>
      <c r="AJ829" s="786"/>
      <c r="AK829" s="787"/>
      <c r="AL829" s="787"/>
      <c r="AM829" s="787"/>
      <c r="AN829" s="786"/>
      <c r="AO829" s="787"/>
      <c r="AP829" s="787"/>
      <c r="AQ829" s="787"/>
      <c r="AR829" s="786"/>
      <c r="AS829" s="787"/>
      <c r="AT829" s="787"/>
      <c r="AU829" s="787"/>
      <c r="AV829" s="786"/>
      <c r="AW829" s="787"/>
      <c r="AX829" s="787"/>
      <c r="AY829" s="787"/>
      <c r="AZ829" s="780"/>
      <c r="BA829" s="780"/>
      <c r="BB829" s="780"/>
      <c r="BC829" s="780"/>
      <c r="BD829" s="541"/>
      <c r="BE829" s="541"/>
      <c r="BF829" s="541"/>
      <c r="BG829" s="541"/>
      <c r="BH829" s="780"/>
      <c r="BI829" s="780"/>
      <c r="BJ829" s="780"/>
      <c r="BK829" s="780"/>
      <c r="BL829" s="780"/>
      <c r="BM829" s="780"/>
    </row>
    <row r="830" ht="12.75" customHeight="1">
      <c r="A830" s="521"/>
      <c r="B830" s="521"/>
      <c r="C830" s="515"/>
      <c r="D830" s="515"/>
      <c r="E830" s="515"/>
      <c r="F830" s="515"/>
      <c r="G830" s="515"/>
      <c r="H830" s="515"/>
      <c r="I830" s="515"/>
      <c r="J830" s="515"/>
      <c r="K830" s="515"/>
      <c r="L830" s="515"/>
      <c r="M830" s="515"/>
      <c r="N830" s="515"/>
      <c r="O830" s="533"/>
      <c r="P830" s="786"/>
      <c r="Q830" s="787"/>
      <c r="R830" s="787"/>
      <c r="S830" s="787"/>
      <c r="T830" s="786"/>
      <c r="U830" s="787"/>
      <c r="V830" s="787"/>
      <c r="W830" s="787"/>
      <c r="X830" s="786"/>
      <c r="Y830" s="787"/>
      <c r="Z830" s="787"/>
      <c r="AA830" s="787"/>
      <c r="AB830" s="786"/>
      <c r="AC830" s="787"/>
      <c r="AD830" s="787"/>
      <c r="AE830" s="787"/>
      <c r="AF830" s="786"/>
      <c r="AG830" s="787"/>
      <c r="AH830" s="787"/>
      <c r="AI830" s="787"/>
      <c r="AJ830" s="786"/>
      <c r="AK830" s="787"/>
      <c r="AL830" s="787"/>
      <c r="AM830" s="787"/>
      <c r="AN830" s="786"/>
      <c r="AO830" s="787"/>
      <c r="AP830" s="787"/>
      <c r="AQ830" s="787"/>
      <c r="AR830" s="786"/>
      <c r="AS830" s="787"/>
      <c r="AT830" s="787"/>
      <c r="AU830" s="787"/>
      <c r="AV830" s="786"/>
      <c r="AW830" s="787"/>
      <c r="AX830" s="787"/>
      <c r="AY830" s="787"/>
      <c r="AZ830" s="780"/>
      <c r="BA830" s="780"/>
      <c r="BB830" s="780"/>
      <c r="BC830" s="780"/>
      <c r="BD830" s="541"/>
      <c r="BE830" s="541"/>
      <c r="BF830" s="541"/>
      <c r="BG830" s="541"/>
      <c r="BH830" s="780"/>
      <c r="BI830" s="780"/>
      <c r="BJ830" s="780"/>
      <c r="BK830" s="780"/>
      <c r="BL830" s="780"/>
      <c r="BM830" s="780"/>
    </row>
    <row r="831" ht="12.75" customHeight="1">
      <c r="A831" s="521"/>
      <c r="B831" s="521"/>
      <c r="C831" s="515"/>
      <c r="D831" s="515"/>
      <c r="E831" s="515"/>
      <c r="F831" s="515"/>
      <c r="G831" s="515"/>
      <c r="H831" s="515"/>
      <c r="I831" s="515"/>
      <c r="J831" s="515"/>
      <c r="K831" s="515"/>
      <c r="L831" s="515"/>
      <c r="M831" s="515"/>
      <c r="N831" s="515"/>
      <c r="O831" s="533"/>
      <c r="P831" s="786"/>
      <c r="Q831" s="787"/>
      <c r="R831" s="787"/>
      <c r="S831" s="787"/>
      <c r="T831" s="786"/>
      <c r="U831" s="787"/>
      <c r="V831" s="787"/>
      <c r="W831" s="787"/>
      <c r="X831" s="786"/>
      <c r="Y831" s="787"/>
      <c r="Z831" s="787"/>
      <c r="AA831" s="787"/>
      <c r="AB831" s="786"/>
      <c r="AC831" s="787"/>
      <c r="AD831" s="787"/>
      <c r="AE831" s="787"/>
      <c r="AF831" s="786"/>
      <c r="AG831" s="787"/>
      <c r="AH831" s="787"/>
      <c r="AI831" s="787"/>
      <c r="AJ831" s="786"/>
      <c r="AK831" s="787"/>
      <c r="AL831" s="787"/>
      <c r="AM831" s="787"/>
      <c r="AN831" s="786"/>
      <c r="AO831" s="787"/>
      <c r="AP831" s="787"/>
      <c r="AQ831" s="787"/>
      <c r="AR831" s="786"/>
      <c r="AS831" s="787"/>
      <c r="AT831" s="787"/>
      <c r="AU831" s="787"/>
      <c r="AV831" s="786"/>
      <c r="AW831" s="787"/>
      <c r="AX831" s="787"/>
      <c r="AY831" s="787"/>
      <c r="AZ831" s="780"/>
      <c r="BA831" s="780"/>
      <c r="BB831" s="780"/>
      <c r="BC831" s="780"/>
      <c r="BD831" s="541"/>
      <c r="BE831" s="541"/>
      <c r="BF831" s="541"/>
      <c r="BG831" s="541"/>
      <c r="BH831" s="780"/>
      <c r="BI831" s="780"/>
      <c r="BJ831" s="780"/>
      <c r="BK831" s="780"/>
      <c r="BL831" s="780"/>
      <c r="BM831" s="780"/>
    </row>
    <row r="832" ht="12.75" customHeight="1">
      <c r="A832" s="521"/>
      <c r="B832" s="521"/>
      <c r="C832" s="515"/>
      <c r="D832" s="515"/>
      <c r="E832" s="515"/>
      <c r="F832" s="515"/>
      <c r="G832" s="515"/>
      <c r="H832" s="515"/>
      <c r="I832" s="515"/>
      <c r="J832" s="515"/>
      <c r="K832" s="515"/>
      <c r="L832" s="515"/>
      <c r="M832" s="515"/>
      <c r="N832" s="515"/>
      <c r="O832" s="533"/>
      <c r="P832" s="786"/>
      <c r="Q832" s="787"/>
      <c r="R832" s="787"/>
      <c r="S832" s="787"/>
      <c r="T832" s="786"/>
      <c r="U832" s="787"/>
      <c r="V832" s="787"/>
      <c r="W832" s="787"/>
      <c r="X832" s="786"/>
      <c r="Y832" s="787"/>
      <c r="Z832" s="787"/>
      <c r="AA832" s="787"/>
      <c r="AB832" s="786"/>
      <c r="AC832" s="787"/>
      <c r="AD832" s="787"/>
      <c r="AE832" s="787"/>
      <c r="AF832" s="786"/>
      <c r="AG832" s="787"/>
      <c r="AH832" s="787"/>
      <c r="AI832" s="787"/>
      <c r="AJ832" s="786"/>
      <c r="AK832" s="787"/>
      <c r="AL832" s="787"/>
      <c r="AM832" s="787"/>
      <c r="AN832" s="786"/>
      <c r="AO832" s="787"/>
      <c r="AP832" s="787"/>
      <c r="AQ832" s="787"/>
      <c r="AR832" s="786"/>
      <c r="AS832" s="787"/>
      <c r="AT832" s="787"/>
      <c r="AU832" s="787"/>
      <c r="AV832" s="786"/>
      <c r="AW832" s="787"/>
      <c r="AX832" s="787"/>
      <c r="AY832" s="787"/>
      <c r="AZ832" s="780"/>
      <c r="BA832" s="780"/>
      <c r="BB832" s="780"/>
      <c r="BC832" s="780"/>
      <c r="BD832" s="541"/>
      <c r="BE832" s="541"/>
      <c r="BF832" s="541"/>
      <c r="BG832" s="541"/>
      <c r="BH832" s="780"/>
      <c r="BI832" s="780"/>
      <c r="BJ832" s="780"/>
      <c r="BK832" s="780"/>
      <c r="BL832" s="780"/>
      <c r="BM832" s="780"/>
    </row>
    <row r="833" ht="12.75" customHeight="1">
      <c r="A833" s="521"/>
      <c r="B833" s="521"/>
      <c r="C833" s="515"/>
      <c r="D833" s="515"/>
      <c r="E833" s="515"/>
      <c r="F833" s="515"/>
      <c r="G833" s="515"/>
      <c r="H833" s="515"/>
      <c r="I833" s="515"/>
      <c r="J833" s="515"/>
      <c r="K833" s="515"/>
      <c r="L833" s="515"/>
      <c r="M833" s="515"/>
      <c r="N833" s="515"/>
      <c r="O833" s="533"/>
      <c r="P833" s="786"/>
      <c r="Q833" s="787"/>
      <c r="R833" s="787"/>
      <c r="S833" s="787"/>
      <c r="T833" s="786"/>
      <c r="U833" s="787"/>
      <c r="V833" s="787"/>
      <c r="W833" s="787"/>
      <c r="X833" s="786"/>
      <c r="Y833" s="787"/>
      <c r="Z833" s="787"/>
      <c r="AA833" s="787"/>
      <c r="AB833" s="786"/>
      <c r="AC833" s="787"/>
      <c r="AD833" s="787"/>
      <c r="AE833" s="787"/>
      <c r="AF833" s="786"/>
      <c r="AG833" s="787"/>
      <c r="AH833" s="787"/>
      <c r="AI833" s="787"/>
      <c r="AJ833" s="786"/>
      <c r="AK833" s="787"/>
      <c r="AL833" s="787"/>
      <c r="AM833" s="787"/>
      <c r="AN833" s="786"/>
      <c r="AO833" s="787"/>
      <c r="AP833" s="787"/>
      <c r="AQ833" s="787"/>
      <c r="AR833" s="786"/>
      <c r="AS833" s="787"/>
      <c r="AT833" s="787"/>
      <c r="AU833" s="787"/>
      <c r="AV833" s="786"/>
      <c r="AW833" s="787"/>
      <c r="AX833" s="787"/>
      <c r="AY833" s="787"/>
      <c r="AZ833" s="780"/>
      <c r="BA833" s="780"/>
      <c r="BB833" s="780"/>
      <c r="BC833" s="780"/>
      <c r="BD833" s="541"/>
      <c r="BE833" s="541"/>
      <c r="BF833" s="541"/>
      <c r="BG833" s="541"/>
      <c r="BH833" s="780"/>
      <c r="BI833" s="780"/>
      <c r="BJ833" s="780"/>
      <c r="BK833" s="780"/>
      <c r="BL833" s="780"/>
      <c r="BM833" s="780"/>
    </row>
    <row r="834" ht="12.75" customHeight="1">
      <c r="A834" s="521"/>
      <c r="B834" s="521"/>
      <c r="C834" s="515"/>
      <c r="D834" s="515"/>
      <c r="E834" s="515"/>
      <c r="F834" s="515"/>
      <c r="G834" s="515"/>
      <c r="H834" s="515"/>
      <c r="I834" s="515"/>
      <c r="J834" s="515"/>
      <c r="K834" s="515"/>
      <c r="L834" s="515"/>
      <c r="M834" s="515"/>
      <c r="N834" s="515"/>
      <c r="O834" s="533"/>
      <c r="P834" s="786"/>
      <c r="Q834" s="787"/>
      <c r="R834" s="787"/>
      <c r="S834" s="787"/>
      <c r="T834" s="786"/>
      <c r="U834" s="787"/>
      <c r="V834" s="787"/>
      <c r="W834" s="787"/>
      <c r="X834" s="786"/>
      <c r="Y834" s="787"/>
      <c r="Z834" s="787"/>
      <c r="AA834" s="787"/>
      <c r="AB834" s="786"/>
      <c r="AC834" s="787"/>
      <c r="AD834" s="787"/>
      <c r="AE834" s="787"/>
      <c r="AF834" s="786"/>
      <c r="AG834" s="787"/>
      <c r="AH834" s="787"/>
      <c r="AI834" s="787"/>
      <c r="AJ834" s="786"/>
      <c r="AK834" s="787"/>
      <c r="AL834" s="787"/>
      <c r="AM834" s="787"/>
      <c r="AN834" s="786"/>
      <c r="AO834" s="787"/>
      <c r="AP834" s="787"/>
      <c r="AQ834" s="787"/>
      <c r="AR834" s="786"/>
      <c r="AS834" s="787"/>
      <c r="AT834" s="787"/>
      <c r="AU834" s="787"/>
      <c r="AV834" s="786"/>
      <c r="AW834" s="787"/>
      <c r="AX834" s="787"/>
      <c r="AY834" s="787"/>
      <c r="AZ834" s="780"/>
      <c r="BA834" s="780"/>
      <c r="BB834" s="780"/>
      <c r="BC834" s="780"/>
      <c r="BD834" s="541"/>
      <c r="BE834" s="541"/>
      <c r="BF834" s="541"/>
      <c r="BG834" s="541"/>
      <c r="BH834" s="780"/>
      <c r="BI834" s="780"/>
      <c r="BJ834" s="780"/>
      <c r="BK834" s="780"/>
      <c r="BL834" s="780"/>
      <c r="BM834" s="780"/>
    </row>
    <row r="835" ht="12.75" customHeight="1">
      <c r="A835" s="521"/>
      <c r="B835" s="521"/>
      <c r="C835" s="515"/>
      <c r="D835" s="515"/>
      <c r="E835" s="515"/>
      <c r="F835" s="515"/>
      <c r="G835" s="515"/>
      <c r="H835" s="515"/>
      <c r="I835" s="515"/>
      <c r="J835" s="515"/>
      <c r="K835" s="515"/>
      <c r="L835" s="515"/>
      <c r="M835" s="515"/>
      <c r="N835" s="515"/>
      <c r="O835" s="533"/>
      <c r="P835" s="786"/>
      <c r="Q835" s="787"/>
      <c r="R835" s="787"/>
      <c r="S835" s="787"/>
      <c r="T835" s="786"/>
      <c r="U835" s="787"/>
      <c r="V835" s="787"/>
      <c r="W835" s="787"/>
      <c r="X835" s="786"/>
      <c r="Y835" s="787"/>
      <c r="Z835" s="787"/>
      <c r="AA835" s="787"/>
      <c r="AB835" s="786"/>
      <c r="AC835" s="787"/>
      <c r="AD835" s="787"/>
      <c r="AE835" s="787"/>
      <c r="AF835" s="786"/>
      <c r="AG835" s="787"/>
      <c r="AH835" s="787"/>
      <c r="AI835" s="787"/>
      <c r="AJ835" s="786"/>
      <c r="AK835" s="787"/>
      <c r="AL835" s="787"/>
      <c r="AM835" s="787"/>
      <c r="AN835" s="786"/>
      <c r="AO835" s="787"/>
      <c r="AP835" s="787"/>
      <c r="AQ835" s="787"/>
      <c r="AR835" s="786"/>
      <c r="AS835" s="787"/>
      <c r="AT835" s="787"/>
      <c r="AU835" s="787"/>
      <c r="AV835" s="786"/>
      <c r="AW835" s="787"/>
      <c r="AX835" s="787"/>
      <c r="AY835" s="787"/>
      <c r="AZ835" s="780"/>
      <c r="BA835" s="780"/>
      <c r="BB835" s="780"/>
      <c r="BC835" s="780"/>
      <c r="BD835" s="541"/>
      <c r="BE835" s="541"/>
      <c r="BF835" s="541"/>
      <c r="BG835" s="541"/>
      <c r="BH835" s="780"/>
      <c r="BI835" s="780"/>
      <c r="BJ835" s="780"/>
      <c r="BK835" s="780"/>
      <c r="BL835" s="780"/>
      <c r="BM835" s="780"/>
    </row>
    <row r="836" ht="12.75" customHeight="1">
      <c r="A836" s="521"/>
      <c r="B836" s="521"/>
      <c r="C836" s="515"/>
      <c r="D836" s="515"/>
      <c r="E836" s="515"/>
      <c r="F836" s="515"/>
      <c r="G836" s="515"/>
      <c r="H836" s="515"/>
      <c r="I836" s="515"/>
      <c r="J836" s="515"/>
      <c r="K836" s="515"/>
      <c r="L836" s="515"/>
      <c r="M836" s="515"/>
      <c r="N836" s="515"/>
      <c r="O836" s="533"/>
      <c r="P836" s="786"/>
      <c r="Q836" s="787"/>
      <c r="R836" s="787"/>
      <c r="S836" s="787"/>
      <c r="T836" s="786"/>
      <c r="U836" s="787"/>
      <c r="V836" s="787"/>
      <c r="W836" s="787"/>
      <c r="X836" s="786"/>
      <c r="Y836" s="787"/>
      <c r="Z836" s="787"/>
      <c r="AA836" s="787"/>
      <c r="AB836" s="786"/>
      <c r="AC836" s="787"/>
      <c r="AD836" s="787"/>
      <c r="AE836" s="787"/>
      <c r="AF836" s="786"/>
      <c r="AG836" s="787"/>
      <c r="AH836" s="787"/>
      <c r="AI836" s="787"/>
      <c r="AJ836" s="786"/>
      <c r="AK836" s="787"/>
      <c r="AL836" s="787"/>
      <c r="AM836" s="787"/>
      <c r="AN836" s="786"/>
      <c r="AO836" s="787"/>
      <c r="AP836" s="787"/>
      <c r="AQ836" s="787"/>
      <c r="AR836" s="786"/>
      <c r="AS836" s="787"/>
      <c r="AT836" s="787"/>
      <c r="AU836" s="787"/>
      <c r="AV836" s="786"/>
      <c r="AW836" s="787"/>
      <c r="AX836" s="787"/>
      <c r="AY836" s="787"/>
      <c r="AZ836" s="780"/>
      <c r="BA836" s="780"/>
      <c r="BB836" s="780"/>
      <c r="BC836" s="780"/>
      <c r="BD836" s="541"/>
      <c r="BE836" s="541"/>
      <c r="BF836" s="541"/>
      <c r="BG836" s="541"/>
      <c r="BH836" s="780"/>
      <c r="BI836" s="780"/>
      <c r="BJ836" s="780"/>
      <c r="BK836" s="780"/>
      <c r="BL836" s="780"/>
      <c r="BM836" s="780"/>
    </row>
    <row r="837" ht="12.75" customHeight="1">
      <c r="A837" s="521"/>
      <c r="B837" s="521"/>
      <c r="C837" s="515"/>
      <c r="D837" s="515"/>
      <c r="E837" s="515"/>
      <c r="F837" s="515"/>
      <c r="G837" s="515"/>
      <c r="H837" s="515"/>
      <c r="I837" s="515"/>
      <c r="J837" s="515"/>
      <c r="K837" s="515"/>
      <c r="L837" s="515"/>
      <c r="M837" s="515"/>
      <c r="N837" s="515"/>
      <c r="O837" s="533"/>
      <c r="P837" s="786"/>
      <c r="Q837" s="787"/>
      <c r="R837" s="787"/>
      <c r="S837" s="787"/>
      <c r="T837" s="786"/>
      <c r="U837" s="787"/>
      <c r="V837" s="787"/>
      <c r="W837" s="787"/>
      <c r="X837" s="786"/>
      <c r="Y837" s="787"/>
      <c r="Z837" s="787"/>
      <c r="AA837" s="787"/>
      <c r="AB837" s="786"/>
      <c r="AC837" s="787"/>
      <c r="AD837" s="787"/>
      <c r="AE837" s="787"/>
      <c r="AF837" s="786"/>
      <c r="AG837" s="787"/>
      <c r="AH837" s="787"/>
      <c r="AI837" s="787"/>
      <c r="AJ837" s="786"/>
      <c r="AK837" s="787"/>
      <c r="AL837" s="787"/>
      <c r="AM837" s="787"/>
      <c r="AN837" s="786"/>
      <c r="AO837" s="787"/>
      <c r="AP837" s="787"/>
      <c r="AQ837" s="787"/>
      <c r="AR837" s="786"/>
      <c r="AS837" s="787"/>
      <c r="AT837" s="787"/>
      <c r="AU837" s="787"/>
      <c r="AV837" s="786"/>
      <c r="AW837" s="787"/>
      <c r="AX837" s="787"/>
      <c r="AY837" s="787"/>
      <c r="AZ837" s="780"/>
      <c r="BA837" s="780"/>
      <c r="BB837" s="780"/>
      <c r="BC837" s="780"/>
      <c r="BD837" s="541"/>
      <c r="BE837" s="541"/>
      <c r="BF837" s="541"/>
      <c r="BG837" s="541"/>
      <c r="BH837" s="780"/>
      <c r="BI837" s="780"/>
      <c r="BJ837" s="780"/>
      <c r="BK837" s="780"/>
      <c r="BL837" s="780"/>
      <c r="BM837" s="780"/>
    </row>
    <row r="838" ht="12.75" customHeight="1">
      <c r="A838" s="521"/>
      <c r="B838" s="521"/>
      <c r="C838" s="515"/>
      <c r="D838" s="515"/>
      <c r="E838" s="515"/>
      <c r="F838" s="515"/>
      <c r="G838" s="515"/>
      <c r="H838" s="515"/>
      <c r="I838" s="515"/>
      <c r="J838" s="515"/>
      <c r="K838" s="515"/>
      <c r="L838" s="515"/>
      <c r="M838" s="515"/>
      <c r="N838" s="515"/>
      <c r="O838" s="533"/>
      <c r="P838" s="786"/>
      <c r="Q838" s="787"/>
      <c r="R838" s="787"/>
      <c r="S838" s="787"/>
      <c r="T838" s="786"/>
      <c r="U838" s="787"/>
      <c r="V838" s="787"/>
      <c r="W838" s="787"/>
      <c r="X838" s="786"/>
      <c r="Y838" s="787"/>
      <c r="Z838" s="787"/>
      <c r="AA838" s="787"/>
      <c r="AB838" s="786"/>
      <c r="AC838" s="787"/>
      <c r="AD838" s="787"/>
      <c r="AE838" s="787"/>
      <c r="AF838" s="786"/>
      <c r="AG838" s="787"/>
      <c r="AH838" s="787"/>
      <c r="AI838" s="787"/>
      <c r="AJ838" s="786"/>
      <c r="AK838" s="787"/>
      <c r="AL838" s="787"/>
      <c r="AM838" s="787"/>
      <c r="AN838" s="786"/>
      <c r="AO838" s="787"/>
      <c r="AP838" s="787"/>
      <c r="AQ838" s="787"/>
      <c r="AR838" s="786"/>
      <c r="AS838" s="787"/>
      <c r="AT838" s="787"/>
      <c r="AU838" s="787"/>
      <c r="AV838" s="786"/>
      <c r="AW838" s="787"/>
      <c r="AX838" s="787"/>
      <c r="AY838" s="787"/>
      <c r="AZ838" s="780"/>
      <c r="BA838" s="780"/>
      <c r="BB838" s="780"/>
      <c r="BC838" s="780"/>
      <c r="BD838" s="541"/>
      <c r="BE838" s="541"/>
      <c r="BF838" s="541"/>
      <c r="BG838" s="541"/>
      <c r="BH838" s="780"/>
      <c r="BI838" s="780"/>
      <c r="BJ838" s="780"/>
      <c r="BK838" s="780"/>
      <c r="BL838" s="780"/>
      <c r="BM838" s="780"/>
    </row>
    <row r="839" ht="12.75" customHeight="1">
      <c r="A839" s="521"/>
      <c r="B839" s="521"/>
      <c r="C839" s="515"/>
      <c r="D839" s="515"/>
      <c r="E839" s="515"/>
      <c r="F839" s="515"/>
      <c r="G839" s="515"/>
      <c r="H839" s="515"/>
      <c r="I839" s="515"/>
      <c r="J839" s="515"/>
      <c r="K839" s="515"/>
      <c r="L839" s="515"/>
      <c r="M839" s="515"/>
      <c r="N839" s="515"/>
      <c r="O839" s="533"/>
      <c r="P839" s="786"/>
      <c r="Q839" s="787"/>
      <c r="R839" s="787"/>
      <c r="S839" s="787"/>
      <c r="T839" s="786"/>
      <c r="U839" s="787"/>
      <c r="V839" s="787"/>
      <c r="W839" s="787"/>
      <c r="X839" s="786"/>
      <c r="Y839" s="787"/>
      <c r="Z839" s="787"/>
      <c r="AA839" s="787"/>
      <c r="AB839" s="786"/>
      <c r="AC839" s="787"/>
      <c r="AD839" s="787"/>
      <c r="AE839" s="787"/>
      <c r="AF839" s="786"/>
      <c r="AG839" s="787"/>
      <c r="AH839" s="787"/>
      <c r="AI839" s="787"/>
      <c r="AJ839" s="786"/>
      <c r="AK839" s="787"/>
      <c r="AL839" s="787"/>
      <c r="AM839" s="787"/>
      <c r="AN839" s="786"/>
      <c r="AO839" s="787"/>
      <c r="AP839" s="787"/>
      <c r="AQ839" s="787"/>
      <c r="AR839" s="786"/>
      <c r="AS839" s="787"/>
      <c r="AT839" s="787"/>
      <c r="AU839" s="787"/>
      <c r="AV839" s="786"/>
      <c r="AW839" s="787"/>
      <c r="AX839" s="787"/>
      <c r="AY839" s="787"/>
      <c r="AZ839" s="780"/>
      <c r="BA839" s="780"/>
      <c r="BB839" s="780"/>
      <c r="BC839" s="780"/>
      <c r="BD839" s="541"/>
      <c r="BE839" s="541"/>
      <c r="BF839" s="541"/>
      <c r="BG839" s="541"/>
      <c r="BH839" s="780"/>
      <c r="BI839" s="780"/>
      <c r="BJ839" s="780"/>
      <c r="BK839" s="780"/>
      <c r="BL839" s="780"/>
      <c r="BM839" s="780"/>
    </row>
    <row r="840" ht="12.75" customHeight="1">
      <c r="A840" s="521"/>
      <c r="B840" s="521"/>
      <c r="C840" s="515"/>
      <c r="D840" s="515"/>
      <c r="E840" s="515"/>
      <c r="F840" s="515"/>
      <c r="G840" s="515"/>
      <c r="H840" s="515"/>
      <c r="I840" s="515"/>
      <c r="J840" s="515"/>
      <c r="K840" s="515"/>
      <c r="L840" s="515"/>
      <c r="M840" s="515"/>
      <c r="N840" s="515"/>
      <c r="O840" s="533"/>
      <c r="P840" s="786"/>
      <c r="Q840" s="787"/>
      <c r="R840" s="787"/>
      <c r="S840" s="787"/>
      <c r="T840" s="786"/>
      <c r="U840" s="787"/>
      <c r="V840" s="787"/>
      <c r="W840" s="787"/>
      <c r="X840" s="786"/>
      <c r="Y840" s="787"/>
      <c r="Z840" s="787"/>
      <c r="AA840" s="787"/>
      <c r="AB840" s="786"/>
      <c r="AC840" s="787"/>
      <c r="AD840" s="787"/>
      <c r="AE840" s="787"/>
      <c r="AF840" s="786"/>
      <c r="AG840" s="787"/>
      <c r="AH840" s="787"/>
      <c r="AI840" s="787"/>
      <c r="AJ840" s="786"/>
      <c r="AK840" s="787"/>
      <c r="AL840" s="787"/>
      <c r="AM840" s="787"/>
      <c r="AN840" s="786"/>
      <c r="AO840" s="787"/>
      <c r="AP840" s="787"/>
      <c r="AQ840" s="787"/>
      <c r="AR840" s="786"/>
      <c r="AS840" s="787"/>
      <c r="AT840" s="787"/>
      <c r="AU840" s="787"/>
      <c r="AV840" s="786"/>
      <c r="AW840" s="787"/>
      <c r="AX840" s="787"/>
      <c r="AY840" s="787"/>
      <c r="AZ840" s="780"/>
      <c r="BA840" s="780"/>
      <c r="BB840" s="780"/>
      <c r="BC840" s="780"/>
      <c r="BD840" s="541"/>
      <c r="BE840" s="541"/>
      <c r="BF840" s="541"/>
      <c r="BG840" s="541"/>
      <c r="BH840" s="780"/>
      <c r="BI840" s="780"/>
      <c r="BJ840" s="780"/>
      <c r="BK840" s="780"/>
      <c r="BL840" s="780"/>
      <c r="BM840" s="780"/>
    </row>
    <row r="841" ht="12.75" customHeight="1">
      <c r="A841" s="521"/>
      <c r="B841" s="521"/>
      <c r="C841" s="515"/>
      <c r="D841" s="515"/>
      <c r="E841" s="515"/>
      <c r="F841" s="515"/>
      <c r="G841" s="515"/>
      <c r="H841" s="515"/>
      <c r="I841" s="515"/>
      <c r="J841" s="515"/>
      <c r="K841" s="515"/>
      <c r="L841" s="515"/>
      <c r="M841" s="515"/>
      <c r="N841" s="515"/>
      <c r="O841" s="533"/>
      <c r="P841" s="786"/>
      <c r="Q841" s="787"/>
      <c r="R841" s="787"/>
      <c r="S841" s="787"/>
      <c r="T841" s="786"/>
      <c r="U841" s="787"/>
      <c r="V841" s="787"/>
      <c r="W841" s="787"/>
      <c r="X841" s="786"/>
      <c r="Y841" s="787"/>
      <c r="Z841" s="787"/>
      <c r="AA841" s="787"/>
      <c r="AB841" s="786"/>
      <c r="AC841" s="787"/>
      <c r="AD841" s="787"/>
      <c r="AE841" s="787"/>
      <c r="AF841" s="786"/>
      <c r="AG841" s="787"/>
      <c r="AH841" s="787"/>
      <c r="AI841" s="787"/>
      <c r="AJ841" s="786"/>
      <c r="AK841" s="787"/>
      <c r="AL841" s="787"/>
      <c r="AM841" s="787"/>
      <c r="AN841" s="786"/>
      <c r="AO841" s="787"/>
      <c r="AP841" s="787"/>
      <c r="AQ841" s="787"/>
      <c r="AR841" s="786"/>
      <c r="AS841" s="787"/>
      <c r="AT841" s="787"/>
      <c r="AU841" s="787"/>
      <c r="AV841" s="786"/>
      <c r="AW841" s="787"/>
      <c r="AX841" s="787"/>
      <c r="AY841" s="787"/>
      <c r="AZ841" s="780"/>
      <c r="BA841" s="780"/>
      <c r="BB841" s="780"/>
      <c r="BC841" s="780"/>
      <c r="BD841" s="541"/>
      <c r="BE841" s="541"/>
      <c r="BF841" s="541"/>
      <c r="BG841" s="541"/>
      <c r="BH841" s="780"/>
      <c r="BI841" s="780"/>
      <c r="BJ841" s="780"/>
      <c r="BK841" s="780"/>
      <c r="BL841" s="780"/>
      <c r="BM841" s="780"/>
    </row>
    <row r="842" ht="12.75" customHeight="1">
      <c r="A842" s="521"/>
      <c r="B842" s="521"/>
      <c r="C842" s="515"/>
      <c r="D842" s="515"/>
      <c r="E842" s="515"/>
      <c r="F842" s="515"/>
      <c r="G842" s="515"/>
      <c r="H842" s="515"/>
      <c r="I842" s="515"/>
      <c r="J842" s="515"/>
      <c r="K842" s="515"/>
      <c r="L842" s="515"/>
      <c r="M842" s="515"/>
      <c r="N842" s="515"/>
      <c r="O842" s="533"/>
      <c r="P842" s="786"/>
      <c r="Q842" s="787"/>
      <c r="R842" s="787"/>
      <c r="S842" s="787"/>
      <c r="T842" s="786"/>
      <c r="U842" s="787"/>
      <c r="V842" s="787"/>
      <c r="W842" s="787"/>
      <c r="X842" s="786"/>
      <c r="Y842" s="787"/>
      <c r="Z842" s="787"/>
      <c r="AA842" s="787"/>
      <c r="AB842" s="786"/>
      <c r="AC842" s="787"/>
      <c r="AD842" s="787"/>
      <c r="AE842" s="787"/>
      <c r="AF842" s="786"/>
      <c r="AG842" s="787"/>
      <c r="AH842" s="787"/>
      <c r="AI842" s="787"/>
      <c r="AJ842" s="786"/>
      <c r="AK842" s="787"/>
      <c r="AL842" s="787"/>
      <c r="AM842" s="787"/>
      <c r="AN842" s="786"/>
      <c r="AO842" s="787"/>
      <c r="AP842" s="787"/>
      <c r="AQ842" s="787"/>
      <c r="AR842" s="786"/>
      <c r="AS842" s="787"/>
      <c r="AT842" s="787"/>
      <c r="AU842" s="787"/>
      <c r="AV842" s="786"/>
      <c r="AW842" s="787"/>
      <c r="AX842" s="787"/>
      <c r="AY842" s="787"/>
      <c r="AZ842" s="780"/>
      <c r="BA842" s="780"/>
      <c r="BB842" s="780"/>
      <c r="BC842" s="780"/>
      <c r="BD842" s="541"/>
      <c r="BE842" s="541"/>
      <c r="BF842" s="541"/>
      <c r="BG842" s="541"/>
      <c r="BH842" s="780"/>
      <c r="BI842" s="780"/>
      <c r="BJ842" s="780"/>
      <c r="BK842" s="780"/>
      <c r="BL842" s="780"/>
      <c r="BM842" s="780"/>
    </row>
    <row r="843" ht="12.75" customHeight="1">
      <c r="A843" s="521"/>
      <c r="B843" s="521"/>
      <c r="C843" s="515"/>
      <c r="D843" s="515"/>
      <c r="E843" s="515"/>
      <c r="F843" s="515"/>
      <c r="G843" s="515"/>
      <c r="H843" s="515"/>
      <c r="I843" s="515"/>
      <c r="J843" s="515"/>
      <c r="K843" s="515"/>
      <c r="L843" s="515"/>
      <c r="M843" s="515"/>
      <c r="N843" s="515"/>
      <c r="O843" s="533"/>
      <c r="P843" s="786"/>
      <c r="Q843" s="787"/>
      <c r="R843" s="787"/>
      <c r="S843" s="787"/>
      <c r="T843" s="786"/>
      <c r="U843" s="787"/>
      <c r="V843" s="787"/>
      <c r="W843" s="787"/>
      <c r="X843" s="786"/>
      <c r="Y843" s="787"/>
      <c r="Z843" s="787"/>
      <c r="AA843" s="787"/>
      <c r="AB843" s="786"/>
      <c r="AC843" s="787"/>
      <c r="AD843" s="787"/>
      <c r="AE843" s="787"/>
      <c r="AF843" s="786"/>
      <c r="AG843" s="787"/>
      <c r="AH843" s="787"/>
      <c r="AI843" s="787"/>
      <c r="AJ843" s="786"/>
      <c r="AK843" s="787"/>
      <c r="AL843" s="787"/>
      <c r="AM843" s="787"/>
      <c r="AN843" s="786"/>
      <c r="AO843" s="787"/>
      <c r="AP843" s="787"/>
      <c r="AQ843" s="787"/>
      <c r="AR843" s="786"/>
      <c r="AS843" s="787"/>
      <c r="AT843" s="787"/>
      <c r="AU843" s="787"/>
      <c r="AV843" s="786"/>
      <c r="AW843" s="787"/>
      <c r="AX843" s="787"/>
      <c r="AY843" s="787"/>
      <c r="AZ843" s="780"/>
      <c r="BA843" s="780"/>
      <c r="BB843" s="780"/>
      <c r="BC843" s="780"/>
      <c r="BD843" s="541"/>
      <c r="BE843" s="541"/>
      <c r="BF843" s="541"/>
      <c r="BG843" s="541"/>
      <c r="BH843" s="780"/>
      <c r="BI843" s="780"/>
      <c r="BJ843" s="780"/>
      <c r="BK843" s="780"/>
      <c r="BL843" s="780"/>
      <c r="BM843" s="780"/>
    </row>
    <row r="844" ht="12.75" customHeight="1">
      <c r="A844" s="521"/>
      <c r="B844" s="521"/>
      <c r="C844" s="515"/>
      <c r="D844" s="515"/>
      <c r="E844" s="515"/>
      <c r="F844" s="515"/>
      <c r="G844" s="515"/>
      <c r="H844" s="515"/>
      <c r="I844" s="515"/>
      <c r="J844" s="515"/>
      <c r="K844" s="515"/>
      <c r="L844" s="515"/>
      <c r="M844" s="515"/>
      <c r="N844" s="515"/>
      <c r="O844" s="533"/>
      <c r="P844" s="786"/>
      <c r="Q844" s="787"/>
      <c r="R844" s="787"/>
      <c r="S844" s="787"/>
      <c r="T844" s="786"/>
      <c r="U844" s="787"/>
      <c r="V844" s="787"/>
      <c r="W844" s="787"/>
      <c r="X844" s="786"/>
      <c r="Y844" s="787"/>
      <c r="Z844" s="787"/>
      <c r="AA844" s="787"/>
      <c r="AB844" s="786"/>
      <c r="AC844" s="787"/>
      <c r="AD844" s="787"/>
      <c r="AE844" s="787"/>
      <c r="AF844" s="786"/>
      <c r="AG844" s="787"/>
      <c r="AH844" s="787"/>
      <c r="AI844" s="787"/>
      <c r="AJ844" s="786"/>
      <c r="AK844" s="787"/>
      <c r="AL844" s="787"/>
      <c r="AM844" s="787"/>
      <c r="AN844" s="786"/>
      <c r="AO844" s="787"/>
      <c r="AP844" s="787"/>
      <c r="AQ844" s="787"/>
      <c r="AR844" s="786"/>
      <c r="AS844" s="787"/>
      <c r="AT844" s="787"/>
      <c r="AU844" s="787"/>
      <c r="AV844" s="786"/>
      <c r="AW844" s="787"/>
      <c r="AX844" s="787"/>
      <c r="AY844" s="787"/>
      <c r="AZ844" s="780"/>
      <c r="BA844" s="780"/>
      <c r="BB844" s="780"/>
      <c r="BC844" s="780"/>
      <c r="BD844" s="541"/>
      <c r="BE844" s="541"/>
      <c r="BF844" s="541"/>
      <c r="BG844" s="541"/>
      <c r="BH844" s="780"/>
      <c r="BI844" s="780"/>
      <c r="BJ844" s="780"/>
      <c r="BK844" s="780"/>
      <c r="BL844" s="780"/>
      <c r="BM844" s="780"/>
    </row>
    <row r="845" ht="12.75" customHeight="1">
      <c r="A845" s="521"/>
      <c r="B845" s="521"/>
      <c r="C845" s="515"/>
      <c r="D845" s="515"/>
      <c r="E845" s="515"/>
      <c r="F845" s="515"/>
      <c r="G845" s="515"/>
      <c r="H845" s="515"/>
      <c r="I845" s="515"/>
      <c r="J845" s="515"/>
      <c r="K845" s="515"/>
      <c r="L845" s="515"/>
      <c r="M845" s="515"/>
      <c r="N845" s="515"/>
      <c r="O845" s="533"/>
      <c r="P845" s="786"/>
      <c r="Q845" s="787"/>
      <c r="R845" s="787"/>
      <c r="S845" s="787"/>
      <c r="T845" s="786"/>
      <c r="U845" s="787"/>
      <c r="V845" s="787"/>
      <c r="W845" s="787"/>
      <c r="X845" s="786"/>
      <c r="Y845" s="787"/>
      <c r="Z845" s="787"/>
      <c r="AA845" s="787"/>
      <c r="AB845" s="786"/>
      <c r="AC845" s="787"/>
      <c r="AD845" s="787"/>
      <c r="AE845" s="787"/>
      <c r="AF845" s="786"/>
      <c r="AG845" s="787"/>
      <c r="AH845" s="787"/>
      <c r="AI845" s="787"/>
      <c r="AJ845" s="786"/>
      <c r="AK845" s="787"/>
      <c r="AL845" s="787"/>
      <c r="AM845" s="787"/>
      <c r="AN845" s="786"/>
      <c r="AO845" s="787"/>
      <c r="AP845" s="787"/>
      <c r="AQ845" s="787"/>
      <c r="AR845" s="786"/>
      <c r="AS845" s="787"/>
      <c r="AT845" s="787"/>
      <c r="AU845" s="787"/>
      <c r="AV845" s="786"/>
      <c r="AW845" s="787"/>
      <c r="AX845" s="787"/>
      <c r="AY845" s="787"/>
      <c r="AZ845" s="780"/>
      <c r="BA845" s="780"/>
      <c r="BB845" s="780"/>
      <c r="BC845" s="780"/>
      <c r="BD845" s="541"/>
      <c r="BE845" s="541"/>
      <c r="BF845" s="541"/>
      <c r="BG845" s="541"/>
      <c r="BH845" s="780"/>
      <c r="BI845" s="780"/>
      <c r="BJ845" s="780"/>
      <c r="BK845" s="780"/>
      <c r="BL845" s="780"/>
      <c r="BM845" s="780"/>
    </row>
    <row r="846" ht="12.75" customHeight="1">
      <c r="A846" s="521"/>
      <c r="B846" s="521"/>
      <c r="C846" s="515"/>
      <c r="D846" s="515"/>
      <c r="E846" s="515"/>
      <c r="F846" s="515"/>
      <c r="G846" s="515"/>
      <c r="H846" s="515"/>
      <c r="I846" s="515"/>
      <c r="J846" s="515"/>
      <c r="K846" s="515"/>
      <c r="L846" s="515"/>
      <c r="M846" s="515"/>
      <c r="N846" s="515"/>
      <c r="O846" s="533"/>
      <c r="P846" s="786"/>
      <c r="Q846" s="787"/>
      <c r="R846" s="787"/>
      <c r="S846" s="787"/>
      <c r="T846" s="786"/>
      <c r="U846" s="787"/>
      <c r="V846" s="787"/>
      <c r="W846" s="787"/>
      <c r="X846" s="786"/>
      <c r="Y846" s="787"/>
      <c r="Z846" s="787"/>
      <c r="AA846" s="787"/>
      <c r="AB846" s="786"/>
      <c r="AC846" s="787"/>
      <c r="AD846" s="787"/>
      <c r="AE846" s="787"/>
      <c r="AF846" s="786"/>
      <c r="AG846" s="787"/>
      <c r="AH846" s="787"/>
      <c r="AI846" s="787"/>
      <c r="AJ846" s="786"/>
      <c r="AK846" s="787"/>
      <c r="AL846" s="787"/>
      <c r="AM846" s="787"/>
      <c r="AN846" s="786"/>
      <c r="AO846" s="787"/>
      <c r="AP846" s="787"/>
      <c r="AQ846" s="787"/>
      <c r="AR846" s="786"/>
      <c r="AS846" s="787"/>
      <c r="AT846" s="787"/>
      <c r="AU846" s="787"/>
      <c r="AV846" s="786"/>
      <c r="AW846" s="787"/>
      <c r="AX846" s="787"/>
      <c r="AY846" s="787"/>
      <c r="AZ846" s="780"/>
      <c r="BA846" s="780"/>
      <c r="BB846" s="780"/>
      <c r="BC846" s="780"/>
      <c r="BD846" s="541"/>
      <c r="BE846" s="541"/>
      <c r="BF846" s="541"/>
      <c r="BG846" s="541"/>
      <c r="BH846" s="780"/>
      <c r="BI846" s="780"/>
      <c r="BJ846" s="780"/>
      <c r="BK846" s="780"/>
      <c r="BL846" s="780"/>
      <c r="BM846" s="780"/>
    </row>
    <row r="847" ht="12.75" customHeight="1">
      <c r="A847" s="521"/>
      <c r="B847" s="521"/>
      <c r="C847" s="515"/>
      <c r="D847" s="515"/>
      <c r="E847" s="515"/>
      <c r="F847" s="515"/>
      <c r="G847" s="515"/>
      <c r="H847" s="515"/>
      <c r="I847" s="515"/>
      <c r="J847" s="515"/>
      <c r="K847" s="515"/>
      <c r="L847" s="515"/>
      <c r="M847" s="515"/>
      <c r="N847" s="515"/>
      <c r="O847" s="533"/>
      <c r="P847" s="786"/>
      <c r="Q847" s="787"/>
      <c r="R847" s="787"/>
      <c r="S847" s="787"/>
      <c r="T847" s="786"/>
      <c r="U847" s="787"/>
      <c r="V847" s="787"/>
      <c r="W847" s="787"/>
      <c r="X847" s="786"/>
      <c r="Y847" s="787"/>
      <c r="Z847" s="787"/>
      <c r="AA847" s="787"/>
      <c r="AB847" s="786"/>
      <c r="AC847" s="787"/>
      <c r="AD847" s="787"/>
      <c r="AE847" s="787"/>
      <c r="AF847" s="786"/>
      <c r="AG847" s="787"/>
      <c r="AH847" s="787"/>
      <c r="AI847" s="787"/>
      <c r="AJ847" s="786"/>
      <c r="AK847" s="787"/>
      <c r="AL847" s="787"/>
      <c r="AM847" s="787"/>
      <c r="AN847" s="786"/>
      <c r="AO847" s="787"/>
      <c r="AP847" s="787"/>
      <c r="AQ847" s="787"/>
      <c r="AR847" s="786"/>
      <c r="AS847" s="787"/>
      <c r="AT847" s="787"/>
      <c r="AU847" s="787"/>
      <c r="AV847" s="786"/>
      <c r="AW847" s="787"/>
      <c r="AX847" s="787"/>
      <c r="AY847" s="787"/>
      <c r="AZ847" s="780"/>
      <c r="BA847" s="780"/>
      <c r="BB847" s="780"/>
      <c r="BC847" s="780"/>
      <c r="BD847" s="541"/>
      <c r="BE847" s="541"/>
      <c r="BF847" s="541"/>
      <c r="BG847" s="541"/>
      <c r="BH847" s="780"/>
      <c r="BI847" s="780"/>
      <c r="BJ847" s="780"/>
      <c r="BK847" s="780"/>
      <c r="BL847" s="780"/>
      <c r="BM847" s="780"/>
    </row>
    <row r="848" ht="12.75" customHeight="1">
      <c r="A848" s="521"/>
      <c r="B848" s="521"/>
      <c r="C848" s="515"/>
      <c r="D848" s="515"/>
      <c r="E848" s="515"/>
      <c r="F848" s="515"/>
      <c r="G848" s="515"/>
      <c r="H848" s="515"/>
      <c r="I848" s="515"/>
      <c r="J848" s="515"/>
      <c r="K848" s="515"/>
      <c r="L848" s="515"/>
      <c r="M848" s="515"/>
      <c r="N848" s="515"/>
      <c r="O848" s="533"/>
      <c r="P848" s="786"/>
      <c r="Q848" s="787"/>
      <c r="R848" s="787"/>
      <c r="S848" s="787"/>
      <c r="T848" s="786"/>
      <c r="U848" s="787"/>
      <c r="V848" s="787"/>
      <c r="W848" s="787"/>
      <c r="X848" s="786"/>
      <c r="Y848" s="787"/>
      <c r="Z848" s="787"/>
      <c r="AA848" s="787"/>
      <c r="AB848" s="786"/>
      <c r="AC848" s="787"/>
      <c r="AD848" s="787"/>
      <c r="AE848" s="787"/>
      <c r="AF848" s="786"/>
      <c r="AG848" s="787"/>
      <c r="AH848" s="787"/>
      <c r="AI848" s="787"/>
      <c r="AJ848" s="786"/>
      <c r="AK848" s="787"/>
      <c r="AL848" s="787"/>
      <c r="AM848" s="787"/>
      <c r="AN848" s="786"/>
      <c r="AO848" s="787"/>
      <c r="AP848" s="787"/>
      <c r="AQ848" s="787"/>
      <c r="AR848" s="786"/>
      <c r="AS848" s="787"/>
      <c r="AT848" s="787"/>
      <c r="AU848" s="787"/>
      <c r="AV848" s="786"/>
      <c r="AW848" s="787"/>
      <c r="AX848" s="787"/>
      <c r="AY848" s="787"/>
      <c r="AZ848" s="780"/>
      <c r="BA848" s="780"/>
      <c r="BB848" s="780"/>
      <c r="BC848" s="780"/>
      <c r="BD848" s="541"/>
      <c r="BE848" s="541"/>
      <c r="BF848" s="541"/>
      <c r="BG848" s="541"/>
      <c r="BH848" s="780"/>
      <c r="BI848" s="780"/>
      <c r="BJ848" s="780"/>
      <c r="BK848" s="780"/>
      <c r="BL848" s="780"/>
      <c r="BM848" s="780"/>
    </row>
    <row r="849" ht="12.75" customHeight="1">
      <c r="A849" s="521"/>
      <c r="B849" s="521"/>
      <c r="C849" s="515"/>
      <c r="D849" s="515"/>
      <c r="E849" s="515"/>
      <c r="F849" s="515"/>
      <c r="G849" s="515"/>
      <c r="H849" s="515"/>
      <c r="I849" s="515"/>
      <c r="J849" s="515"/>
      <c r="K849" s="515"/>
      <c r="L849" s="515"/>
      <c r="M849" s="515"/>
      <c r="N849" s="515"/>
      <c r="O849" s="533"/>
      <c r="P849" s="786"/>
      <c r="Q849" s="787"/>
      <c r="R849" s="787"/>
      <c r="S849" s="787"/>
      <c r="T849" s="786"/>
      <c r="U849" s="787"/>
      <c r="V849" s="787"/>
      <c r="W849" s="787"/>
      <c r="X849" s="786"/>
      <c r="Y849" s="787"/>
      <c r="Z849" s="787"/>
      <c r="AA849" s="787"/>
      <c r="AB849" s="786"/>
      <c r="AC849" s="787"/>
      <c r="AD849" s="787"/>
      <c r="AE849" s="787"/>
      <c r="AF849" s="786"/>
      <c r="AG849" s="787"/>
      <c r="AH849" s="787"/>
      <c r="AI849" s="787"/>
      <c r="AJ849" s="786"/>
      <c r="AK849" s="787"/>
      <c r="AL849" s="787"/>
      <c r="AM849" s="787"/>
      <c r="AN849" s="786"/>
      <c r="AO849" s="787"/>
      <c r="AP849" s="787"/>
      <c r="AQ849" s="787"/>
      <c r="AR849" s="786"/>
      <c r="AS849" s="787"/>
      <c r="AT849" s="787"/>
      <c r="AU849" s="787"/>
      <c r="AV849" s="786"/>
      <c r="AW849" s="787"/>
      <c r="AX849" s="787"/>
      <c r="AY849" s="787"/>
      <c r="AZ849" s="780"/>
      <c r="BA849" s="780"/>
      <c r="BB849" s="780"/>
      <c r="BC849" s="780"/>
      <c r="BD849" s="541"/>
      <c r="BE849" s="541"/>
      <c r="BF849" s="541"/>
      <c r="BG849" s="541"/>
      <c r="BH849" s="780"/>
      <c r="BI849" s="780"/>
      <c r="BJ849" s="780"/>
      <c r="BK849" s="780"/>
      <c r="BL849" s="780"/>
      <c r="BM849" s="780"/>
    </row>
    <row r="850" ht="12.75" customHeight="1">
      <c r="A850" s="521"/>
      <c r="B850" s="521"/>
      <c r="C850" s="515"/>
      <c r="D850" s="515"/>
      <c r="E850" s="515"/>
      <c r="F850" s="515"/>
      <c r="G850" s="515"/>
      <c r="H850" s="515"/>
      <c r="I850" s="515"/>
      <c r="J850" s="515"/>
      <c r="K850" s="515"/>
      <c r="L850" s="515"/>
      <c r="M850" s="515"/>
      <c r="N850" s="515"/>
      <c r="O850" s="533"/>
      <c r="P850" s="786"/>
      <c r="Q850" s="787"/>
      <c r="R850" s="787"/>
      <c r="S850" s="787"/>
      <c r="T850" s="786"/>
      <c r="U850" s="787"/>
      <c r="V850" s="787"/>
      <c r="W850" s="787"/>
      <c r="X850" s="786"/>
      <c r="Y850" s="787"/>
      <c r="Z850" s="787"/>
      <c r="AA850" s="787"/>
      <c r="AB850" s="786"/>
      <c r="AC850" s="787"/>
      <c r="AD850" s="787"/>
      <c r="AE850" s="787"/>
      <c r="AF850" s="786"/>
      <c r="AG850" s="787"/>
      <c r="AH850" s="787"/>
      <c r="AI850" s="787"/>
      <c r="AJ850" s="786"/>
      <c r="AK850" s="787"/>
      <c r="AL850" s="787"/>
      <c r="AM850" s="787"/>
      <c r="AN850" s="786"/>
      <c r="AO850" s="787"/>
      <c r="AP850" s="787"/>
      <c r="AQ850" s="787"/>
      <c r="AR850" s="786"/>
      <c r="AS850" s="787"/>
      <c r="AT850" s="787"/>
      <c r="AU850" s="787"/>
      <c r="AV850" s="786"/>
      <c r="AW850" s="787"/>
      <c r="AX850" s="787"/>
      <c r="AY850" s="787"/>
      <c r="AZ850" s="780"/>
      <c r="BA850" s="780"/>
      <c r="BB850" s="780"/>
      <c r="BC850" s="780"/>
      <c r="BD850" s="541"/>
      <c r="BE850" s="541"/>
      <c r="BF850" s="541"/>
      <c r="BG850" s="541"/>
      <c r="BH850" s="780"/>
      <c r="BI850" s="780"/>
      <c r="BJ850" s="780"/>
      <c r="BK850" s="780"/>
      <c r="BL850" s="780"/>
      <c r="BM850" s="780"/>
    </row>
    <row r="851" ht="12.75" customHeight="1">
      <c r="A851" s="521"/>
      <c r="B851" s="521"/>
      <c r="C851" s="515"/>
      <c r="D851" s="515"/>
      <c r="E851" s="515"/>
      <c r="F851" s="515"/>
      <c r="G851" s="515"/>
      <c r="H851" s="515"/>
      <c r="I851" s="515"/>
      <c r="J851" s="515"/>
      <c r="K851" s="515"/>
      <c r="L851" s="515"/>
      <c r="M851" s="515"/>
      <c r="N851" s="515"/>
      <c r="O851" s="533"/>
      <c r="P851" s="786"/>
      <c r="Q851" s="787"/>
      <c r="R851" s="787"/>
      <c r="S851" s="787"/>
      <c r="T851" s="786"/>
      <c r="U851" s="787"/>
      <c r="V851" s="787"/>
      <c r="W851" s="787"/>
      <c r="X851" s="786"/>
      <c r="Y851" s="787"/>
      <c r="Z851" s="787"/>
      <c r="AA851" s="787"/>
      <c r="AB851" s="786"/>
      <c r="AC851" s="787"/>
      <c r="AD851" s="787"/>
      <c r="AE851" s="787"/>
      <c r="AF851" s="786"/>
      <c r="AG851" s="787"/>
      <c r="AH851" s="787"/>
      <c r="AI851" s="787"/>
      <c r="AJ851" s="786"/>
      <c r="AK851" s="787"/>
      <c r="AL851" s="787"/>
      <c r="AM851" s="787"/>
      <c r="AN851" s="786"/>
      <c r="AO851" s="787"/>
      <c r="AP851" s="787"/>
      <c r="AQ851" s="787"/>
      <c r="AR851" s="786"/>
      <c r="AS851" s="787"/>
      <c r="AT851" s="787"/>
      <c r="AU851" s="787"/>
      <c r="AV851" s="786"/>
      <c r="AW851" s="787"/>
      <c r="AX851" s="787"/>
      <c r="AY851" s="787"/>
      <c r="AZ851" s="780"/>
      <c r="BA851" s="780"/>
      <c r="BB851" s="780"/>
      <c r="BC851" s="780"/>
      <c r="BD851" s="541"/>
      <c r="BE851" s="541"/>
      <c r="BF851" s="541"/>
      <c r="BG851" s="541"/>
      <c r="BH851" s="780"/>
      <c r="BI851" s="780"/>
      <c r="BJ851" s="780"/>
      <c r="BK851" s="780"/>
      <c r="BL851" s="780"/>
      <c r="BM851" s="780"/>
    </row>
    <row r="852" ht="12.75" customHeight="1">
      <c r="A852" s="521"/>
      <c r="B852" s="521"/>
      <c r="C852" s="515"/>
      <c r="D852" s="515"/>
      <c r="E852" s="515"/>
      <c r="F852" s="515"/>
      <c r="G852" s="515"/>
      <c r="H852" s="515"/>
      <c r="I852" s="515"/>
      <c r="J852" s="515"/>
      <c r="K852" s="515"/>
      <c r="L852" s="515"/>
      <c r="M852" s="515"/>
      <c r="N852" s="515"/>
      <c r="O852" s="533"/>
      <c r="P852" s="786"/>
      <c r="Q852" s="787"/>
      <c r="R852" s="787"/>
      <c r="S852" s="787"/>
      <c r="T852" s="786"/>
      <c r="U852" s="787"/>
      <c r="V852" s="787"/>
      <c r="W852" s="787"/>
      <c r="X852" s="786"/>
      <c r="Y852" s="787"/>
      <c r="Z852" s="787"/>
      <c r="AA852" s="787"/>
      <c r="AB852" s="786"/>
      <c r="AC852" s="787"/>
      <c r="AD852" s="787"/>
      <c r="AE852" s="787"/>
      <c r="AF852" s="786"/>
      <c r="AG852" s="787"/>
      <c r="AH852" s="787"/>
      <c r="AI852" s="787"/>
      <c r="AJ852" s="786"/>
      <c r="AK852" s="787"/>
      <c r="AL852" s="787"/>
      <c r="AM852" s="787"/>
      <c r="AN852" s="786"/>
      <c r="AO852" s="787"/>
      <c r="AP852" s="787"/>
      <c r="AQ852" s="787"/>
      <c r="AR852" s="786"/>
      <c r="AS852" s="787"/>
      <c r="AT852" s="787"/>
      <c r="AU852" s="787"/>
      <c r="AV852" s="786"/>
      <c r="AW852" s="787"/>
      <c r="AX852" s="787"/>
      <c r="AY852" s="787"/>
      <c r="AZ852" s="780"/>
      <c r="BA852" s="780"/>
      <c r="BB852" s="780"/>
      <c r="BC852" s="780"/>
      <c r="BD852" s="541"/>
      <c r="BE852" s="541"/>
      <c r="BF852" s="541"/>
      <c r="BG852" s="541"/>
      <c r="BH852" s="780"/>
      <c r="BI852" s="780"/>
      <c r="BJ852" s="780"/>
      <c r="BK852" s="780"/>
      <c r="BL852" s="780"/>
      <c r="BM852" s="780"/>
    </row>
    <row r="853" ht="12.75" customHeight="1">
      <c r="A853" s="521"/>
      <c r="B853" s="521"/>
      <c r="C853" s="515"/>
      <c r="D853" s="515"/>
      <c r="E853" s="515"/>
      <c r="F853" s="515"/>
      <c r="G853" s="515"/>
      <c r="H853" s="515"/>
      <c r="I853" s="515"/>
      <c r="J853" s="515"/>
      <c r="K853" s="515"/>
      <c r="L853" s="515"/>
      <c r="M853" s="515"/>
      <c r="N853" s="515"/>
      <c r="O853" s="533"/>
      <c r="P853" s="786"/>
      <c r="Q853" s="787"/>
      <c r="R853" s="787"/>
      <c r="S853" s="787"/>
      <c r="T853" s="786"/>
      <c r="U853" s="787"/>
      <c r="V853" s="787"/>
      <c r="W853" s="787"/>
      <c r="X853" s="786"/>
      <c r="Y853" s="787"/>
      <c r="Z853" s="787"/>
      <c r="AA853" s="787"/>
      <c r="AB853" s="786"/>
      <c r="AC853" s="787"/>
      <c r="AD853" s="787"/>
      <c r="AE853" s="787"/>
      <c r="AF853" s="786"/>
      <c r="AG853" s="787"/>
      <c r="AH853" s="787"/>
      <c r="AI853" s="787"/>
      <c r="AJ853" s="786"/>
      <c r="AK853" s="787"/>
      <c r="AL853" s="787"/>
      <c r="AM853" s="787"/>
      <c r="AN853" s="786"/>
      <c r="AO853" s="787"/>
      <c r="AP853" s="787"/>
      <c r="AQ853" s="787"/>
      <c r="AR853" s="786"/>
      <c r="AS853" s="787"/>
      <c r="AT853" s="787"/>
      <c r="AU853" s="787"/>
      <c r="AV853" s="786"/>
      <c r="AW853" s="787"/>
      <c r="AX853" s="787"/>
      <c r="AY853" s="787"/>
      <c r="AZ853" s="780"/>
      <c r="BA853" s="780"/>
      <c r="BB853" s="780"/>
      <c r="BC853" s="780"/>
      <c r="BD853" s="541"/>
      <c r="BE853" s="541"/>
      <c r="BF853" s="541"/>
      <c r="BG853" s="541"/>
      <c r="BH853" s="780"/>
      <c r="BI853" s="780"/>
      <c r="BJ853" s="780"/>
      <c r="BK853" s="780"/>
      <c r="BL853" s="780"/>
      <c r="BM853" s="780"/>
    </row>
    <row r="854" ht="12.75" customHeight="1">
      <c r="A854" s="521"/>
      <c r="B854" s="521"/>
      <c r="C854" s="515"/>
      <c r="D854" s="515"/>
      <c r="E854" s="515"/>
      <c r="F854" s="515"/>
      <c r="G854" s="515"/>
      <c r="H854" s="515"/>
      <c r="I854" s="515"/>
      <c r="J854" s="515"/>
      <c r="K854" s="515"/>
      <c r="L854" s="515"/>
      <c r="M854" s="515"/>
      <c r="N854" s="515"/>
      <c r="O854" s="533"/>
      <c r="P854" s="786"/>
      <c r="Q854" s="787"/>
      <c r="R854" s="787"/>
      <c r="S854" s="787"/>
      <c r="T854" s="786"/>
      <c r="U854" s="787"/>
      <c r="V854" s="787"/>
      <c r="W854" s="787"/>
      <c r="X854" s="786"/>
      <c r="Y854" s="787"/>
      <c r="Z854" s="787"/>
      <c r="AA854" s="787"/>
      <c r="AB854" s="786"/>
      <c r="AC854" s="787"/>
      <c r="AD854" s="787"/>
      <c r="AE854" s="787"/>
      <c r="AF854" s="786"/>
      <c r="AG854" s="787"/>
      <c r="AH854" s="787"/>
      <c r="AI854" s="787"/>
      <c r="AJ854" s="786"/>
      <c r="AK854" s="787"/>
      <c r="AL854" s="787"/>
      <c r="AM854" s="787"/>
      <c r="AN854" s="786"/>
      <c r="AO854" s="787"/>
      <c r="AP854" s="787"/>
      <c r="AQ854" s="787"/>
      <c r="AR854" s="786"/>
      <c r="AS854" s="787"/>
      <c r="AT854" s="787"/>
      <c r="AU854" s="787"/>
      <c r="AV854" s="786"/>
      <c r="AW854" s="787"/>
      <c r="AX854" s="787"/>
      <c r="AY854" s="787"/>
      <c r="AZ854" s="780"/>
      <c r="BA854" s="780"/>
      <c r="BB854" s="780"/>
      <c r="BC854" s="780"/>
      <c r="BD854" s="541"/>
      <c r="BE854" s="541"/>
      <c r="BF854" s="541"/>
      <c r="BG854" s="541"/>
      <c r="BH854" s="780"/>
      <c r="BI854" s="780"/>
      <c r="BJ854" s="780"/>
      <c r="BK854" s="780"/>
      <c r="BL854" s="780"/>
      <c r="BM854" s="780"/>
    </row>
    <row r="855" ht="12.75" customHeight="1">
      <c r="A855" s="521"/>
      <c r="B855" s="521"/>
      <c r="C855" s="515"/>
      <c r="D855" s="515"/>
      <c r="E855" s="515"/>
      <c r="F855" s="515"/>
      <c r="G855" s="515"/>
      <c r="H855" s="515"/>
      <c r="I855" s="515"/>
      <c r="J855" s="515"/>
      <c r="K855" s="515"/>
      <c r="L855" s="515"/>
      <c r="M855" s="515"/>
      <c r="N855" s="515"/>
      <c r="O855" s="533"/>
      <c r="P855" s="786"/>
      <c r="Q855" s="787"/>
      <c r="R855" s="787"/>
      <c r="S855" s="787"/>
      <c r="T855" s="786"/>
      <c r="U855" s="787"/>
      <c r="V855" s="787"/>
      <c r="W855" s="787"/>
      <c r="X855" s="786"/>
      <c r="Y855" s="787"/>
      <c r="Z855" s="787"/>
      <c r="AA855" s="787"/>
      <c r="AB855" s="786"/>
      <c r="AC855" s="787"/>
      <c r="AD855" s="787"/>
      <c r="AE855" s="787"/>
      <c r="AF855" s="786"/>
      <c r="AG855" s="787"/>
      <c r="AH855" s="787"/>
      <c r="AI855" s="787"/>
      <c r="AJ855" s="786"/>
      <c r="AK855" s="787"/>
      <c r="AL855" s="787"/>
      <c r="AM855" s="787"/>
      <c r="AN855" s="786"/>
      <c r="AO855" s="787"/>
      <c r="AP855" s="787"/>
      <c r="AQ855" s="787"/>
      <c r="AR855" s="786"/>
      <c r="AS855" s="787"/>
      <c r="AT855" s="787"/>
      <c r="AU855" s="787"/>
      <c r="AV855" s="786"/>
      <c r="AW855" s="787"/>
      <c r="AX855" s="787"/>
      <c r="AY855" s="787"/>
      <c r="AZ855" s="780"/>
      <c r="BA855" s="780"/>
      <c r="BB855" s="780"/>
      <c r="BC855" s="780"/>
      <c r="BD855" s="541"/>
      <c r="BE855" s="541"/>
      <c r="BF855" s="541"/>
      <c r="BG855" s="541"/>
      <c r="BH855" s="780"/>
      <c r="BI855" s="780"/>
      <c r="BJ855" s="780"/>
      <c r="BK855" s="780"/>
      <c r="BL855" s="780"/>
      <c r="BM855" s="780"/>
    </row>
    <row r="856" ht="12.75" customHeight="1">
      <c r="A856" s="521"/>
      <c r="B856" s="521"/>
      <c r="C856" s="515"/>
      <c r="D856" s="515"/>
      <c r="E856" s="515"/>
      <c r="F856" s="515"/>
      <c r="G856" s="515"/>
      <c r="H856" s="515"/>
      <c r="I856" s="515"/>
      <c r="J856" s="515"/>
      <c r="K856" s="515"/>
      <c r="L856" s="515"/>
      <c r="M856" s="515"/>
      <c r="N856" s="515"/>
      <c r="O856" s="533"/>
      <c r="P856" s="786"/>
      <c r="Q856" s="787"/>
      <c r="R856" s="787"/>
      <c r="S856" s="787"/>
      <c r="T856" s="786"/>
      <c r="U856" s="787"/>
      <c r="V856" s="787"/>
      <c r="W856" s="787"/>
      <c r="X856" s="786"/>
      <c r="Y856" s="787"/>
      <c r="Z856" s="787"/>
      <c r="AA856" s="787"/>
      <c r="AB856" s="786"/>
      <c r="AC856" s="787"/>
      <c r="AD856" s="787"/>
      <c r="AE856" s="787"/>
      <c r="AF856" s="786"/>
      <c r="AG856" s="787"/>
      <c r="AH856" s="787"/>
      <c r="AI856" s="787"/>
      <c r="AJ856" s="786"/>
      <c r="AK856" s="787"/>
      <c r="AL856" s="787"/>
      <c r="AM856" s="787"/>
      <c r="AN856" s="786"/>
      <c r="AO856" s="787"/>
      <c r="AP856" s="787"/>
      <c r="AQ856" s="787"/>
      <c r="AR856" s="786"/>
      <c r="AS856" s="787"/>
      <c r="AT856" s="787"/>
      <c r="AU856" s="787"/>
      <c r="AV856" s="786"/>
      <c r="AW856" s="787"/>
      <c r="AX856" s="787"/>
      <c r="AY856" s="787"/>
      <c r="AZ856" s="780"/>
      <c r="BA856" s="780"/>
      <c r="BB856" s="780"/>
      <c r="BC856" s="780"/>
      <c r="BD856" s="541"/>
      <c r="BE856" s="541"/>
      <c r="BF856" s="541"/>
      <c r="BG856" s="541"/>
      <c r="BH856" s="780"/>
      <c r="BI856" s="780"/>
      <c r="BJ856" s="780"/>
      <c r="BK856" s="780"/>
      <c r="BL856" s="780"/>
      <c r="BM856" s="780"/>
    </row>
    <row r="857" ht="12.75" customHeight="1">
      <c r="A857" s="521"/>
      <c r="B857" s="521"/>
      <c r="C857" s="515"/>
      <c r="D857" s="515"/>
      <c r="E857" s="515"/>
      <c r="F857" s="515"/>
      <c r="G857" s="515"/>
      <c r="H857" s="515"/>
      <c r="I857" s="515"/>
      <c r="J857" s="515"/>
      <c r="K857" s="515"/>
      <c r="L857" s="515"/>
      <c r="M857" s="515"/>
      <c r="N857" s="515"/>
      <c r="O857" s="533"/>
      <c r="P857" s="786"/>
      <c r="Q857" s="787"/>
      <c r="R857" s="787"/>
      <c r="S857" s="787"/>
      <c r="T857" s="786"/>
      <c r="U857" s="787"/>
      <c r="V857" s="787"/>
      <c r="W857" s="787"/>
      <c r="X857" s="786"/>
      <c r="Y857" s="787"/>
      <c r="Z857" s="787"/>
      <c r="AA857" s="787"/>
      <c r="AB857" s="786"/>
      <c r="AC857" s="787"/>
      <c r="AD857" s="787"/>
      <c r="AE857" s="787"/>
      <c r="AF857" s="786"/>
      <c r="AG857" s="787"/>
      <c r="AH857" s="787"/>
      <c r="AI857" s="787"/>
      <c r="AJ857" s="786"/>
      <c r="AK857" s="787"/>
      <c r="AL857" s="787"/>
      <c r="AM857" s="787"/>
      <c r="AN857" s="786"/>
      <c r="AO857" s="787"/>
      <c r="AP857" s="787"/>
      <c r="AQ857" s="787"/>
      <c r="AR857" s="786"/>
      <c r="AS857" s="787"/>
      <c r="AT857" s="787"/>
      <c r="AU857" s="787"/>
      <c r="AV857" s="786"/>
      <c r="AW857" s="787"/>
      <c r="AX857" s="787"/>
      <c r="AY857" s="787"/>
      <c r="AZ857" s="780"/>
      <c r="BA857" s="780"/>
      <c r="BB857" s="780"/>
      <c r="BC857" s="780"/>
      <c r="BD857" s="541"/>
      <c r="BE857" s="541"/>
      <c r="BF857" s="541"/>
      <c r="BG857" s="541"/>
      <c r="BH857" s="780"/>
      <c r="BI857" s="780"/>
      <c r="BJ857" s="780"/>
      <c r="BK857" s="780"/>
      <c r="BL857" s="780"/>
      <c r="BM857" s="780"/>
    </row>
    <row r="858" ht="12.75" customHeight="1">
      <c r="A858" s="521"/>
      <c r="B858" s="521"/>
      <c r="C858" s="515"/>
      <c r="D858" s="515"/>
      <c r="E858" s="515"/>
      <c r="F858" s="515"/>
      <c r="G858" s="515"/>
      <c r="H858" s="515"/>
      <c r="I858" s="515"/>
      <c r="J858" s="515"/>
      <c r="K858" s="515"/>
      <c r="L858" s="515"/>
      <c r="M858" s="515"/>
      <c r="N858" s="515"/>
      <c r="O858" s="533"/>
      <c r="P858" s="786"/>
      <c r="Q858" s="787"/>
      <c r="R858" s="787"/>
      <c r="S858" s="787"/>
      <c r="T858" s="786"/>
      <c r="U858" s="787"/>
      <c r="V858" s="787"/>
      <c r="W858" s="787"/>
      <c r="X858" s="786"/>
      <c r="Y858" s="787"/>
      <c r="Z858" s="787"/>
      <c r="AA858" s="787"/>
      <c r="AB858" s="786"/>
      <c r="AC858" s="787"/>
      <c r="AD858" s="787"/>
      <c r="AE858" s="787"/>
      <c r="AF858" s="786"/>
      <c r="AG858" s="787"/>
      <c r="AH858" s="787"/>
      <c r="AI858" s="787"/>
      <c r="AJ858" s="786"/>
      <c r="AK858" s="787"/>
      <c r="AL858" s="787"/>
      <c r="AM858" s="787"/>
      <c r="AN858" s="786"/>
      <c r="AO858" s="787"/>
      <c r="AP858" s="787"/>
      <c r="AQ858" s="787"/>
      <c r="AR858" s="786"/>
      <c r="AS858" s="787"/>
      <c r="AT858" s="787"/>
      <c r="AU858" s="787"/>
      <c r="AV858" s="786"/>
      <c r="AW858" s="787"/>
      <c r="AX858" s="787"/>
      <c r="AY858" s="787"/>
      <c r="AZ858" s="780"/>
      <c r="BA858" s="780"/>
      <c r="BB858" s="780"/>
      <c r="BC858" s="780"/>
      <c r="BD858" s="541"/>
      <c r="BE858" s="541"/>
      <c r="BF858" s="541"/>
      <c r="BG858" s="541"/>
      <c r="BH858" s="780"/>
      <c r="BI858" s="780"/>
      <c r="BJ858" s="780"/>
      <c r="BK858" s="780"/>
      <c r="BL858" s="780"/>
      <c r="BM858" s="780"/>
    </row>
    <row r="859" ht="12.75" customHeight="1">
      <c r="A859" s="521"/>
      <c r="B859" s="521"/>
      <c r="C859" s="515"/>
      <c r="D859" s="515"/>
      <c r="E859" s="515"/>
      <c r="F859" s="515"/>
      <c r="G859" s="515"/>
      <c r="H859" s="515"/>
      <c r="I859" s="515"/>
      <c r="J859" s="515"/>
      <c r="K859" s="515"/>
      <c r="L859" s="515"/>
      <c r="M859" s="515"/>
      <c r="N859" s="515"/>
      <c r="O859" s="533"/>
      <c r="P859" s="786"/>
      <c r="Q859" s="787"/>
      <c r="R859" s="787"/>
      <c r="S859" s="787"/>
      <c r="T859" s="786"/>
      <c r="U859" s="787"/>
      <c r="V859" s="787"/>
      <c r="W859" s="787"/>
      <c r="X859" s="786"/>
      <c r="Y859" s="787"/>
      <c r="Z859" s="787"/>
      <c r="AA859" s="787"/>
      <c r="AB859" s="786"/>
      <c r="AC859" s="787"/>
      <c r="AD859" s="787"/>
      <c r="AE859" s="787"/>
      <c r="AF859" s="786"/>
      <c r="AG859" s="787"/>
      <c r="AH859" s="787"/>
      <c r="AI859" s="787"/>
      <c r="AJ859" s="786"/>
      <c r="AK859" s="787"/>
      <c r="AL859" s="787"/>
      <c r="AM859" s="787"/>
      <c r="AN859" s="786"/>
      <c r="AO859" s="787"/>
      <c r="AP859" s="787"/>
      <c r="AQ859" s="787"/>
      <c r="AR859" s="786"/>
      <c r="AS859" s="787"/>
      <c r="AT859" s="787"/>
      <c r="AU859" s="787"/>
      <c r="AV859" s="786"/>
      <c r="AW859" s="787"/>
      <c r="AX859" s="787"/>
      <c r="AY859" s="787"/>
      <c r="AZ859" s="780"/>
      <c r="BA859" s="780"/>
      <c r="BB859" s="780"/>
      <c r="BC859" s="780"/>
      <c r="BD859" s="541"/>
      <c r="BE859" s="541"/>
      <c r="BF859" s="541"/>
      <c r="BG859" s="541"/>
      <c r="BH859" s="780"/>
      <c r="BI859" s="780"/>
      <c r="BJ859" s="780"/>
      <c r="BK859" s="780"/>
      <c r="BL859" s="780"/>
      <c r="BM859" s="780"/>
    </row>
    <row r="860" ht="12.75" customHeight="1">
      <c r="A860" s="521"/>
      <c r="B860" s="521"/>
      <c r="C860" s="515"/>
      <c r="D860" s="515"/>
      <c r="E860" s="515"/>
      <c r="F860" s="515"/>
      <c r="G860" s="515"/>
      <c r="H860" s="515"/>
      <c r="I860" s="515"/>
      <c r="J860" s="515"/>
      <c r="K860" s="515"/>
      <c r="L860" s="515"/>
      <c r="M860" s="515"/>
      <c r="N860" s="515"/>
      <c r="O860" s="533"/>
      <c r="P860" s="786"/>
      <c r="Q860" s="787"/>
      <c r="R860" s="787"/>
      <c r="S860" s="787"/>
      <c r="T860" s="786"/>
      <c r="U860" s="787"/>
      <c r="V860" s="787"/>
      <c r="W860" s="787"/>
      <c r="X860" s="786"/>
      <c r="Y860" s="787"/>
      <c r="Z860" s="787"/>
      <c r="AA860" s="787"/>
      <c r="AB860" s="786"/>
      <c r="AC860" s="787"/>
      <c r="AD860" s="787"/>
      <c r="AE860" s="787"/>
      <c r="AF860" s="786"/>
      <c r="AG860" s="787"/>
      <c r="AH860" s="787"/>
      <c r="AI860" s="787"/>
      <c r="AJ860" s="786"/>
      <c r="AK860" s="787"/>
      <c r="AL860" s="787"/>
      <c r="AM860" s="787"/>
      <c r="AN860" s="786"/>
      <c r="AO860" s="787"/>
      <c r="AP860" s="787"/>
      <c r="AQ860" s="787"/>
      <c r="AR860" s="786"/>
      <c r="AS860" s="787"/>
      <c r="AT860" s="787"/>
      <c r="AU860" s="787"/>
      <c r="AV860" s="786"/>
      <c r="AW860" s="787"/>
      <c r="AX860" s="787"/>
      <c r="AY860" s="787"/>
      <c r="AZ860" s="780"/>
      <c r="BA860" s="780"/>
      <c r="BB860" s="780"/>
      <c r="BC860" s="780"/>
      <c r="BD860" s="541"/>
      <c r="BE860" s="541"/>
      <c r="BF860" s="541"/>
      <c r="BG860" s="541"/>
      <c r="BH860" s="780"/>
      <c r="BI860" s="780"/>
      <c r="BJ860" s="780"/>
      <c r="BK860" s="780"/>
      <c r="BL860" s="780"/>
      <c r="BM860" s="780"/>
    </row>
    <row r="861" ht="12.75" customHeight="1">
      <c r="A861" s="521"/>
      <c r="B861" s="521"/>
      <c r="C861" s="515"/>
      <c r="D861" s="515"/>
      <c r="E861" s="515"/>
      <c r="F861" s="515"/>
      <c r="G861" s="515"/>
      <c r="H861" s="515"/>
      <c r="I861" s="515"/>
      <c r="J861" s="515"/>
      <c r="K861" s="515"/>
      <c r="L861" s="515"/>
      <c r="M861" s="515"/>
      <c r="N861" s="515"/>
      <c r="O861" s="533"/>
      <c r="P861" s="786"/>
      <c r="Q861" s="787"/>
      <c r="R861" s="787"/>
      <c r="S861" s="787"/>
      <c r="T861" s="786"/>
      <c r="U861" s="787"/>
      <c r="V861" s="787"/>
      <c r="W861" s="787"/>
      <c r="X861" s="786"/>
      <c r="Y861" s="787"/>
      <c r="Z861" s="787"/>
      <c r="AA861" s="787"/>
      <c r="AB861" s="786"/>
      <c r="AC861" s="787"/>
      <c r="AD861" s="787"/>
      <c r="AE861" s="787"/>
      <c r="AF861" s="786"/>
      <c r="AG861" s="787"/>
      <c r="AH861" s="787"/>
      <c r="AI861" s="787"/>
      <c r="AJ861" s="786"/>
      <c r="AK861" s="787"/>
      <c r="AL861" s="787"/>
      <c r="AM861" s="787"/>
      <c r="AN861" s="786"/>
      <c r="AO861" s="787"/>
      <c r="AP861" s="787"/>
      <c r="AQ861" s="787"/>
      <c r="AR861" s="786"/>
      <c r="AS861" s="787"/>
      <c r="AT861" s="787"/>
      <c r="AU861" s="787"/>
      <c r="AV861" s="786"/>
      <c r="AW861" s="787"/>
      <c r="AX861" s="787"/>
      <c r="AY861" s="787"/>
      <c r="AZ861" s="780"/>
      <c r="BA861" s="780"/>
      <c r="BB861" s="780"/>
      <c r="BC861" s="780"/>
      <c r="BD861" s="541"/>
      <c r="BE861" s="541"/>
      <c r="BF861" s="541"/>
      <c r="BG861" s="541"/>
      <c r="BH861" s="780"/>
      <c r="BI861" s="780"/>
      <c r="BJ861" s="780"/>
      <c r="BK861" s="780"/>
      <c r="BL861" s="780"/>
      <c r="BM861" s="780"/>
    </row>
    <row r="862" ht="12.75" customHeight="1">
      <c r="A862" s="521"/>
      <c r="B862" s="521"/>
      <c r="C862" s="515"/>
      <c r="D862" s="515"/>
      <c r="E862" s="515"/>
      <c r="F862" s="515"/>
      <c r="G862" s="515"/>
      <c r="H862" s="515"/>
      <c r="I862" s="515"/>
      <c r="J862" s="515"/>
      <c r="K862" s="515"/>
      <c r="L862" s="515"/>
      <c r="M862" s="515"/>
      <c r="N862" s="515"/>
      <c r="O862" s="533"/>
      <c r="P862" s="786"/>
      <c r="Q862" s="787"/>
      <c r="R862" s="787"/>
      <c r="S862" s="787"/>
      <c r="T862" s="786"/>
      <c r="U862" s="787"/>
      <c r="V862" s="787"/>
      <c r="W862" s="787"/>
      <c r="X862" s="786"/>
      <c r="Y862" s="787"/>
      <c r="Z862" s="787"/>
      <c r="AA862" s="787"/>
      <c r="AB862" s="786"/>
      <c r="AC862" s="787"/>
      <c r="AD862" s="787"/>
      <c r="AE862" s="787"/>
      <c r="AF862" s="786"/>
      <c r="AG862" s="787"/>
      <c r="AH862" s="787"/>
      <c r="AI862" s="787"/>
      <c r="AJ862" s="786"/>
      <c r="AK862" s="787"/>
      <c r="AL862" s="787"/>
      <c r="AM862" s="787"/>
      <c r="AN862" s="786"/>
      <c r="AO862" s="787"/>
      <c r="AP862" s="787"/>
      <c r="AQ862" s="787"/>
      <c r="AR862" s="786"/>
      <c r="AS862" s="787"/>
      <c r="AT862" s="787"/>
      <c r="AU862" s="787"/>
      <c r="AV862" s="786"/>
      <c r="AW862" s="787"/>
      <c r="AX862" s="787"/>
      <c r="AY862" s="787"/>
      <c r="AZ862" s="780"/>
      <c r="BA862" s="780"/>
      <c r="BB862" s="780"/>
      <c r="BC862" s="780"/>
      <c r="BD862" s="541"/>
      <c r="BE862" s="541"/>
      <c r="BF862" s="541"/>
      <c r="BG862" s="541"/>
      <c r="BH862" s="780"/>
      <c r="BI862" s="780"/>
      <c r="BJ862" s="780"/>
      <c r="BK862" s="780"/>
      <c r="BL862" s="780"/>
      <c r="BM862" s="780"/>
    </row>
    <row r="863" ht="12.75" customHeight="1">
      <c r="A863" s="521"/>
      <c r="B863" s="521"/>
      <c r="C863" s="515"/>
      <c r="D863" s="515"/>
      <c r="E863" s="515"/>
      <c r="F863" s="515"/>
      <c r="G863" s="515"/>
      <c r="H863" s="515"/>
      <c r="I863" s="515"/>
      <c r="J863" s="515"/>
      <c r="K863" s="515"/>
      <c r="L863" s="515"/>
      <c r="M863" s="515"/>
      <c r="N863" s="515"/>
      <c r="O863" s="533"/>
      <c r="P863" s="786"/>
      <c r="Q863" s="787"/>
      <c r="R863" s="787"/>
      <c r="S863" s="787"/>
      <c r="T863" s="786"/>
      <c r="U863" s="787"/>
      <c r="V863" s="787"/>
      <c r="W863" s="787"/>
      <c r="X863" s="786"/>
      <c r="Y863" s="787"/>
      <c r="Z863" s="787"/>
      <c r="AA863" s="787"/>
      <c r="AB863" s="786"/>
      <c r="AC863" s="787"/>
      <c r="AD863" s="787"/>
      <c r="AE863" s="787"/>
      <c r="AF863" s="786"/>
      <c r="AG863" s="787"/>
      <c r="AH863" s="787"/>
      <c r="AI863" s="787"/>
      <c r="AJ863" s="786"/>
      <c r="AK863" s="787"/>
      <c r="AL863" s="787"/>
      <c r="AM863" s="787"/>
      <c r="AN863" s="786"/>
      <c r="AO863" s="787"/>
      <c r="AP863" s="787"/>
      <c r="AQ863" s="787"/>
      <c r="AR863" s="786"/>
      <c r="AS863" s="787"/>
      <c r="AT863" s="787"/>
      <c r="AU863" s="787"/>
      <c r="AV863" s="786"/>
      <c r="AW863" s="787"/>
      <c r="AX863" s="787"/>
      <c r="AY863" s="787"/>
      <c r="AZ863" s="780"/>
      <c r="BA863" s="780"/>
      <c r="BB863" s="780"/>
      <c r="BC863" s="780"/>
      <c r="BD863" s="541"/>
      <c r="BE863" s="541"/>
      <c r="BF863" s="541"/>
      <c r="BG863" s="541"/>
      <c r="BH863" s="780"/>
      <c r="BI863" s="780"/>
      <c r="BJ863" s="780"/>
      <c r="BK863" s="780"/>
      <c r="BL863" s="780"/>
      <c r="BM863" s="780"/>
    </row>
    <row r="864" ht="12.75" customHeight="1">
      <c r="A864" s="521"/>
      <c r="B864" s="521"/>
      <c r="C864" s="515"/>
      <c r="D864" s="515"/>
      <c r="E864" s="515"/>
      <c r="F864" s="515"/>
      <c r="G864" s="515"/>
      <c r="H864" s="515"/>
      <c r="I864" s="515"/>
      <c r="J864" s="515"/>
      <c r="K864" s="515"/>
      <c r="L864" s="515"/>
      <c r="M864" s="515"/>
      <c r="N864" s="515"/>
      <c r="O864" s="533"/>
      <c r="P864" s="786"/>
      <c r="Q864" s="787"/>
      <c r="R864" s="787"/>
      <c r="S864" s="787"/>
      <c r="T864" s="786"/>
      <c r="U864" s="787"/>
      <c r="V864" s="787"/>
      <c r="W864" s="787"/>
      <c r="X864" s="786"/>
      <c r="Y864" s="787"/>
      <c r="Z864" s="787"/>
      <c r="AA864" s="787"/>
      <c r="AB864" s="786"/>
      <c r="AC864" s="787"/>
      <c r="AD864" s="787"/>
      <c r="AE864" s="787"/>
      <c r="AF864" s="786"/>
      <c r="AG864" s="787"/>
      <c r="AH864" s="787"/>
      <c r="AI864" s="787"/>
      <c r="AJ864" s="786"/>
      <c r="AK864" s="787"/>
      <c r="AL864" s="787"/>
      <c r="AM864" s="787"/>
      <c r="AN864" s="786"/>
      <c r="AO864" s="787"/>
      <c r="AP864" s="787"/>
      <c r="AQ864" s="787"/>
      <c r="AR864" s="786"/>
      <c r="AS864" s="787"/>
      <c r="AT864" s="787"/>
      <c r="AU864" s="787"/>
      <c r="AV864" s="786"/>
      <c r="AW864" s="787"/>
      <c r="AX864" s="787"/>
      <c r="AY864" s="787"/>
      <c r="AZ864" s="780"/>
      <c r="BA864" s="780"/>
      <c r="BB864" s="780"/>
      <c r="BC864" s="780"/>
      <c r="BD864" s="541"/>
      <c r="BE864" s="541"/>
      <c r="BF864" s="541"/>
      <c r="BG864" s="541"/>
      <c r="BH864" s="780"/>
      <c r="BI864" s="780"/>
      <c r="BJ864" s="780"/>
      <c r="BK864" s="780"/>
      <c r="BL864" s="780"/>
      <c r="BM864" s="780"/>
    </row>
    <row r="865" ht="12.75" customHeight="1">
      <c r="A865" s="521"/>
      <c r="B865" s="521"/>
      <c r="C865" s="515"/>
      <c r="D865" s="515"/>
      <c r="E865" s="515"/>
      <c r="F865" s="515"/>
      <c r="G865" s="515"/>
      <c r="H865" s="515"/>
      <c r="I865" s="515"/>
      <c r="J865" s="515"/>
      <c r="K865" s="515"/>
      <c r="L865" s="515"/>
      <c r="M865" s="515"/>
      <c r="N865" s="515"/>
      <c r="O865" s="533"/>
      <c r="P865" s="786"/>
      <c r="Q865" s="787"/>
      <c r="R865" s="787"/>
      <c r="S865" s="787"/>
      <c r="T865" s="786"/>
      <c r="U865" s="787"/>
      <c r="V865" s="787"/>
      <c r="W865" s="787"/>
      <c r="X865" s="786"/>
      <c r="Y865" s="787"/>
      <c r="Z865" s="787"/>
      <c r="AA865" s="787"/>
      <c r="AB865" s="786"/>
      <c r="AC865" s="787"/>
      <c r="AD865" s="787"/>
      <c r="AE865" s="787"/>
      <c r="AF865" s="786"/>
      <c r="AG865" s="787"/>
      <c r="AH865" s="787"/>
      <c r="AI865" s="787"/>
      <c r="AJ865" s="786"/>
      <c r="AK865" s="787"/>
      <c r="AL865" s="787"/>
      <c r="AM865" s="787"/>
      <c r="AN865" s="786"/>
      <c r="AO865" s="787"/>
      <c r="AP865" s="787"/>
      <c r="AQ865" s="787"/>
      <c r="AR865" s="786"/>
      <c r="AS865" s="787"/>
      <c r="AT865" s="787"/>
      <c r="AU865" s="787"/>
      <c r="AV865" s="786"/>
      <c r="AW865" s="787"/>
      <c r="AX865" s="787"/>
      <c r="AY865" s="787"/>
      <c r="AZ865" s="780"/>
      <c r="BA865" s="780"/>
      <c r="BB865" s="780"/>
      <c r="BC865" s="780"/>
      <c r="BD865" s="541"/>
      <c r="BE865" s="541"/>
      <c r="BF865" s="541"/>
      <c r="BG865" s="541"/>
      <c r="BH865" s="780"/>
      <c r="BI865" s="780"/>
      <c r="BJ865" s="780"/>
      <c r="BK865" s="780"/>
      <c r="BL865" s="780"/>
      <c r="BM865" s="780"/>
    </row>
    <row r="866" ht="12.75" customHeight="1">
      <c r="A866" s="521"/>
      <c r="B866" s="521"/>
      <c r="C866" s="515"/>
      <c r="D866" s="515"/>
      <c r="E866" s="515"/>
      <c r="F866" s="515"/>
      <c r="G866" s="515"/>
      <c r="H866" s="515"/>
      <c r="I866" s="515"/>
      <c r="J866" s="515"/>
      <c r="K866" s="515"/>
      <c r="L866" s="515"/>
      <c r="M866" s="515"/>
      <c r="N866" s="515"/>
      <c r="O866" s="533"/>
      <c r="P866" s="786"/>
      <c r="Q866" s="787"/>
      <c r="R866" s="787"/>
      <c r="S866" s="787"/>
      <c r="T866" s="786"/>
      <c r="U866" s="787"/>
      <c r="V866" s="787"/>
      <c r="W866" s="787"/>
      <c r="X866" s="786"/>
      <c r="Y866" s="787"/>
      <c r="Z866" s="787"/>
      <c r="AA866" s="787"/>
      <c r="AB866" s="786"/>
      <c r="AC866" s="787"/>
      <c r="AD866" s="787"/>
      <c r="AE866" s="787"/>
      <c r="AF866" s="786"/>
      <c r="AG866" s="787"/>
      <c r="AH866" s="787"/>
      <c r="AI866" s="787"/>
      <c r="AJ866" s="786"/>
      <c r="AK866" s="787"/>
      <c r="AL866" s="787"/>
      <c r="AM866" s="787"/>
      <c r="AN866" s="786"/>
      <c r="AO866" s="787"/>
      <c r="AP866" s="787"/>
      <c r="AQ866" s="787"/>
      <c r="AR866" s="786"/>
      <c r="AS866" s="787"/>
      <c r="AT866" s="787"/>
      <c r="AU866" s="787"/>
      <c r="AV866" s="786"/>
      <c r="AW866" s="787"/>
      <c r="AX866" s="787"/>
      <c r="AY866" s="787"/>
      <c r="AZ866" s="780"/>
      <c r="BA866" s="780"/>
      <c r="BB866" s="780"/>
      <c r="BC866" s="780"/>
      <c r="BD866" s="541"/>
      <c r="BE866" s="541"/>
      <c r="BF866" s="541"/>
      <c r="BG866" s="541"/>
      <c r="BH866" s="780"/>
      <c r="BI866" s="780"/>
      <c r="BJ866" s="780"/>
      <c r="BK866" s="780"/>
      <c r="BL866" s="780"/>
      <c r="BM866" s="780"/>
    </row>
    <row r="867" ht="12.75" customHeight="1">
      <c r="A867" s="521"/>
      <c r="B867" s="521"/>
      <c r="C867" s="515"/>
      <c r="D867" s="515"/>
      <c r="E867" s="515"/>
      <c r="F867" s="515"/>
      <c r="G867" s="515"/>
      <c r="H867" s="515"/>
      <c r="I867" s="515"/>
      <c r="J867" s="515"/>
      <c r="K867" s="515"/>
      <c r="L867" s="515"/>
      <c r="M867" s="515"/>
      <c r="N867" s="515"/>
      <c r="O867" s="533"/>
      <c r="P867" s="786"/>
      <c r="Q867" s="787"/>
      <c r="R867" s="787"/>
      <c r="S867" s="787"/>
      <c r="T867" s="786"/>
      <c r="U867" s="787"/>
      <c r="V867" s="787"/>
      <c r="W867" s="787"/>
      <c r="X867" s="786"/>
      <c r="Y867" s="787"/>
      <c r="Z867" s="787"/>
      <c r="AA867" s="787"/>
      <c r="AB867" s="786"/>
      <c r="AC867" s="787"/>
      <c r="AD867" s="787"/>
      <c r="AE867" s="787"/>
      <c r="AF867" s="786"/>
      <c r="AG867" s="787"/>
      <c r="AH867" s="787"/>
      <c r="AI867" s="787"/>
      <c r="AJ867" s="786"/>
      <c r="AK867" s="787"/>
      <c r="AL867" s="787"/>
      <c r="AM867" s="787"/>
      <c r="AN867" s="786"/>
      <c r="AO867" s="787"/>
      <c r="AP867" s="787"/>
      <c r="AQ867" s="787"/>
      <c r="AR867" s="786"/>
      <c r="AS867" s="787"/>
      <c r="AT867" s="787"/>
      <c r="AU867" s="787"/>
      <c r="AV867" s="786"/>
      <c r="AW867" s="787"/>
      <c r="AX867" s="787"/>
      <c r="AY867" s="787"/>
      <c r="AZ867" s="780"/>
      <c r="BA867" s="780"/>
      <c r="BB867" s="780"/>
      <c r="BC867" s="780"/>
      <c r="BD867" s="541"/>
      <c r="BE867" s="541"/>
      <c r="BF867" s="541"/>
      <c r="BG867" s="541"/>
      <c r="BH867" s="780"/>
      <c r="BI867" s="780"/>
      <c r="BJ867" s="780"/>
      <c r="BK867" s="780"/>
      <c r="BL867" s="780"/>
      <c r="BM867" s="780"/>
    </row>
    <row r="868" ht="12.75" customHeight="1">
      <c r="A868" s="521"/>
      <c r="B868" s="521"/>
      <c r="C868" s="515"/>
      <c r="D868" s="515"/>
      <c r="E868" s="515"/>
      <c r="F868" s="515"/>
      <c r="G868" s="515"/>
      <c r="H868" s="515"/>
      <c r="I868" s="515"/>
      <c r="J868" s="515"/>
      <c r="K868" s="515"/>
      <c r="L868" s="515"/>
      <c r="M868" s="515"/>
      <c r="N868" s="515"/>
      <c r="O868" s="533"/>
      <c r="P868" s="786"/>
      <c r="Q868" s="787"/>
      <c r="R868" s="787"/>
      <c r="S868" s="787"/>
      <c r="T868" s="786"/>
      <c r="U868" s="787"/>
      <c r="V868" s="787"/>
      <c r="W868" s="787"/>
      <c r="X868" s="786"/>
      <c r="Y868" s="787"/>
      <c r="Z868" s="787"/>
      <c r="AA868" s="787"/>
      <c r="AB868" s="786"/>
      <c r="AC868" s="787"/>
      <c r="AD868" s="787"/>
      <c r="AE868" s="787"/>
      <c r="AF868" s="786"/>
      <c r="AG868" s="787"/>
      <c r="AH868" s="787"/>
      <c r="AI868" s="787"/>
      <c r="AJ868" s="786"/>
      <c r="AK868" s="787"/>
      <c r="AL868" s="787"/>
      <c r="AM868" s="787"/>
      <c r="AN868" s="786"/>
      <c r="AO868" s="787"/>
      <c r="AP868" s="787"/>
      <c r="AQ868" s="787"/>
      <c r="AR868" s="786"/>
      <c r="AS868" s="787"/>
      <c r="AT868" s="787"/>
      <c r="AU868" s="787"/>
      <c r="AV868" s="786"/>
      <c r="AW868" s="787"/>
      <c r="AX868" s="787"/>
      <c r="AY868" s="787"/>
      <c r="AZ868" s="780"/>
      <c r="BA868" s="780"/>
      <c r="BB868" s="780"/>
      <c r="BC868" s="780"/>
      <c r="BD868" s="541"/>
      <c r="BE868" s="541"/>
      <c r="BF868" s="541"/>
      <c r="BG868" s="541"/>
      <c r="BH868" s="780"/>
      <c r="BI868" s="780"/>
      <c r="BJ868" s="780"/>
      <c r="BK868" s="780"/>
      <c r="BL868" s="780"/>
      <c r="BM868" s="780"/>
    </row>
    <row r="869" ht="12.75" customHeight="1">
      <c r="A869" s="521"/>
      <c r="B869" s="521"/>
      <c r="C869" s="515"/>
      <c r="D869" s="515"/>
      <c r="E869" s="515"/>
      <c r="F869" s="515"/>
      <c r="G869" s="515"/>
      <c r="H869" s="515"/>
      <c r="I869" s="515"/>
      <c r="J869" s="515"/>
      <c r="K869" s="515"/>
      <c r="L869" s="515"/>
      <c r="M869" s="515"/>
      <c r="N869" s="515"/>
      <c r="O869" s="533"/>
      <c r="P869" s="786"/>
      <c r="Q869" s="787"/>
      <c r="R869" s="787"/>
      <c r="S869" s="787"/>
      <c r="T869" s="786"/>
      <c r="U869" s="787"/>
      <c r="V869" s="787"/>
      <c r="W869" s="787"/>
      <c r="X869" s="786"/>
      <c r="Y869" s="787"/>
      <c r="Z869" s="787"/>
      <c r="AA869" s="787"/>
      <c r="AB869" s="786"/>
      <c r="AC869" s="787"/>
      <c r="AD869" s="787"/>
      <c r="AE869" s="787"/>
      <c r="AF869" s="786"/>
      <c r="AG869" s="787"/>
      <c r="AH869" s="787"/>
      <c r="AI869" s="787"/>
      <c r="AJ869" s="786"/>
      <c r="AK869" s="787"/>
      <c r="AL869" s="787"/>
      <c r="AM869" s="787"/>
      <c r="AN869" s="786"/>
      <c r="AO869" s="787"/>
      <c r="AP869" s="787"/>
      <c r="AQ869" s="787"/>
      <c r="AR869" s="786"/>
      <c r="AS869" s="787"/>
      <c r="AT869" s="787"/>
      <c r="AU869" s="787"/>
      <c r="AV869" s="786"/>
      <c r="AW869" s="787"/>
      <c r="AX869" s="787"/>
      <c r="AY869" s="787"/>
      <c r="AZ869" s="780"/>
      <c r="BA869" s="780"/>
      <c r="BB869" s="780"/>
      <c r="BC869" s="780"/>
      <c r="BD869" s="541"/>
      <c r="BE869" s="541"/>
      <c r="BF869" s="541"/>
      <c r="BG869" s="541"/>
      <c r="BH869" s="780"/>
      <c r="BI869" s="780"/>
      <c r="BJ869" s="780"/>
      <c r="BK869" s="780"/>
      <c r="BL869" s="780"/>
      <c r="BM869" s="780"/>
    </row>
    <row r="870" ht="12.75" customHeight="1">
      <c r="A870" s="521"/>
      <c r="B870" s="521"/>
      <c r="C870" s="515"/>
      <c r="D870" s="515"/>
      <c r="E870" s="515"/>
      <c r="F870" s="515"/>
      <c r="G870" s="515"/>
      <c r="H870" s="515"/>
      <c r="I870" s="515"/>
      <c r="J870" s="515"/>
      <c r="K870" s="515"/>
      <c r="L870" s="515"/>
      <c r="M870" s="515"/>
      <c r="N870" s="515"/>
      <c r="O870" s="533"/>
      <c r="P870" s="786"/>
      <c r="Q870" s="787"/>
      <c r="R870" s="787"/>
      <c r="S870" s="787"/>
      <c r="T870" s="786"/>
      <c r="U870" s="787"/>
      <c r="V870" s="787"/>
      <c r="W870" s="787"/>
      <c r="X870" s="786"/>
      <c r="Y870" s="787"/>
      <c r="Z870" s="787"/>
      <c r="AA870" s="787"/>
      <c r="AB870" s="786"/>
      <c r="AC870" s="787"/>
      <c r="AD870" s="787"/>
      <c r="AE870" s="787"/>
      <c r="AF870" s="786"/>
      <c r="AG870" s="787"/>
      <c r="AH870" s="787"/>
      <c r="AI870" s="787"/>
      <c r="AJ870" s="786"/>
      <c r="AK870" s="787"/>
      <c r="AL870" s="787"/>
      <c r="AM870" s="787"/>
      <c r="AN870" s="786"/>
      <c r="AO870" s="787"/>
      <c r="AP870" s="787"/>
      <c r="AQ870" s="787"/>
      <c r="AR870" s="786"/>
      <c r="AS870" s="787"/>
      <c r="AT870" s="787"/>
      <c r="AU870" s="787"/>
      <c r="AV870" s="786"/>
      <c r="AW870" s="787"/>
      <c r="AX870" s="787"/>
      <c r="AY870" s="787"/>
      <c r="AZ870" s="780"/>
      <c r="BA870" s="780"/>
      <c r="BB870" s="780"/>
      <c r="BC870" s="780"/>
      <c r="BD870" s="541"/>
      <c r="BE870" s="541"/>
      <c r="BF870" s="541"/>
      <c r="BG870" s="541"/>
      <c r="BH870" s="780"/>
      <c r="BI870" s="780"/>
      <c r="BJ870" s="780"/>
      <c r="BK870" s="780"/>
      <c r="BL870" s="780"/>
      <c r="BM870" s="780"/>
    </row>
    <row r="871" ht="12.75" customHeight="1">
      <c r="A871" s="521"/>
      <c r="B871" s="521"/>
      <c r="C871" s="515"/>
      <c r="D871" s="515"/>
      <c r="E871" s="515"/>
      <c r="F871" s="515"/>
      <c r="G871" s="515"/>
      <c r="H871" s="515"/>
      <c r="I871" s="515"/>
      <c r="J871" s="515"/>
      <c r="K871" s="515"/>
      <c r="L871" s="515"/>
      <c r="M871" s="515"/>
      <c r="N871" s="515"/>
      <c r="O871" s="533"/>
      <c r="P871" s="786"/>
      <c r="Q871" s="787"/>
      <c r="R871" s="787"/>
      <c r="S871" s="787"/>
      <c r="T871" s="786"/>
      <c r="U871" s="787"/>
      <c r="V871" s="787"/>
      <c r="W871" s="787"/>
      <c r="X871" s="786"/>
      <c r="Y871" s="787"/>
      <c r="Z871" s="787"/>
      <c r="AA871" s="787"/>
      <c r="AB871" s="786"/>
      <c r="AC871" s="787"/>
      <c r="AD871" s="787"/>
      <c r="AE871" s="787"/>
      <c r="AF871" s="786"/>
      <c r="AG871" s="787"/>
      <c r="AH871" s="787"/>
      <c r="AI871" s="787"/>
      <c r="AJ871" s="786"/>
      <c r="AK871" s="787"/>
      <c r="AL871" s="787"/>
      <c r="AM871" s="787"/>
      <c r="AN871" s="786"/>
      <c r="AO871" s="787"/>
      <c r="AP871" s="787"/>
      <c r="AQ871" s="787"/>
      <c r="AR871" s="786"/>
      <c r="AS871" s="787"/>
      <c r="AT871" s="787"/>
      <c r="AU871" s="787"/>
      <c r="AV871" s="786"/>
      <c r="AW871" s="787"/>
      <c r="AX871" s="787"/>
      <c r="AY871" s="787"/>
      <c r="AZ871" s="780"/>
      <c r="BA871" s="780"/>
      <c r="BB871" s="780"/>
      <c r="BC871" s="780"/>
      <c r="BD871" s="541"/>
      <c r="BE871" s="541"/>
      <c r="BF871" s="541"/>
      <c r="BG871" s="541"/>
      <c r="BH871" s="780"/>
      <c r="BI871" s="780"/>
      <c r="BJ871" s="780"/>
      <c r="BK871" s="780"/>
      <c r="BL871" s="780"/>
      <c r="BM871" s="780"/>
    </row>
    <row r="872" ht="12.75" customHeight="1">
      <c r="A872" s="521"/>
      <c r="B872" s="521"/>
      <c r="C872" s="515"/>
      <c r="D872" s="515"/>
      <c r="E872" s="515"/>
      <c r="F872" s="515"/>
      <c r="G872" s="515"/>
      <c r="H872" s="515"/>
      <c r="I872" s="515"/>
      <c r="J872" s="515"/>
      <c r="K872" s="515"/>
      <c r="L872" s="515"/>
      <c r="M872" s="515"/>
      <c r="N872" s="515"/>
      <c r="O872" s="533"/>
      <c r="P872" s="786"/>
      <c r="Q872" s="787"/>
      <c r="R872" s="787"/>
      <c r="S872" s="787"/>
      <c r="T872" s="786"/>
      <c r="U872" s="787"/>
      <c r="V872" s="787"/>
      <c r="W872" s="787"/>
      <c r="X872" s="786"/>
      <c r="Y872" s="787"/>
      <c r="Z872" s="787"/>
      <c r="AA872" s="787"/>
      <c r="AB872" s="786"/>
      <c r="AC872" s="787"/>
      <c r="AD872" s="787"/>
      <c r="AE872" s="787"/>
      <c r="AF872" s="786"/>
      <c r="AG872" s="787"/>
      <c r="AH872" s="787"/>
      <c r="AI872" s="787"/>
      <c r="AJ872" s="786"/>
      <c r="AK872" s="787"/>
      <c r="AL872" s="787"/>
      <c r="AM872" s="787"/>
      <c r="AN872" s="786"/>
      <c r="AO872" s="787"/>
      <c r="AP872" s="787"/>
      <c r="AQ872" s="787"/>
      <c r="AR872" s="786"/>
      <c r="AS872" s="787"/>
      <c r="AT872" s="787"/>
      <c r="AU872" s="787"/>
      <c r="AV872" s="786"/>
      <c r="AW872" s="787"/>
      <c r="AX872" s="787"/>
      <c r="AY872" s="787"/>
      <c r="AZ872" s="780"/>
      <c r="BA872" s="780"/>
      <c r="BB872" s="780"/>
      <c r="BC872" s="780"/>
      <c r="BD872" s="541"/>
      <c r="BE872" s="541"/>
      <c r="BF872" s="541"/>
      <c r="BG872" s="541"/>
      <c r="BH872" s="780"/>
      <c r="BI872" s="780"/>
      <c r="BJ872" s="780"/>
      <c r="BK872" s="780"/>
      <c r="BL872" s="780"/>
      <c r="BM872" s="780"/>
    </row>
    <row r="873" ht="12.75" customHeight="1">
      <c r="A873" s="521"/>
      <c r="B873" s="521"/>
      <c r="C873" s="515"/>
      <c r="D873" s="515"/>
      <c r="E873" s="515"/>
      <c r="F873" s="515"/>
      <c r="G873" s="515"/>
      <c r="H873" s="515"/>
      <c r="I873" s="515"/>
      <c r="J873" s="515"/>
      <c r="K873" s="515"/>
      <c r="L873" s="515"/>
      <c r="M873" s="515"/>
      <c r="N873" s="515"/>
      <c r="O873" s="533"/>
      <c r="P873" s="786"/>
      <c r="Q873" s="787"/>
      <c r="R873" s="787"/>
      <c r="S873" s="787"/>
      <c r="T873" s="786"/>
      <c r="U873" s="787"/>
      <c r="V873" s="787"/>
      <c r="W873" s="787"/>
      <c r="X873" s="786"/>
      <c r="Y873" s="787"/>
      <c r="Z873" s="787"/>
      <c r="AA873" s="787"/>
      <c r="AB873" s="786"/>
      <c r="AC873" s="787"/>
      <c r="AD873" s="787"/>
      <c r="AE873" s="787"/>
      <c r="AF873" s="786"/>
      <c r="AG873" s="787"/>
      <c r="AH873" s="787"/>
      <c r="AI873" s="787"/>
      <c r="AJ873" s="786"/>
      <c r="AK873" s="787"/>
      <c r="AL873" s="787"/>
      <c r="AM873" s="787"/>
      <c r="AN873" s="786"/>
      <c r="AO873" s="787"/>
      <c r="AP873" s="787"/>
      <c r="AQ873" s="787"/>
      <c r="AR873" s="786"/>
      <c r="AS873" s="787"/>
      <c r="AT873" s="787"/>
      <c r="AU873" s="787"/>
      <c r="AV873" s="786"/>
      <c r="AW873" s="787"/>
      <c r="AX873" s="787"/>
      <c r="AY873" s="787"/>
      <c r="AZ873" s="780"/>
      <c r="BA873" s="780"/>
      <c r="BB873" s="780"/>
      <c r="BC873" s="780"/>
      <c r="BD873" s="541"/>
      <c r="BE873" s="541"/>
      <c r="BF873" s="541"/>
      <c r="BG873" s="541"/>
      <c r="BH873" s="780"/>
      <c r="BI873" s="780"/>
      <c r="BJ873" s="780"/>
      <c r="BK873" s="780"/>
      <c r="BL873" s="780"/>
      <c r="BM873" s="780"/>
    </row>
    <row r="874" ht="12.75" customHeight="1">
      <c r="A874" s="521"/>
      <c r="B874" s="521"/>
      <c r="C874" s="515"/>
      <c r="D874" s="515"/>
      <c r="E874" s="515"/>
      <c r="F874" s="515"/>
      <c r="G874" s="515"/>
      <c r="H874" s="515"/>
      <c r="I874" s="515"/>
      <c r="J874" s="515"/>
      <c r="K874" s="515"/>
      <c r="L874" s="515"/>
      <c r="M874" s="515"/>
      <c r="N874" s="515"/>
      <c r="O874" s="533"/>
      <c r="P874" s="786"/>
      <c r="Q874" s="787"/>
      <c r="R874" s="787"/>
      <c r="S874" s="787"/>
      <c r="T874" s="786"/>
      <c r="U874" s="787"/>
      <c r="V874" s="787"/>
      <c r="W874" s="787"/>
      <c r="X874" s="786"/>
      <c r="Y874" s="787"/>
      <c r="Z874" s="787"/>
      <c r="AA874" s="787"/>
      <c r="AB874" s="786"/>
      <c r="AC874" s="787"/>
      <c r="AD874" s="787"/>
      <c r="AE874" s="787"/>
      <c r="AF874" s="786"/>
      <c r="AG874" s="787"/>
      <c r="AH874" s="787"/>
      <c r="AI874" s="787"/>
      <c r="AJ874" s="786"/>
      <c r="AK874" s="787"/>
      <c r="AL874" s="787"/>
      <c r="AM874" s="787"/>
      <c r="AN874" s="786"/>
      <c r="AO874" s="787"/>
      <c r="AP874" s="787"/>
      <c r="AQ874" s="787"/>
      <c r="AR874" s="786"/>
      <c r="AS874" s="787"/>
      <c r="AT874" s="787"/>
      <c r="AU874" s="787"/>
      <c r="AV874" s="786"/>
      <c r="AW874" s="787"/>
      <c r="AX874" s="787"/>
      <c r="AY874" s="787"/>
      <c r="AZ874" s="780"/>
      <c r="BA874" s="780"/>
      <c r="BB874" s="780"/>
      <c r="BC874" s="780"/>
      <c r="BD874" s="541"/>
      <c r="BE874" s="541"/>
      <c r="BF874" s="541"/>
      <c r="BG874" s="541"/>
      <c r="BH874" s="780"/>
      <c r="BI874" s="780"/>
      <c r="BJ874" s="780"/>
      <c r="BK874" s="780"/>
      <c r="BL874" s="780"/>
      <c r="BM874" s="780"/>
    </row>
    <row r="875" ht="12.75" customHeight="1">
      <c r="A875" s="521"/>
      <c r="B875" s="521"/>
      <c r="C875" s="515"/>
      <c r="D875" s="515"/>
      <c r="E875" s="515"/>
      <c r="F875" s="515"/>
      <c r="G875" s="515"/>
      <c r="H875" s="515"/>
      <c r="I875" s="515"/>
      <c r="J875" s="515"/>
      <c r="K875" s="515"/>
      <c r="L875" s="515"/>
      <c r="M875" s="515"/>
      <c r="N875" s="515"/>
      <c r="O875" s="533"/>
      <c r="P875" s="786"/>
      <c r="Q875" s="787"/>
      <c r="R875" s="787"/>
      <c r="S875" s="787"/>
      <c r="T875" s="786"/>
      <c r="U875" s="787"/>
      <c r="V875" s="787"/>
      <c r="W875" s="787"/>
      <c r="X875" s="786"/>
      <c r="Y875" s="787"/>
      <c r="Z875" s="787"/>
      <c r="AA875" s="787"/>
      <c r="AB875" s="786"/>
      <c r="AC875" s="787"/>
      <c r="AD875" s="787"/>
      <c r="AE875" s="787"/>
      <c r="AF875" s="786"/>
      <c r="AG875" s="787"/>
      <c r="AH875" s="787"/>
      <c r="AI875" s="787"/>
      <c r="AJ875" s="786"/>
      <c r="AK875" s="787"/>
      <c r="AL875" s="787"/>
      <c r="AM875" s="787"/>
      <c r="AN875" s="786"/>
      <c r="AO875" s="787"/>
      <c r="AP875" s="787"/>
      <c r="AQ875" s="787"/>
      <c r="AR875" s="786"/>
      <c r="AS875" s="787"/>
      <c r="AT875" s="787"/>
      <c r="AU875" s="787"/>
      <c r="AV875" s="786"/>
      <c r="AW875" s="787"/>
      <c r="AX875" s="787"/>
      <c r="AY875" s="787"/>
      <c r="AZ875" s="780"/>
      <c r="BA875" s="780"/>
      <c r="BB875" s="780"/>
      <c r="BC875" s="780"/>
      <c r="BD875" s="541"/>
      <c r="BE875" s="541"/>
      <c r="BF875" s="541"/>
      <c r="BG875" s="541"/>
      <c r="BH875" s="780"/>
      <c r="BI875" s="780"/>
      <c r="BJ875" s="780"/>
      <c r="BK875" s="780"/>
      <c r="BL875" s="780"/>
      <c r="BM875" s="780"/>
    </row>
    <row r="876" ht="12.75" customHeight="1">
      <c r="A876" s="521"/>
      <c r="B876" s="521"/>
      <c r="C876" s="515"/>
      <c r="D876" s="515"/>
      <c r="E876" s="515"/>
      <c r="F876" s="515"/>
      <c r="G876" s="515"/>
      <c r="H876" s="515"/>
      <c r="I876" s="515"/>
      <c r="J876" s="515"/>
      <c r="K876" s="515"/>
      <c r="L876" s="515"/>
      <c r="M876" s="515"/>
      <c r="N876" s="515"/>
      <c r="O876" s="533"/>
      <c r="P876" s="786"/>
      <c r="Q876" s="787"/>
      <c r="R876" s="787"/>
      <c r="S876" s="787"/>
      <c r="T876" s="786"/>
      <c r="U876" s="787"/>
      <c r="V876" s="787"/>
      <c r="W876" s="787"/>
      <c r="X876" s="786"/>
      <c r="Y876" s="787"/>
      <c r="Z876" s="787"/>
      <c r="AA876" s="787"/>
      <c r="AB876" s="786"/>
      <c r="AC876" s="787"/>
      <c r="AD876" s="787"/>
      <c r="AE876" s="787"/>
      <c r="AF876" s="786"/>
      <c r="AG876" s="787"/>
      <c r="AH876" s="787"/>
      <c r="AI876" s="787"/>
      <c r="AJ876" s="786"/>
      <c r="AK876" s="787"/>
      <c r="AL876" s="787"/>
      <c r="AM876" s="787"/>
      <c r="AN876" s="786"/>
      <c r="AO876" s="787"/>
      <c r="AP876" s="787"/>
      <c r="AQ876" s="787"/>
      <c r="AR876" s="786"/>
      <c r="AS876" s="787"/>
      <c r="AT876" s="787"/>
      <c r="AU876" s="787"/>
      <c r="AV876" s="786"/>
      <c r="AW876" s="787"/>
      <c r="AX876" s="787"/>
      <c r="AY876" s="787"/>
      <c r="AZ876" s="780"/>
      <c r="BA876" s="780"/>
      <c r="BB876" s="780"/>
      <c r="BC876" s="780"/>
      <c r="BD876" s="541"/>
      <c r="BE876" s="541"/>
      <c r="BF876" s="541"/>
      <c r="BG876" s="541"/>
      <c r="BH876" s="780"/>
      <c r="BI876" s="780"/>
      <c r="BJ876" s="780"/>
      <c r="BK876" s="780"/>
      <c r="BL876" s="780"/>
      <c r="BM876" s="780"/>
    </row>
    <row r="877" ht="12.75" customHeight="1">
      <c r="A877" s="521"/>
      <c r="B877" s="521"/>
      <c r="C877" s="515"/>
      <c r="D877" s="515"/>
      <c r="E877" s="515"/>
      <c r="F877" s="515"/>
      <c r="G877" s="515"/>
      <c r="H877" s="515"/>
      <c r="I877" s="515"/>
      <c r="J877" s="515"/>
      <c r="K877" s="515"/>
      <c r="L877" s="515"/>
      <c r="M877" s="515"/>
      <c r="N877" s="515"/>
      <c r="O877" s="533"/>
      <c r="P877" s="786"/>
      <c r="Q877" s="787"/>
      <c r="R877" s="787"/>
      <c r="S877" s="787"/>
      <c r="T877" s="786"/>
      <c r="U877" s="787"/>
      <c r="V877" s="787"/>
      <c r="W877" s="787"/>
      <c r="X877" s="786"/>
      <c r="Y877" s="787"/>
      <c r="Z877" s="787"/>
      <c r="AA877" s="787"/>
      <c r="AB877" s="786"/>
      <c r="AC877" s="787"/>
      <c r="AD877" s="787"/>
      <c r="AE877" s="787"/>
      <c r="AF877" s="786"/>
      <c r="AG877" s="787"/>
      <c r="AH877" s="787"/>
      <c r="AI877" s="787"/>
      <c r="AJ877" s="786"/>
      <c r="AK877" s="787"/>
      <c r="AL877" s="787"/>
      <c r="AM877" s="787"/>
      <c r="AN877" s="786"/>
      <c r="AO877" s="787"/>
      <c r="AP877" s="787"/>
      <c r="AQ877" s="787"/>
      <c r="AR877" s="786"/>
      <c r="AS877" s="787"/>
      <c r="AT877" s="787"/>
      <c r="AU877" s="787"/>
      <c r="AV877" s="786"/>
      <c r="AW877" s="787"/>
      <c r="AX877" s="787"/>
      <c r="AY877" s="787"/>
      <c r="AZ877" s="780"/>
      <c r="BA877" s="780"/>
      <c r="BB877" s="780"/>
      <c r="BC877" s="780"/>
      <c r="BD877" s="541"/>
      <c r="BE877" s="541"/>
      <c r="BF877" s="541"/>
      <c r="BG877" s="541"/>
      <c r="BH877" s="780"/>
      <c r="BI877" s="780"/>
      <c r="BJ877" s="780"/>
      <c r="BK877" s="780"/>
      <c r="BL877" s="780"/>
      <c r="BM877" s="780"/>
    </row>
    <row r="878" ht="12.75" customHeight="1">
      <c r="A878" s="521"/>
      <c r="B878" s="521"/>
      <c r="C878" s="515"/>
      <c r="D878" s="515"/>
      <c r="E878" s="515"/>
      <c r="F878" s="515"/>
      <c r="G878" s="515"/>
      <c r="H878" s="515"/>
      <c r="I878" s="515"/>
      <c r="J878" s="515"/>
      <c r="K878" s="515"/>
      <c r="L878" s="515"/>
      <c r="M878" s="515"/>
      <c r="N878" s="515"/>
      <c r="O878" s="533"/>
      <c r="P878" s="786"/>
      <c r="Q878" s="787"/>
      <c r="R878" s="787"/>
      <c r="S878" s="787"/>
      <c r="T878" s="786"/>
      <c r="U878" s="787"/>
      <c r="V878" s="787"/>
      <c r="W878" s="787"/>
      <c r="X878" s="786"/>
      <c r="Y878" s="787"/>
      <c r="Z878" s="787"/>
      <c r="AA878" s="787"/>
      <c r="AB878" s="786"/>
      <c r="AC878" s="787"/>
      <c r="AD878" s="787"/>
      <c r="AE878" s="787"/>
      <c r="AF878" s="786"/>
      <c r="AG878" s="787"/>
      <c r="AH878" s="787"/>
      <c r="AI878" s="787"/>
      <c r="AJ878" s="786"/>
      <c r="AK878" s="787"/>
      <c r="AL878" s="787"/>
      <c r="AM878" s="787"/>
      <c r="AN878" s="786"/>
      <c r="AO878" s="787"/>
      <c r="AP878" s="787"/>
      <c r="AQ878" s="787"/>
      <c r="AR878" s="786"/>
      <c r="AS878" s="787"/>
      <c r="AT878" s="787"/>
      <c r="AU878" s="787"/>
      <c r="AV878" s="786"/>
      <c r="AW878" s="787"/>
      <c r="AX878" s="787"/>
      <c r="AY878" s="787"/>
      <c r="AZ878" s="780"/>
      <c r="BA878" s="780"/>
      <c r="BB878" s="780"/>
      <c r="BC878" s="780"/>
      <c r="BD878" s="541"/>
      <c r="BE878" s="541"/>
      <c r="BF878" s="541"/>
      <c r="BG878" s="541"/>
      <c r="BH878" s="780"/>
      <c r="BI878" s="780"/>
      <c r="BJ878" s="780"/>
      <c r="BK878" s="780"/>
      <c r="BL878" s="780"/>
      <c r="BM878" s="780"/>
    </row>
    <row r="879" ht="12.75" customHeight="1">
      <c r="A879" s="521"/>
      <c r="B879" s="521"/>
      <c r="C879" s="515"/>
      <c r="D879" s="515"/>
      <c r="E879" s="515"/>
      <c r="F879" s="515"/>
      <c r="G879" s="515"/>
      <c r="H879" s="515"/>
      <c r="I879" s="515"/>
      <c r="J879" s="515"/>
      <c r="K879" s="515"/>
      <c r="L879" s="515"/>
      <c r="M879" s="515"/>
      <c r="N879" s="515"/>
      <c r="O879" s="533"/>
      <c r="P879" s="786"/>
      <c r="Q879" s="787"/>
      <c r="R879" s="787"/>
      <c r="S879" s="787"/>
      <c r="T879" s="786"/>
      <c r="U879" s="787"/>
      <c r="V879" s="787"/>
      <c r="W879" s="787"/>
      <c r="X879" s="786"/>
      <c r="Y879" s="787"/>
      <c r="Z879" s="787"/>
      <c r="AA879" s="787"/>
      <c r="AB879" s="786"/>
      <c r="AC879" s="787"/>
      <c r="AD879" s="787"/>
      <c r="AE879" s="787"/>
      <c r="AF879" s="786"/>
      <c r="AG879" s="787"/>
      <c r="AH879" s="787"/>
      <c r="AI879" s="787"/>
      <c r="AJ879" s="786"/>
      <c r="AK879" s="787"/>
      <c r="AL879" s="787"/>
      <c r="AM879" s="787"/>
      <c r="AN879" s="786"/>
      <c r="AO879" s="787"/>
      <c r="AP879" s="787"/>
      <c r="AQ879" s="787"/>
      <c r="AR879" s="786"/>
      <c r="AS879" s="787"/>
      <c r="AT879" s="787"/>
      <c r="AU879" s="787"/>
      <c r="AV879" s="786"/>
      <c r="AW879" s="787"/>
      <c r="AX879" s="787"/>
      <c r="AY879" s="787"/>
      <c r="AZ879" s="780"/>
      <c r="BA879" s="780"/>
      <c r="BB879" s="780"/>
      <c r="BC879" s="780"/>
      <c r="BD879" s="541"/>
      <c r="BE879" s="541"/>
      <c r="BF879" s="541"/>
      <c r="BG879" s="541"/>
      <c r="BH879" s="780"/>
      <c r="BI879" s="780"/>
      <c r="BJ879" s="780"/>
      <c r="BK879" s="780"/>
      <c r="BL879" s="780"/>
      <c r="BM879" s="780"/>
    </row>
    <row r="880" ht="12.75" customHeight="1">
      <c r="A880" s="521"/>
      <c r="B880" s="521"/>
      <c r="C880" s="515"/>
      <c r="D880" s="515"/>
      <c r="E880" s="515"/>
      <c r="F880" s="515"/>
      <c r="G880" s="515"/>
      <c r="H880" s="515"/>
      <c r="I880" s="515"/>
      <c r="J880" s="515"/>
      <c r="K880" s="515"/>
      <c r="L880" s="515"/>
      <c r="M880" s="515"/>
      <c r="N880" s="515"/>
      <c r="O880" s="533"/>
      <c r="P880" s="786"/>
      <c r="Q880" s="787"/>
      <c r="R880" s="787"/>
      <c r="S880" s="787"/>
      <c r="T880" s="786"/>
      <c r="U880" s="787"/>
      <c r="V880" s="787"/>
      <c r="W880" s="787"/>
      <c r="X880" s="786"/>
      <c r="Y880" s="787"/>
      <c r="Z880" s="787"/>
      <c r="AA880" s="787"/>
      <c r="AB880" s="786"/>
      <c r="AC880" s="787"/>
      <c r="AD880" s="787"/>
      <c r="AE880" s="787"/>
      <c r="AF880" s="786"/>
      <c r="AG880" s="787"/>
      <c r="AH880" s="787"/>
      <c r="AI880" s="787"/>
      <c r="AJ880" s="786"/>
      <c r="AK880" s="787"/>
      <c r="AL880" s="787"/>
      <c r="AM880" s="787"/>
      <c r="AN880" s="786"/>
      <c r="AO880" s="787"/>
      <c r="AP880" s="787"/>
      <c r="AQ880" s="787"/>
      <c r="AR880" s="786"/>
      <c r="AS880" s="787"/>
      <c r="AT880" s="787"/>
      <c r="AU880" s="787"/>
      <c r="AV880" s="786"/>
      <c r="AW880" s="787"/>
      <c r="AX880" s="787"/>
      <c r="AY880" s="787"/>
      <c r="AZ880" s="780"/>
      <c r="BA880" s="780"/>
      <c r="BB880" s="780"/>
      <c r="BC880" s="780"/>
      <c r="BD880" s="541"/>
      <c r="BE880" s="541"/>
      <c r="BF880" s="541"/>
      <c r="BG880" s="541"/>
      <c r="BH880" s="780"/>
      <c r="BI880" s="780"/>
      <c r="BJ880" s="780"/>
      <c r="BK880" s="780"/>
      <c r="BL880" s="780"/>
      <c r="BM880" s="780"/>
    </row>
    <row r="881" ht="12.75" customHeight="1">
      <c r="A881" s="521"/>
      <c r="B881" s="521"/>
      <c r="C881" s="515"/>
      <c r="D881" s="515"/>
      <c r="E881" s="515"/>
      <c r="F881" s="515"/>
      <c r="G881" s="515"/>
      <c r="H881" s="515"/>
      <c r="I881" s="515"/>
      <c r="J881" s="515"/>
      <c r="K881" s="515"/>
      <c r="L881" s="515"/>
      <c r="M881" s="515"/>
      <c r="N881" s="515"/>
      <c r="O881" s="533"/>
      <c r="P881" s="786"/>
      <c r="Q881" s="787"/>
      <c r="R881" s="787"/>
      <c r="S881" s="787"/>
      <c r="T881" s="786"/>
      <c r="U881" s="787"/>
      <c r="V881" s="787"/>
      <c r="W881" s="787"/>
      <c r="X881" s="786"/>
      <c r="Y881" s="787"/>
      <c r="Z881" s="787"/>
      <c r="AA881" s="787"/>
      <c r="AB881" s="786"/>
      <c r="AC881" s="787"/>
      <c r="AD881" s="787"/>
      <c r="AE881" s="787"/>
      <c r="AF881" s="786"/>
      <c r="AG881" s="787"/>
      <c r="AH881" s="787"/>
      <c r="AI881" s="787"/>
      <c r="AJ881" s="786"/>
      <c r="AK881" s="787"/>
      <c r="AL881" s="787"/>
      <c r="AM881" s="787"/>
      <c r="AN881" s="786"/>
      <c r="AO881" s="787"/>
      <c r="AP881" s="787"/>
      <c r="AQ881" s="787"/>
      <c r="AR881" s="786"/>
      <c r="AS881" s="787"/>
      <c r="AT881" s="787"/>
      <c r="AU881" s="787"/>
      <c r="AV881" s="786"/>
      <c r="AW881" s="787"/>
      <c r="AX881" s="787"/>
      <c r="AY881" s="787"/>
      <c r="AZ881" s="780"/>
      <c r="BA881" s="780"/>
      <c r="BB881" s="780"/>
      <c r="BC881" s="780"/>
      <c r="BD881" s="541"/>
      <c r="BE881" s="541"/>
      <c r="BF881" s="541"/>
      <c r="BG881" s="541"/>
      <c r="BH881" s="780"/>
      <c r="BI881" s="780"/>
      <c r="BJ881" s="780"/>
      <c r="BK881" s="780"/>
      <c r="BL881" s="780"/>
      <c r="BM881" s="780"/>
    </row>
    <row r="882" ht="12.75" customHeight="1">
      <c r="A882" s="521"/>
      <c r="B882" s="521"/>
      <c r="C882" s="515"/>
      <c r="D882" s="515"/>
      <c r="E882" s="515"/>
      <c r="F882" s="515"/>
      <c r="G882" s="515"/>
      <c r="H882" s="515"/>
      <c r="I882" s="515"/>
      <c r="J882" s="515"/>
      <c r="K882" s="515"/>
      <c r="L882" s="515"/>
      <c r="M882" s="515"/>
      <c r="N882" s="515"/>
      <c r="O882" s="533"/>
      <c r="P882" s="786"/>
      <c r="Q882" s="787"/>
      <c r="R882" s="787"/>
      <c r="S882" s="787"/>
      <c r="T882" s="786"/>
      <c r="U882" s="787"/>
      <c r="V882" s="787"/>
      <c r="W882" s="787"/>
      <c r="X882" s="786"/>
      <c r="Y882" s="787"/>
      <c r="Z882" s="787"/>
      <c r="AA882" s="787"/>
      <c r="AB882" s="786"/>
      <c r="AC882" s="787"/>
      <c r="AD882" s="787"/>
      <c r="AE882" s="787"/>
      <c r="AF882" s="786"/>
      <c r="AG882" s="787"/>
      <c r="AH882" s="787"/>
      <c r="AI882" s="787"/>
      <c r="AJ882" s="786"/>
      <c r="AK882" s="787"/>
      <c r="AL882" s="787"/>
      <c r="AM882" s="787"/>
      <c r="AN882" s="786"/>
      <c r="AO882" s="787"/>
      <c r="AP882" s="787"/>
      <c r="AQ882" s="787"/>
      <c r="AR882" s="786"/>
      <c r="AS882" s="787"/>
      <c r="AT882" s="787"/>
      <c r="AU882" s="787"/>
      <c r="AV882" s="786"/>
      <c r="AW882" s="787"/>
      <c r="AX882" s="787"/>
      <c r="AY882" s="787"/>
      <c r="AZ882" s="780"/>
      <c r="BA882" s="780"/>
      <c r="BB882" s="780"/>
      <c r="BC882" s="780"/>
      <c r="BD882" s="541"/>
      <c r="BE882" s="541"/>
      <c r="BF882" s="541"/>
      <c r="BG882" s="541"/>
      <c r="BH882" s="780"/>
      <c r="BI882" s="780"/>
      <c r="BJ882" s="780"/>
      <c r="BK882" s="780"/>
      <c r="BL882" s="780"/>
      <c r="BM882" s="780"/>
    </row>
    <row r="883" ht="12.75" customHeight="1">
      <c r="A883" s="521"/>
      <c r="B883" s="521"/>
      <c r="C883" s="515"/>
      <c r="D883" s="515"/>
      <c r="E883" s="515"/>
      <c r="F883" s="515"/>
      <c r="G883" s="515"/>
      <c r="H883" s="515"/>
      <c r="I883" s="515"/>
      <c r="J883" s="515"/>
      <c r="K883" s="515"/>
      <c r="L883" s="515"/>
      <c r="M883" s="515"/>
      <c r="N883" s="515"/>
      <c r="O883" s="533"/>
      <c r="P883" s="786"/>
      <c r="Q883" s="787"/>
      <c r="R883" s="787"/>
      <c r="S883" s="787"/>
      <c r="T883" s="786"/>
      <c r="U883" s="787"/>
      <c r="V883" s="787"/>
      <c r="W883" s="787"/>
      <c r="X883" s="786"/>
      <c r="Y883" s="787"/>
      <c r="Z883" s="787"/>
      <c r="AA883" s="787"/>
      <c r="AB883" s="786"/>
      <c r="AC883" s="787"/>
      <c r="AD883" s="787"/>
      <c r="AE883" s="787"/>
      <c r="AF883" s="786"/>
      <c r="AG883" s="787"/>
      <c r="AH883" s="787"/>
      <c r="AI883" s="787"/>
      <c r="AJ883" s="786"/>
      <c r="AK883" s="787"/>
      <c r="AL883" s="787"/>
      <c r="AM883" s="787"/>
      <c r="AN883" s="786"/>
      <c r="AO883" s="787"/>
      <c r="AP883" s="787"/>
      <c r="AQ883" s="787"/>
      <c r="AR883" s="786"/>
      <c r="AS883" s="787"/>
      <c r="AT883" s="787"/>
      <c r="AU883" s="787"/>
      <c r="AV883" s="786"/>
      <c r="AW883" s="787"/>
      <c r="AX883" s="787"/>
      <c r="AY883" s="787"/>
      <c r="AZ883" s="780"/>
      <c r="BA883" s="780"/>
      <c r="BB883" s="780"/>
      <c r="BC883" s="780"/>
      <c r="BD883" s="541"/>
      <c r="BE883" s="541"/>
      <c r="BF883" s="541"/>
      <c r="BG883" s="541"/>
      <c r="BH883" s="780"/>
      <c r="BI883" s="780"/>
      <c r="BJ883" s="780"/>
      <c r="BK883" s="780"/>
      <c r="BL883" s="780"/>
      <c r="BM883" s="780"/>
    </row>
    <row r="884" ht="12.75" customHeight="1">
      <c r="A884" s="521"/>
      <c r="B884" s="521"/>
      <c r="C884" s="515"/>
      <c r="D884" s="515"/>
      <c r="E884" s="515"/>
      <c r="F884" s="515"/>
      <c r="G884" s="515"/>
      <c r="H884" s="515"/>
      <c r="I884" s="515"/>
      <c r="J884" s="515"/>
      <c r="K884" s="515"/>
      <c r="L884" s="515"/>
      <c r="M884" s="515"/>
      <c r="N884" s="515"/>
      <c r="O884" s="533"/>
      <c r="P884" s="786"/>
      <c r="Q884" s="787"/>
      <c r="R884" s="787"/>
      <c r="S884" s="787"/>
      <c r="T884" s="786"/>
      <c r="U884" s="787"/>
      <c r="V884" s="787"/>
      <c r="W884" s="787"/>
      <c r="X884" s="786"/>
      <c r="Y884" s="787"/>
      <c r="Z884" s="787"/>
      <c r="AA884" s="787"/>
      <c r="AB884" s="786"/>
      <c r="AC884" s="787"/>
      <c r="AD884" s="787"/>
      <c r="AE884" s="787"/>
      <c r="AF884" s="786"/>
      <c r="AG884" s="787"/>
      <c r="AH884" s="787"/>
      <c r="AI884" s="787"/>
      <c r="AJ884" s="786"/>
      <c r="AK884" s="787"/>
      <c r="AL884" s="787"/>
      <c r="AM884" s="787"/>
      <c r="AN884" s="786"/>
      <c r="AO884" s="787"/>
      <c r="AP884" s="787"/>
      <c r="AQ884" s="787"/>
      <c r="AR884" s="786"/>
      <c r="AS884" s="787"/>
      <c r="AT884" s="787"/>
      <c r="AU884" s="787"/>
      <c r="AV884" s="786"/>
      <c r="AW884" s="787"/>
      <c r="AX884" s="787"/>
      <c r="AY884" s="787"/>
      <c r="AZ884" s="780"/>
      <c r="BA884" s="780"/>
      <c r="BB884" s="780"/>
      <c r="BC884" s="780"/>
      <c r="BD884" s="541"/>
      <c r="BE884" s="541"/>
      <c r="BF884" s="541"/>
      <c r="BG884" s="541"/>
      <c r="BH884" s="780"/>
      <c r="BI884" s="780"/>
      <c r="BJ884" s="780"/>
      <c r="BK884" s="780"/>
      <c r="BL884" s="780"/>
      <c r="BM884" s="780"/>
    </row>
    <row r="885" ht="12.75" customHeight="1">
      <c r="A885" s="521"/>
      <c r="B885" s="521"/>
      <c r="C885" s="515"/>
      <c r="D885" s="515"/>
      <c r="E885" s="515"/>
      <c r="F885" s="515"/>
      <c r="G885" s="515"/>
      <c r="H885" s="515"/>
      <c r="I885" s="515"/>
      <c r="J885" s="515"/>
      <c r="K885" s="515"/>
      <c r="L885" s="515"/>
      <c r="M885" s="515"/>
      <c r="N885" s="515"/>
      <c r="O885" s="533"/>
      <c r="P885" s="786"/>
      <c r="Q885" s="787"/>
      <c r="R885" s="787"/>
      <c r="S885" s="787"/>
      <c r="T885" s="786"/>
      <c r="U885" s="787"/>
      <c r="V885" s="787"/>
      <c r="W885" s="787"/>
      <c r="X885" s="786"/>
      <c r="Y885" s="787"/>
      <c r="Z885" s="787"/>
      <c r="AA885" s="787"/>
      <c r="AB885" s="786"/>
      <c r="AC885" s="787"/>
      <c r="AD885" s="787"/>
      <c r="AE885" s="787"/>
      <c r="AF885" s="786"/>
      <c r="AG885" s="787"/>
      <c r="AH885" s="787"/>
      <c r="AI885" s="787"/>
      <c r="AJ885" s="786"/>
      <c r="AK885" s="787"/>
      <c r="AL885" s="787"/>
      <c r="AM885" s="787"/>
      <c r="AN885" s="786"/>
      <c r="AO885" s="787"/>
      <c r="AP885" s="787"/>
      <c r="AQ885" s="787"/>
      <c r="AR885" s="786"/>
      <c r="AS885" s="787"/>
      <c r="AT885" s="787"/>
      <c r="AU885" s="787"/>
      <c r="AV885" s="786"/>
      <c r="AW885" s="787"/>
      <c r="AX885" s="787"/>
      <c r="AY885" s="787"/>
      <c r="AZ885" s="780"/>
      <c r="BA885" s="780"/>
      <c r="BB885" s="780"/>
      <c r="BC885" s="780"/>
      <c r="BD885" s="541"/>
      <c r="BE885" s="541"/>
      <c r="BF885" s="541"/>
      <c r="BG885" s="541"/>
      <c r="BH885" s="780"/>
      <c r="BI885" s="780"/>
      <c r="BJ885" s="780"/>
      <c r="BK885" s="780"/>
      <c r="BL885" s="780"/>
      <c r="BM885" s="780"/>
    </row>
    <row r="886" ht="12.75" customHeight="1">
      <c r="A886" s="521"/>
      <c r="B886" s="521"/>
      <c r="C886" s="515"/>
      <c r="D886" s="515"/>
      <c r="E886" s="515"/>
      <c r="F886" s="515"/>
      <c r="G886" s="515"/>
      <c r="H886" s="515"/>
      <c r="I886" s="515"/>
      <c r="J886" s="515"/>
      <c r="K886" s="515"/>
      <c r="L886" s="515"/>
      <c r="M886" s="515"/>
      <c r="N886" s="515"/>
      <c r="O886" s="533"/>
      <c r="P886" s="786"/>
      <c r="Q886" s="787"/>
      <c r="R886" s="787"/>
      <c r="S886" s="787"/>
      <c r="T886" s="786"/>
      <c r="U886" s="787"/>
      <c r="V886" s="787"/>
      <c r="W886" s="787"/>
      <c r="X886" s="786"/>
      <c r="Y886" s="787"/>
      <c r="Z886" s="787"/>
      <c r="AA886" s="787"/>
      <c r="AB886" s="786"/>
      <c r="AC886" s="787"/>
      <c r="AD886" s="787"/>
      <c r="AE886" s="787"/>
      <c r="AF886" s="786"/>
      <c r="AG886" s="787"/>
      <c r="AH886" s="787"/>
      <c r="AI886" s="787"/>
      <c r="AJ886" s="786"/>
      <c r="AK886" s="787"/>
      <c r="AL886" s="787"/>
      <c r="AM886" s="787"/>
      <c r="AN886" s="786"/>
      <c r="AO886" s="787"/>
      <c r="AP886" s="787"/>
      <c r="AQ886" s="787"/>
      <c r="AR886" s="786"/>
      <c r="AS886" s="787"/>
      <c r="AT886" s="787"/>
      <c r="AU886" s="787"/>
      <c r="AV886" s="786"/>
      <c r="AW886" s="787"/>
      <c r="AX886" s="787"/>
      <c r="AY886" s="787"/>
      <c r="AZ886" s="780"/>
      <c r="BA886" s="780"/>
      <c r="BB886" s="780"/>
      <c r="BC886" s="780"/>
      <c r="BD886" s="541"/>
      <c r="BE886" s="541"/>
      <c r="BF886" s="541"/>
      <c r="BG886" s="541"/>
      <c r="BH886" s="780"/>
      <c r="BI886" s="780"/>
      <c r="BJ886" s="780"/>
      <c r="BK886" s="780"/>
      <c r="BL886" s="780"/>
      <c r="BM886" s="780"/>
    </row>
    <row r="887" ht="12.75" customHeight="1">
      <c r="A887" s="521"/>
      <c r="B887" s="521"/>
      <c r="C887" s="515"/>
      <c r="D887" s="515"/>
      <c r="E887" s="515"/>
      <c r="F887" s="515"/>
      <c r="G887" s="515"/>
      <c r="H887" s="515"/>
      <c r="I887" s="515"/>
      <c r="J887" s="515"/>
      <c r="K887" s="515"/>
      <c r="L887" s="515"/>
      <c r="M887" s="515"/>
      <c r="N887" s="515"/>
      <c r="O887" s="533"/>
      <c r="P887" s="786"/>
      <c r="Q887" s="787"/>
      <c r="R887" s="787"/>
      <c r="S887" s="787"/>
      <c r="T887" s="786"/>
      <c r="U887" s="787"/>
      <c r="V887" s="787"/>
      <c r="W887" s="787"/>
      <c r="X887" s="786"/>
      <c r="Y887" s="787"/>
      <c r="Z887" s="787"/>
      <c r="AA887" s="787"/>
      <c r="AB887" s="786"/>
      <c r="AC887" s="787"/>
      <c r="AD887" s="787"/>
      <c r="AE887" s="787"/>
      <c r="AF887" s="786"/>
      <c r="AG887" s="787"/>
      <c r="AH887" s="787"/>
      <c r="AI887" s="787"/>
      <c r="AJ887" s="786"/>
      <c r="AK887" s="787"/>
      <c r="AL887" s="787"/>
      <c r="AM887" s="787"/>
      <c r="AN887" s="786"/>
      <c r="AO887" s="787"/>
      <c r="AP887" s="787"/>
      <c r="AQ887" s="787"/>
      <c r="AR887" s="786"/>
      <c r="AS887" s="787"/>
      <c r="AT887" s="787"/>
      <c r="AU887" s="787"/>
      <c r="AV887" s="786"/>
      <c r="AW887" s="787"/>
      <c r="AX887" s="787"/>
      <c r="AY887" s="787"/>
      <c r="AZ887" s="780"/>
      <c r="BA887" s="780"/>
      <c r="BB887" s="780"/>
      <c r="BC887" s="780"/>
      <c r="BD887" s="541"/>
      <c r="BE887" s="541"/>
      <c r="BF887" s="541"/>
      <c r="BG887" s="541"/>
      <c r="BH887" s="780"/>
      <c r="BI887" s="780"/>
      <c r="BJ887" s="780"/>
      <c r="BK887" s="780"/>
      <c r="BL887" s="780"/>
      <c r="BM887" s="780"/>
    </row>
    <row r="888" ht="12.75" customHeight="1">
      <c r="A888" s="521"/>
      <c r="B888" s="521"/>
      <c r="C888" s="515"/>
      <c r="D888" s="515"/>
      <c r="E888" s="515"/>
      <c r="F888" s="515"/>
      <c r="G888" s="515"/>
      <c r="H888" s="515"/>
      <c r="I888" s="515"/>
      <c r="J888" s="515"/>
      <c r="K888" s="515"/>
      <c r="L888" s="515"/>
      <c r="M888" s="515"/>
      <c r="N888" s="515"/>
      <c r="O888" s="533"/>
      <c r="P888" s="786"/>
      <c r="Q888" s="787"/>
      <c r="R888" s="787"/>
      <c r="S888" s="787"/>
      <c r="T888" s="786"/>
      <c r="U888" s="787"/>
      <c r="V888" s="787"/>
      <c r="W888" s="787"/>
      <c r="X888" s="786"/>
      <c r="Y888" s="787"/>
      <c r="Z888" s="787"/>
      <c r="AA888" s="787"/>
      <c r="AB888" s="786"/>
      <c r="AC888" s="787"/>
      <c r="AD888" s="787"/>
      <c r="AE888" s="787"/>
      <c r="AF888" s="786"/>
      <c r="AG888" s="787"/>
      <c r="AH888" s="787"/>
      <c r="AI888" s="787"/>
      <c r="AJ888" s="786"/>
      <c r="AK888" s="787"/>
      <c r="AL888" s="787"/>
      <c r="AM888" s="787"/>
      <c r="AN888" s="786"/>
      <c r="AO888" s="787"/>
      <c r="AP888" s="787"/>
      <c r="AQ888" s="787"/>
      <c r="AR888" s="786"/>
      <c r="AS888" s="787"/>
      <c r="AT888" s="787"/>
      <c r="AU888" s="787"/>
      <c r="AV888" s="786"/>
      <c r="AW888" s="787"/>
      <c r="AX888" s="787"/>
      <c r="AY888" s="787"/>
      <c r="AZ888" s="780"/>
      <c r="BA888" s="780"/>
      <c r="BB888" s="780"/>
      <c r="BC888" s="780"/>
      <c r="BD888" s="541"/>
      <c r="BE888" s="541"/>
      <c r="BF888" s="541"/>
      <c r="BG888" s="541"/>
      <c r="BH888" s="780"/>
      <c r="BI888" s="780"/>
      <c r="BJ888" s="780"/>
      <c r="BK888" s="780"/>
      <c r="BL888" s="780"/>
      <c r="BM888" s="780"/>
    </row>
    <row r="889" ht="12.75" customHeight="1">
      <c r="A889" s="521"/>
      <c r="B889" s="521"/>
      <c r="C889" s="515"/>
      <c r="D889" s="515"/>
      <c r="E889" s="515"/>
      <c r="F889" s="515"/>
      <c r="G889" s="515"/>
      <c r="H889" s="515"/>
      <c r="I889" s="515"/>
      <c r="J889" s="515"/>
      <c r="K889" s="515"/>
      <c r="L889" s="515"/>
      <c r="M889" s="515"/>
      <c r="N889" s="515"/>
      <c r="O889" s="533"/>
      <c r="P889" s="786"/>
      <c r="Q889" s="787"/>
      <c r="R889" s="787"/>
      <c r="S889" s="787"/>
      <c r="T889" s="786"/>
      <c r="U889" s="787"/>
      <c r="V889" s="787"/>
      <c r="W889" s="787"/>
      <c r="X889" s="786"/>
      <c r="Y889" s="787"/>
      <c r="Z889" s="787"/>
      <c r="AA889" s="787"/>
      <c r="AB889" s="786"/>
      <c r="AC889" s="787"/>
      <c r="AD889" s="787"/>
      <c r="AE889" s="787"/>
      <c r="AF889" s="786"/>
      <c r="AG889" s="787"/>
      <c r="AH889" s="787"/>
      <c r="AI889" s="787"/>
      <c r="AJ889" s="786"/>
      <c r="AK889" s="787"/>
      <c r="AL889" s="787"/>
      <c r="AM889" s="787"/>
      <c r="AN889" s="786"/>
      <c r="AO889" s="787"/>
      <c r="AP889" s="787"/>
      <c r="AQ889" s="787"/>
      <c r="AR889" s="786"/>
      <c r="AS889" s="787"/>
      <c r="AT889" s="787"/>
      <c r="AU889" s="787"/>
      <c r="AV889" s="786"/>
      <c r="AW889" s="787"/>
      <c r="AX889" s="787"/>
      <c r="AY889" s="787"/>
      <c r="AZ889" s="780"/>
      <c r="BA889" s="780"/>
      <c r="BB889" s="780"/>
      <c r="BC889" s="780"/>
      <c r="BD889" s="541"/>
      <c r="BE889" s="541"/>
      <c r="BF889" s="541"/>
      <c r="BG889" s="541"/>
      <c r="BH889" s="780"/>
      <c r="BI889" s="780"/>
      <c r="BJ889" s="780"/>
      <c r="BK889" s="780"/>
      <c r="BL889" s="780"/>
      <c r="BM889" s="780"/>
    </row>
    <row r="890" ht="12.75" customHeight="1">
      <c r="A890" s="521"/>
      <c r="B890" s="521"/>
      <c r="C890" s="515"/>
      <c r="D890" s="515"/>
      <c r="E890" s="515"/>
      <c r="F890" s="515"/>
      <c r="G890" s="515"/>
      <c r="H890" s="515"/>
      <c r="I890" s="515"/>
      <c r="J890" s="515"/>
      <c r="K890" s="515"/>
      <c r="L890" s="515"/>
      <c r="M890" s="515"/>
      <c r="N890" s="515"/>
      <c r="O890" s="533"/>
      <c r="P890" s="786"/>
      <c r="Q890" s="787"/>
      <c r="R890" s="787"/>
      <c r="S890" s="787"/>
      <c r="T890" s="786"/>
      <c r="U890" s="787"/>
      <c r="V890" s="787"/>
      <c r="W890" s="787"/>
      <c r="X890" s="786"/>
      <c r="Y890" s="787"/>
      <c r="Z890" s="787"/>
      <c r="AA890" s="787"/>
      <c r="AB890" s="786"/>
      <c r="AC890" s="787"/>
      <c r="AD890" s="787"/>
      <c r="AE890" s="787"/>
      <c r="AF890" s="786"/>
      <c r="AG890" s="787"/>
      <c r="AH890" s="787"/>
      <c r="AI890" s="787"/>
      <c r="AJ890" s="786"/>
      <c r="AK890" s="787"/>
      <c r="AL890" s="787"/>
      <c r="AM890" s="787"/>
      <c r="AN890" s="786"/>
      <c r="AO890" s="787"/>
      <c r="AP890" s="787"/>
      <c r="AQ890" s="787"/>
      <c r="AR890" s="786"/>
      <c r="AS890" s="787"/>
      <c r="AT890" s="787"/>
      <c r="AU890" s="787"/>
      <c r="AV890" s="786"/>
      <c r="AW890" s="787"/>
      <c r="AX890" s="787"/>
      <c r="AY890" s="787"/>
      <c r="AZ890" s="780"/>
      <c r="BA890" s="780"/>
      <c r="BB890" s="780"/>
      <c r="BC890" s="780"/>
      <c r="BD890" s="541"/>
      <c r="BE890" s="541"/>
      <c r="BF890" s="541"/>
      <c r="BG890" s="541"/>
      <c r="BH890" s="780"/>
      <c r="BI890" s="780"/>
      <c r="BJ890" s="780"/>
      <c r="BK890" s="780"/>
      <c r="BL890" s="780"/>
      <c r="BM890" s="780"/>
    </row>
    <row r="891" ht="12.75" customHeight="1">
      <c r="A891" s="521"/>
      <c r="B891" s="521"/>
      <c r="C891" s="515"/>
      <c r="D891" s="515"/>
      <c r="E891" s="515"/>
      <c r="F891" s="515"/>
      <c r="G891" s="515"/>
      <c r="H891" s="515"/>
      <c r="I891" s="515"/>
      <c r="J891" s="515"/>
      <c r="K891" s="515"/>
      <c r="L891" s="515"/>
      <c r="M891" s="515"/>
      <c r="N891" s="515"/>
      <c r="O891" s="533"/>
      <c r="P891" s="786"/>
      <c r="Q891" s="787"/>
      <c r="R891" s="787"/>
      <c r="S891" s="787"/>
      <c r="T891" s="786"/>
      <c r="U891" s="787"/>
      <c r="V891" s="787"/>
      <c r="W891" s="787"/>
      <c r="X891" s="786"/>
      <c r="Y891" s="787"/>
      <c r="Z891" s="787"/>
      <c r="AA891" s="787"/>
      <c r="AB891" s="786"/>
      <c r="AC891" s="787"/>
      <c r="AD891" s="787"/>
      <c r="AE891" s="787"/>
      <c r="AF891" s="786"/>
      <c r="AG891" s="787"/>
      <c r="AH891" s="787"/>
      <c r="AI891" s="787"/>
      <c r="AJ891" s="786"/>
      <c r="AK891" s="787"/>
      <c r="AL891" s="787"/>
      <c r="AM891" s="787"/>
      <c r="AN891" s="786"/>
      <c r="AO891" s="787"/>
      <c r="AP891" s="787"/>
      <c r="AQ891" s="787"/>
      <c r="AR891" s="786"/>
      <c r="AS891" s="787"/>
      <c r="AT891" s="787"/>
      <c r="AU891" s="787"/>
      <c r="AV891" s="786"/>
      <c r="AW891" s="787"/>
      <c r="AX891" s="787"/>
      <c r="AY891" s="787"/>
      <c r="AZ891" s="780"/>
      <c r="BA891" s="780"/>
      <c r="BB891" s="780"/>
      <c r="BC891" s="780"/>
      <c r="BD891" s="541"/>
      <c r="BE891" s="541"/>
      <c r="BF891" s="541"/>
      <c r="BG891" s="541"/>
      <c r="BH891" s="780"/>
      <c r="BI891" s="780"/>
      <c r="BJ891" s="780"/>
      <c r="BK891" s="780"/>
      <c r="BL891" s="780"/>
      <c r="BM891" s="780"/>
    </row>
    <row r="892" ht="12.75" customHeight="1">
      <c r="A892" s="521"/>
      <c r="B892" s="521"/>
      <c r="C892" s="515"/>
      <c r="D892" s="515"/>
      <c r="E892" s="515"/>
      <c r="F892" s="515"/>
      <c r="G892" s="515"/>
      <c r="H892" s="515"/>
      <c r="I892" s="515"/>
      <c r="J892" s="515"/>
      <c r="K892" s="515"/>
      <c r="L892" s="515"/>
      <c r="M892" s="515"/>
      <c r="N892" s="515"/>
      <c r="O892" s="533"/>
      <c r="P892" s="786"/>
      <c r="Q892" s="787"/>
      <c r="R892" s="787"/>
      <c r="S892" s="787"/>
      <c r="T892" s="786"/>
      <c r="U892" s="787"/>
      <c r="V892" s="787"/>
      <c r="W892" s="787"/>
      <c r="X892" s="786"/>
      <c r="Y892" s="787"/>
      <c r="Z892" s="787"/>
      <c r="AA892" s="787"/>
      <c r="AB892" s="786"/>
      <c r="AC892" s="787"/>
      <c r="AD892" s="787"/>
      <c r="AE892" s="787"/>
      <c r="AF892" s="786"/>
      <c r="AG892" s="787"/>
      <c r="AH892" s="787"/>
      <c r="AI892" s="787"/>
      <c r="AJ892" s="786"/>
      <c r="AK892" s="787"/>
      <c r="AL892" s="787"/>
      <c r="AM892" s="787"/>
      <c r="AN892" s="786"/>
      <c r="AO892" s="787"/>
      <c r="AP892" s="787"/>
      <c r="AQ892" s="787"/>
      <c r="AR892" s="786"/>
      <c r="AS892" s="787"/>
      <c r="AT892" s="787"/>
      <c r="AU892" s="787"/>
      <c r="AV892" s="786"/>
      <c r="AW892" s="787"/>
      <c r="AX892" s="787"/>
      <c r="AY892" s="787"/>
      <c r="AZ892" s="780"/>
      <c r="BA892" s="780"/>
      <c r="BB892" s="780"/>
      <c r="BC892" s="780"/>
      <c r="BD892" s="541"/>
      <c r="BE892" s="541"/>
      <c r="BF892" s="541"/>
      <c r="BG892" s="541"/>
      <c r="BH892" s="780"/>
      <c r="BI892" s="780"/>
      <c r="BJ892" s="780"/>
      <c r="BK892" s="780"/>
      <c r="BL892" s="780"/>
      <c r="BM892" s="780"/>
    </row>
    <row r="893" ht="12.75" customHeight="1">
      <c r="A893" s="521"/>
      <c r="B893" s="521"/>
      <c r="C893" s="515"/>
      <c r="D893" s="515"/>
      <c r="E893" s="515"/>
      <c r="F893" s="515"/>
      <c r="G893" s="515"/>
      <c r="H893" s="515"/>
      <c r="I893" s="515"/>
      <c r="J893" s="515"/>
      <c r="K893" s="515"/>
      <c r="L893" s="515"/>
      <c r="M893" s="515"/>
      <c r="N893" s="515"/>
      <c r="O893" s="533"/>
      <c r="P893" s="786"/>
      <c r="Q893" s="787"/>
      <c r="R893" s="787"/>
      <c r="S893" s="787"/>
      <c r="T893" s="786"/>
      <c r="U893" s="787"/>
      <c r="V893" s="787"/>
      <c r="W893" s="787"/>
      <c r="X893" s="786"/>
      <c r="Y893" s="787"/>
      <c r="Z893" s="787"/>
      <c r="AA893" s="787"/>
      <c r="AB893" s="786"/>
      <c r="AC893" s="787"/>
      <c r="AD893" s="787"/>
      <c r="AE893" s="787"/>
      <c r="AF893" s="786"/>
      <c r="AG893" s="787"/>
      <c r="AH893" s="787"/>
      <c r="AI893" s="787"/>
      <c r="AJ893" s="786"/>
      <c r="AK893" s="787"/>
      <c r="AL893" s="787"/>
      <c r="AM893" s="787"/>
      <c r="AN893" s="786"/>
      <c r="AO893" s="787"/>
      <c r="AP893" s="787"/>
      <c r="AQ893" s="787"/>
      <c r="AR893" s="786"/>
      <c r="AS893" s="787"/>
      <c r="AT893" s="787"/>
      <c r="AU893" s="787"/>
      <c r="AV893" s="786"/>
      <c r="AW893" s="787"/>
      <c r="AX893" s="787"/>
      <c r="AY893" s="787"/>
      <c r="AZ893" s="780"/>
      <c r="BA893" s="780"/>
      <c r="BB893" s="780"/>
      <c r="BC893" s="780"/>
      <c r="BD893" s="541"/>
      <c r="BE893" s="541"/>
      <c r="BF893" s="541"/>
      <c r="BG893" s="541"/>
      <c r="BH893" s="780"/>
      <c r="BI893" s="780"/>
      <c r="BJ893" s="780"/>
      <c r="BK893" s="780"/>
      <c r="BL893" s="780"/>
      <c r="BM893" s="780"/>
    </row>
    <row r="894" ht="12.75" customHeight="1">
      <c r="A894" s="521"/>
      <c r="B894" s="521"/>
      <c r="C894" s="515"/>
      <c r="D894" s="515"/>
      <c r="E894" s="515"/>
      <c r="F894" s="515"/>
      <c r="G894" s="515"/>
      <c r="H894" s="515"/>
      <c r="I894" s="515"/>
      <c r="J894" s="515"/>
      <c r="K894" s="515"/>
      <c r="L894" s="515"/>
      <c r="M894" s="515"/>
      <c r="N894" s="515"/>
      <c r="O894" s="533"/>
      <c r="P894" s="786"/>
      <c r="Q894" s="787"/>
      <c r="R894" s="787"/>
      <c r="S894" s="787"/>
      <c r="T894" s="786"/>
      <c r="U894" s="787"/>
      <c r="V894" s="787"/>
      <c r="W894" s="787"/>
      <c r="X894" s="786"/>
      <c r="Y894" s="787"/>
      <c r="Z894" s="787"/>
      <c r="AA894" s="787"/>
      <c r="AB894" s="786"/>
      <c r="AC894" s="787"/>
      <c r="AD894" s="787"/>
      <c r="AE894" s="787"/>
      <c r="AF894" s="786"/>
      <c r="AG894" s="787"/>
      <c r="AH894" s="787"/>
      <c r="AI894" s="787"/>
      <c r="AJ894" s="786"/>
      <c r="AK894" s="787"/>
      <c r="AL894" s="787"/>
      <c r="AM894" s="787"/>
      <c r="AN894" s="786"/>
      <c r="AO894" s="787"/>
      <c r="AP894" s="787"/>
      <c r="AQ894" s="787"/>
      <c r="AR894" s="786"/>
      <c r="AS894" s="787"/>
      <c r="AT894" s="787"/>
      <c r="AU894" s="787"/>
      <c r="AV894" s="786"/>
      <c r="AW894" s="787"/>
      <c r="AX894" s="787"/>
      <c r="AY894" s="787"/>
      <c r="AZ894" s="780"/>
      <c r="BA894" s="780"/>
      <c r="BB894" s="780"/>
      <c r="BC894" s="780"/>
      <c r="BD894" s="541"/>
      <c r="BE894" s="541"/>
      <c r="BF894" s="541"/>
      <c r="BG894" s="541"/>
      <c r="BH894" s="780"/>
      <c r="BI894" s="780"/>
      <c r="BJ894" s="780"/>
      <c r="BK894" s="780"/>
      <c r="BL894" s="780"/>
      <c r="BM894" s="780"/>
    </row>
    <row r="895" ht="12.75" customHeight="1">
      <c r="A895" s="521"/>
      <c r="B895" s="521"/>
      <c r="C895" s="515"/>
      <c r="D895" s="515"/>
      <c r="E895" s="515"/>
      <c r="F895" s="515"/>
      <c r="G895" s="515"/>
      <c r="H895" s="515"/>
      <c r="I895" s="515"/>
      <c r="J895" s="515"/>
      <c r="K895" s="515"/>
      <c r="L895" s="515"/>
      <c r="M895" s="515"/>
      <c r="N895" s="515"/>
      <c r="O895" s="533"/>
      <c r="P895" s="786"/>
      <c r="Q895" s="787"/>
      <c r="R895" s="787"/>
      <c r="S895" s="787"/>
      <c r="T895" s="786"/>
      <c r="U895" s="787"/>
      <c r="V895" s="787"/>
      <c r="W895" s="787"/>
      <c r="X895" s="786"/>
      <c r="Y895" s="787"/>
      <c r="Z895" s="787"/>
      <c r="AA895" s="787"/>
      <c r="AB895" s="786"/>
      <c r="AC895" s="787"/>
      <c r="AD895" s="787"/>
      <c r="AE895" s="787"/>
      <c r="AF895" s="786"/>
      <c r="AG895" s="787"/>
      <c r="AH895" s="787"/>
      <c r="AI895" s="787"/>
      <c r="AJ895" s="786"/>
      <c r="AK895" s="787"/>
      <c r="AL895" s="787"/>
      <c r="AM895" s="787"/>
      <c r="AN895" s="786"/>
      <c r="AO895" s="787"/>
      <c r="AP895" s="787"/>
      <c r="AQ895" s="787"/>
      <c r="AR895" s="786"/>
      <c r="AS895" s="787"/>
      <c r="AT895" s="787"/>
      <c r="AU895" s="787"/>
      <c r="AV895" s="786"/>
      <c r="AW895" s="787"/>
      <c r="AX895" s="787"/>
      <c r="AY895" s="787"/>
      <c r="AZ895" s="780"/>
      <c r="BA895" s="780"/>
      <c r="BB895" s="780"/>
      <c r="BC895" s="780"/>
      <c r="BD895" s="541"/>
      <c r="BE895" s="541"/>
      <c r="BF895" s="541"/>
      <c r="BG895" s="541"/>
      <c r="BH895" s="780"/>
      <c r="BI895" s="780"/>
      <c r="BJ895" s="780"/>
      <c r="BK895" s="780"/>
      <c r="BL895" s="780"/>
      <c r="BM895" s="780"/>
    </row>
    <row r="896" ht="12.75" customHeight="1">
      <c r="A896" s="521"/>
      <c r="B896" s="521"/>
      <c r="C896" s="515"/>
      <c r="D896" s="515"/>
      <c r="E896" s="515"/>
      <c r="F896" s="515"/>
      <c r="G896" s="515"/>
      <c r="H896" s="515"/>
      <c r="I896" s="515"/>
      <c r="J896" s="515"/>
      <c r="K896" s="515"/>
      <c r="L896" s="515"/>
      <c r="M896" s="515"/>
      <c r="N896" s="515"/>
      <c r="O896" s="533"/>
      <c r="P896" s="786"/>
      <c r="Q896" s="787"/>
      <c r="R896" s="787"/>
      <c r="S896" s="787"/>
      <c r="T896" s="786"/>
      <c r="U896" s="787"/>
      <c r="V896" s="787"/>
      <c r="W896" s="787"/>
      <c r="X896" s="786"/>
      <c r="Y896" s="787"/>
      <c r="Z896" s="787"/>
      <c r="AA896" s="787"/>
      <c r="AB896" s="786"/>
      <c r="AC896" s="787"/>
      <c r="AD896" s="787"/>
      <c r="AE896" s="787"/>
      <c r="AF896" s="786"/>
      <c r="AG896" s="787"/>
      <c r="AH896" s="787"/>
      <c r="AI896" s="787"/>
      <c r="AJ896" s="786"/>
      <c r="AK896" s="787"/>
      <c r="AL896" s="787"/>
      <c r="AM896" s="787"/>
      <c r="AN896" s="786"/>
      <c r="AO896" s="787"/>
      <c r="AP896" s="787"/>
      <c r="AQ896" s="787"/>
      <c r="AR896" s="786"/>
      <c r="AS896" s="787"/>
      <c r="AT896" s="787"/>
      <c r="AU896" s="787"/>
      <c r="AV896" s="786"/>
      <c r="AW896" s="787"/>
      <c r="AX896" s="787"/>
      <c r="AY896" s="787"/>
      <c r="AZ896" s="780"/>
      <c r="BA896" s="780"/>
      <c r="BB896" s="780"/>
      <c r="BC896" s="780"/>
      <c r="BD896" s="541"/>
      <c r="BE896" s="541"/>
      <c r="BF896" s="541"/>
      <c r="BG896" s="541"/>
      <c r="BH896" s="780"/>
      <c r="BI896" s="780"/>
      <c r="BJ896" s="780"/>
      <c r="BK896" s="780"/>
      <c r="BL896" s="780"/>
      <c r="BM896" s="780"/>
    </row>
    <row r="897" ht="12.75" customHeight="1">
      <c r="A897" s="521"/>
      <c r="B897" s="521"/>
      <c r="C897" s="515"/>
      <c r="D897" s="515"/>
      <c r="E897" s="515"/>
      <c r="F897" s="515"/>
      <c r="G897" s="515"/>
      <c r="H897" s="515"/>
      <c r="I897" s="515"/>
      <c r="J897" s="515"/>
      <c r="K897" s="515"/>
      <c r="L897" s="515"/>
      <c r="M897" s="515"/>
      <c r="N897" s="515"/>
      <c r="O897" s="533"/>
      <c r="P897" s="786"/>
      <c r="Q897" s="787"/>
      <c r="R897" s="787"/>
      <c r="S897" s="787"/>
      <c r="T897" s="786"/>
      <c r="U897" s="787"/>
      <c r="V897" s="787"/>
      <c r="W897" s="787"/>
      <c r="X897" s="786"/>
      <c r="Y897" s="787"/>
      <c r="Z897" s="787"/>
      <c r="AA897" s="787"/>
      <c r="AB897" s="786"/>
      <c r="AC897" s="787"/>
      <c r="AD897" s="787"/>
      <c r="AE897" s="787"/>
      <c r="AF897" s="786"/>
      <c r="AG897" s="787"/>
      <c r="AH897" s="787"/>
      <c r="AI897" s="787"/>
      <c r="AJ897" s="786"/>
      <c r="AK897" s="787"/>
      <c r="AL897" s="787"/>
      <c r="AM897" s="787"/>
      <c r="AN897" s="786"/>
      <c r="AO897" s="787"/>
      <c r="AP897" s="787"/>
      <c r="AQ897" s="787"/>
      <c r="AR897" s="786"/>
      <c r="AS897" s="787"/>
      <c r="AT897" s="787"/>
      <c r="AU897" s="787"/>
      <c r="AV897" s="786"/>
      <c r="AW897" s="787"/>
      <c r="AX897" s="787"/>
      <c r="AY897" s="787"/>
      <c r="AZ897" s="780"/>
      <c r="BA897" s="780"/>
      <c r="BB897" s="780"/>
      <c r="BC897" s="780"/>
      <c r="BD897" s="541"/>
      <c r="BE897" s="541"/>
      <c r="BF897" s="541"/>
      <c r="BG897" s="541"/>
      <c r="BH897" s="780"/>
      <c r="BI897" s="780"/>
      <c r="BJ897" s="780"/>
      <c r="BK897" s="780"/>
      <c r="BL897" s="780"/>
      <c r="BM897" s="780"/>
    </row>
    <row r="898" ht="12.75" customHeight="1">
      <c r="A898" s="521"/>
      <c r="B898" s="521"/>
      <c r="C898" s="515"/>
      <c r="D898" s="515"/>
      <c r="E898" s="515"/>
      <c r="F898" s="515"/>
      <c r="G898" s="515"/>
      <c r="H898" s="515"/>
      <c r="I898" s="515"/>
      <c r="J898" s="515"/>
      <c r="K898" s="515"/>
      <c r="L898" s="515"/>
      <c r="M898" s="515"/>
      <c r="N898" s="515"/>
      <c r="O898" s="533"/>
      <c r="P898" s="786"/>
      <c r="Q898" s="787"/>
      <c r="R898" s="787"/>
      <c r="S898" s="787"/>
      <c r="T898" s="786"/>
      <c r="U898" s="787"/>
      <c r="V898" s="787"/>
      <c r="W898" s="787"/>
      <c r="X898" s="786"/>
      <c r="Y898" s="787"/>
      <c r="Z898" s="787"/>
      <c r="AA898" s="787"/>
      <c r="AB898" s="786"/>
      <c r="AC898" s="787"/>
      <c r="AD898" s="787"/>
      <c r="AE898" s="787"/>
      <c r="AF898" s="786"/>
      <c r="AG898" s="787"/>
      <c r="AH898" s="787"/>
      <c r="AI898" s="787"/>
      <c r="AJ898" s="786"/>
      <c r="AK898" s="787"/>
      <c r="AL898" s="787"/>
      <c r="AM898" s="787"/>
      <c r="AN898" s="786"/>
      <c r="AO898" s="787"/>
      <c r="AP898" s="787"/>
      <c r="AQ898" s="787"/>
      <c r="AR898" s="786"/>
      <c r="AS898" s="787"/>
      <c r="AT898" s="787"/>
      <c r="AU898" s="787"/>
      <c r="AV898" s="786"/>
      <c r="AW898" s="787"/>
      <c r="AX898" s="787"/>
      <c r="AY898" s="787"/>
      <c r="AZ898" s="780"/>
      <c r="BA898" s="780"/>
      <c r="BB898" s="780"/>
      <c r="BC898" s="780"/>
      <c r="BD898" s="541"/>
      <c r="BE898" s="541"/>
      <c r="BF898" s="541"/>
      <c r="BG898" s="541"/>
      <c r="BH898" s="780"/>
      <c r="BI898" s="780"/>
      <c r="BJ898" s="780"/>
      <c r="BK898" s="780"/>
      <c r="BL898" s="780"/>
      <c r="BM898" s="780"/>
    </row>
    <row r="899" ht="12.75" customHeight="1">
      <c r="A899" s="521"/>
      <c r="B899" s="521"/>
      <c r="C899" s="515"/>
      <c r="D899" s="515"/>
      <c r="E899" s="515"/>
      <c r="F899" s="515"/>
      <c r="G899" s="515"/>
      <c r="H899" s="515"/>
      <c r="I899" s="515"/>
      <c r="J899" s="515"/>
      <c r="K899" s="515"/>
      <c r="L899" s="515"/>
      <c r="M899" s="515"/>
      <c r="N899" s="515"/>
      <c r="O899" s="533"/>
      <c r="P899" s="786"/>
      <c r="Q899" s="787"/>
      <c r="R899" s="787"/>
      <c r="S899" s="787"/>
      <c r="T899" s="786"/>
      <c r="U899" s="787"/>
      <c r="V899" s="787"/>
      <c r="W899" s="787"/>
      <c r="X899" s="786"/>
      <c r="Y899" s="787"/>
      <c r="Z899" s="787"/>
      <c r="AA899" s="787"/>
      <c r="AB899" s="786"/>
      <c r="AC899" s="787"/>
      <c r="AD899" s="787"/>
      <c r="AE899" s="787"/>
      <c r="AF899" s="786"/>
      <c r="AG899" s="787"/>
      <c r="AH899" s="787"/>
      <c r="AI899" s="787"/>
      <c r="AJ899" s="786"/>
      <c r="AK899" s="787"/>
      <c r="AL899" s="787"/>
      <c r="AM899" s="787"/>
      <c r="AN899" s="786"/>
      <c r="AO899" s="787"/>
      <c r="AP899" s="787"/>
      <c r="AQ899" s="787"/>
      <c r="AR899" s="786"/>
      <c r="AS899" s="787"/>
      <c r="AT899" s="787"/>
      <c r="AU899" s="787"/>
      <c r="AV899" s="786"/>
      <c r="AW899" s="787"/>
      <c r="AX899" s="787"/>
      <c r="AY899" s="787"/>
      <c r="AZ899" s="780"/>
      <c r="BA899" s="780"/>
      <c r="BB899" s="780"/>
      <c r="BC899" s="780"/>
      <c r="BD899" s="541"/>
      <c r="BE899" s="541"/>
      <c r="BF899" s="541"/>
      <c r="BG899" s="541"/>
      <c r="BH899" s="780"/>
      <c r="BI899" s="780"/>
      <c r="BJ899" s="780"/>
      <c r="BK899" s="780"/>
      <c r="BL899" s="780"/>
      <c r="BM899" s="780"/>
    </row>
    <row r="900" ht="12.75" customHeight="1">
      <c r="A900" s="521"/>
      <c r="B900" s="521"/>
      <c r="C900" s="515"/>
      <c r="D900" s="515"/>
      <c r="E900" s="515"/>
      <c r="F900" s="515"/>
      <c r="G900" s="515"/>
      <c r="H900" s="515"/>
      <c r="I900" s="515"/>
      <c r="J900" s="515"/>
      <c r="K900" s="515"/>
      <c r="L900" s="515"/>
      <c r="M900" s="515"/>
      <c r="N900" s="515"/>
      <c r="O900" s="533"/>
      <c r="P900" s="786"/>
      <c r="Q900" s="787"/>
      <c r="R900" s="787"/>
      <c r="S900" s="787"/>
      <c r="T900" s="786"/>
      <c r="U900" s="787"/>
      <c r="V900" s="787"/>
      <c r="W900" s="787"/>
      <c r="X900" s="786"/>
      <c r="Y900" s="787"/>
      <c r="Z900" s="787"/>
      <c r="AA900" s="787"/>
      <c r="AB900" s="786"/>
      <c r="AC900" s="787"/>
      <c r="AD900" s="787"/>
      <c r="AE900" s="787"/>
      <c r="AF900" s="786"/>
      <c r="AG900" s="787"/>
      <c r="AH900" s="787"/>
      <c r="AI900" s="787"/>
      <c r="AJ900" s="786"/>
      <c r="AK900" s="787"/>
      <c r="AL900" s="787"/>
      <c r="AM900" s="787"/>
      <c r="AN900" s="786"/>
      <c r="AO900" s="787"/>
      <c r="AP900" s="787"/>
      <c r="AQ900" s="787"/>
      <c r="AR900" s="786"/>
      <c r="AS900" s="787"/>
      <c r="AT900" s="787"/>
      <c r="AU900" s="787"/>
      <c r="AV900" s="786"/>
      <c r="AW900" s="787"/>
      <c r="AX900" s="787"/>
      <c r="AY900" s="787"/>
      <c r="AZ900" s="780"/>
      <c r="BA900" s="780"/>
      <c r="BB900" s="780"/>
      <c r="BC900" s="780"/>
      <c r="BD900" s="541"/>
      <c r="BE900" s="541"/>
      <c r="BF900" s="541"/>
      <c r="BG900" s="541"/>
      <c r="BH900" s="780"/>
      <c r="BI900" s="780"/>
      <c r="BJ900" s="780"/>
      <c r="BK900" s="780"/>
      <c r="BL900" s="780"/>
      <c r="BM900" s="780"/>
    </row>
    <row r="901" ht="12.75" customHeight="1">
      <c r="A901" s="521"/>
      <c r="B901" s="521"/>
      <c r="C901" s="515"/>
      <c r="D901" s="515"/>
      <c r="E901" s="515"/>
      <c r="F901" s="515"/>
      <c r="G901" s="515"/>
      <c r="H901" s="515"/>
      <c r="I901" s="515"/>
      <c r="J901" s="515"/>
      <c r="K901" s="515"/>
      <c r="L901" s="515"/>
      <c r="M901" s="515"/>
      <c r="N901" s="515"/>
      <c r="O901" s="533"/>
      <c r="P901" s="786"/>
      <c r="Q901" s="787"/>
      <c r="R901" s="787"/>
      <c r="S901" s="787"/>
      <c r="T901" s="786"/>
      <c r="U901" s="787"/>
      <c r="V901" s="787"/>
      <c r="W901" s="787"/>
      <c r="X901" s="786"/>
      <c r="Y901" s="787"/>
      <c r="Z901" s="787"/>
      <c r="AA901" s="787"/>
      <c r="AB901" s="786"/>
      <c r="AC901" s="787"/>
      <c r="AD901" s="787"/>
      <c r="AE901" s="787"/>
      <c r="AF901" s="786"/>
      <c r="AG901" s="787"/>
      <c r="AH901" s="787"/>
      <c r="AI901" s="787"/>
      <c r="AJ901" s="786"/>
      <c r="AK901" s="787"/>
      <c r="AL901" s="787"/>
      <c r="AM901" s="787"/>
      <c r="AN901" s="786"/>
      <c r="AO901" s="787"/>
      <c r="AP901" s="787"/>
      <c r="AQ901" s="787"/>
      <c r="AR901" s="786"/>
      <c r="AS901" s="787"/>
      <c r="AT901" s="787"/>
      <c r="AU901" s="787"/>
      <c r="AV901" s="786"/>
      <c r="AW901" s="787"/>
      <c r="AX901" s="787"/>
      <c r="AY901" s="787"/>
      <c r="AZ901" s="780"/>
      <c r="BA901" s="780"/>
      <c r="BB901" s="780"/>
      <c r="BC901" s="780"/>
      <c r="BD901" s="541"/>
      <c r="BE901" s="541"/>
      <c r="BF901" s="541"/>
      <c r="BG901" s="541"/>
      <c r="BH901" s="780"/>
      <c r="BI901" s="780"/>
      <c r="BJ901" s="780"/>
      <c r="BK901" s="780"/>
      <c r="BL901" s="780"/>
      <c r="BM901" s="780"/>
    </row>
    <row r="902" ht="12.75" customHeight="1">
      <c r="A902" s="521"/>
      <c r="B902" s="521"/>
      <c r="C902" s="515"/>
      <c r="D902" s="515"/>
      <c r="E902" s="515"/>
      <c r="F902" s="515"/>
      <c r="G902" s="515"/>
      <c r="H902" s="515"/>
      <c r="I902" s="515"/>
      <c r="J902" s="515"/>
      <c r="K902" s="515"/>
      <c r="L902" s="515"/>
      <c r="M902" s="515"/>
      <c r="N902" s="515"/>
      <c r="O902" s="533"/>
      <c r="P902" s="786"/>
      <c r="Q902" s="787"/>
      <c r="R902" s="787"/>
      <c r="S902" s="787"/>
      <c r="T902" s="786"/>
      <c r="U902" s="787"/>
      <c r="V902" s="787"/>
      <c r="W902" s="787"/>
      <c r="X902" s="786"/>
      <c r="Y902" s="787"/>
      <c r="Z902" s="787"/>
      <c r="AA902" s="787"/>
      <c r="AB902" s="786"/>
      <c r="AC902" s="787"/>
      <c r="AD902" s="787"/>
      <c r="AE902" s="787"/>
      <c r="AF902" s="786"/>
      <c r="AG902" s="787"/>
      <c r="AH902" s="787"/>
      <c r="AI902" s="787"/>
      <c r="AJ902" s="786"/>
      <c r="AK902" s="787"/>
      <c r="AL902" s="787"/>
      <c r="AM902" s="787"/>
      <c r="AN902" s="786"/>
      <c r="AO902" s="787"/>
      <c r="AP902" s="787"/>
      <c r="AQ902" s="787"/>
      <c r="AR902" s="786"/>
      <c r="AS902" s="787"/>
      <c r="AT902" s="787"/>
      <c r="AU902" s="787"/>
      <c r="AV902" s="786"/>
      <c r="AW902" s="787"/>
      <c r="AX902" s="787"/>
      <c r="AY902" s="787"/>
      <c r="AZ902" s="780"/>
      <c r="BA902" s="780"/>
      <c r="BB902" s="780"/>
      <c r="BC902" s="780"/>
      <c r="BD902" s="541"/>
      <c r="BE902" s="541"/>
      <c r="BF902" s="541"/>
      <c r="BG902" s="541"/>
      <c r="BH902" s="780"/>
      <c r="BI902" s="780"/>
      <c r="BJ902" s="780"/>
      <c r="BK902" s="780"/>
      <c r="BL902" s="780"/>
      <c r="BM902" s="780"/>
    </row>
    <row r="903" ht="12.75" customHeight="1">
      <c r="A903" s="521"/>
      <c r="B903" s="521"/>
      <c r="C903" s="515"/>
      <c r="D903" s="515"/>
      <c r="E903" s="515"/>
      <c r="F903" s="515"/>
      <c r="G903" s="515"/>
      <c r="H903" s="515"/>
      <c r="I903" s="515"/>
      <c r="J903" s="515"/>
      <c r="K903" s="515"/>
      <c r="L903" s="515"/>
      <c r="M903" s="515"/>
      <c r="N903" s="515"/>
      <c r="O903" s="533"/>
      <c r="P903" s="786"/>
      <c r="Q903" s="787"/>
      <c r="R903" s="787"/>
      <c r="S903" s="787"/>
      <c r="T903" s="786"/>
      <c r="U903" s="787"/>
      <c r="V903" s="787"/>
      <c r="W903" s="787"/>
      <c r="X903" s="786"/>
      <c r="Y903" s="787"/>
      <c r="Z903" s="787"/>
      <c r="AA903" s="787"/>
      <c r="AB903" s="786"/>
      <c r="AC903" s="787"/>
      <c r="AD903" s="787"/>
      <c r="AE903" s="787"/>
      <c r="AF903" s="786"/>
      <c r="AG903" s="787"/>
      <c r="AH903" s="787"/>
      <c r="AI903" s="787"/>
      <c r="AJ903" s="786"/>
      <c r="AK903" s="787"/>
      <c r="AL903" s="787"/>
      <c r="AM903" s="787"/>
      <c r="AN903" s="786"/>
      <c r="AO903" s="787"/>
      <c r="AP903" s="787"/>
      <c r="AQ903" s="787"/>
      <c r="AR903" s="786"/>
      <c r="AS903" s="787"/>
      <c r="AT903" s="787"/>
      <c r="AU903" s="787"/>
      <c r="AV903" s="786"/>
      <c r="AW903" s="787"/>
      <c r="AX903" s="787"/>
      <c r="AY903" s="787"/>
      <c r="AZ903" s="780"/>
      <c r="BA903" s="780"/>
      <c r="BB903" s="780"/>
      <c r="BC903" s="780"/>
      <c r="BD903" s="541"/>
      <c r="BE903" s="541"/>
      <c r="BF903" s="541"/>
      <c r="BG903" s="541"/>
      <c r="BH903" s="780"/>
      <c r="BI903" s="780"/>
      <c r="BJ903" s="780"/>
      <c r="BK903" s="780"/>
      <c r="BL903" s="780"/>
      <c r="BM903" s="780"/>
    </row>
    <row r="904" ht="12.75" customHeight="1">
      <c r="A904" s="521"/>
      <c r="B904" s="521"/>
      <c r="C904" s="515"/>
      <c r="D904" s="515"/>
      <c r="E904" s="515"/>
      <c r="F904" s="515"/>
      <c r="G904" s="515"/>
      <c r="H904" s="515"/>
      <c r="I904" s="515"/>
      <c r="J904" s="515"/>
      <c r="K904" s="515"/>
      <c r="L904" s="515"/>
      <c r="M904" s="515"/>
      <c r="N904" s="515"/>
      <c r="O904" s="533"/>
      <c r="P904" s="786"/>
      <c r="Q904" s="787"/>
      <c r="R904" s="787"/>
      <c r="S904" s="787"/>
      <c r="T904" s="786"/>
      <c r="U904" s="787"/>
      <c r="V904" s="787"/>
      <c r="W904" s="787"/>
      <c r="X904" s="786"/>
      <c r="Y904" s="787"/>
      <c r="Z904" s="787"/>
      <c r="AA904" s="787"/>
      <c r="AB904" s="786"/>
      <c r="AC904" s="787"/>
      <c r="AD904" s="787"/>
      <c r="AE904" s="787"/>
      <c r="AF904" s="786"/>
      <c r="AG904" s="787"/>
      <c r="AH904" s="787"/>
      <c r="AI904" s="787"/>
      <c r="AJ904" s="786"/>
      <c r="AK904" s="787"/>
      <c r="AL904" s="787"/>
      <c r="AM904" s="787"/>
      <c r="AN904" s="786"/>
      <c r="AO904" s="787"/>
      <c r="AP904" s="787"/>
      <c r="AQ904" s="787"/>
      <c r="AR904" s="786"/>
      <c r="AS904" s="787"/>
      <c r="AT904" s="787"/>
      <c r="AU904" s="787"/>
      <c r="AV904" s="786"/>
      <c r="AW904" s="787"/>
      <c r="AX904" s="787"/>
      <c r="AY904" s="787"/>
      <c r="AZ904" s="780"/>
      <c r="BA904" s="780"/>
      <c r="BB904" s="780"/>
      <c r="BC904" s="780"/>
      <c r="BD904" s="541"/>
      <c r="BE904" s="541"/>
      <c r="BF904" s="541"/>
      <c r="BG904" s="541"/>
      <c r="BH904" s="780"/>
      <c r="BI904" s="780"/>
      <c r="BJ904" s="780"/>
      <c r="BK904" s="780"/>
      <c r="BL904" s="780"/>
      <c r="BM904" s="780"/>
    </row>
    <row r="905" ht="12.75" customHeight="1">
      <c r="A905" s="521"/>
      <c r="B905" s="521"/>
      <c r="C905" s="515"/>
      <c r="D905" s="515"/>
      <c r="E905" s="515"/>
      <c r="F905" s="515"/>
      <c r="G905" s="515"/>
      <c r="H905" s="515"/>
      <c r="I905" s="515"/>
      <c r="J905" s="515"/>
      <c r="K905" s="515"/>
      <c r="L905" s="515"/>
      <c r="M905" s="515"/>
      <c r="N905" s="515"/>
      <c r="O905" s="533"/>
      <c r="P905" s="786"/>
      <c r="Q905" s="787"/>
      <c r="R905" s="787"/>
      <c r="S905" s="787"/>
      <c r="T905" s="786"/>
      <c r="U905" s="787"/>
      <c r="V905" s="787"/>
      <c r="W905" s="787"/>
      <c r="X905" s="786"/>
      <c r="Y905" s="787"/>
      <c r="Z905" s="787"/>
      <c r="AA905" s="787"/>
      <c r="AB905" s="786"/>
      <c r="AC905" s="787"/>
      <c r="AD905" s="787"/>
      <c r="AE905" s="787"/>
      <c r="AF905" s="786"/>
      <c r="AG905" s="787"/>
      <c r="AH905" s="787"/>
      <c r="AI905" s="787"/>
      <c r="AJ905" s="786"/>
      <c r="AK905" s="787"/>
      <c r="AL905" s="787"/>
      <c r="AM905" s="787"/>
      <c r="AN905" s="786"/>
      <c r="AO905" s="787"/>
      <c r="AP905" s="787"/>
      <c r="AQ905" s="787"/>
      <c r="AR905" s="786"/>
      <c r="AS905" s="787"/>
      <c r="AT905" s="787"/>
      <c r="AU905" s="787"/>
      <c r="AV905" s="786"/>
      <c r="AW905" s="787"/>
      <c r="AX905" s="787"/>
      <c r="AY905" s="787"/>
      <c r="AZ905" s="780"/>
      <c r="BA905" s="780"/>
      <c r="BB905" s="780"/>
      <c r="BC905" s="780"/>
      <c r="BD905" s="541"/>
      <c r="BE905" s="541"/>
      <c r="BF905" s="541"/>
      <c r="BG905" s="541"/>
      <c r="BH905" s="780"/>
      <c r="BI905" s="780"/>
      <c r="BJ905" s="780"/>
      <c r="BK905" s="780"/>
      <c r="BL905" s="780"/>
      <c r="BM905" s="780"/>
    </row>
    <row r="906" ht="12.75" customHeight="1">
      <c r="A906" s="521"/>
      <c r="B906" s="521"/>
      <c r="C906" s="515"/>
      <c r="D906" s="515"/>
      <c r="E906" s="515"/>
      <c r="F906" s="515"/>
      <c r="G906" s="515"/>
      <c r="H906" s="515"/>
      <c r="I906" s="515"/>
      <c r="J906" s="515"/>
      <c r="K906" s="515"/>
      <c r="L906" s="515"/>
      <c r="M906" s="515"/>
      <c r="N906" s="515"/>
      <c r="O906" s="533"/>
      <c r="P906" s="786"/>
      <c r="Q906" s="787"/>
      <c r="R906" s="787"/>
      <c r="S906" s="787"/>
      <c r="T906" s="786"/>
      <c r="U906" s="787"/>
      <c r="V906" s="787"/>
      <c r="W906" s="787"/>
      <c r="X906" s="786"/>
      <c r="Y906" s="787"/>
      <c r="Z906" s="787"/>
      <c r="AA906" s="787"/>
      <c r="AB906" s="786"/>
      <c r="AC906" s="787"/>
      <c r="AD906" s="787"/>
      <c r="AE906" s="787"/>
      <c r="AF906" s="786"/>
      <c r="AG906" s="787"/>
      <c r="AH906" s="787"/>
      <c r="AI906" s="787"/>
      <c r="AJ906" s="786"/>
      <c r="AK906" s="787"/>
      <c r="AL906" s="787"/>
      <c r="AM906" s="787"/>
      <c r="AN906" s="786"/>
      <c r="AO906" s="787"/>
      <c r="AP906" s="787"/>
      <c r="AQ906" s="787"/>
      <c r="AR906" s="786"/>
      <c r="AS906" s="787"/>
      <c r="AT906" s="787"/>
      <c r="AU906" s="787"/>
      <c r="AV906" s="786"/>
      <c r="AW906" s="787"/>
      <c r="AX906" s="787"/>
      <c r="AY906" s="787"/>
      <c r="AZ906" s="780"/>
      <c r="BA906" s="780"/>
      <c r="BB906" s="780"/>
      <c r="BC906" s="780"/>
      <c r="BD906" s="541"/>
      <c r="BE906" s="541"/>
      <c r="BF906" s="541"/>
      <c r="BG906" s="541"/>
      <c r="BH906" s="780"/>
      <c r="BI906" s="780"/>
      <c r="BJ906" s="780"/>
      <c r="BK906" s="780"/>
      <c r="BL906" s="780"/>
      <c r="BM906" s="780"/>
    </row>
    <row r="907" ht="12.75" customHeight="1">
      <c r="A907" s="521"/>
      <c r="B907" s="521"/>
      <c r="C907" s="515"/>
      <c r="D907" s="515"/>
      <c r="E907" s="515"/>
      <c r="F907" s="515"/>
      <c r="G907" s="515"/>
      <c r="H907" s="515"/>
      <c r="I907" s="515"/>
      <c r="J907" s="515"/>
      <c r="K907" s="515"/>
      <c r="L907" s="515"/>
      <c r="M907" s="515"/>
      <c r="N907" s="515"/>
      <c r="O907" s="533"/>
      <c r="P907" s="786"/>
      <c r="Q907" s="787"/>
      <c r="R907" s="787"/>
      <c r="S907" s="787"/>
      <c r="T907" s="786"/>
      <c r="U907" s="787"/>
      <c r="V907" s="787"/>
      <c r="W907" s="787"/>
      <c r="X907" s="786"/>
      <c r="Y907" s="787"/>
      <c r="Z907" s="787"/>
      <c r="AA907" s="787"/>
      <c r="AB907" s="786"/>
      <c r="AC907" s="787"/>
      <c r="AD907" s="787"/>
      <c r="AE907" s="787"/>
      <c r="AF907" s="786"/>
      <c r="AG907" s="787"/>
      <c r="AH907" s="787"/>
      <c r="AI907" s="787"/>
      <c r="AJ907" s="786"/>
      <c r="AK907" s="787"/>
      <c r="AL907" s="787"/>
      <c r="AM907" s="787"/>
      <c r="AN907" s="786"/>
      <c r="AO907" s="787"/>
      <c r="AP907" s="787"/>
      <c r="AQ907" s="787"/>
      <c r="AR907" s="786"/>
      <c r="AS907" s="787"/>
      <c r="AT907" s="787"/>
      <c r="AU907" s="787"/>
      <c r="AV907" s="786"/>
      <c r="AW907" s="787"/>
      <c r="AX907" s="787"/>
      <c r="AY907" s="787"/>
      <c r="AZ907" s="780"/>
      <c r="BA907" s="780"/>
      <c r="BB907" s="780"/>
      <c r="BC907" s="780"/>
      <c r="BD907" s="541"/>
      <c r="BE907" s="541"/>
      <c r="BF907" s="541"/>
      <c r="BG907" s="541"/>
      <c r="BH907" s="780"/>
      <c r="BI907" s="780"/>
      <c r="BJ907" s="780"/>
      <c r="BK907" s="780"/>
      <c r="BL907" s="780"/>
      <c r="BM907" s="780"/>
    </row>
    <row r="908" ht="12.75" customHeight="1">
      <c r="A908" s="521"/>
      <c r="B908" s="521"/>
      <c r="C908" s="515"/>
      <c r="D908" s="515"/>
      <c r="E908" s="515"/>
      <c r="F908" s="515"/>
      <c r="G908" s="515"/>
      <c r="H908" s="515"/>
      <c r="I908" s="515"/>
      <c r="J908" s="515"/>
      <c r="K908" s="515"/>
      <c r="L908" s="515"/>
      <c r="M908" s="515"/>
      <c r="N908" s="515"/>
      <c r="O908" s="533"/>
      <c r="P908" s="786"/>
      <c r="Q908" s="787"/>
      <c r="R908" s="787"/>
      <c r="S908" s="787"/>
      <c r="T908" s="786"/>
      <c r="U908" s="787"/>
      <c r="V908" s="787"/>
      <c r="W908" s="787"/>
      <c r="X908" s="786"/>
      <c r="Y908" s="787"/>
      <c r="Z908" s="787"/>
      <c r="AA908" s="787"/>
      <c r="AB908" s="786"/>
      <c r="AC908" s="787"/>
      <c r="AD908" s="787"/>
      <c r="AE908" s="787"/>
      <c r="AF908" s="786"/>
      <c r="AG908" s="787"/>
      <c r="AH908" s="787"/>
      <c r="AI908" s="787"/>
      <c r="AJ908" s="786"/>
      <c r="AK908" s="787"/>
      <c r="AL908" s="787"/>
      <c r="AM908" s="787"/>
      <c r="AN908" s="786"/>
      <c r="AO908" s="787"/>
      <c r="AP908" s="787"/>
      <c r="AQ908" s="787"/>
      <c r="AR908" s="786"/>
      <c r="AS908" s="787"/>
      <c r="AT908" s="787"/>
      <c r="AU908" s="787"/>
      <c r="AV908" s="786"/>
      <c r="AW908" s="787"/>
      <c r="AX908" s="787"/>
      <c r="AY908" s="787"/>
      <c r="AZ908" s="780"/>
      <c r="BA908" s="780"/>
      <c r="BB908" s="780"/>
      <c r="BC908" s="780"/>
      <c r="BD908" s="541"/>
      <c r="BE908" s="541"/>
      <c r="BF908" s="541"/>
      <c r="BG908" s="541"/>
      <c r="BH908" s="780"/>
      <c r="BI908" s="780"/>
      <c r="BJ908" s="780"/>
      <c r="BK908" s="780"/>
      <c r="BL908" s="780"/>
      <c r="BM908" s="780"/>
    </row>
    <row r="909" ht="12.75" customHeight="1">
      <c r="A909" s="521"/>
      <c r="B909" s="521"/>
      <c r="C909" s="515"/>
      <c r="D909" s="515"/>
      <c r="E909" s="515"/>
      <c r="F909" s="515"/>
      <c r="G909" s="515"/>
      <c r="H909" s="515"/>
      <c r="I909" s="515"/>
      <c r="J909" s="515"/>
      <c r="K909" s="515"/>
      <c r="L909" s="515"/>
      <c r="M909" s="515"/>
      <c r="N909" s="515"/>
      <c r="O909" s="533"/>
      <c r="P909" s="786"/>
      <c r="Q909" s="787"/>
      <c r="R909" s="787"/>
      <c r="S909" s="787"/>
      <c r="T909" s="786"/>
      <c r="U909" s="787"/>
      <c r="V909" s="787"/>
      <c r="W909" s="787"/>
      <c r="X909" s="786"/>
      <c r="Y909" s="787"/>
      <c r="Z909" s="787"/>
      <c r="AA909" s="787"/>
      <c r="AB909" s="786"/>
      <c r="AC909" s="787"/>
      <c r="AD909" s="787"/>
      <c r="AE909" s="787"/>
      <c r="AF909" s="786"/>
      <c r="AG909" s="787"/>
      <c r="AH909" s="787"/>
      <c r="AI909" s="787"/>
      <c r="AJ909" s="786"/>
      <c r="AK909" s="787"/>
      <c r="AL909" s="787"/>
      <c r="AM909" s="787"/>
      <c r="AN909" s="786"/>
      <c r="AO909" s="787"/>
      <c r="AP909" s="787"/>
      <c r="AQ909" s="787"/>
      <c r="AR909" s="786"/>
      <c r="AS909" s="787"/>
      <c r="AT909" s="787"/>
      <c r="AU909" s="787"/>
      <c r="AV909" s="786"/>
      <c r="AW909" s="787"/>
      <c r="AX909" s="787"/>
      <c r="AY909" s="787"/>
      <c r="AZ909" s="780"/>
      <c r="BA909" s="780"/>
      <c r="BB909" s="780"/>
      <c r="BC909" s="780"/>
      <c r="BD909" s="541"/>
      <c r="BE909" s="541"/>
      <c r="BF909" s="541"/>
      <c r="BG909" s="541"/>
      <c r="BH909" s="780"/>
      <c r="BI909" s="780"/>
      <c r="BJ909" s="780"/>
      <c r="BK909" s="780"/>
      <c r="BL909" s="780"/>
      <c r="BM909" s="780"/>
    </row>
    <row r="910" ht="12.75" customHeight="1">
      <c r="A910" s="521"/>
      <c r="B910" s="521"/>
      <c r="C910" s="515"/>
      <c r="D910" s="515"/>
      <c r="E910" s="515"/>
      <c r="F910" s="515"/>
      <c r="G910" s="515"/>
      <c r="H910" s="515"/>
      <c r="I910" s="515"/>
      <c r="J910" s="515"/>
      <c r="K910" s="515"/>
      <c r="L910" s="515"/>
      <c r="M910" s="515"/>
      <c r="N910" s="515"/>
      <c r="O910" s="533"/>
      <c r="P910" s="786"/>
      <c r="Q910" s="787"/>
      <c r="R910" s="787"/>
      <c r="S910" s="787"/>
      <c r="T910" s="786"/>
      <c r="U910" s="787"/>
      <c r="V910" s="787"/>
      <c r="W910" s="787"/>
      <c r="X910" s="786"/>
      <c r="Y910" s="787"/>
      <c r="Z910" s="787"/>
      <c r="AA910" s="787"/>
      <c r="AB910" s="786"/>
      <c r="AC910" s="787"/>
      <c r="AD910" s="787"/>
      <c r="AE910" s="787"/>
      <c r="AF910" s="786"/>
      <c r="AG910" s="787"/>
      <c r="AH910" s="787"/>
      <c r="AI910" s="787"/>
      <c r="AJ910" s="786"/>
      <c r="AK910" s="787"/>
      <c r="AL910" s="787"/>
      <c r="AM910" s="787"/>
      <c r="AN910" s="786"/>
      <c r="AO910" s="787"/>
      <c r="AP910" s="787"/>
      <c r="AQ910" s="787"/>
      <c r="AR910" s="786"/>
      <c r="AS910" s="787"/>
      <c r="AT910" s="787"/>
      <c r="AU910" s="787"/>
      <c r="AV910" s="786"/>
      <c r="AW910" s="787"/>
      <c r="AX910" s="787"/>
      <c r="AY910" s="787"/>
      <c r="AZ910" s="780"/>
      <c r="BA910" s="780"/>
      <c r="BB910" s="780"/>
      <c r="BC910" s="780"/>
      <c r="BD910" s="541"/>
      <c r="BE910" s="541"/>
      <c r="BF910" s="541"/>
      <c r="BG910" s="541"/>
      <c r="BH910" s="780"/>
      <c r="BI910" s="780"/>
      <c r="BJ910" s="780"/>
      <c r="BK910" s="780"/>
      <c r="BL910" s="780"/>
      <c r="BM910" s="780"/>
    </row>
    <row r="911" ht="12.75" customHeight="1">
      <c r="A911" s="521"/>
      <c r="B911" s="521"/>
      <c r="C911" s="515"/>
      <c r="D911" s="515"/>
      <c r="E911" s="515"/>
      <c r="F911" s="515"/>
      <c r="G911" s="515"/>
      <c r="H911" s="515"/>
      <c r="I911" s="515"/>
      <c r="J911" s="515"/>
      <c r="K911" s="515"/>
      <c r="L911" s="515"/>
      <c r="M911" s="515"/>
      <c r="N911" s="515"/>
      <c r="O911" s="533"/>
      <c r="P911" s="786"/>
      <c r="Q911" s="787"/>
      <c r="R911" s="787"/>
      <c r="S911" s="787"/>
      <c r="T911" s="786"/>
      <c r="U911" s="787"/>
      <c r="V911" s="787"/>
      <c r="W911" s="787"/>
      <c r="X911" s="786"/>
      <c r="Y911" s="787"/>
      <c r="Z911" s="787"/>
      <c r="AA911" s="787"/>
      <c r="AB911" s="786"/>
      <c r="AC911" s="787"/>
      <c r="AD911" s="787"/>
      <c r="AE911" s="787"/>
      <c r="AF911" s="786"/>
      <c r="AG911" s="787"/>
      <c r="AH911" s="787"/>
      <c r="AI911" s="787"/>
      <c r="AJ911" s="786"/>
      <c r="AK911" s="787"/>
      <c r="AL911" s="787"/>
      <c r="AM911" s="787"/>
      <c r="AN911" s="786"/>
      <c r="AO911" s="787"/>
      <c r="AP911" s="787"/>
      <c r="AQ911" s="787"/>
      <c r="AR911" s="786"/>
      <c r="AS911" s="787"/>
      <c r="AT911" s="787"/>
      <c r="AU911" s="787"/>
      <c r="AV911" s="786"/>
      <c r="AW911" s="787"/>
      <c r="AX911" s="787"/>
      <c r="AY911" s="787"/>
      <c r="AZ911" s="780"/>
      <c r="BA911" s="780"/>
      <c r="BB911" s="780"/>
      <c r="BC911" s="780"/>
      <c r="BD911" s="541"/>
      <c r="BE911" s="541"/>
      <c r="BF911" s="541"/>
      <c r="BG911" s="541"/>
      <c r="BH911" s="780"/>
      <c r="BI911" s="780"/>
      <c r="BJ911" s="780"/>
      <c r="BK911" s="780"/>
      <c r="BL911" s="780"/>
      <c r="BM911" s="780"/>
    </row>
    <row r="912" ht="12.75" customHeight="1">
      <c r="A912" s="521"/>
      <c r="B912" s="521"/>
      <c r="C912" s="515"/>
      <c r="D912" s="515"/>
      <c r="E912" s="515"/>
      <c r="F912" s="515"/>
      <c r="G912" s="515"/>
      <c r="H912" s="515"/>
      <c r="I912" s="515"/>
      <c r="J912" s="515"/>
      <c r="K912" s="515"/>
      <c r="L912" s="515"/>
      <c r="M912" s="515"/>
      <c r="N912" s="515"/>
      <c r="O912" s="533"/>
      <c r="P912" s="786"/>
      <c r="Q912" s="787"/>
      <c r="R912" s="787"/>
      <c r="S912" s="787"/>
      <c r="T912" s="786"/>
      <c r="U912" s="787"/>
      <c r="V912" s="787"/>
      <c r="W912" s="787"/>
      <c r="X912" s="786"/>
      <c r="Y912" s="787"/>
      <c r="Z912" s="787"/>
      <c r="AA912" s="787"/>
      <c r="AB912" s="786"/>
      <c r="AC912" s="787"/>
      <c r="AD912" s="787"/>
      <c r="AE912" s="787"/>
      <c r="AF912" s="786"/>
      <c r="AG912" s="787"/>
      <c r="AH912" s="787"/>
      <c r="AI912" s="787"/>
      <c r="AJ912" s="786"/>
      <c r="AK912" s="787"/>
      <c r="AL912" s="787"/>
      <c r="AM912" s="787"/>
      <c r="AN912" s="786"/>
      <c r="AO912" s="787"/>
      <c r="AP912" s="787"/>
      <c r="AQ912" s="787"/>
      <c r="AR912" s="786"/>
      <c r="AS912" s="787"/>
      <c r="AT912" s="787"/>
      <c r="AU912" s="787"/>
      <c r="AV912" s="786"/>
      <c r="AW912" s="787"/>
      <c r="AX912" s="787"/>
      <c r="AY912" s="787"/>
      <c r="AZ912" s="780"/>
      <c r="BA912" s="780"/>
      <c r="BB912" s="780"/>
      <c r="BC912" s="780"/>
      <c r="BD912" s="541"/>
      <c r="BE912" s="541"/>
      <c r="BF912" s="541"/>
      <c r="BG912" s="541"/>
      <c r="BH912" s="780"/>
      <c r="BI912" s="780"/>
      <c r="BJ912" s="780"/>
      <c r="BK912" s="780"/>
      <c r="BL912" s="780"/>
      <c r="BM912" s="780"/>
    </row>
    <row r="913" ht="12.75" customHeight="1">
      <c r="A913" s="521"/>
      <c r="B913" s="521"/>
      <c r="C913" s="515"/>
      <c r="D913" s="515"/>
      <c r="E913" s="515"/>
      <c r="F913" s="515"/>
      <c r="G913" s="515"/>
      <c r="H913" s="515"/>
      <c r="I913" s="515"/>
      <c r="J913" s="515"/>
      <c r="K913" s="515"/>
      <c r="L913" s="515"/>
      <c r="M913" s="515"/>
      <c r="N913" s="515"/>
      <c r="O913" s="533"/>
      <c r="P913" s="786"/>
      <c r="Q913" s="787"/>
      <c r="R913" s="787"/>
      <c r="S913" s="787"/>
      <c r="T913" s="786"/>
      <c r="U913" s="787"/>
      <c r="V913" s="787"/>
      <c r="W913" s="787"/>
      <c r="X913" s="786"/>
      <c r="Y913" s="787"/>
      <c r="Z913" s="787"/>
      <c r="AA913" s="787"/>
      <c r="AB913" s="786"/>
      <c r="AC913" s="787"/>
      <c r="AD913" s="787"/>
      <c r="AE913" s="787"/>
      <c r="AF913" s="786"/>
      <c r="AG913" s="787"/>
      <c r="AH913" s="787"/>
      <c r="AI913" s="787"/>
      <c r="AJ913" s="786"/>
      <c r="AK913" s="787"/>
      <c r="AL913" s="787"/>
      <c r="AM913" s="787"/>
      <c r="AN913" s="786"/>
      <c r="AO913" s="787"/>
      <c r="AP913" s="787"/>
      <c r="AQ913" s="787"/>
      <c r="AR913" s="786"/>
      <c r="AS913" s="787"/>
      <c r="AT913" s="787"/>
      <c r="AU913" s="787"/>
      <c r="AV913" s="786"/>
      <c r="AW913" s="787"/>
      <c r="AX913" s="787"/>
      <c r="AY913" s="787"/>
      <c r="AZ913" s="780"/>
      <c r="BA913" s="780"/>
      <c r="BB913" s="780"/>
      <c r="BC913" s="780"/>
      <c r="BD913" s="541"/>
      <c r="BE913" s="541"/>
      <c r="BF913" s="541"/>
      <c r="BG913" s="541"/>
      <c r="BH913" s="780"/>
      <c r="BI913" s="780"/>
      <c r="BJ913" s="780"/>
      <c r="BK913" s="780"/>
      <c r="BL913" s="780"/>
      <c r="BM913" s="780"/>
    </row>
    <row r="914" ht="12.75" customHeight="1">
      <c r="A914" s="521"/>
      <c r="B914" s="521"/>
      <c r="C914" s="515"/>
      <c r="D914" s="515"/>
      <c r="E914" s="515"/>
      <c r="F914" s="515"/>
      <c r="G914" s="515"/>
      <c r="H914" s="515"/>
      <c r="I914" s="515"/>
      <c r="J914" s="515"/>
      <c r="K914" s="515"/>
      <c r="L914" s="515"/>
      <c r="M914" s="515"/>
      <c r="N914" s="515"/>
      <c r="O914" s="533"/>
      <c r="P914" s="786"/>
      <c r="Q914" s="787"/>
      <c r="R914" s="787"/>
      <c r="S914" s="787"/>
      <c r="T914" s="786"/>
      <c r="U914" s="787"/>
      <c r="V914" s="787"/>
      <c r="W914" s="787"/>
      <c r="X914" s="786"/>
      <c r="Y914" s="787"/>
      <c r="Z914" s="787"/>
      <c r="AA914" s="787"/>
      <c r="AB914" s="786"/>
      <c r="AC914" s="787"/>
      <c r="AD914" s="787"/>
      <c r="AE914" s="787"/>
      <c r="AF914" s="786"/>
      <c r="AG914" s="787"/>
      <c r="AH914" s="787"/>
      <c r="AI914" s="787"/>
      <c r="AJ914" s="786"/>
      <c r="AK914" s="787"/>
      <c r="AL914" s="787"/>
      <c r="AM914" s="787"/>
      <c r="AN914" s="786"/>
      <c r="AO914" s="787"/>
      <c r="AP914" s="787"/>
      <c r="AQ914" s="787"/>
      <c r="AR914" s="786"/>
      <c r="AS914" s="787"/>
      <c r="AT914" s="787"/>
      <c r="AU914" s="787"/>
      <c r="AV914" s="786"/>
      <c r="AW914" s="787"/>
      <c r="AX914" s="787"/>
      <c r="AY914" s="787"/>
      <c r="AZ914" s="780"/>
      <c r="BA914" s="780"/>
      <c r="BB914" s="780"/>
      <c r="BC914" s="780"/>
      <c r="BD914" s="541"/>
      <c r="BE914" s="541"/>
      <c r="BF914" s="541"/>
      <c r="BG914" s="541"/>
      <c r="BH914" s="780"/>
      <c r="BI914" s="780"/>
      <c r="BJ914" s="780"/>
      <c r="BK914" s="780"/>
      <c r="BL914" s="780"/>
      <c r="BM914" s="780"/>
    </row>
    <row r="915" ht="12.75" customHeight="1">
      <c r="A915" s="521"/>
      <c r="B915" s="521"/>
      <c r="C915" s="515"/>
      <c r="D915" s="515"/>
      <c r="E915" s="515"/>
      <c r="F915" s="515"/>
      <c r="G915" s="515"/>
      <c r="H915" s="515"/>
      <c r="I915" s="515"/>
      <c r="J915" s="515"/>
      <c r="K915" s="515"/>
      <c r="L915" s="515"/>
      <c r="M915" s="515"/>
      <c r="N915" s="515"/>
      <c r="O915" s="533"/>
      <c r="P915" s="786"/>
      <c r="Q915" s="787"/>
      <c r="R915" s="787"/>
      <c r="S915" s="787"/>
      <c r="T915" s="786"/>
      <c r="U915" s="787"/>
      <c r="V915" s="787"/>
      <c r="W915" s="787"/>
      <c r="X915" s="786"/>
      <c r="Y915" s="787"/>
      <c r="Z915" s="787"/>
      <c r="AA915" s="787"/>
      <c r="AB915" s="786"/>
      <c r="AC915" s="787"/>
      <c r="AD915" s="787"/>
      <c r="AE915" s="787"/>
      <c r="AF915" s="786"/>
      <c r="AG915" s="787"/>
      <c r="AH915" s="787"/>
      <c r="AI915" s="787"/>
      <c r="AJ915" s="786"/>
      <c r="AK915" s="787"/>
      <c r="AL915" s="787"/>
      <c r="AM915" s="787"/>
      <c r="AN915" s="786"/>
      <c r="AO915" s="787"/>
      <c r="AP915" s="787"/>
      <c r="AQ915" s="787"/>
      <c r="AR915" s="786"/>
      <c r="AS915" s="787"/>
      <c r="AT915" s="787"/>
      <c r="AU915" s="787"/>
      <c r="AV915" s="786"/>
      <c r="AW915" s="787"/>
      <c r="AX915" s="787"/>
      <c r="AY915" s="787"/>
      <c r="AZ915" s="780"/>
      <c r="BA915" s="780"/>
      <c r="BB915" s="780"/>
      <c r="BC915" s="780"/>
      <c r="BD915" s="541"/>
      <c r="BE915" s="541"/>
      <c r="BF915" s="541"/>
      <c r="BG915" s="541"/>
      <c r="BH915" s="780"/>
      <c r="BI915" s="780"/>
      <c r="BJ915" s="780"/>
      <c r="BK915" s="780"/>
      <c r="BL915" s="780"/>
      <c r="BM915" s="780"/>
    </row>
    <row r="916" ht="12.75" customHeight="1">
      <c r="A916" s="521"/>
      <c r="B916" s="521"/>
      <c r="C916" s="515"/>
      <c r="D916" s="515"/>
      <c r="E916" s="515"/>
      <c r="F916" s="515"/>
      <c r="G916" s="515"/>
      <c r="H916" s="515"/>
      <c r="I916" s="515"/>
      <c r="J916" s="515"/>
      <c r="K916" s="515"/>
      <c r="L916" s="515"/>
      <c r="M916" s="515"/>
      <c r="N916" s="515"/>
      <c r="O916" s="533"/>
      <c r="P916" s="786"/>
      <c r="Q916" s="787"/>
      <c r="R916" s="787"/>
      <c r="S916" s="787"/>
      <c r="T916" s="786"/>
      <c r="U916" s="787"/>
      <c r="V916" s="787"/>
      <c r="W916" s="787"/>
      <c r="X916" s="786"/>
      <c r="Y916" s="787"/>
      <c r="Z916" s="787"/>
      <c r="AA916" s="787"/>
      <c r="AB916" s="786"/>
      <c r="AC916" s="787"/>
      <c r="AD916" s="787"/>
      <c r="AE916" s="787"/>
      <c r="AF916" s="786"/>
      <c r="AG916" s="787"/>
      <c r="AH916" s="787"/>
      <c r="AI916" s="787"/>
      <c r="AJ916" s="786"/>
      <c r="AK916" s="787"/>
      <c r="AL916" s="787"/>
      <c r="AM916" s="787"/>
      <c r="AN916" s="786"/>
      <c r="AO916" s="787"/>
      <c r="AP916" s="787"/>
      <c r="AQ916" s="787"/>
      <c r="AR916" s="786"/>
      <c r="AS916" s="787"/>
      <c r="AT916" s="787"/>
      <c r="AU916" s="787"/>
      <c r="AV916" s="786"/>
      <c r="AW916" s="787"/>
      <c r="AX916" s="787"/>
      <c r="AY916" s="787"/>
      <c r="AZ916" s="780"/>
      <c r="BA916" s="780"/>
      <c r="BB916" s="780"/>
      <c r="BC916" s="780"/>
      <c r="BD916" s="541"/>
      <c r="BE916" s="541"/>
      <c r="BF916" s="541"/>
      <c r="BG916" s="541"/>
      <c r="BH916" s="780"/>
      <c r="BI916" s="780"/>
      <c r="BJ916" s="780"/>
      <c r="BK916" s="780"/>
      <c r="BL916" s="780"/>
      <c r="BM916" s="780"/>
    </row>
    <row r="917" ht="12.75" customHeight="1">
      <c r="A917" s="521"/>
      <c r="B917" s="521"/>
      <c r="C917" s="515"/>
      <c r="D917" s="515"/>
      <c r="E917" s="515"/>
      <c r="F917" s="515"/>
      <c r="G917" s="515"/>
      <c r="H917" s="515"/>
      <c r="I917" s="515"/>
      <c r="J917" s="515"/>
      <c r="K917" s="515"/>
      <c r="L917" s="515"/>
      <c r="M917" s="515"/>
      <c r="N917" s="515"/>
      <c r="O917" s="533"/>
      <c r="P917" s="786"/>
      <c r="Q917" s="787"/>
      <c r="R917" s="787"/>
      <c r="S917" s="787"/>
      <c r="T917" s="786"/>
      <c r="U917" s="787"/>
      <c r="V917" s="787"/>
      <c r="W917" s="787"/>
      <c r="X917" s="786"/>
      <c r="Y917" s="787"/>
      <c r="Z917" s="787"/>
      <c r="AA917" s="787"/>
      <c r="AB917" s="786"/>
      <c r="AC917" s="787"/>
      <c r="AD917" s="787"/>
      <c r="AE917" s="787"/>
      <c r="AF917" s="786"/>
      <c r="AG917" s="787"/>
      <c r="AH917" s="787"/>
      <c r="AI917" s="787"/>
      <c r="AJ917" s="786"/>
      <c r="AK917" s="787"/>
      <c r="AL917" s="787"/>
      <c r="AM917" s="787"/>
      <c r="AN917" s="786"/>
      <c r="AO917" s="787"/>
      <c r="AP917" s="787"/>
      <c r="AQ917" s="787"/>
      <c r="AR917" s="786"/>
      <c r="AS917" s="787"/>
      <c r="AT917" s="787"/>
      <c r="AU917" s="787"/>
      <c r="AV917" s="786"/>
      <c r="AW917" s="787"/>
      <c r="AX917" s="787"/>
      <c r="AY917" s="787"/>
      <c r="AZ917" s="780"/>
      <c r="BA917" s="780"/>
      <c r="BB917" s="780"/>
      <c r="BC917" s="780"/>
      <c r="BD917" s="541"/>
      <c r="BE917" s="541"/>
      <c r="BF917" s="541"/>
      <c r="BG917" s="541"/>
      <c r="BH917" s="780"/>
      <c r="BI917" s="780"/>
      <c r="BJ917" s="780"/>
      <c r="BK917" s="780"/>
      <c r="BL917" s="780"/>
      <c r="BM917" s="780"/>
    </row>
    <row r="918" ht="12.75" customHeight="1">
      <c r="A918" s="521"/>
      <c r="B918" s="521"/>
      <c r="C918" s="515"/>
      <c r="D918" s="515"/>
      <c r="E918" s="515"/>
      <c r="F918" s="515"/>
      <c r="G918" s="515"/>
      <c r="H918" s="515"/>
      <c r="I918" s="515"/>
      <c r="J918" s="515"/>
      <c r="K918" s="515"/>
      <c r="L918" s="515"/>
      <c r="M918" s="515"/>
      <c r="N918" s="515"/>
      <c r="O918" s="533"/>
      <c r="P918" s="786"/>
      <c r="Q918" s="787"/>
      <c r="R918" s="787"/>
      <c r="S918" s="787"/>
      <c r="T918" s="786"/>
      <c r="U918" s="787"/>
      <c r="V918" s="787"/>
      <c r="W918" s="787"/>
      <c r="X918" s="786"/>
      <c r="Y918" s="787"/>
      <c r="Z918" s="787"/>
      <c r="AA918" s="787"/>
      <c r="AB918" s="786"/>
      <c r="AC918" s="787"/>
      <c r="AD918" s="787"/>
      <c r="AE918" s="787"/>
      <c r="AF918" s="786"/>
      <c r="AG918" s="787"/>
      <c r="AH918" s="787"/>
      <c r="AI918" s="787"/>
      <c r="AJ918" s="786"/>
      <c r="AK918" s="787"/>
      <c r="AL918" s="787"/>
      <c r="AM918" s="787"/>
      <c r="AN918" s="786"/>
      <c r="AO918" s="787"/>
      <c r="AP918" s="787"/>
      <c r="AQ918" s="787"/>
      <c r="AR918" s="786"/>
      <c r="AS918" s="787"/>
      <c r="AT918" s="787"/>
      <c r="AU918" s="787"/>
      <c r="AV918" s="786"/>
      <c r="AW918" s="787"/>
      <c r="AX918" s="787"/>
      <c r="AY918" s="787"/>
      <c r="AZ918" s="780"/>
      <c r="BA918" s="780"/>
      <c r="BB918" s="780"/>
      <c r="BC918" s="780"/>
      <c r="BD918" s="541"/>
      <c r="BE918" s="541"/>
      <c r="BF918" s="541"/>
      <c r="BG918" s="541"/>
      <c r="BH918" s="780"/>
      <c r="BI918" s="780"/>
      <c r="BJ918" s="780"/>
      <c r="BK918" s="780"/>
      <c r="BL918" s="780"/>
      <c r="BM918" s="780"/>
    </row>
    <row r="919" ht="12.75" customHeight="1">
      <c r="A919" s="521"/>
      <c r="B919" s="521"/>
      <c r="C919" s="515"/>
      <c r="D919" s="515"/>
      <c r="E919" s="515"/>
      <c r="F919" s="515"/>
      <c r="G919" s="515"/>
      <c r="H919" s="515"/>
      <c r="I919" s="515"/>
      <c r="J919" s="515"/>
      <c r="K919" s="515"/>
      <c r="L919" s="515"/>
      <c r="M919" s="515"/>
      <c r="N919" s="515"/>
      <c r="O919" s="533"/>
      <c r="P919" s="786"/>
      <c r="Q919" s="787"/>
      <c r="R919" s="787"/>
      <c r="S919" s="787"/>
      <c r="T919" s="786"/>
      <c r="U919" s="787"/>
      <c r="V919" s="787"/>
      <c r="W919" s="787"/>
      <c r="X919" s="786"/>
      <c r="Y919" s="787"/>
      <c r="Z919" s="787"/>
      <c r="AA919" s="787"/>
      <c r="AB919" s="786"/>
      <c r="AC919" s="787"/>
      <c r="AD919" s="787"/>
      <c r="AE919" s="787"/>
      <c r="AF919" s="786"/>
      <c r="AG919" s="787"/>
      <c r="AH919" s="787"/>
      <c r="AI919" s="787"/>
      <c r="AJ919" s="786"/>
      <c r="AK919" s="787"/>
      <c r="AL919" s="787"/>
      <c r="AM919" s="787"/>
      <c r="AN919" s="786"/>
      <c r="AO919" s="787"/>
      <c r="AP919" s="787"/>
      <c r="AQ919" s="787"/>
      <c r="AR919" s="786"/>
      <c r="AS919" s="787"/>
      <c r="AT919" s="787"/>
      <c r="AU919" s="787"/>
      <c r="AV919" s="786"/>
      <c r="AW919" s="787"/>
      <c r="AX919" s="787"/>
      <c r="AY919" s="787"/>
      <c r="AZ919" s="780"/>
      <c r="BA919" s="780"/>
      <c r="BB919" s="780"/>
      <c r="BC919" s="780"/>
      <c r="BD919" s="541"/>
      <c r="BE919" s="541"/>
      <c r="BF919" s="541"/>
      <c r="BG919" s="541"/>
      <c r="BH919" s="780"/>
      <c r="BI919" s="780"/>
      <c r="BJ919" s="780"/>
      <c r="BK919" s="780"/>
      <c r="BL919" s="780"/>
      <c r="BM919" s="780"/>
    </row>
    <row r="920" ht="12.75" customHeight="1">
      <c r="A920" s="521"/>
      <c r="B920" s="521"/>
      <c r="C920" s="515"/>
      <c r="D920" s="515"/>
      <c r="E920" s="515"/>
      <c r="F920" s="515"/>
      <c r="G920" s="515"/>
      <c r="H920" s="515"/>
      <c r="I920" s="515"/>
      <c r="J920" s="515"/>
      <c r="K920" s="515"/>
      <c r="L920" s="515"/>
      <c r="M920" s="515"/>
      <c r="N920" s="515"/>
      <c r="O920" s="533"/>
      <c r="P920" s="786"/>
      <c r="Q920" s="787"/>
      <c r="R920" s="787"/>
      <c r="S920" s="787"/>
      <c r="T920" s="786"/>
      <c r="U920" s="787"/>
      <c r="V920" s="787"/>
      <c r="W920" s="787"/>
      <c r="X920" s="786"/>
      <c r="Y920" s="787"/>
      <c r="Z920" s="787"/>
      <c r="AA920" s="787"/>
      <c r="AB920" s="786"/>
      <c r="AC920" s="787"/>
      <c r="AD920" s="787"/>
      <c r="AE920" s="787"/>
      <c r="AF920" s="786"/>
      <c r="AG920" s="787"/>
      <c r="AH920" s="787"/>
      <c r="AI920" s="787"/>
      <c r="AJ920" s="786"/>
      <c r="AK920" s="787"/>
      <c r="AL920" s="787"/>
      <c r="AM920" s="787"/>
      <c r="AN920" s="786"/>
      <c r="AO920" s="787"/>
      <c r="AP920" s="787"/>
      <c r="AQ920" s="787"/>
      <c r="AR920" s="786"/>
      <c r="AS920" s="787"/>
      <c r="AT920" s="787"/>
      <c r="AU920" s="787"/>
      <c r="AV920" s="786"/>
      <c r="AW920" s="787"/>
      <c r="AX920" s="787"/>
      <c r="AY920" s="787"/>
      <c r="AZ920" s="780"/>
      <c r="BA920" s="780"/>
      <c r="BB920" s="780"/>
      <c r="BC920" s="780"/>
      <c r="BD920" s="541"/>
      <c r="BE920" s="541"/>
      <c r="BF920" s="541"/>
      <c r="BG920" s="541"/>
      <c r="BH920" s="780"/>
      <c r="BI920" s="780"/>
      <c r="BJ920" s="780"/>
      <c r="BK920" s="780"/>
      <c r="BL920" s="780"/>
      <c r="BM920" s="780"/>
    </row>
    <row r="921" ht="12.75" customHeight="1">
      <c r="A921" s="521"/>
      <c r="B921" s="521"/>
      <c r="C921" s="515"/>
      <c r="D921" s="515"/>
      <c r="E921" s="515"/>
      <c r="F921" s="515"/>
      <c r="G921" s="515"/>
      <c r="H921" s="515"/>
      <c r="I921" s="515"/>
      <c r="J921" s="515"/>
      <c r="K921" s="515"/>
      <c r="L921" s="515"/>
      <c r="M921" s="515"/>
      <c r="N921" s="515"/>
      <c r="O921" s="533"/>
      <c r="P921" s="786"/>
      <c r="Q921" s="787"/>
      <c r="R921" s="787"/>
      <c r="S921" s="787"/>
      <c r="T921" s="786"/>
      <c r="U921" s="787"/>
      <c r="V921" s="787"/>
      <c r="W921" s="787"/>
      <c r="X921" s="786"/>
      <c r="Y921" s="787"/>
      <c r="Z921" s="787"/>
      <c r="AA921" s="787"/>
      <c r="AB921" s="786"/>
      <c r="AC921" s="787"/>
      <c r="AD921" s="787"/>
      <c r="AE921" s="787"/>
      <c r="AF921" s="786"/>
      <c r="AG921" s="787"/>
      <c r="AH921" s="787"/>
      <c r="AI921" s="787"/>
      <c r="AJ921" s="786"/>
      <c r="AK921" s="787"/>
      <c r="AL921" s="787"/>
      <c r="AM921" s="787"/>
      <c r="AN921" s="786"/>
      <c r="AO921" s="787"/>
      <c r="AP921" s="787"/>
      <c r="AQ921" s="787"/>
      <c r="AR921" s="786"/>
      <c r="AS921" s="787"/>
      <c r="AT921" s="787"/>
      <c r="AU921" s="787"/>
      <c r="AV921" s="786"/>
      <c r="AW921" s="787"/>
      <c r="AX921" s="787"/>
      <c r="AY921" s="787"/>
      <c r="AZ921" s="780"/>
      <c r="BA921" s="780"/>
      <c r="BB921" s="780"/>
      <c r="BC921" s="780"/>
      <c r="BD921" s="541"/>
      <c r="BE921" s="541"/>
      <c r="BF921" s="541"/>
      <c r="BG921" s="541"/>
      <c r="BH921" s="780"/>
      <c r="BI921" s="780"/>
      <c r="BJ921" s="780"/>
      <c r="BK921" s="780"/>
      <c r="BL921" s="780"/>
      <c r="BM921" s="780"/>
    </row>
    <row r="922" ht="12.75" customHeight="1">
      <c r="A922" s="521"/>
      <c r="B922" s="521"/>
      <c r="C922" s="515"/>
      <c r="D922" s="515"/>
      <c r="E922" s="515"/>
      <c r="F922" s="515"/>
      <c r="G922" s="515"/>
      <c r="H922" s="515"/>
      <c r="I922" s="515"/>
      <c r="J922" s="515"/>
      <c r="K922" s="515"/>
      <c r="L922" s="515"/>
      <c r="M922" s="515"/>
      <c r="N922" s="515"/>
      <c r="O922" s="533"/>
      <c r="P922" s="786"/>
      <c r="Q922" s="787"/>
      <c r="R922" s="787"/>
      <c r="S922" s="787"/>
      <c r="T922" s="786"/>
      <c r="U922" s="787"/>
      <c r="V922" s="787"/>
      <c r="W922" s="787"/>
      <c r="X922" s="786"/>
      <c r="Y922" s="787"/>
      <c r="Z922" s="787"/>
      <c r="AA922" s="787"/>
      <c r="AB922" s="786"/>
      <c r="AC922" s="787"/>
      <c r="AD922" s="787"/>
      <c r="AE922" s="787"/>
      <c r="AF922" s="786"/>
      <c r="AG922" s="787"/>
      <c r="AH922" s="787"/>
      <c r="AI922" s="787"/>
      <c r="AJ922" s="786"/>
      <c r="AK922" s="787"/>
      <c r="AL922" s="787"/>
      <c r="AM922" s="787"/>
      <c r="AN922" s="786"/>
      <c r="AO922" s="787"/>
      <c r="AP922" s="787"/>
      <c r="AQ922" s="787"/>
      <c r="AR922" s="786"/>
      <c r="AS922" s="787"/>
      <c r="AT922" s="787"/>
      <c r="AU922" s="787"/>
      <c r="AV922" s="786"/>
      <c r="AW922" s="787"/>
      <c r="AX922" s="787"/>
      <c r="AY922" s="787"/>
      <c r="AZ922" s="780"/>
      <c r="BA922" s="780"/>
      <c r="BB922" s="780"/>
      <c r="BC922" s="780"/>
      <c r="BD922" s="541"/>
      <c r="BE922" s="541"/>
      <c r="BF922" s="541"/>
      <c r="BG922" s="541"/>
      <c r="BH922" s="780"/>
      <c r="BI922" s="780"/>
      <c r="BJ922" s="780"/>
      <c r="BK922" s="780"/>
      <c r="BL922" s="780"/>
      <c r="BM922" s="780"/>
    </row>
    <row r="923" ht="12.75" customHeight="1">
      <c r="A923" s="521"/>
      <c r="B923" s="521"/>
      <c r="C923" s="515"/>
      <c r="D923" s="515"/>
      <c r="E923" s="515"/>
      <c r="F923" s="515"/>
      <c r="G923" s="515"/>
      <c r="H923" s="515"/>
      <c r="I923" s="515"/>
      <c r="J923" s="515"/>
      <c r="K923" s="515"/>
      <c r="L923" s="515"/>
      <c r="M923" s="515"/>
      <c r="N923" s="515"/>
      <c r="O923" s="533"/>
      <c r="P923" s="786"/>
      <c r="Q923" s="787"/>
      <c r="R923" s="787"/>
      <c r="S923" s="787"/>
      <c r="T923" s="786"/>
      <c r="U923" s="787"/>
      <c r="V923" s="787"/>
      <c r="W923" s="787"/>
      <c r="X923" s="786"/>
      <c r="Y923" s="787"/>
      <c r="Z923" s="787"/>
      <c r="AA923" s="787"/>
      <c r="AB923" s="786"/>
      <c r="AC923" s="787"/>
      <c r="AD923" s="787"/>
      <c r="AE923" s="787"/>
      <c r="AF923" s="786"/>
      <c r="AG923" s="787"/>
      <c r="AH923" s="787"/>
      <c r="AI923" s="787"/>
      <c r="AJ923" s="786"/>
      <c r="AK923" s="787"/>
      <c r="AL923" s="787"/>
      <c r="AM923" s="787"/>
      <c r="AN923" s="786"/>
      <c r="AO923" s="787"/>
      <c r="AP923" s="787"/>
      <c r="AQ923" s="787"/>
      <c r="AR923" s="786"/>
      <c r="AS923" s="787"/>
      <c r="AT923" s="787"/>
      <c r="AU923" s="787"/>
      <c r="AV923" s="786"/>
      <c r="AW923" s="787"/>
      <c r="AX923" s="787"/>
      <c r="AY923" s="787"/>
      <c r="AZ923" s="780"/>
      <c r="BA923" s="780"/>
      <c r="BB923" s="780"/>
      <c r="BC923" s="780"/>
      <c r="BD923" s="541"/>
      <c r="BE923" s="541"/>
      <c r="BF923" s="541"/>
      <c r="BG923" s="541"/>
      <c r="BH923" s="780"/>
      <c r="BI923" s="780"/>
      <c r="BJ923" s="780"/>
      <c r="BK923" s="780"/>
      <c r="BL923" s="780"/>
      <c r="BM923" s="780"/>
    </row>
    <row r="924" ht="12.75" customHeight="1">
      <c r="A924" s="521"/>
      <c r="B924" s="521"/>
      <c r="C924" s="515"/>
      <c r="D924" s="515"/>
      <c r="E924" s="515"/>
      <c r="F924" s="515"/>
      <c r="G924" s="515"/>
      <c r="H924" s="515"/>
      <c r="I924" s="515"/>
      <c r="J924" s="515"/>
      <c r="K924" s="515"/>
      <c r="L924" s="515"/>
      <c r="M924" s="515"/>
      <c r="N924" s="515"/>
      <c r="O924" s="533"/>
      <c r="P924" s="786"/>
      <c r="Q924" s="787"/>
      <c r="R924" s="787"/>
      <c r="S924" s="787"/>
      <c r="T924" s="786"/>
      <c r="U924" s="787"/>
      <c r="V924" s="787"/>
      <c r="W924" s="787"/>
      <c r="X924" s="786"/>
      <c r="Y924" s="787"/>
      <c r="Z924" s="787"/>
      <c r="AA924" s="787"/>
      <c r="AB924" s="786"/>
      <c r="AC924" s="787"/>
      <c r="AD924" s="787"/>
      <c r="AE924" s="787"/>
      <c r="AF924" s="786"/>
      <c r="AG924" s="787"/>
      <c r="AH924" s="787"/>
      <c r="AI924" s="787"/>
      <c r="AJ924" s="786"/>
      <c r="AK924" s="787"/>
      <c r="AL924" s="787"/>
      <c r="AM924" s="787"/>
      <c r="AN924" s="786"/>
      <c r="AO924" s="787"/>
      <c r="AP924" s="787"/>
      <c r="AQ924" s="787"/>
      <c r="AR924" s="786"/>
      <c r="AS924" s="787"/>
      <c r="AT924" s="787"/>
      <c r="AU924" s="787"/>
      <c r="AV924" s="786"/>
      <c r="AW924" s="787"/>
      <c r="AX924" s="787"/>
      <c r="AY924" s="787"/>
      <c r="AZ924" s="780"/>
      <c r="BA924" s="780"/>
      <c r="BB924" s="780"/>
      <c r="BC924" s="780"/>
      <c r="BD924" s="541"/>
      <c r="BE924" s="541"/>
      <c r="BF924" s="541"/>
      <c r="BG924" s="541"/>
      <c r="BH924" s="780"/>
      <c r="BI924" s="780"/>
      <c r="BJ924" s="780"/>
      <c r="BK924" s="780"/>
      <c r="BL924" s="780"/>
      <c r="BM924" s="780"/>
    </row>
    <row r="925" ht="12.75" customHeight="1">
      <c r="A925" s="521"/>
      <c r="B925" s="521"/>
      <c r="C925" s="515"/>
      <c r="D925" s="515"/>
      <c r="E925" s="515"/>
      <c r="F925" s="515"/>
      <c r="G925" s="515"/>
      <c r="H925" s="515"/>
      <c r="I925" s="515"/>
      <c r="J925" s="515"/>
      <c r="K925" s="515"/>
      <c r="L925" s="515"/>
      <c r="M925" s="515"/>
      <c r="N925" s="515"/>
      <c r="O925" s="533"/>
      <c r="P925" s="786"/>
      <c r="Q925" s="787"/>
      <c r="R925" s="787"/>
      <c r="S925" s="787"/>
      <c r="T925" s="786"/>
      <c r="U925" s="787"/>
      <c r="V925" s="787"/>
      <c r="W925" s="787"/>
      <c r="X925" s="786"/>
      <c r="Y925" s="787"/>
      <c r="Z925" s="787"/>
      <c r="AA925" s="787"/>
      <c r="AB925" s="786"/>
      <c r="AC925" s="787"/>
      <c r="AD925" s="787"/>
      <c r="AE925" s="787"/>
      <c r="AF925" s="786"/>
      <c r="AG925" s="787"/>
      <c r="AH925" s="787"/>
      <c r="AI925" s="787"/>
      <c r="AJ925" s="786"/>
      <c r="AK925" s="787"/>
      <c r="AL925" s="787"/>
      <c r="AM925" s="787"/>
      <c r="AN925" s="786"/>
      <c r="AO925" s="787"/>
      <c r="AP925" s="787"/>
      <c r="AQ925" s="787"/>
      <c r="AR925" s="786"/>
      <c r="AS925" s="787"/>
      <c r="AT925" s="787"/>
      <c r="AU925" s="787"/>
      <c r="AV925" s="786"/>
      <c r="AW925" s="787"/>
      <c r="AX925" s="787"/>
      <c r="AY925" s="787"/>
      <c r="AZ925" s="780"/>
      <c r="BA925" s="780"/>
      <c r="BB925" s="780"/>
      <c r="BC925" s="780"/>
      <c r="BD925" s="541"/>
      <c r="BE925" s="541"/>
      <c r="BF925" s="541"/>
      <c r="BG925" s="541"/>
      <c r="BH925" s="780"/>
      <c r="BI925" s="780"/>
      <c r="BJ925" s="780"/>
      <c r="BK925" s="780"/>
      <c r="BL925" s="780"/>
      <c r="BM925" s="780"/>
    </row>
    <row r="926" ht="12.75" customHeight="1">
      <c r="A926" s="521"/>
      <c r="B926" s="521"/>
      <c r="C926" s="515"/>
      <c r="D926" s="515"/>
      <c r="E926" s="515"/>
      <c r="F926" s="515"/>
      <c r="G926" s="515"/>
      <c r="H926" s="515"/>
      <c r="I926" s="515"/>
      <c r="J926" s="515"/>
      <c r="K926" s="515"/>
      <c r="L926" s="515"/>
      <c r="M926" s="515"/>
      <c r="N926" s="515"/>
      <c r="O926" s="533"/>
      <c r="P926" s="786"/>
      <c r="Q926" s="787"/>
      <c r="R926" s="787"/>
      <c r="S926" s="787"/>
      <c r="T926" s="786"/>
      <c r="U926" s="787"/>
      <c r="V926" s="787"/>
      <c r="W926" s="787"/>
      <c r="X926" s="786"/>
      <c r="Y926" s="787"/>
      <c r="Z926" s="787"/>
      <c r="AA926" s="787"/>
      <c r="AB926" s="786"/>
      <c r="AC926" s="787"/>
      <c r="AD926" s="787"/>
      <c r="AE926" s="787"/>
      <c r="AF926" s="786"/>
      <c r="AG926" s="787"/>
      <c r="AH926" s="787"/>
      <c r="AI926" s="787"/>
      <c r="AJ926" s="786"/>
      <c r="AK926" s="787"/>
      <c r="AL926" s="787"/>
      <c r="AM926" s="787"/>
      <c r="AN926" s="786"/>
      <c r="AO926" s="787"/>
      <c r="AP926" s="787"/>
      <c r="AQ926" s="787"/>
      <c r="AR926" s="786"/>
      <c r="AS926" s="787"/>
      <c r="AT926" s="787"/>
      <c r="AU926" s="787"/>
      <c r="AV926" s="786"/>
      <c r="AW926" s="787"/>
      <c r="AX926" s="787"/>
      <c r="AY926" s="787"/>
      <c r="AZ926" s="780"/>
      <c r="BA926" s="780"/>
      <c r="BB926" s="780"/>
      <c r="BC926" s="780"/>
      <c r="BD926" s="541"/>
      <c r="BE926" s="541"/>
      <c r="BF926" s="541"/>
      <c r="BG926" s="541"/>
      <c r="BH926" s="780"/>
      <c r="BI926" s="780"/>
      <c r="BJ926" s="780"/>
      <c r="BK926" s="780"/>
      <c r="BL926" s="780"/>
      <c r="BM926" s="780"/>
    </row>
    <row r="927" ht="12.75" customHeight="1">
      <c r="A927" s="521"/>
      <c r="B927" s="521"/>
      <c r="C927" s="515"/>
      <c r="D927" s="515"/>
      <c r="E927" s="515"/>
      <c r="F927" s="515"/>
      <c r="G927" s="515"/>
      <c r="H927" s="515"/>
      <c r="I927" s="515"/>
      <c r="J927" s="515"/>
      <c r="K927" s="515"/>
      <c r="L927" s="515"/>
      <c r="M927" s="515"/>
      <c r="N927" s="515"/>
      <c r="O927" s="533"/>
      <c r="P927" s="786"/>
      <c r="Q927" s="787"/>
      <c r="R927" s="787"/>
      <c r="S927" s="787"/>
      <c r="T927" s="786"/>
      <c r="U927" s="787"/>
      <c r="V927" s="787"/>
      <c r="W927" s="787"/>
      <c r="X927" s="786"/>
      <c r="Y927" s="787"/>
      <c r="Z927" s="787"/>
      <c r="AA927" s="787"/>
      <c r="AB927" s="786"/>
      <c r="AC927" s="787"/>
      <c r="AD927" s="787"/>
      <c r="AE927" s="787"/>
      <c r="AF927" s="786"/>
      <c r="AG927" s="787"/>
      <c r="AH927" s="787"/>
      <c r="AI927" s="787"/>
      <c r="AJ927" s="786"/>
      <c r="AK927" s="787"/>
      <c r="AL927" s="787"/>
      <c r="AM927" s="787"/>
      <c r="AN927" s="786"/>
      <c r="AO927" s="787"/>
      <c r="AP927" s="787"/>
      <c r="AQ927" s="787"/>
      <c r="AR927" s="786"/>
      <c r="AS927" s="787"/>
      <c r="AT927" s="787"/>
      <c r="AU927" s="787"/>
      <c r="AV927" s="786"/>
      <c r="AW927" s="787"/>
      <c r="AX927" s="787"/>
      <c r="AY927" s="787"/>
      <c r="AZ927" s="780"/>
      <c r="BA927" s="780"/>
      <c r="BB927" s="780"/>
      <c r="BC927" s="780"/>
      <c r="BD927" s="541"/>
      <c r="BE927" s="541"/>
      <c r="BF927" s="541"/>
      <c r="BG927" s="541"/>
      <c r="BH927" s="780"/>
      <c r="BI927" s="780"/>
      <c r="BJ927" s="780"/>
      <c r="BK927" s="780"/>
      <c r="BL927" s="780"/>
      <c r="BM927" s="780"/>
    </row>
    <row r="928" ht="12.75" customHeight="1">
      <c r="A928" s="521"/>
      <c r="B928" s="521"/>
      <c r="C928" s="515"/>
      <c r="D928" s="515"/>
      <c r="E928" s="515"/>
      <c r="F928" s="515"/>
      <c r="G928" s="515"/>
      <c r="H928" s="515"/>
      <c r="I928" s="515"/>
      <c r="J928" s="515"/>
      <c r="K928" s="515"/>
      <c r="L928" s="515"/>
      <c r="M928" s="515"/>
      <c r="N928" s="515"/>
      <c r="O928" s="533"/>
      <c r="P928" s="786"/>
      <c r="Q928" s="787"/>
      <c r="R928" s="787"/>
      <c r="S928" s="787"/>
      <c r="T928" s="786"/>
      <c r="U928" s="787"/>
      <c r="V928" s="787"/>
      <c r="W928" s="787"/>
      <c r="X928" s="786"/>
      <c r="Y928" s="787"/>
      <c r="Z928" s="787"/>
      <c r="AA928" s="787"/>
      <c r="AB928" s="786"/>
      <c r="AC928" s="787"/>
      <c r="AD928" s="787"/>
      <c r="AE928" s="787"/>
      <c r="AF928" s="786"/>
      <c r="AG928" s="787"/>
      <c r="AH928" s="787"/>
      <c r="AI928" s="787"/>
      <c r="AJ928" s="786"/>
      <c r="AK928" s="787"/>
      <c r="AL928" s="787"/>
      <c r="AM928" s="787"/>
      <c r="AN928" s="786"/>
      <c r="AO928" s="787"/>
      <c r="AP928" s="787"/>
      <c r="AQ928" s="787"/>
      <c r="AR928" s="786"/>
      <c r="AS928" s="787"/>
      <c r="AT928" s="787"/>
      <c r="AU928" s="787"/>
      <c r="AV928" s="786"/>
      <c r="AW928" s="787"/>
      <c r="AX928" s="787"/>
      <c r="AY928" s="787"/>
      <c r="AZ928" s="780"/>
      <c r="BA928" s="780"/>
      <c r="BB928" s="780"/>
      <c r="BC928" s="780"/>
      <c r="BD928" s="541"/>
      <c r="BE928" s="541"/>
      <c r="BF928" s="541"/>
      <c r="BG928" s="541"/>
      <c r="BH928" s="780"/>
      <c r="BI928" s="780"/>
      <c r="BJ928" s="780"/>
      <c r="BK928" s="780"/>
      <c r="BL928" s="780"/>
      <c r="BM928" s="780"/>
    </row>
    <row r="929" ht="12.75" customHeight="1">
      <c r="A929" s="521"/>
      <c r="B929" s="521"/>
      <c r="C929" s="515"/>
      <c r="D929" s="515"/>
      <c r="E929" s="515"/>
      <c r="F929" s="515"/>
      <c r="G929" s="515"/>
      <c r="H929" s="515"/>
      <c r="I929" s="515"/>
      <c r="J929" s="515"/>
      <c r="K929" s="515"/>
      <c r="L929" s="515"/>
      <c r="M929" s="515"/>
      <c r="N929" s="515"/>
      <c r="O929" s="533"/>
      <c r="P929" s="786"/>
      <c r="Q929" s="787"/>
      <c r="R929" s="787"/>
      <c r="S929" s="787"/>
      <c r="T929" s="786"/>
      <c r="U929" s="787"/>
      <c r="V929" s="787"/>
      <c r="W929" s="787"/>
      <c r="X929" s="786"/>
      <c r="Y929" s="787"/>
      <c r="Z929" s="787"/>
      <c r="AA929" s="787"/>
      <c r="AB929" s="786"/>
      <c r="AC929" s="787"/>
      <c r="AD929" s="787"/>
      <c r="AE929" s="787"/>
      <c r="AF929" s="786"/>
      <c r="AG929" s="787"/>
      <c r="AH929" s="787"/>
      <c r="AI929" s="787"/>
      <c r="AJ929" s="786"/>
      <c r="AK929" s="787"/>
      <c r="AL929" s="787"/>
      <c r="AM929" s="787"/>
      <c r="AN929" s="786"/>
      <c r="AO929" s="787"/>
      <c r="AP929" s="787"/>
      <c r="AQ929" s="787"/>
      <c r="AR929" s="786"/>
      <c r="AS929" s="787"/>
      <c r="AT929" s="787"/>
      <c r="AU929" s="787"/>
      <c r="AV929" s="786"/>
      <c r="AW929" s="787"/>
      <c r="AX929" s="787"/>
      <c r="AY929" s="787"/>
      <c r="AZ929" s="780"/>
      <c r="BA929" s="780"/>
      <c r="BB929" s="780"/>
      <c r="BC929" s="780"/>
      <c r="BD929" s="541"/>
      <c r="BE929" s="541"/>
      <c r="BF929" s="541"/>
      <c r="BG929" s="541"/>
      <c r="BH929" s="780"/>
      <c r="BI929" s="780"/>
      <c r="BJ929" s="780"/>
      <c r="BK929" s="780"/>
      <c r="BL929" s="780"/>
      <c r="BM929" s="780"/>
    </row>
    <row r="930" ht="12.75" customHeight="1">
      <c r="A930" s="521"/>
      <c r="B930" s="521"/>
      <c r="C930" s="515"/>
      <c r="D930" s="515"/>
      <c r="E930" s="515"/>
      <c r="F930" s="515"/>
      <c r="G930" s="515"/>
      <c r="H930" s="515"/>
      <c r="I930" s="515"/>
      <c r="J930" s="515"/>
      <c r="K930" s="515"/>
      <c r="L930" s="515"/>
      <c r="M930" s="515"/>
      <c r="N930" s="515"/>
      <c r="O930" s="533"/>
      <c r="P930" s="786"/>
      <c r="Q930" s="787"/>
      <c r="R930" s="787"/>
      <c r="S930" s="787"/>
      <c r="T930" s="786"/>
      <c r="U930" s="787"/>
      <c r="V930" s="787"/>
      <c r="W930" s="787"/>
      <c r="X930" s="786"/>
      <c r="Y930" s="787"/>
      <c r="Z930" s="787"/>
      <c r="AA930" s="787"/>
      <c r="AB930" s="786"/>
      <c r="AC930" s="787"/>
      <c r="AD930" s="787"/>
      <c r="AE930" s="787"/>
      <c r="AF930" s="786"/>
      <c r="AG930" s="787"/>
      <c r="AH930" s="787"/>
      <c r="AI930" s="787"/>
      <c r="AJ930" s="786"/>
      <c r="AK930" s="787"/>
      <c r="AL930" s="787"/>
      <c r="AM930" s="787"/>
      <c r="AN930" s="786"/>
      <c r="AO930" s="787"/>
      <c r="AP930" s="787"/>
      <c r="AQ930" s="787"/>
      <c r="AR930" s="786"/>
      <c r="AS930" s="787"/>
      <c r="AT930" s="787"/>
      <c r="AU930" s="787"/>
      <c r="AV930" s="786"/>
      <c r="AW930" s="787"/>
      <c r="AX930" s="787"/>
      <c r="AY930" s="787"/>
      <c r="AZ930" s="780"/>
      <c r="BA930" s="780"/>
      <c r="BB930" s="780"/>
      <c r="BC930" s="780"/>
      <c r="BD930" s="541"/>
      <c r="BE930" s="541"/>
      <c r="BF930" s="541"/>
      <c r="BG930" s="541"/>
      <c r="BH930" s="780"/>
      <c r="BI930" s="780"/>
      <c r="BJ930" s="780"/>
      <c r="BK930" s="780"/>
      <c r="BL930" s="780"/>
      <c r="BM930" s="780"/>
    </row>
    <row r="931" ht="12.75" customHeight="1">
      <c r="A931" s="521"/>
      <c r="B931" s="521"/>
      <c r="C931" s="515"/>
      <c r="D931" s="515"/>
      <c r="E931" s="515"/>
      <c r="F931" s="515"/>
      <c r="G931" s="515"/>
      <c r="H931" s="515"/>
      <c r="I931" s="515"/>
      <c r="J931" s="515"/>
      <c r="K931" s="515"/>
      <c r="L931" s="515"/>
      <c r="M931" s="515"/>
      <c r="N931" s="515"/>
      <c r="O931" s="533"/>
      <c r="P931" s="786"/>
      <c r="Q931" s="787"/>
      <c r="R931" s="787"/>
      <c r="S931" s="787"/>
      <c r="T931" s="786"/>
      <c r="U931" s="787"/>
      <c r="V931" s="787"/>
      <c r="W931" s="787"/>
      <c r="X931" s="786"/>
      <c r="Y931" s="787"/>
      <c r="Z931" s="787"/>
      <c r="AA931" s="787"/>
      <c r="AB931" s="786"/>
      <c r="AC931" s="787"/>
      <c r="AD931" s="787"/>
      <c r="AE931" s="787"/>
      <c r="AF931" s="786"/>
      <c r="AG931" s="787"/>
      <c r="AH931" s="787"/>
      <c r="AI931" s="787"/>
      <c r="AJ931" s="786"/>
      <c r="AK931" s="787"/>
      <c r="AL931" s="787"/>
      <c r="AM931" s="787"/>
      <c r="AN931" s="786"/>
      <c r="AO931" s="787"/>
      <c r="AP931" s="787"/>
      <c r="AQ931" s="787"/>
      <c r="AR931" s="786"/>
      <c r="AS931" s="787"/>
      <c r="AT931" s="787"/>
      <c r="AU931" s="787"/>
      <c r="AV931" s="786"/>
      <c r="AW931" s="787"/>
      <c r="AX931" s="787"/>
      <c r="AY931" s="787"/>
      <c r="AZ931" s="780"/>
      <c r="BA931" s="780"/>
      <c r="BB931" s="780"/>
      <c r="BC931" s="780"/>
      <c r="BD931" s="541"/>
      <c r="BE931" s="541"/>
      <c r="BF931" s="541"/>
      <c r="BG931" s="541"/>
      <c r="BH931" s="780"/>
      <c r="BI931" s="780"/>
      <c r="BJ931" s="780"/>
      <c r="BK931" s="780"/>
      <c r="BL931" s="780"/>
      <c r="BM931" s="780"/>
    </row>
    <row r="932" ht="12.75" customHeight="1">
      <c r="A932" s="521"/>
      <c r="B932" s="521"/>
      <c r="C932" s="515"/>
      <c r="D932" s="515"/>
      <c r="E932" s="515"/>
      <c r="F932" s="515"/>
      <c r="G932" s="515"/>
      <c r="H932" s="515"/>
      <c r="I932" s="515"/>
      <c r="J932" s="515"/>
      <c r="K932" s="515"/>
      <c r="L932" s="515"/>
      <c r="M932" s="515"/>
      <c r="N932" s="515"/>
      <c r="O932" s="533"/>
      <c r="P932" s="786"/>
      <c r="Q932" s="787"/>
      <c r="R932" s="787"/>
      <c r="S932" s="787"/>
      <c r="T932" s="786"/>
      <c r="U932" s="787"/>
      <c r="V932" s="787"/>
      <c r="W932" s="787"/>
      <c r="X932" s="786"/>
      <c r="Y932" s="787"/>
      <c r="Z932" s="787"/>
      <c r="AA932" s="787"/>
      <c r="AB932" s="786"/>
      <c r="AC932" s="787"/>
      <c r="AD932" s="787"/>
      <c r="AE932" s="787"/>
      <c r="AF932" s="786"/>
      <c r="AG932" s="787"/>
      <c r="AH932" s="787"/>
      <c r="AI932" s="787"/>
      <c r="AJ932" s="786"/>
      <c r="AK932" s="787"/>
      <c r="AL932" s="787"/>
      <c r="AM932" s="787"/>
      <c r="AN932" s="786"/>
      <c r="AO932" s="787"/>
      <c r="AP932" s="787"/>
      <c r="AQ932" s="787"/>
      <c r="AR932" s="786"/>
      <c r="AS932" s="787"/>
      <c r="AT932" s="787"/>
      <c r="AU932" s="787"/>
      <c r="AV932" s="786"/>
      <c r="AW932" s="787"/>
      <c r="AX932" s="787"/>
      <c r="AY932" s="787"/>
      <c r="AZ932" s="780"/>
      <c r="BA932" s="780"/>
      <c r="BB932" s="780"/>
      <c r="BC932" s="780"/>
      <c r="BD932" s="541"/>
      <c r="BE932" s="541"/>
      <c r="BF932" s="541"/>
      <c r="BG932" s="541"/>
      <c r="BH932" s="780"/>
      <c r="BI932" s="780"/>
      <c r="BJ932" s="780"/>
      <c r="BK932" s="780"/>
      <c r="BL932" s="780"/>
      <c r="BM932" s="780"/>
    </row>
    <row r="933" ht="12.75" customHeight="1">
      <c r="A933" s="521"/>
      <c r="B933" s="521"/>
      <c r="C933" s="515"/>
      <c r="D933" s="515"/>
      <c r="E933" s="515"/>
      <c r="F933" s="515"/>
      <c r="G933" s="515"/>
      <c r="H933" s="515"/>
      <c r="I933" s="515"/>
      <c r="J933" s="515"/>
      <c r="K933" s="515"/>
      <c r="L933" s="515"/>
      <c r="M933" s="515"/>
      <c r="N933" s="515"/>
      <c r="O933" s="533"/>
      <c r="P933" s="786"/>
      <c r="Q933" s="787"/>
      <c r="R933" s="787"/>
      <c r="S933" s="787"/>
      <c r="T933" s="786"/>
      <c r="U933" s="787"/>
      <c r="V933" s="787"/>
      <c r="W933" s="787"/>
      <c r="X933" s="786"/>
      <c r="Y933" s="787"/>
      <c r="Z933" s="787"/>
      <c r="AA933" s="787"/>
      <c r="AB933" s="786"/>
      <c r="AC933" s="787"/>
      <c r="AD933" s="787"/>
      <c r="AE933" s="787"/>
      <c r="AF933" s="786"/>
      <c r="AG933" s="787"/>
      <c r="AH933" s="787"/>
      <c r="AI933" s="787"/>
      <c r="AJ933" s="786"/>
      <c r="AK933" s="787"/>
      <c r="AL933" s="787"/>
      <c r="AM933" s="787"/>
      <c r="AN933" s="786"/>
      <c r="AO933" s="787"/>
      <c r="AP933" s="787"/>
      <c r="AQ933" s="787"/>
      <c r="AR933" s="786"/>
      <c r="AS933" s="787"/>
      <c r="AT933" s="787"/>
      <c r="AU933" s="787"/>
      <c r="AV933" s="786"/>
      <c r="AW933" s="787"/>
      <c r="AX933" s="787"/>
      <c r="AY933" s="787"/>
      <c r="AZ933" s="780"/>
      <c r="BA933" s="780"/>
      <c r="BB933" s="780"/>
      <c r="BC933" s="780"/>
      <c r="BD933" s="541"/>
      <c r="BE933" s="541"/>
      <c r="BF933" s="541"/>
      <c r="BG933" s="541"/>
      <c r="BH933" s="780"/>
      <c r="BI933" s="780"/>
      <c r="BJ933" s="780"/>
      <c r="BK933" s="780"/>
      <c r="BL933" s="780"/>
      <c r="BM933" s="780"/>
    </row>
    <row r="934" ht="12.75" customHeight="1">
      <c r="A934" s="521"/>
      <c r="B934" s="521"/>
      <c r="C934" s="515"/>
      <c r="D934" s="515"/>
      <c r="E934" s="515"/>
      <c r="F934" s="515"/>
      <c r="G934" s="515"/>
      <c r="H934" s="515"/>
      <c r="I934" s="515"/>
      <c r="J934" s="515"/>
      <c r="K934" s="515"/>
      <c r="L934" s="515"/>
      <c r="M934" s="515"/>
      <c r="N934" s="515"/>
      <c r="O934" s="533"/>
      <c r="P934" s="786"/>
      <c r="Q934" s="787"/>
      <c r="R934" s="787"/>
      <c r="S934" s="787"/>
      <c r="T934" s="786"/>
      <c r="U934" s="787"/>
      <c r="V934" s="787"/>
      <c r="W934" s="787"/>
      <c r="X934" s="786"/>
      <c r="Y934" s="787"/>
      <c r="Z934" s="787"/>
      <c r="AA934" s="787"/>
      <c r="AB934" s="786"/>
      <c r="AC934" s="787"/>
      <c r="AD934" s="787"/>
      <c r="AE934" s="787"/>
      <c r="AF934" s="786"/>
      <c r="AG934" s="787"/>
      <c r="AH934" s="787"/>
      <c r="AI934" s="787"/>
      <c r="AJ934" s="786"/>
      <c r="AK934" s="787"/>
      <c r="AL934" s="787"/>
      <c r="AM934" s="787"/>
      <c r="AN934" s="786"/>
      <c r="AO934" s="787"/>
      <c r="AP934" s="787"/>
      <c r="AQ934" s="787"/>
      <c r="AR934" s="786"/>
      <c r="AS934" s="787"/>
      <c r="AT934" s="787"/>
      <c r="AU934" s="787"/>
      <c r="AV934" s="786"/>
      <c r="AW934" s="787"/>
      <c r="AX934" s="787"/>
      <c r="AY934" s="787"/>
      <c r="AZ934" s="780"/>
      <c r="BA934" s="780"/>
      <c r="BB934" s="780"/>
      <c r="BC934" s="780"/>
      <c r="BD934" s="541"/>
      <c r="BE934" s="541"/>
      <c r="BF934" s="541"/>
      <c r="BG934" s="541"/>
      <c r="BH934" s="780"/>
      <c r="BI934" s="780"/>
      <c r="BJ934" s="780"/>
      <c r="BK934" s="780"/>
      <c r="BL934" s="780"/>
      <c r="BM934" s="780"/>
    </row>
    <row r="935" ht="12.75" customHeight="1">
      <c r="A935" s="521"/>
      <c r="B935" s="521"/>
      <c r="C935" s="515"/>
      <c r="D935" s="515"/>
      <c r="E935" s="515"/>
      <c r="F935" s="515"/>
      <c r="G935" s="515"/>
      <c r="H935" s="515"/>
      <c r="I935" s="515"/>
      <c r="J935" s="515"/>
      <c r="K935" s="515"/>
      <c r="L935" s="515"/>
      <c r="M935" s="515"/>
      <c r="N935" s="515"/>
      <c r="O935" s="533"/>
      <c r="P935" s="786"/>
      <c r="Q935" s="787"/>
      <c r="R935" s="787"/>
      <c r="S935" s="787"/>
      <c r="T935" s="786"/>
      <c r="U935" s="787"/>
      <c r="V935" s="787"/>
      <c r="W935" s="787"/>
      <c r="X935" s="786"/>
      <c r="Y935" s="787"/>
      <c r="Z935" s="787"/>
      <c r="AA935" s="787"/>
      <c r="AB935" s="786"/>
      <c r="AC935" s="787"/>
      <c r="AD935" s="787"/>
      <c r="AE935" s="787"/>
      <c r="AF935" s="786"/>
      <c r="AG935" s="787"/>
      <c r="AH935" s="787"/>
      <c r="AI935" s="787"/>
      <c r="AJ935" s="786"/>
      <c r="AK935" s="787"/>
      <c r="AL935" s="787"/>
      <c r="AM935" s="787"/>
      <c r="AN935" s="786"/>
      <c r="AO935" s="787"/>
      <c r="AP935" s="787"/>
      <c r="AQ935" s="787"/>
      <c r="AR935" s="786"/>
      <c r="AS935" s="787"/>
      <c r="AT935" s="787"/>
      <c r="AU935" s="787"/>
      <c r="AV935" s="786"/>
      <c r="AW935" s="787"/>
      <c r="AX935" s="787"/>
      <c r="AY935" s="787"/>
      <c r="AZ935" s="780"/>
      <c r="BA935" s="780"/>
      <c r="BB935" s="780"/>
      <c r="BC935" s="780"/>
      <c r="BD935" s="541"/>
      <c r="BE935" s="541"/>
      <c r="BF935" s="541"/>
      <c r="BG935" s="541"/>
      <c r="BH935" s="780"/>
      <c r="BI935" s="780"/>
      <c r="BJ935" s="780"/>
      <c r="BK935" s="780"/>
      <c r="BL935" s="780"/>
      <c r="BM935" s="780"/>
    </row>
    <row r="936" ht="12.75" customHeight="1">
      <c r="A936" s="521"/>
      <c r="B936" s="521"/>
      <c r="C936" s="515"/>
      <c r="D936" s="515"/>
      <c r="E936" s="515"/>
      <c r="F936" s="515"/>
      <c r="G936" s="515"/>
      <c r="H936" s="515"/>
      <c r="I936" s="515"/>
      <c r="J936" s="515"/>
      <c r="K936" s="515"/>
      <c r="L936" s="515"/>
      <c r="M936" s="515"/>
      <c r="N936" s="515"/>
      <c r="O936" s="533"/>
      <c r="P936" s="786"/>
      <c r="Q936" s="787"/>
      <c r="R936" s="787"/>
      <c r="S936" s="787"/>
      <c r="T936" s="786"/>
      <c r="U936" s="787"/>
      <c r="V936" s="787"/>
      <c r="W936" s="787"/>
      <c r="X936" s="786"/>
      <c r="Y936" s="787"/>
      <c r="Z936" s="787"/>
      <c r="AA936" s="787"/>
      <c r="AB936" s="786"/>
      <c r="AC936" s="787"/>
      <c r="AD936" s="787"/>
      <c r="AE936" s="787"/>
      <c r="AF936" s="786"/>
      <c r="AG936" s="787"/>
      <c r="AH936" s="787"/>
      <c r="AI936" s="787"/>
      <c r="AJ936" s="786"/>
      <c r="AK936" s="787"/>
      <c r="AL936" s="787"/>
      <c r="AM936" s="787"/>
      <c r="AN936" s="786"/>
      <c r="AO936" s="787"/>
      <c r="AP936" s="787"/>
      <c r="AQ936" s="787"/>
      <c r="AR936" s="786"/>
      <c r="AS936" s="787"/>
      <c r="AT936" s="787"/>
      <c r="AU936" s="787"/>
      <c r="AV936" s="786"/>
      <c r="AW936" s="787"/>
      <c r="AX936" s="787"/>
      <c r="AY936" s="787"/>
      <c r="AZ936" s="780"/>
      <c r="BA936" s="780"/>
      <c r="BB936" s="780"/>
      <c r="BC936" s="780"/>
      <c r="BD936" s="541"/>
      <c r="BE936" s="541"/>
      <c r="BF936" s="541"/>
      <c r="BG936" s="541"/>
      <c r="BH936" s="780"/>
      <c r="BI936" s="780"/>
      <c r="BJ936" s="780"/>
      <c r="BK936" s="780"/>
      <c r="BL936" s="780"/>
      <c r="BM936" s="780"/>
    </row>
    <row r="937" ht="12.75" customHeight="1">
      <c r="A937" s="521"/>
      <c r="B937" s="521"/>
      <c r="C937" s="515"/>
      <c r="D937" s="515"/>
      <c r="E937" s="515"/>
      <c r="F937" s="515"/>
      <c r="G937" s="515"/>
      <c r="H937" s="515"/>
      <c r="I937" s="515"/>
      <c r="J937" s="515"/>
      <c r="K937" s="515"/>
      <c r="L937" s="515"/>
      <c r="M937" s="515"/>
      <c r="N937" s="515"/>
      <c r="O937" s="533"/>
      <c r="P937" s="786"/>
      <c r="Q937" s="787"/>
      <c r="R937" s="787"/>
      <c r="S937" s="787"/>
      <c r="T937" s="786"/>
      <c r="U937" s="787"/>
      <c r="V937" s="787"/>
      <c r="W937" s="787"/>
      <c r="X937" s="786"/>
      <c r="Y937" s="787"/>
      <c r="Z937" s="787"/>
      <c r="AA937" s="787"/>
      <c r="AB937" s="786"/>
      <c r="AC937" s="787"/>
      <c r="AD937" s="787"/>
      <c r="AE937" s="787"/>
      <c r="AF937" s="786"/>
      <c r="AG937" s="787"/>
      <c r="AH937" s="787"/>
      <c r="AI937" s="787"/>
      <c r="AJ937" s="786"/>
      <c r="AK937" s="787"/>
      <c r="AL937" s="787"/>
      <c r="AM937" s="787"/>
      <c r="AN937" s="786"/>
      <c r="AO937" s="787"/>
      <c r="AP937" s="787"/>
      <c r="AQ937" s="787"/>
      <c r="AR937" s="786"/>
      <c r="AS937" s="787"/>
      <c r="AT937" s="787"/>
      <c r="AU937" s="787"/>
      <c r="AV937" s="786"/>
      <c r="AW937" s="787"/>
      <c r="AX937" s="787"/>
      <c r="AY937" s="787"/>
      <c r="AZ937" s="780"/>
      <c r="BA937" s="780"/>
      <c r="BB937" s="780"/>
      <c r="BC937" s="780"/>
      <c r="BD937" s="541"/>
      <c r="BE937" s="541"/>
      <c r="BF937" s="541"/>
      <c r="BG937" s="541"/>
      <c r="BH937" s="780"/>
      <c r="BI937" s="780"/>
      <c r="BJ937" s="780"/>
      <c r="BK937" s="780"/>
      <c r="BL937" s="780"/>
      <c r="BM937" s="780"/>
    </row>
    <row r="938" ht="12.75" customHeight="1">
      <c r="A938" s="521"/>
      <c r="B938" s="521"/>
      <c r="C938" s="515"/>
      <c r="D938" s="515"/>
      <c r="E938" s="515"/>
      <c r="F938" s="515"/>
      <c r="G938" s="515"/>
      <c r="H938" s="515"/>
      <c r="I938" s="515"/>
      <c r="J938" s="515"/>
      <c r="K938" s="515"/>
      <c r="L938" s="515"/>
      <c r="M938" s="515"/>
      <c r="N938" s="515"/>
      <c r="O938" s="533"/>
      <c r="P938" s="786"/>
      <c r="Q938" s="787"/>
      <c r="R938" s="787"/>
      <c r="S938" s="787"/>
      <c r="T938" s="786"/>
      <c r="U938" s="787"/>
      <c r="V938" s="787"/>
      <c r="W938" s="787"/>
      <c r="X938" s="786"/>
      <c r="Y938" s="787"/>
      <c r="Z938" s="787"/>
      <c r="AA938" s="787"/>
      <c r="AB938" s="786"/>
      <c r="AC938" s="787"/>
      <c r="AD938" s="787"/>
      <c r="AE938" s="787"/>
      <c r="AF938" s="786"/>
      <c r="AG938" s="787"/>
      <c r="AH938" s="787"/>
      <c r="AI938" s="787"/>
      <c r="AJ938" s="786"/>
      <c r="AK938" s="787"/>
      <c r="AL938" s="787"/>
      <c r="AM938" s="787"/>
      <c r="AN938" s="786"/>
      <c r="AO938" s="787"/>
      <c r="AP938" s="787"/>
      <c r="AQ938" s="787"/>
      <c r="AR938" s="786"/>
      <c r="AS938" s="787"/>
      <c r="AT938" s="787"/>
      <c r="AU938" s="787"/>
      <c r="AV938" s="786"/>
      <c r="AW938" s="787"/>
      <c r="AX938" s="787"/>
      <c r="AY938" s="787"/>
      <c r="AZ938" s="780"/>
      <c r="BA938" s="780"/>
      <c r="BB938" s="780"/>
      <c r="BC938" s="780"/>
      <c r="BD938" s="541"/>
      <c r="BE938" s="541"/>
      <c r="BF938" s="541"/>
      <c r="BG938" s="541"/>
      <c r="BH938" s="780"/>
      <c r="BI938" s="780"/>
      <c r="BJ938" s="780"/>
      <c r="BK938" s="780"/>
      <c r="BL938" s="780"/>
      <c r="BM938" s="780"/>
    </row>
    <row r="939" ht="12.75" customHeight="1">
      <c r="A939" s="521"/>
      <c r="B939" s="521"/>
      <c r="C939" s="515"/>
      <c r="D939" s="515"/>
      <c r="E939" s="515"/>
      <c r="F939" s="515"/>
      <c r="G939" s="515"/>
      <c r="H939" s="515"/>
      <c r="I939" s="515"/>
      <c r="J939" s="515"/>
      <c r="K939" s="515"/>
      <c r="L939" s="515"/>
      <c r="M939" s="515"/>
      <c r="N939" s="515"/>
      <c r="O939" s="533"/>
      <c r="P939" s="786"/>
      <c r="Q939" s="787"/>
      <c r="R939" s="787"/>
      <c r="S939" s="787"/>
      <c r="T939" s="786"/>
      <c r="U939" s="787"/>
      <c r="V939" s="787"/>
      <c r="W939" s="787"/>
      <c r="X939" s="786"/>
      <c r="Y939" s="787"/>
      <c r="Z939" s="787"/>
      <c r="AA939" s="787"/>
      <c r="AB939" s="786"/>
      <c r="AC939" s="787"/>
      <c r="AD939" s="787"/>
      <c r="AE939" s="787"/>
      <c r="AF939" s="786"/>
      <c r="AG939" s="787"/>
      <c r="AH939" s="787"/>
      <c r="AI939" s="787"/>
      <c r="AJ939" s="786"/>
      <c r="AK939" s="787"/>
      <c r="AL939" s="787"/>
      <c r="AM939" s="787"/>
      <c r="AN939" s="786"/>
      <c r="AO939" s="787"/>
      <c r="AP939" s="787"/>
      <c r="AQ939" s="787"/>
      <c r="AR939" s="786"/>
      <c r="AS939" s="787"/>
      <c r="AT939" s="787"/>
      <c r="AU939" s="787"/>
      <c r="AV939" s="786"/>
      <c r="AW939" s="787"/>
      <c r="AX939" s="787"/>
      <c r="AY939" s="787"/>
      <c r="AZ939" s="780"/>
      <c r="BA939" s="780"/>
      <c r="BB939" s="780"/>
      <c r="BC939" s="780"/>
      <c r="BD939" s="541"/>
      <c r="BE939" s="541"/>
      <c r="BF939" s="541"/>
      <c r="BG939" s="541"/>
      <c r="BH939" s="780"/>
      <c r="BI939" s="780"/>
      <c r="BJ939" s="780"/>
      <c r="BK939" s="780"/>
      <c r="BL939" s="780"/>
      <c r="BM939" s="780"/>
    </row>
    <row r="940" ht="12.75" customHeight="1">
      <c r="A940" s="521"/>
      <c r="B940" s="521"/>
      <c r="C940" s="515"/>
      <c r="D940" s="515"/>
      <c r="E940" s="515"/>
      <c r="F940" s="515"/>
      <c r="G940" s="515"/>
      <c r="H940" s="515"/>
      <c r="I940" s="515"/>
      <c r="J940" s="515"/>
      <c r="K940" s="515"/>
      <c r="L940" s="515"/>
      <c r="M940" s="515"/>
      <c r="N940" s="515"/>
      <c r="O940" s="533"/>
      <c r="P940" s="786"/>
      <c r="Q940" s="787"/>
      <c r="R940" s="787"/>
      <c r="S940" s="787"/>
      <c r="T940" s="786"/>
      <c r="U940" s="787"/>
      <c r="V940" s="787"/>
      <c r="W940" s="787"/>
      <c r="X940" s="786"/>
      <c r="Y940" s="787"/>
      <c r="Z940" s="787"/>
      <c r="AA940" s="787"/>
      <c r="AB940" s="786"/>
      <c r="AC940" s="787"/>
      <c r="AD940" s="787"/>
      <c r="AE940" s="787"/>
      <c r="AF940" s="786"/>
      <c r="AG940" s="787"/>
      <c r="AH940" s="787"/>
      <c r="AI940" s="787"/>
      <c r="AJ940" s="786"/>
      <c r="AK940" s="787"/>
      <c r="AL940" s="787"/>
      <c r="AM940" s="787"/>
      <c r="AN940" s="786"/>
      <c r="AO940" s="787"/>
      <c r="AP940" s="787"/>
      <c r="AQ940" s="787"/>
      <c r="AR940" s="786"/>
      <c r="AS940" s="787"/>
      <c r="AT940" s="787"/>
      <c r="AU940" s="787"/>
      <c r="AV940" s="786"/>
      <c r="AW940" s="787"/>
      <c r="AX940" s="787"/>
      <c r="AY940" s="787"/>
      <c r="AZ940" s="780"/>
      <c r="BA940" s="780"/>
      <c r="BB940" s="780"/>
      <c r="BC940" s="780"/>
      <c r="BD940" s="541"/>
      <c r="BE940" s="541"/>
      <c r="BF940" s="541"/>
      <c r="BG940" s="541"/>
      <c r="BH940" s="780"/>
      <c r="BI940" s="780"/>
      <c r="BJ940" s="780"/>
      <c r="BK940" s="780"/>
      <c r="BL940" s="780"/>
      <c r="BM940" s="780"/>
    </row>
    <row r="941" ht="12.75" customHeight="1">
      <c r="A941" s="521"/>
      <c r="B941" s="521"/>
      <c r="C941" s="515"/>
      <c r="D941" s="515"/>
      <c r="E941" s="515"/>
      <c r="F941" s="515"/>
      <c r="G941" s="515"/>
      <c r="H941" s="515"/>
      <c r="I941" s="515"/>
      <c r="J941" s="515"/>
      <c r="K941" s="515"/>
      <c r="L941" s="515"/>
      <c r="M941" s="515"/>
      <c r="N941" s="515"/>
      <c r="O941" s="533"/>
      <c r="P941" s="786"/>
      <c r="Q941" s="787"/>
      <c r="R941" s="787"/>
      <c r="S941" s="787"/>
      <c r="T941" s="786"/>
      <c r="U941" s="787"/>
      <c r="V941" s="787"/>
      <c r="W941" s="787"/>
      <c r="X941" s="786"/>
      <c r="Y941" s="787"/>
      <c r="Z941" s="787"/>
      <c r="AA941" s="787"/>
      <c r="AB941" s="786"/>
      <c r="AC941" s="787"/>
      <c r="AD941" s="787"/>
      <c r="AE941" s="787"/>
      <c r="AF941" s="786"/>
      <c r="AG941" s="787"/>
      <c r="AH941" s="787"/>
      <c r="AI941" s="787"/>
      <c r="AJ941" s="786"/>
      <c r="AK941" s="787"/>
      <c r="AL941" s="787"/>
      <c r="AM941" s="787"/>
      <c r="AN941" s="786"/>
      <c r="AO941" s="787"/>
      <c r="AP941" s="787"/>
      <c r="AQ941" s="787"/>
      <c r="AR941" s="786"/>
      <c r="AS941" s="787"/>
      <c r="AT941" s="787"/>
      <c r="AU941" s="787"/>
      <c r="AV941" s="786"/>
      <c r="AW941" s="787"/>
      <c r="AX941" s="787"/>
      <c r="AY941" s="787"/>
      <c r="AZ941" s="780"/>
      <c r="BA941" s="780"/>
      <c r="BB941" s="780"/>
      <c r="BC941" s="780"/>
      <c r="BD941" s="541"/>
      <c r="BE941" s="541"/>
      <c r="BF941" s="541"/>
      <c r="BG941" s="541"/>
      <c r="BH941" s="780"/>
      <c r="BI941" s="780"/>
      <c r="BJ941" s="780"/>
      <c r="BK941" s="780"/>
      <c r="BL941" s="780"/>
      <c r="BM941" s="780"/>
    </row>
    <row r="942" ht="12.75" customHeight="1">
      <c r="A942" s="521"/>
      <c r="B942" s="521"/>
      <c r="C942" s="515"/>
      <c r="D942" s="515"/>
      <c r="E942" s="515"/>
      <c r="F942" s="515"/>
      <c r="G942" s="515"/>
      <c r="H942" s="515"/>
      <c r="I942" s="515"/>
      <c r="J942" s="515"/>
      <c r="K942" s="515"/>
      <c r="L942" s="515"/>
      <c r="M942" s="515"/>
      <c r="N942" s="515"/>
      <c r="O942" s="533"/>
      <c r="P942" s="786"/>
      <c r="Q942" s="787"/>
      <c r="R942" s="787"/>
      <c r="S942" s="787"/>
      <c r="T942" s="786"/>
      <c r="U942" s="787"/>
      <c r="V942" s="787"/>
      <c r="W942" s="787"/>
      <c r="X942" s="786"/>
      <c r="Y942" s="787"/>
      <c r="Z942" s="787"/>
      <c r="AA942" s="787"/>
      <c r="AB942" s="786"/>
      <c r="AC942" s="787"/>
      <c r="AD942" s="787"/>
      <c r="AE942" s="787"/>
      <c r="AF942" s="786"/>
      <c r="AG942" s="787"/>
      <c r="AH942" s="787"/>
      <c r="AI942" s="787"/>
      <c r="AJ942" s="786"/>
      <c r="AK942" s="787"/>
      <c r="AL942" s="787"/>
      <c r="AM942" s="787"/>
      <c r="AN942" s="786"/>
      <c r="AO942" s="787"/>
      <c r="AP942" s="787"/>
      <c r="AQ942" s="787"/>
      <c r="AR942" s="786"/>
      <c r="AS942" s="787"/>
      <c r="AT942" s="787"/>
      <c r="AU942" s="787"/>
      <c r="AV942" s="786"/>
      <c r="AW942" s="787"/>
      <c r="AX942" s="787"/>
      <c r="AY942" s="787"/>
      <c r="AZ942" s="780"/>
      <c r="BA942" s="780"/>
      <c r="BB942" s="780"/>
      <c r="BC942" s="780"/>
      <c r="BD942" s="541"/>
      <c r="BE942" s="541"/>
      <c r="BF942" s="541"/>
      <c r="BG942" s="541"/>
      <c r="BH942" s="780"/>
      <c r="BI942" s="780"/>
      <c r="BJ942" s="780"/>
      <c r="BK942" s="780"/>
      <c r="BL942" s="780"/>
      <c r="BM942" s="780"/>
    </row>
    <row r="943" ht="12.75" customHeight="1">
      <c r="A943" s="521"/>
      <c r="B943" s="521"/>
      <c r="C943" s="515"/>
      <c r="D943" s="515"/>
      <c r="E943" s="515"/>
      <c r="F943" s="515"/>
      <c r="G943" s="515"/>
      <c r="H943" s="515"/>
      <c r="I943" s="515"/>
      <c r="J943" s="515"/>
      <c r="K943" s="515"/>
      <c r="L943" s="515"/>
      <c r="M943" s="515"/>
      <c r="N943" s="515"/>
      <c r="O943" s="533"/>
      <c r="P943" s="786"/>
      <c r="Q943" s="787"/>
      <c r="R943" s="787"/>
      <c r="S943" s="787"/>
      <c r="T943" s="786"/>
      <c r="U943" s="787"/>
      <c r="V943" s="787"/>
      <c r="W943" s="787"/>
      <c r="X943" s="786"/>
      <c r="Y943" s="787"/>
      <c r="Z943" s="787"/>
      <c r="AA943" s="787"/>
      <c r="AB943" s="786"/>
      <c r="AC943" s="787"/>
      <c r="AD943" s="787"/>
      <c r="AE943" s="787"/>
      <c r="AF943" s="786"/>
      <c r="AG943" s="787"/>
      <c r="AH943" s="787"/>
      <c r="AI943" s="787"/>
      <c r="AJ943" s="786"/>
      <c r="AK943" s="787"/>
      <c r="AL943" s="787"/>
      <c r="AM943" s="787"/>
      <c r="AN943" s="786"/>
      <c r="AO943" s="787"/>
      <c r="AP943" s="787"/>
      <c r="AQ943" s="787"/>
      <c r="AR943" s="786"/>
      <c r="AS943" s="787"/>
      <c r="AT943" s="787"/>
      <c r="AU943" s="787"/>
      <c r="AV943" s="786"/>
      <c r="AW943" s="787"/>
      <c r="AX943" s="787"/>
      <c r="AY943" s="787"/>
      <c r="AZ943" s="780"/>
      <c r="BA943" s="780"/>
      <c r="BB943" s="780"/>
      <c r="BC943" s="780"/>
      <c r="BD943" s="541"/>
      <c r="BE943" s="541"/>
      <c r="BF943" s="541"/>
      <c r="BG943" s="541"/>
      <c r="BH943" s="780"/>
      <c r="BI943" s="780"/>
      <c r="BJ943" s="780"/>
      <c r="BK943" s="780"/>
      <c r="BL943" s="780"/>
      <c r="BM943" s="780"/>
    </row>
    <row r="944" ht="12.75" customHeight="1">
      <c r="A944" s="521"/>
      <c r="B944" s="521"/>
      <c r="C944" s="515"/>
      <c r="D944" s="515"/>
      <c r="E944" s="515"/>
      <c r="F944" s="515"/>
      <c r="G944" s="515"/>
      <c r="H944" s="515"/>
      <c r="I944" s="515"/>
      <c r="J944" s="515"/>
      <c r="K944" s="515"/>
      <c r="L944" s="515"/>
      <c r="M944" s="515"/>
      <c r="N944" s="515"/>
      <c r="O944" s="533"/>
      <c r="P944" s="786"/>
      <c r="Q944" s="787"/>
      <c r="R944" s="787"/>
      <c r="S944" s="787"/>
      <c r="T944" s="786"/>
      <c r="U944" s="787"/>
      <c r="V944" s="787"/>
      <c r="W944" s="787"/>
      <c r="X944" s="786"/>
      <c r="Y944" s="787"/>
      <c r="Z944" s="787"/>
      <c r="AA944" s="787"/>
      <c r="AB944" s="786"/>
      <c r="AC944" s="787"/>
      <c r="AD944" s="787"/>
      <c r="AE944" s="787"/>
      <c r="AF944" s="786"/>
      <c r="AG944" s="787"/>
      <c r="AH944" s="787"/>
      <c r="AI944" s="787"/>
      <c r="AJ944" s="786"/>
      <c r="AK944" s="787"/>
      <c r="AL944" s="787"/>
      <c r="AM944" s="787"/>
      <c r="AN944" s="786"/>
      <c r="AO944" s="787"/>
      <c r="AP944" s="787"/>
      <c r="AQ944" s="787"/>
      <c r="AR944" s="786"/>
      <c r="AS944" s="787"/>
      <c r="AT944" s="787"/>
      <c r="AU944" s="787"/>
      <c r="AV944" s="786"/>
      <c r="AW944" s="787"/>
      <c r="AX944" s="787"/>
      <c r="AY944" s="787"/>
      <c r="AZ944" s="780"/>
      <c r="BA944" s="780"/>
      <c r="BB944" s="780"/>
      <c r="BC944" s="780"/>
      <c r="BD944" s="541"/>
      <c r="BE944" s="541"/>
      <c r="BF944" s="541"/>
      <c r="BG944" s="541"/>
      <c r="BH944" s="780"/>
      <c r="BI944" s="780"/>
      <c r="BJ944" s="780"/>
      <c r="BK944" s="780"/>
      <c r="BL944" s="780"/>
      <c r="BM944" s="780"/>
    </row>
    <row r="945" ht="12.75" customHeight="1">
      <c r="A945" s="521"/>
      <c r="B945" s="521"/>
      <c r="C945" s="515"/>
      <c r="D945" s="515"/>
      <c r="E945" s="515"/>
      <c r="F945" s="515"/>
      <c r="G945" s="515"/>
      <c r="H945" s="515"/>
      <c r="I945" s="515"/>
      <c r="J945" s="515"/>
      <c r="K945" s="515"/>
      <c r="L945" s="515"/>
      <c r="M945" s="515"/>
      <c r="N945" s="515"/>
      <c r="O945" s="533"/>
      <c r="P945" s="786"/>
      <c r="Q945" s="787"/>
      <c r="R945" s="787"/>
      <c r="S945" s="787"/>
      <c r="T945" s="786"/>
      <c r="U945" s="787"/>
      <c r="V945" s="787"/>
      <c r="W945" s="787"/>
      <c r="X945" s="786"/>
      <c r="Y945" s="787"/>
      <c r="Z945" s="787"/>
      <c r="AA945" s="787"/>
      <c r="AB945" s="786"/>
      <c r="AC945" s="787"/>
      <c r="AD945" s="787"/>
      <c r="AE945" s="787"/>
      <c r="AF945" s="786"/>
      <c r="AG945" s="787"/>
      <c r="AH945" s="787"/>
      <c r="AI945" s="787"/>
      <c r="AJ945" s="786"/>
      <c r="AK945" s="787"/>
      <c r="AL945" s="787"/>
      <c r="AM945" s="787"/>
      <c r="AN945" s="786"/>
      <c r="AO945" s="787"/>
      <c r="AP945" s="787"/>
      <c r="AQ945" s="787"/>
      <c r="AR945" s="786"/>
      <c r="AS945" s="787"/>
      <c r="AT945" s="787"/>
      <c r="AU945" s="787"/>
      <c r="AV945" s="786"/>
      <c r="AW945" s="787"/>
      <c r="AX945" s="787"/>
      <c r="AY945" s="787"/>
      <c r="AZ945" s="780"/>
      <c r="BA945" s="780"/>
      <c r="BB945" s="780"/>
      <c r="BC945" s="780"/>
      <c r="BD945" s="541"/>
      <c r="BE945" s="541"/>
      <c r="BF945" s="541"/>
      <c r="BG945" s="541"/>
      <c r="BH945" s="780"/>
      <c r="BI945" s="780"/>
      <c r="BJ945" s="780"/>
      <c r="BK945" s="780"/>
      <c r="BL945" s="780"/>
      <c r="BM945" s="780"/>
    </row>
    <row r="946" ht="12.75" customHeight="1">
      <c r="A946" s="521"/>
      <c r="B946" s="521"/>
      <c r="C946" s="515"/>
      <c r="D946" s="515"/>
      <c r="E946" s="515"/>
      <c r="F946" s="515"/>
      <c r="G946" s="515"/>
      <c r="H946" s="515"/>
      <c r="I946" s="515"/>
      <c r="J946" s="515"/>
      <c r="K946" s="515"/>
      <c r="L946" s="515"/>
      <c r="M946" s="515"/>
      <c r="N946" s="515"/>
      <c r="O946" s="533"/>
      <c r="P946" s="786"/>
      <c r="Q946" s="787"/>
      <c r="R946" s="787"/>
      <c r="S946" s="787"/>
      <c r="T946" s="786"/>
      <c r="U946" s="787"/>
      <c r="V946" s="787"/>
      <c r="W946" s="787"/>
      <c r="X946" s="786"/>
      <c r="Y946" s="787"/>
      <c r="Z946" s="787"/>
      <c r="AA946" s="787"/>
      <c r="AB946" s="786"/>
      <c r="AC946" s="787"/>
      <c r="AD946" s="787"/>
      <c r="AE946" s="787"/>
      <c r="AF946" s="786"/>
      <c r="AG946" s="787"/>
      <c r="AH946" s="787"/>
      <c r="AI946" s="787"/>
      <c r="AJ946" s="786"/>
      <c r="AK946" s="787"/>
      <c r="AL946" s="787"/>
      <c r="AM946" s="787"/>
      <c r="AN946" s="786"/>
      <c r="AO946" s="787"/>
      <c r="AP946" s="787"/>
      <c r="AQ946" s="787"/>
      <c r="AR946" s="786"/>
      <c r="AS946" s="787"/>
      <c r="AT946" s="787"/>
      <c r="AU946" s="787"/>
      <c r="AV946" s="786"/>
      <c r="AW946" s="787"/>
      <c r="AX946" s="787"/>
      <c r="AY946" s="787"/>
      <c r="AZ946" s="780"/>
      <c r="BA946" s="780"/>
      <c r="BB946" s="780"/>
      <c r="BC946" s="780"/>
      <c r="BD946" s="541"/>
      <c r="BE946" s="541"/>
      <c r="BF946" s="541"/>
      <c r="BG946" s="541"/>
      <c r="BH946" s="780"/>
      <c r="BI946" s="780"/>
      <c r="BJ946" s="780"/>
      <c r="BK946" s="780"/>
      <c r="BL946" s="780"/>
      <c r="BM946" s="780"/>
    </row>
    <row r="947" ht="12.75" customHeight="1">
      <c r="A947" s="521"/>
      <c r="B947" s="521"/>
      <c r="C947" s="515"/>
      <c r="D947" s="515"/>
      <c r="E947" s="515"/>
      <c r="F947" s="515"/>
      <c r="G947" s="515"/>
      <c r="H947" s="515"/>
      <c r="I947" s="515"/>
      <c r="J947" s="515"/>
      <c r="K947" s="515"/>
      <c r="L947" s="515"/>
      <c r="M947" s="515"/>
      <c r="N947" s="515"/>
      <c r="O947" s="533"/>
      <c r="P947" s="786"/>
      <c r="Q947" s="787"/>
      <c r="R947" s="787"/>
      <c r="S947" s="787"/>
      <c r="T947" s="786"/>
      <c r="U947" s="787"/>
      <c r="V947" s="787"/>
      <c r="W947" s="787"/>
      <c r="X947" s="786"/>
      <c r="Y947" s="787"/>
      <c r="Z947" s="787"/>
      <c r="AA947" s="787"/>
      <c r="AB947" s="786"/>
      <c r="AC947" s="787"/>
      <c r="AD947" s="787"/>
      <c r="AE947" s="787"/>
      <c r="AF947" s="786"/>
      <c r="AG947" s="787"/>
      <c r="AH947" s="787"/>
      <c r="AI947" s="787"/>
      <c r="AJ947" s="786"/>
      <c r="AK947" s="787"/>
      <c r="AL947" s="787"/>
      <c r="AM947" s="787"/>
      <c r="AN947" s="786"/>
      <c r="AO947" s="787"/>
      <c r="AP947" s="787"/>
      <c r="AQ947" s="787"/>
      <c r="AR947" s="786"/>
      <c r="AS947" s="787"/>
      <c r="AT947" s="787"/>
      <c r="AU947" s="787"/>
      <c r="AV947" s="786"/>
      <c r="AW947" s="787"/>
      <c r="AX947" s="787"/>
      <c r="AY947" s="787"/>
      <c r="AZ947" s="780"/>
      <c r="BA947" s="780"/>
      <c r="BB947" s="780"/>
      <c r="BC947" s="780"/>
      <c r="BD947" s="541"/>
      <c r="BE947" s="541"/>
      <c r="BF947" s="541"/>
      <c r="BG947" s="541"/>
      <c r="BH947" s="780"/>
      <c r="BI947" s="780"/>
      <c r="BJ947" s="780"/>
      <c r="BK947" s="780"/>
      <c r="BL947" s="780"/>
      <c r="BM947" s="780"/>
    </row>
    <row r="948" ht="12.75" customHeight="1">
      <c r="A948" s="521"/>
      <c r="B948" s="521"/>
      <c r="C948" s="515"/>
      <c r="D948" s="515"/>
      <c r="E948" s="515"/>
      <c r="F948" s="515"/>
      <c r="G948" s="515"/>
      <c r="H948" s="515"/>
      <c r="I948" s="515"/>
      <c r="J948" s="515"/>
      <c r="K948" s="515"/>
      <c r="L948" s="515"/>
      <c r="M948" s="515"/>
      <c r="N948" s="515"/>
      <c r="O948" s="533"/>
      <c r="P948" s="786"/>
      <c r="Q948" s="787"/>
      <c r="R948" s="787"/>
      <c r="S948" s="787"/>
      <c r="T948" s="786"/>
      <c r="U948" s="787"/>
      <c r="V948" s="787"/>
      <c r="W948" s="787"/>
      <c r="X948" s="786"/>
      <c r="Y948" s="787"/>
      <c r="Z948" s="787"/>
      <c r="AA948" s="787"/>
      <c r="AB948" s="786"/>
      <c r="AC948" s="787"/>
      <c r="AD948" s="787"/>
      <c r="AE948" s="787"/>
      <c r="AF948" s="786"/>
      <c r="AG948" s="787"/>
      <c r="AH948" s="787"/>
      <c r="AI948" s="787"/>
      <c r="AJ948" s="786"/>
      <c r="AK948" s="787"/>
      <c r="AL948" s="787"/>
      <c r="AM948" s="787"/>
      <c r="AN948" s="786"/>
      <c r="AO948" s="787"/>
      <c r="AP948" s="787"/>
      <c r="AQ948" s="787"/>
      <c r="AR948" s="786"/>
      <c r="AS948" s="787"/>
      <c r="AT948" s="787"/>
      <c r="AU948" s="787"/>
      <c r="AV948" s="786"/>
      <c r="AW948" s="787"/>
      <c r="AX948" s="787"/>
      <c r="AY948" s="787"/>
      <c r="AZ948" s="780"/>
      <c r="BA948" s="780"/>
      <c r="BB948" s="780"/>
      <c r="BC948" s="780"/>
      <c r="BD948" s="541"/>
      <c r="BE948" s="541"/>
      <c r="BF948" s="541"/>
      <c r="BG948" s="541"/>
      <c r="BH948" s="780"/>
      <c r="BI948" s="780"/>
      <c r="BJ948" s="780"/>
      <c r="BK948" s="780"/>
      <c r="BL948" s="780"/>
      <c r="BM948" s="780"/>
    </row>
    <row r="949" ht="12.75" customHeight="1">
      <c r="A949" s="521"/>
      <c r="B949" s="521"/>
      <c r="C949" s="515"/>
      <c r="D949" s="515"/>
      <c r="E949" s="515"/>
      <c r="F949" s="515"/>
      <c r="G949" s="515"/>
      <c r="H949" s="515"/>
      <c r="I949" s="515"/>
      <c r="J949" s="515"/>
      <c r="K949" s="515"/>
      <c r="L949" s="515"/>
      <c r="M949" s="515"/>
      <c r="N949" s="515"/>
      <c r="O949" s="533"/>
      <c r="P949" s="786"/>
      <c r="Q949" s="787"/>
      <c r="R949" s="787"/>
      <c r="S949" s="787"/>
      <c r="T949" s="786"/>
      <c r="U949" s="787"/>
      <c r="V949" s="787"/>
      <c r="W949" s="787"/>
      <c r="X949" s="786"/>
      <c r="Y949" s="787"/>
      <c r="Z949" s="787"/>
      <c r="AA949" s="787"/>
      <c r="AB949" s="786"/>
      <c r="AC949" s="787"/>
      <c r="AD949" s="787"/>
      <c r="AE949" s="787"/>
      <c r="AF949" s="786"/>
      <c r="AG949" s="787"/>
      <c r="AH949" s="787"/>
      <c r="AI949" s="787"/>
      <c r="AJ949" s="786"/>
      <c r="AK949" s="787"/>
      <c r="AL949" s="787"/>
      <c r="AM949" s="787"/>
      <c r="AN949" s="786"/>
      <c r="AO949" s="787"/>
      <c r="AP949" s="787"/>
      <c r="AQ949" s="787"/>
      <c r="AR949" s="786"/>
      <c r="AS949" s="787"/>
      <c r="AT949" s="787"/>
      <c r="AU949" s="787"/>
      <c r="AV949" s="786"/>
      <c r="AW949" s="787"/>
      <c r="AX949" s="787"/>
      <c r="AY949" s="787"/>
      <c r="AZ949" s="780"/>
      <c r="BA949" s="780"/>
      <c r="BB949" s="780"/>
      <c r="BC949" s="780"/>
      <c r="BD949" s="541"/>
      <c r="BE949" s="541"/>
      <c r="BF949" s="541"/>
      <c r="BG949" s="541"/>
      <c r="BH949" s="780"/>
      <c r="BI949" s="780"/>
      <c r="BJ949" s="780"/>
      <c r="BK949" s="780"/>
      <c r="BL949" s="780"/>
      <c r="BM949" s="780"/>
    </row>
    <row r="950" ht="12.75" customHeight="1">
      <c r="A950" s="521"/>
      <c r="B950" s="521"/>
      <c r="C950" s="515"/>
      <c r="D950" s="515"/>
      <c r="E950" s="515"/>
      <c r="F950" s="515"/>
      <c r="G950" s="515"/>
      <c r="H950" s="515"/>
      <c r="I950" s="515"/>
      <c r="J950" s="515"/>
      <c r="K950" s="515"/>
      <c r="L950" s="515"/>
      <c r="M950" s="515"/>
      <c r="N950" s="515"/>
      <c r="O950" s="533"/>
      <c r="P950" s="786"/>
      <c r="Q950" s="787"/>
      <c r="R950" s="787"/>
      <c r="S950" s="787"/>
      <c r="T950" s="786"/>
      <c r="U950" s="787"/>
      <c r="V950" s="787"/>
      <c r="W950" s="787"/>
      <c r="X950" s="786"/>
      <c r="Y950" s="787"/>
      <c r="Z950" s="787"/>
      <c r="AA950" s="787"/>
      <c r="AB950" s="786"/>
      <c r="AC950" s="787"/>
      <c r="AD950" s="787"/>
      <c r="AE950" s="787"/>
      <c r="AF950" s="786"/>
      <c r="AG950" s="787"/>
      <c r="AH950" s="787"/>
      <c r="AI950" s="787"/>
      <c r="AJ950" s="786"/>
      <c r="AK950" s="787"/>
      <c r="AL950" s="787"/>
      <c r="AM950" s="787"/>
      <c r="AN950" s="786"/>
      <c r="AO950" s="787"/>
      <c r="AP950" s="787"/>
      <c r="AQ950" s="787"/>
      <c r="AR950" s="786"/>
      <c r="AS950" s="787"/>
      <c r="AT950" s="787"/>
      <c r="AU950" s="787"/>
      <c r="AV950" s="786"/>
      <c r="AW950" s="787"/>
      <c r="AX950" s="787"/>
      <c r="AY950" s="787"/>
      <c r="AZ950" s="780"/>
      <c r="BA950" s="780"/>
      <c r="BB950" s="780"/>
      <c r="BC950" s="780"/>
      <c r="BD950" s="541"/>
      <c r="BE950" s="541"/>
      <c r="BF950" s="541"/>
      <c r="BG950" s="541"/>
      <c r="BH950" s="780"/>
      <c r="BI950" s="780"/>
      <c r="BJ950" s="780"/>
      <c r="BK950" s="780"/>
      <c r="BL950" s="780"/>
      <c r="BM950" s="780"/>
    </row>
    <row r="951" ht="12.75" customHeight="1">
      <c r="A951" s="521"/>
      <c r="B951" s="521"/>
      <c r="C951" s="515"/>
      <c r="D951" s="515"/>
      <c r="E951" s="515"/>
      <c r="F951" s="515"/>
      <c r="G951" s="515"/>
      <c r="H951" s="515"/>
      <c r="I951" s="515"/>
      <c r="J951" s="515"/>
      <c r="K951" s="515"/>
      <c r="L951" s="515"/>
      <c r="M951" s="515"/>
      <c r="N951" s="515"/>
      <c r="O951" s="533"/>
      <c r="P951" s="786"/>
      <c r="Q951" s="787"/>
      <c r="R951" s="787"/>
      <c r="S951" s="787"/>
      <c r="T951" s="786"/>
      <c r="U951" s="787"/>
      <c r="V951" s="787"/>
      <c r="W951" s="787"/>
      <c r="X951" s="786"/>
      <c r="Y951" s="787"/>
      <c r="Z951" s="787"/>
      <c r="AA951" s="787"/>
      <c r="AB951" s="786"/>
      <c r="AC951" s="787"/>
      <c r="AD951" s="787"/>
      <c r="AE951" s="787"/>
      <c r="AF951" s="786"/>
      <c r="AG951" s="787"/>
      <c r="AH951" s="787"/>
      <c r="AI951" s="787"/>
      <c r="AJ951" s="786"/>
      <c r="AK951" s="787"/>
      <c r="AL951" s="787"/>
      <c r="AM951" s="787"/>
      <c r="AN951" s="786"/>
      <c r="AO951" s="787"/>
      <c r="AP951" s="787"/>
      <c r="AQ951" s="787"/>
      <c r="AR951" s="786"/>
      <c r="AS951" s="787"/>
      <c r="AT951" s="787"/>
      <c r="AU951" s="787"/>
      <c r="AV951" s="786"/>
      <c r="AW951" s="787"/>
      <c r="AX951" s="787"/>
      <c r="AY951" s="787"/>
      <c r="AZ951" s="780"/>
      <c r="BA951" s="780"/>
      <c r="BB951" s="780"/>
      <c r="BC951" s="780"/>
      <c r="BD951" s="541"/>
      <c r="BE951" s="541"/>
      <c r="BF951" s="541"/>
      <c r="BG951" s="541"/>
      <c r="BH951" s="780"/>
      <c r="BI951" s="780"/>
      <c r="BJ951" s="780"/>
      <c r="BK951" s="780"/>
      <c r="BL951" s="780"/>
      <c r="BM951" s="780"/>
    </row>
    <row r="952" ht="12.75" customHeight="1">
      <c r="A952" s="521"/>
      <c r="B952" s="521"/>
      <c r="C952" s="515"/>
      <c r="D952" s="515"/>
      <c r="E952" s="515"/>
      <c r="F952" s="515"/>
      <c r="G952" s="515"/>
      <c r="H952" s="515"/>
      <c r="I952" s="515"/>
      <c r="J952" s="515"/>
      <c r="K952" s="515"/>
      <c r="L952" s="515"/>
      <c r="M952" s="515"/>
      <c r="N952" s="515"/>
      <c r="O952" s="533"/>
      <c r="P952" s="786"/>
      <c r="Q952" s="787"/>
      <c r="R952" s="787"/>
      <c r="S952" s="787"/>
      <c r="T952" s="786"/>
      <c r="U952" s="787"/>
      <c r="V952" s="787"/>
      <c r="W952" s="787"/>
      <c r="X952" s="786"/>
      <c r="Y952" s="787"/>
      <c r="Z952" s="787"/>
      <c r="AA952" s="787"/>
      <c r="AB952" s="786"/>
      <c r="AC952" s="787"/>
      <c r="AD952" s="787"/>
      <c r="AE952" s="787"/>
      <c r="AF952" s="786"/>
      <c r="AG952" s="787"/>
      <c r="AH952" s="787"/>
      <c r="AI952" s="787"/>
      <c r="AJ952" s="786"/>
      <c r="AK952" s="787"/>
      <c r="AL952" s="787"/>
      <c r="AM952" s="787"/>
      <c r="AN952" s="786"/>
      <c r="AO952" s="787"/>
      <c r="AP952" s="787"/>
      <c r="AQ952" s="787"/>
      <c r="AR952" s="786"/>
      <c r="AS952" s="787"/>
      <c r="AT952" s="787"/>
      <c r="AU952" s="787"/>
      <c r="AV952" s="786"/>
      <c r="AW952" s="787"/>
      <c r="AX952" s="787"/>
      <c r="AY952" s="787"/>
      <c r="AZ952" s="780"/>
      <c r="BA952" s="780"/>
      <c r="BB952" s="780"/>
      <c r="BC952" s="780"/>
      <c r="BD952" s="541"/>
      <c r="BE952" s="541"/>
      <c r="BF952" s="541"/>
      <c r="BG952" s="541"/>
      <c r="BH952" s="780"/>
      <c r="BI952" s="780"/>
      <c r="BJ952" s="780"/>
      <c r="BK952" s="780"/>
      <c r="BL952" s="780"/>
      <c r="BM952" s="780"/>
    </row>
    <row r="953" ht="12.75" customHeight="1">
      <c r="A953" s="521"/>
      <c r="B953" s="521"/>
      <c r="C953" s="515"/>
      <c r="D953" s="515"/>
      <c r="E953" s="515"/>
      <c r="F953" s="515"/>
      <c r="G953" s="515"/>
      <c r="H953" s="515"/>
      <c r="I953" s="515"/>
      <c r="J953" s="515"/>
      <c r="K953" s="515"/>
      <c r="L953" s="515"/>
      <c r="M953" s="515"/>
      <c r="N953" s="515"/>
      <c r="O953" s="533"/>
      <c r="P953" s="786"/>
      <c r="Q953" s="787"/>
      <c r="R953" s="787"/>
      <c r="S953" s="787"/>
      <c r="T953" s="786"/>
      <c r="U953" s="787"/>
      <c r="V953" s="787"/>
      <c r="W953" s="787"/>
      <c r="X953" s="786"/>
      <c r="Y953" s="787"/>
      <c r="Z953" s="787"/>
      <c r="AA953" s="787"/>
      <c r="AB953" s="786"/>
      <c r="AC953" s="787"/>
      <c r="AD953" s="787"/>
      <c r="AE953" s="787"/>
      <c r="AF953" s="786"/>
      <c r="AG953" s="787"/>
      <c r="AH953" s="787"/>
      <c r="AI953" s="787"/>
      <c r="AJ953" s="786"/>
      <c r="AK953" s="787"/>
      <c r="AL953" s="787"/>
      <c r="AM953" s="787"/>
      <c r="AN953" s="786"/>
      <c r="AO953" s="787"/>
      <c r="AP953" s="787"/>
      <c r="AQ953" s="787"/>
      <c r="AR953" s="786"/>
      <c r="AS953" s="787"/>
      <c r="AT953" s="787"/>
      <c r="AU953" s="787"/>
      <c r="AV953" s="786"/>
      <c r="AW953" s="787"/>
      <c r="AX953" s="787"/>
      <c r="AY953" s="787"/>
      <c r="AZ953" s="780"/>
      <c r="BA953" s="780"/>
      <c r="BB953" s="780"/>
      <c r="BC953" s="780"/>
      <c r="BD953" s="541"/>
      <c r="BE953" s="541"/>
      <c r="BF953" s="541"/>
      <c r="BG953" s="541"/>
      <c r="BH953" s="780"/>
      <c r="BI953" s="780"/>
      <c r="BJ953" s="780"/>
      <c r="BK953" s="780"/>
      <c r="BL953" s="780"/>
      <c r="BM953" s="780"/>
    </row>
    <row r="954" ht="12.75" customHeight="1">
      <c r="A954" s="521"/>
      <c r="B954" s="521"/>
      <c r="C954" s="515"/>
      <c r="D954" s="515"/>
      <c r="E954" s="515"/>
      <c r="F954" s="515"/>
      <c r="G954" s="515"/>
      <c r="H954" s="515"/>
      <c r="I954" s="515"/>
      <c r="J954" s="515"/>
      <c r="K954" s="515"/>
      <c r="L954" s="515"/>
      <c r="M954" s="515"/>
      <c r="N954" s="515"/>
      <c r="O954" s="533"/>
      <c r="P954" s="786"/>
      <c r="Q954" s="787"/>
      <c r="R954" s="787"/>
      <c r="S954" s="787"/>
      <c r="T954" s="786"/>
      <c r="U954" s="787"/>
      <c r="V954" s="787"/>
      <c r="W954" s="787"/>
      <c r="X954" s="786"/>
      <c r="Y954" s="787"/>
      <c r="Z954" s="787"/>
      <c r="AA954" s="787"/>
      <c r="AB954" s="786"/>
      <c r="AC954" s="787"/>
      <c r="AD954" s="787"/>
      <c r="AE954" s="787"/>
      <c r="AF954" s="786"/>
      <c r="AG954" s="787"/>
      <c r="AH954" s="787"/>
      <c r="AI954" s="787"/>
      <c r="AJ954" s="786"/>
      <c r="AK954" s="787"/>
      <c r="AL954" s="787"/>
      <c r="AM954" s="787"/>
      <c r="AN954" s="786"/>
      <c r="AO954" s="787"/>
      <c r="AP954" s="787"/>
      <c r="AQ954" s="787"/>
      <c r="AR954" s="786"/>
      <c r="AS954" s="787"/>
      <c r="AT954" s="787"/>
      <c r="AU954" s="787"/>
      <c r="AV954" s="786"/>
      <c r="AW954" s="787"/>
      <c r="AX954" s="787"/>
      <c r="AY954" s="787"/>
      <c r="AZ954" s="780"/>
      <c r="BA954" s="780"/>
      <c r="BB954" s="780"/>
      <c r="BC954" s="780"/>
      <c r="BD954" s="541"/>
      <c r="BE954" s="541"/>
      <c r="BF954" s="541"/>
      <c r="BG954" s="541"/>
      <c r="BH954" s="780"/>
      <c r="BI954" s="780"/>
      <c r="BJ954" s="780"/>
      <c r="BK954" s="780"/>
      <c r="BL954" s="780"/>
      <c r="BM954" s="780"/>
    </row>
    <row r="955" ht="12.75" customHeight="1">
      <c r="A955" s="521"/>
      <c r="B955" s="521"/>
      <c r="C955" s="515"/>
      <c r="D955" s="515"/>
      <c r="E955" s="515"/>
      <c r="F955" s="515"/>
      <c r="G955" s="515"/>
      <c r="H955" s="515"/>
      <c r="I955" s="515"/>
      <c r="J955" s="515"/>
      <c r="K955" s="515"/>
      <c r="L955" s="515"/>
      <c r="M955" s="515"/>
      <c r="N955" s="515"/>
      <c r="O955" s="533"/>
      <c r="P955" s="786"/>
      <c r="Q955" s="787"/>
      <c r="R955" s="787"/>
      <c r="S955" s="787"/>
      <c r="T955" s="786"/>
      <c r="U955" s="787"/>
      <c r="V955" s="787"/>
      <c r="W955" s="787"/>
      <c r="X955" s="786"/>
      <c r="Y955" s="787"/>
      <c r="Z955" s="787"/>
      <c r="AA955" s="787"/>
      <c r="AB955" s="786"/>
      <c r="AC955" s="787"/>
      <c r="AD955" s="787"/>
      <c r="AE955" s="787"/>
      <c r="AF955" s="786"/>
      <c r="AG955" s="787"/>
      <c r="AH955" s="787"/>
      <c r="AI955" s="787"/>
      <c r="AJ955" s="786"/>
      <c r="AK955" s="787"/>
      <c r="AL955" s="787"/>
      <c r="AM955" s="787"/>
      <c r="AN955" s="786"/>
      <c r="AO955" s="787"/>
      <c r="AP955" s="787"/>
      <c r="AQ955" s="787"/>
      <c r="AR955" s="786"/>
      <c r="AS955" s="787"/>
      <c r="AT955" s="787"/>
      <c r="AU955" s="787"/>
      <c r="AV955" s="786"/>
      <c r="AW955" s="787"/>
      <c r="AX955" s="787"/>
      <c r="AY955" s="787"/>
      <c r="AZ955" s="780"/>
      <c r="BA955" s="780"/>
      <c r="BB955" s="780"/>
      <c r="BC955" s="780"/>
      <c r="BD955" s="541"/>
      <c r="BE955" s="541"/>
      <c r="BF955" s="541"/>
      <c r="BG955" s="541"/>
      <c r="BH955" s="780"/>
      <c r="BI955" s="780"/>
      <c r="BJ955" s="780"/>
      <c r="BK955" s="780"/>
      <c r="BL955" s="780"/>
      <c r="BM955" s="780"/>
    </row>
    <row r="956" ht="12.75" customHeight="1">
      <c r="A956" s="521"/>
      <c r="B956" s="521"/>
      <c r="C956" s="515"/>
      <c r="D956" s="515"/>
      <c r="E956" s="515"/>
      <c r="F956" s="515"/>
      <c r="G956" s="515"/>
      <c r="H956" s="515"/>
      <c r="I956" s="515"/>
      <c r="J956" s="515"/>
      <c r="K956" s="515"/>
      <c r="L956" s="515"/>
      <c r="M956" s="515"/>
      <c r="N956" s="515"/>
      <c r="O956" s="533"/>
      <c r="P956" s="786"/>
      <c r="Q956" s="787"/>
      <c r="R956" s="787"/>
      <c r="S956" s="787"/>
      <c r="T956" s="786"/>
      <c r="U956" s="787"/>
      <c r="V956" s="787"/>
      <c r="W956" s="787"/>
      <c r="X956" s="786"/>
      <c r="Y956" s="787"/>
      <c r="Z956" s="787"/>
      <c r="AA956" s="787"/>
      <c r="AB956" s="786"/>
      <c r="AC956" s="787"/>
      <c r="AD956" s="787"/>
      <c r="AE956" s="787"/>
      <c r="AF956" s="786"/>
      <c r="AG956" s="787"/>
      <c r="AH956" s="787"/>
      <c r="AI956" s="787"/>
      <c r="AJ956" s="786"/>
      <c r="AK956" s="787"/>
      <c r="AL956" s="787"/>
      <c r="AM956" s="787"/>
      <c r="AN956" s="786"/>
      <c r="AO956" s="787"/>
      <c r="AP956" s="787"/>
      <c r="AQ956" s="787"/>
      <c r="AR956" s="786"/>
      <c r="AS956" s="787"/>
      <c r="AT956" s="787"/>
      <c r="AU956" s="787"/>
      <c r="AV956" s="786"/>
      <c r="AW956" s="787"/>
      <c r="AX956" s="787"/>
      <c r="AY956" s="787"/>
      <c r="AZ956" s="780"/>
      <c r="BA956" s="780"/>
      <c r="BB956" s="780"/>
      <c r="BC956" s="780"/>
      <c r="BD956" s="541"/>
      <c r="BE956" s="541"/>
      <c r="BF956" s="541"/>
      <c r="BG956" s="541"/>
      <c r="BH956" s="780"/>
      <c r="BI956" s="780"/>
      <c r="BJ956" s="780"/>
      <c r="BK956" s="780"/>
      <c r="BL956" s="780"/>
      <c r="BM956" s="780"/>
    </row>
    <row r="957" ht="12.75" customHeight="1">
      <c r="A957" s="521"/>
      <c r="B957" s="521"/>
      <c r="C957" s="515"/>
      <c r="D957" s="515"/>
      <c r="E957" s="515"/>
      <c r="F957" s="515"/>
      <c r="G957" s="515"/>
      <c r="H957" s="515"/>
      <c r="I957" s="515"/>
      <c r="J957" s="515"/>
      <c r="K957" s="515"/>
      <c r="L957" s="515"/>
      <c r="M957" s="515"/>
      <c r="N957" s="515"/>
      <c r="O957" s="533"/>
      <c r="P957" s="786"/>
      <c r="Q957" s="787"/>
      <c r="R957" s="787"/>
      <c r="S957" s="787"/>
      <c r="T957" s="786"/>
      <c r="U957" s="787"/>
      <c r="V957" s="787"/>
      <c r="W957" s="787"/>
      <c r="X957" s="786"/>
      <c r="Y957" s="787"/>
      <c r="Z957" s="787"/>
      <c r="AA957" s="787"/>
      <c r="AB957" s="786"/>
      <c r="AC957" s="787"/>
      <c r="AD957" s="787"/>
      <c r="AE957" s="787"/>
      <c r="AF957" s="786"/>
      <c r="AG957" s="787"/>
      <c r="AH957" s="787"/>
      <c r="AI957" s="787"/>
      <c r="AJ957" s="786"/>
      <c r="AK957" s="787"/>
      <c r="AL957" s="787"/>
      <c r="AM957" s="787"/>
      <c r="AN957" s="786"/>
      <c r="AO957" s="787"/>
      <c r="AP957" s="787"/>
      <c r="AQ957" s="787"/>
      <c r="AR957" s="786"/>
      <c r="AS957" s="787"/>
      <c r="AT957" s="787"/>
      <c r="AU957" s="787"/>
      <c r="AV957" s="786"/>
      <c r="AW957" s="787"/>
      <c r="AX957" s="787"/>
      <c r="AY957" s="787"/>
      <c r="AZ957" s="780"/>
      <c r="BA957" s="780"/>
      <c r="BB957" s="780"/>
      <c r="BC957" s="780"/>
      <c r="BD957" s="541"/>
      <c r="BE957" s="541"/>
      <c r="BF957" s="541"/>
      <c r="BG957" s="541"/>
      <c r="BH957" s="780"/>
      <c r="BI957" s="780"/>
      <c r="BJ957" s="780"/>
      <c r="BK957" s="780"/>
      <c r="BL957" s="780"/>
      <c r="BM957" s="780"/>
    </row>
    <row r="958" ht="12.75" customHeight="1">
      <c r="A958" s="521"/>
      <c r="B958" s="521"/>
      <c r="C958" s="515"/>
      <c r="D958" s="515"/>
      <c r="E958" s="515"/>
      <c r="F958" s="515"/>
      <c r="G958" s="515"/>
      <c r="H958" s="515"/>
      <c r="I958" s="515"/>
      <c r="J958" s="515"/>
      <c r="K958" s="515"/>
      <c r="L958" s="515"/>
      <c r="M958" s="515"/>
      <c r="N958" s="515"/>
      <c r="O958" s="533"/>
      <c r="P958" s="786"/>
      <c r="Q958" s="787"/>
      <c r="R958" s="787"/>
      <c r="S958" s="787"/>
      <c r="T958" s="786"/>
      <c r="U958" s="787"/>
      <c r="V958" s="787"/>
      <c r="W958" s="787"/>
      <c r="X958" s="786"/>
      <c r="Y958" s="787"/>
      <c r="Z958" s="787"/>
      <c r="AA958" s="787"/>
      <c r="AB958" s="786"/>
      <c r="AC958" s="787"/>
      <c r="AD958" s="787"/>
      <c r="AE958" s="787"/>
      <c r="AF958" s="786"/>
      <c r="AG958" s="787"/>
      <c r="AH958" s="787"/>
      <c r="AI958" s="787"/>
      <c r="AJ958" s="786"/>
      <c r="AK958" s="787"/>
      <c r="AL958" s="787"/>
      <c r="AM958" s="787"/>
      <c r="AN958" s="786"/>
      <c r="AO958" s="787"/>
      <c r="AP958" s="787"/>
      <c r="AQ958" s="787"/>
      <c r="AR958" s="786"/>
      <c r="AS958" s="787"/>
      <c r="AT958" s="787"/>
      <c r="AU958" s="787"/>
      <c r="AV958" s="786"/>
      <c r="AW958" s="787"/>
      <c r="AX958" s="787"/>
      <c r="AY958" s="787"/>
      <c r="AZ958" s="780"/>
      <c r="BA958" s="780"/>
      <c r="BB958" s="780"/>
      <c r="BC958" s="780"/>
      <c r="BD958" s="541"/>
      <c r="BE958" s="541"/>
      <c r="BF958" s="541"/>
      <c r="BG958" s="541"/>
      <c r="BH958" s="780"/>
      <c r="BI958" s="780"/>
      <c r="BJ958" s="780"/>
      <c r="BK958" s="780"/>
      <c r="BL958" s="780"/>
      <c r="BM958" s="780"/>
    </row>
    <row r="959" ht="12.75" customHeight="1">
      <c r="A959" s="521"/>
      <c r="B959" s="521"/>
      <c r="C959" s="515"/>
      <c r="D959" s="515"/>
      <c r="E959" s="515"/>
      <c r="F959" s="515"/>
      <c r="G959" s="515"/>
      <c r="H959" s="515"/>
      <c r="I959" s="515"/>
      <c r="J959" s="515"/>
      <c r="K959" s="515"/>
      <c r="L959" s="515"/>
      <c r="M959" s="515"/>
      <c r="N959" s="515"/>
      <c r="O959" s="533"/>
      <c r="P959" s="786"/>
      <c r="Q959" s="787"/>
      <c r="R959" s="787"/>
      <c r="S959" s="787"/>
      <c r="T959" s="786"/>
      <c r="U959" s="787"/>
      <c r="V959" s="787"/>
      <c r="W959" s="787"/>
      <c r="X959" s="786"/>
      <c r="Y959" s="787"/>
      <c r="Z959" s="787"/>
      <c r="AA959" s="787"/>
      <c r="AB959" s="786"/>
      <c r="AC959" s="787"/>
      <c r="AD959" s="787"/>
      <c r="AE959" s="787"/>
      <c r="AF959" s="786"/>
      <c r="AG959" s="787"/>
      <c r="AH959" s="787"/>
      <c r="AI959" s="787"/>
      <c r="AJ959" s="786"/>
      <c r="AK959" s="787"/>
      <c r="AL959" s="787"/>
      <c r="AM959" s="787"/>
      <c r="AN959" s="786"/>
      <c r="AO959" s="787"/>
      <c r="AP959" s="787"/>
      <c r="AQ959" s="787"/>
      <c r="AR959" s="786"/>
      <c r="AS959" s="787"/>
      <c r="AT959" s="787"/>
      <c r="AU959" s="787"/>
      <c r="AV959" s="786"/>
      <c r="AW959" s="787"/>
      <c r="AX959" s="787"/>
      <c r="AY959" s="787"/>
      <c r="AZ959" s="780"/>
      <c r="BA959" s="780"/>
      <c r="BB959" s="780"/>
      <c r="BC959" s="780"/>
      <c r="BD959" s="541"/>
      <c r="BE959" s="541"/>
      <c r="BF959" s="541"/>
      <c r="BG959" s="541"/>
      <c r="BH959" s="780"/>
      <c r="BI959" s="780"/>
      <c r="BJ959" s="780"/>
      <c r="BK959" s="780"/>
      <c r="BL959" s="780"/>
      <c r="BM959" s="780"/>
    </row>
    <row r="960" ht="12.75" customHeight="1">
      <c r="A960" s="521"/>
      <c r="B960" s="521"/>
      <c r="C960" s="515"/>
      <c r="D960" s="515"/>
      <c r="E960" s="515"/>
      <c r="F960" s="515"/>
      <c r="G960" s="515"/>
      <c r="H960" s="515"/>
      <c r="I960" s="515"/>
      <c r="J960" s="515"/>
      <c r="K960" s="515"/>
      <c r="L960" s="515"/>
      <c r="M960" s="515"/>
      <c r="N960" s="515"/>
      <c r="O960" s="533"/>
      <c r="P960" s="786"/>
      <c r="Q960" s="787"/>
      <c r="R960" s="787"/>
      <c r="S960" s="787"/>
      <c r="T960" s="786"/>
      <c r="U960" s="787"/>
      <c r="V960" s="787"/>
      <c r="W960" s="787"/>
      <c r="X960" s="786"/>
      <c r="Y960" s="787"/>
      <c r="Z960" s="787"/>
      <c r="AA960" s="787"/>
      <c r="AB960" s="786"/>
      <c r="AC960" s="787"/>
      <c r="AD960" s="787"/>
      <c r="AE960" s="787"/>
      <c r="AF960" s="786"/>
      <c r="AG960" s="787"/>
      <c r="AH960" s="787"/>
      <c r="AI960" s="787"/>
      <c r="AJ960" s="786"/>
      <c r="AK960" s="787"/>
      <c r="AL960" s="787"/>
      <c r="AM960" s="787"/>
      <c r="AN960" s="786"/>
      <c r="AO960" s="787"/>
      <c r="AP960" s="787"/>
      <c r="AQ960" s="787"/>
      <c r="AR960" s="786"/>
      <c r="AS960" s="787"/>
      <c r="AT960" s="787"/>
      <c r="AU960" s="787"/>
      <c r="AV960" s="786"/>
      <c r="AW960" s="787"/>
      <c r="AX960" s="787"/>
      <c r="AY960" s="787"/>
      <c r="AZ960" s="780"/>
      <c r="BA960" s="780"/>
      <c r="BB960" s="780"/>
      <c r="BC960" s="780"/>
      <c r="BD960" s="541"/>
      <c r="BE960" s="541"/>
      <c r="BF960" s="541"/>
      <c r="BG960" s="541"/>
      <c r="BH960" s="780"/>
      <c r="BI960" s="780"/>
      <c r="BJ960" s="780"/>
      <c r="BK960" s="780"/>
      <c r="BL960" s="780"/>
      <c r="BM960" s="780"/>
    </row>
    <row r="961" ht="12.75" customHeight="1">
      <c r="A961" s="521"/>
      <c r="B961" s="521"/>
      <c r="C961" s="515"/>
      <c r="D961" s="515"/>
      <c r="E961" s="515"/>
      <c r="F961" s="515"/>
      <c r="G961" s="515"/>
      <c r="H961" s="515"/>
      <c r="I961" s="515"/>
      <c r="J961" s="515"/>
      <c r="K961" s="515"/>
      <c r="L961" s="515"/>
      <c r="M961" s="515"/>
      <c r="N961" s="515"/>
      <c r="O961" s="533"/>
      <c r="P961" s="786"/>
      <c r="Q961" s="787"/>
      <c r="R961" s="787"/>
      <c r="S961" s="787"/>
      <c r="T961" s="786"/>
      <c r="U961" s="787"/>
      <c r="V961" s="787"/>
      <c r="W961" s="787"/>
      <c r="X961" s="786"/>
      <c r="Y961" s="787"/>
      <c r="Z961" s="787"/>
      <c r="AA961" s="787"/>
      <c r="AB961" s="786"/>
      <c r="AC961" s="787"/>
      <c r="AD961" s="787"/>
      <c r="AE961" s="787"/>
      <c r="AF961" s="786"/>
      <c r="AG961" s="787"/>
      <c r="AH961" s="787"/>
      <c r="AI961" s="787"/>
      <c r="AJ961" s="786"/>
      <c r="AK961" s="787"/>
      <c r="AL961" s="787"/>
      <c r="AM961" s="787"/>
      <c r="AN961" s="786"/>
      <c r="AO961" s="787"/>
      <c r="AP961" s="787"/>
      <c r="AQ961" s="787"/>
      <c r="AR961" s="786"/>
      <c r="AS961" s="787"/>
      <c r="AT961" s="787"/>
      <c r="AU961" s="787"/>
      <c r="AV961" s="786"/>
      <c r="AW961" s="787"/>
      <c r="AX961" s="787"/>
      <c r="AY961" s="787"/>
      <c r="AZ961" s="780"/>
      <c r="BA961" s="780"/>
      <c r="BB961" s="780"/>
      <c r="BC961" s="780"/>
      <c r="BD961" s="541"/>
      <c r="BE961" s="541"/>
      <c r="BF961" s="541"/>
      <c r="BG961" s="541"/>
      <c r="BH961" s="780"/>
      <c r="BI961" s="780"/>
      <c r="BJ961" s="780"/>
      <c r="BK961" s="780"/>
      <c r="BL961" s="780"/>
      <c r="BM961" s="780"/>
    </row>
    <row r="962" ht="12.75" customHeight="1">
      <c r="A962" s="521"/>
      <c r="B962" s="521"/>
      <c r="C962" s="515"/>
      <c r="D962" s="515"/>
      <c r="E962" s="515"/>
      <c r="F962" s="515"/>
      <c r="G962" s="515"/>
      <c r="H962" s="515"/>
      <c r="I962" s="515"/>
      <c r="J962" s="515"/>
      <c r="K962" s="515"/>
      <c r="L962" s="515"/>
      <c r="M962" s="515"/>
      <c r="N962" s="515"/>
      <c r="O962" s="533"/>
      <c r="P962" s="786"/>
      <c r="Q962" s="787"/>
      <c r="R962" s="787"/>
      <c r="S962" s="787"/>
      <c r="T962" s="786"/>
      <c r="U962" s="787"/>
      <c r="V962" s="787"/>
      <c r="W962" s="787"/>
      <c r="X962" s="786"/>
      <c r="Y962" s="787"/>
      <c r="Z962" s="787"/>
      <c r="AA962" s="787"/>
      <c r="AB962" s="786"/>
      <c r="AC962" s="787"/>
      <c r="AD962" s="787"/>
      <c r="AE962" s="787"/>
      <c r="AF962" s="786"/>
      <c r="AG962" s="787"/>
      <c r="AH962" s="787"/>
      <c r="AI962" s="787"/>
      <c r="AJ962" s="786"/>
      <c r="AK962" s="787"/>
      <c r="AL962" s="787"/>
      <c r="AM962" s="787"/>
      <c r="AN962" s="786"/>
      <c r="AO962" s="787"/>
      <c r="AP962" s="787"/>
      <c r="AQ962" s="787"/>
      <c r="AR962" s="786"/>
      <c r="AS962" s="787"/>
      <c r="AT962" s="787"/>
      <c r="AU962" s="787"/>
      <c r="AV962" s="786"/>
      <c r="AW962" s="787"/>
      <c r="AX962" s="787"/>
      <c r="AY962" s="787"/>
      <c r="AZ962" s="780"/>
      <c r="BA962" s="780"/>
      <c r="BB962" s="780"/>
      <c r="BC962" s="780"/>
      <c r="BD962" s="541"/>
      <c r="BE962" s="541"/>
      <c r="BF962" s="541"/>
      <c r="BG962" s="541"/>
      <c r="BH962" s="780"/>
      <c r="BI962" s="780"/>
      <c r="BJ962" s="780"/>
      <c r="BK962" s="780"/>
      <c r="BL962" s="780"/>
      <c r="BM962" s="780"/>
    </row>
    <row r="963" ht="12.75" customHeight="1">
      <c r="A963" s="521"/>
      <c r="B963" s="521"/>
      <c r="C963" s="515"/>
      <c r="D963" s="515"/>
      <c r="E963" s="515"/>
      <c r="F963" s="515"/>
      <c r="G963" s="515"/>
      <c r="H963" s="515"/>
      <c r="I963" s="515"/>
      <c r="J963" s="515"/>
      <c r="K963" s="515"/>
      <c r="L963" s="515"/>
      <c r="M963" s="515"/>
      <c r="N963" s="515"/>
      <c r="O963" s="533"/>
      <c r="P963" s="786"/>
      <c r="Q963" s="787"/>
      <c r="R963" s="787"/>
      <c r="S963" s="787"/>
      <c r="T963" s="786"/>
      <c r="U963" s="787"/>
      <c r="V963" s="787"/>
      <c r="W963" s="787"/>
      <c r="X963" s="786"/>
      <c r="Y963" s="787"/>
      <c r="Z963" s="787"/>
      <c r="AA963" s="787"/>
      <c r="AB963" s="786"/>
      <c r="AC963" s="787"/>
      <c r="AD963" s="787"/>
      <c r="AE963" s="787"/>
      <c r="AF963" s="786"/>
      <c r="AG963" s="787"/>
      <c r="AH963" s="787"/>
      <c r="AI963" s="787"/>
      <c r="AJ963" s="786"/>
      <c r="AK963" s="787"/>
      <c r="AL963" s="787"/>
      <c r="AM963" s="787"/>
      <c r="AN963" s="786"/>
      <c r="AO963" s="787"/>
      <c r="AP963" s="787"/>
      <c r="AQ963" s="787"/>
      <c r="AR963" s="786"/>
      <c r="AS963" s="787"/>
      <c r="AT963" s="787"/>
      <c r="AU963" s="787"/>
      <c r="AV963" s="786"/>
      <c r="AW963" s="787"/>
      <c r="AX963" s="787"/>
      <c r="AY963" s="787"/>
      <c r="AZ963" s="780"/>
      <c r="BA963" s="780"/>
      <c r="BB963" s="780"/>
      <c r="BC963" s="780"/>
      <c r="BD963" s="541"/>
      <c r="BE963" s="541"/>
      <c r="BF963" s="541"/>
      <c r="BG963" s="541"/>
      <c r="BH963" s="780"/>
      <c r="BI963" s="780"/>
      <c r="BJ963" s="780"/>
      <c r="BK963" s="780"/>
      <c r="BL963" s="780"/>
      <c r="BM963" s="780"/>
    </row>
    <row r="964" ht="12.75" customHeight="1">
      <c r="A964" s="521"/>
      <c r="B964" s="521"/>
      <c r="C964" s="515"/>
      <c r="D964" s="515"/>
      <c r="E964" s="515"/>
      <c r="F964" s="515"/>
      <c r="G964" s="515"/>
      <c r="H964" s="515"/>
      <c r="I964" s="515"/>
      <c r="J964" s="515"/>
      <c r="K964" s="515"/>
      <c r="L964" s="515"/>
      <c r="M964" s="515"/>
      <c r="N964" s="515"/>
      <c r="O964" s="533"/>
      <c r="P964" s="786"/>
      <c r="Q964" s="787"/>
      <c r="R964" s="787"/>
      <c r="S964" s="787"/>
      <c r="T964" s="786"/>
      <c r="U964" s="787"/>
      <c r="V964" s="787"/>
      <c r="W964" s="787"/>
      <c r="X964" s="786"/>
      <c r="Y964" s="787"/>
      <c r="Z964" s="787"/>
      <c r="AA964" s="787"/>
      <c r="AB964" s="786"/>
      <c r="AC964" s="787"/>
      <c r="AD964" s="787"/>
      <c r="AE964" s="787"/>
      <c r="AF964" s="786"/>
      <c r="AG964" s="787"/>
      <c r="AH964" s="787"/>
      <c r="AI964" s="787"/>
      <c r="AJ964" s="786"/>
      <c r="AK964" s="787"/>
      <c r="AL964" s="787"/>
      <c r="AM964" s="787"/>
      <c r="AN964" s="786"/>
      <c r="AO964" s="787"/>
      <c r="AP964" s="787"/>
      <c r="AQ964" s="787"/>
      <c r="AR964" s="786"/>
      <c r="AS964" s="787"/>
      <c r="AT964" s="787"/>
      <c r="AU964" s="787"/>
      <c r="AV964" s="786"/>
      <c r="AW964" s="787"/>
      <c r="AX964" s="787"/>
      <c r="AY964" s="787"/>
      <c r="AZ964" s="780"/>
      <c r="BA964" s="780"/>
      <c r="BB964" s="780"/>
      <c r="BC964" s="780"/>
      <c r="BD964" s="541"/>
      <c r="BE964" s="541"/>
      <c r="BF964" s="541"/>
      <c r="BG964" s="541"/>
      <c r="BH964" s="780"/>
      <c r="BI964" s="780"/>
      <c r="BJ964" s="780"/>
      <c r="BK964" s="780"/>
      <c r="BL964" s="780"/>
      <c r="BM964" s="780"/>
    </row>
    <row r="965" ht="12.75" customHeight="1">
      <c r="A965" s="521"/>
      <c r="B965" s="521"/>
      <c r="C965" s="515"/>
      <c r="D965" s="515"/>
      <c r="E965" s="515"/>
      <c r="F965" s="515"/>
      <c r="G965" s="515"/>
      <c r="H965" s="515"/>
      <c r="I965" s="515"/>
      <c r="J965" s="515"/>
      <c r="K965" s="515"/>
      <c r="L965" s="515"/>
      <c r="M965" s="515"/>
      <c r="N965" s="515"/>
      <c r="O965" s="533"/>
      <c r="P965" s="786"/>
      <c r="Q965" s="787"/>
      <c r="R965" s="787"/>
      <c r="S965" s="787"/>
      <c r="T965" s="786"/>
      <c r="U965" s="787"/>
      <c r="V965" s="787"/>
      <c r="W965" s="787"/>
      <c r="X965" s="786"/>
      <c r="Y965" s="787"/>
      <c r="Z965" s="787"/>
      <c r="AA965" s="787"/>
      <c r="AB965" s="786"/>
      <c r="AC965" s="787"/>
      <c r="AD965" s="787"/>
      <c r="AE965" s="787"/>
      <c r="AF965" s="786"/>
      <c r="AG965" s="787"/>
      <c r="AH965" s="787"/>
      <c r="AI965" s="787"/>
      <c r="AJ965" s="786"/>
      <c r="AK965" s="787"/>
      <c r="AL965" s="787"/>
      <c r="AM965" s="787"/>
      <c r="AN965" s="786"/>
      <c r="AO965" s="787"/>
      <c r="AP965" s="787"/>
      <c r="AQ965" s="787"/>
      <c r="AR965" s="786"/>
      <c r="AS965" s="787"/>
      <c r="AT965" s="787"/>
      <c r="AU965" s="787"/>
      <c r="AV965" s="786"/>
      <c r="AW965" s="787"/>
      <c r="AX965" s="787"/>
      <c r="AY965" s="787"/>
      <c r="AZ965" s="780"/>
      <c r="BA965" s="780"/>
      <c r="BB965" s="780"/>
      <c r="BC965" s="780"/>
      <c r="BD965" s="541"/>
      <c r="BE965" s="541"/>
      <c r="BF965" s="541"/>
      <c r="BG965" s="541"/>
      <c r="BH965" s="780"/>
      <c r="BI965" s="780"/>
      <c r="BJ965" s="780"/>
      <c r="BK965" s="780"/>
      <c r="BL965" s="780"/>
      <c r="BM965" s="780"/>
    </row>
    <row r="966" ht="12.75" customHeight="1">
      <c r="A966" s="521"/>
      <c r="B966" s="521"/>
      <c r="C966" s="515"/>
      <c r="D966" s="515"/>
      <c r="E966" s="515"/>
      <c r="F966" s="515"/>
      <c r="G966" s="515"/>
      <c r="H966" s="515"/>
      <c r="I966" s="515"/>
      <c r="J966" s="515"/>
      <c r="K966" s="515"/>
      <c r="L966" s="515"/>
      <c r="M966" s="515"/>
      <c r="N966" s="515"/>
      <c r="O966" s="533"/>
      <c r="P966" s="786"/>
      <c r="Q966" s="787"/>
      <c r="R966" s="787"/>
      <c r="S966" s="787"/>
      <c r="T966" s="786"/>
      <c r="U966" s="787"/>
      <c r="V966" s="787"/>
      <c r="W966" s="787"/>
      <c r="X966" s="786"/>
      <c r="Y966" s="787"/>
      <c r="Z966" s="787"/>
      <c r="AA966" s="787"/>
      <c r="AB966" s="786"/>
      <c r="AC966" s="787"/>
      <c r="AD966" s="787"/>
      <c r="AE966" s="787"/>
      <c r="AF966" s="786"/>
      <c r="AG966" s="787"/>
      <c r="AH966" s="787"/>
      <c r="AI966" s="787"/>
      <c r="AJ966" s="786"/>
      <c r="AK966" s="787"/>
      <c r="AL966" s="787"/>
      <c r="AM966" s="787"/>
      <c r="AN966" s="786"/>
      <c r="AO966" s="787"/>
      <c r="AP966" s="787"/>
      <c r="AQ966" s="787"/>
      <c r="AR966" s="786"/>
      <c r="AS966" s="787"/>
      <c r="AT966" s="787"/>
      <c r="AU966" s="787"/>
      <c r="AV966" s="786"/>
      <c r="AW966" s="787"/>
      <c r="AX966" s="787"/>
      <c r="AY966" s="787"/>
      <c r="AZ966" s="780"/>
      <c r="BA966" s="780"/>
      <c r="BB966" s="780"/>
      <c r="BC966" s="780"/>
      <c r="BD966" s="541"/>
      <c r="BE966" s="541"/>
      <c r="BF966" s="541"/>
      <c r="BG966" s="541"/>
      <c r="BH966" s="780"/>
      <c r="BI966" s="780"/>
      <c r="BJ966" s="780"/>
      <c r="BK966" s="780"/>
      <c r="BL966" s="780"/>
      <c r="BM966" s="780"/>
    </row>
    <row r="967" ht="12.75" customHeight="1">
      <c r="A967" s="521"/>
      <c r="B967" s="521"/>
      <c r="C967" s="515"/>
      <c r="D967" s="515"/>
      <c r="E967" s="515"/>
      <c r="F967" s="515"/>
      <c r="G967" s="515"/>
      <c r="H967" s="515"/>
      <c r="I967" s="515"/>
      <c r="J967" s="515"/>
      <c r="K967" s="515"/>
      <c r="L967" s="515"/>
      <c r="M967" s="515"/>
      <c r="N967" s="515"/>
      <c r="O967" s="533"/>
      <c r="P967" s="786"/>
      <c r="Q967" s="787"/>
      <c r="R967" s="787"/>
      <c r="S967" s="787"/>
      <c r="T967" s="786"/>
      <c r="U967" s="787"/>
      <c r="V967" s="787"/>
      <c r="W967" s="787"/>
      <c r="X967" s="786"/>
      <c r="Y967" s="787"/>
      <c r="Z967" s="787"/>
      <c r="AA967" s="787"/>
      <c r="AB967" s="786"/>
      <c r="AC967" s="787"/>
      <c r="AD967" s="787"/>
      <c r="AE967" s="787"/>
      <c r="AF967" s="786"/>
      <c r="AG967" s="787"/>
      <c r="AH967" s="787"/>
      <c r="AI967" s="787"/>
      <c r="AJ967" s="786"/>
      <c r="AK967" s="787"/>
      <c r="AL967" s="787"/>
      <c r="AM967" s="787"/>
      <c r="AN967" s="786"/>
      <c r="AO967" s="787"/>
      <c r="AP967" s="787"/>
      <c r="AQ967" s="787"/>
      <c r="AR967" s="786"/>
      <c r="AS967" s="787"/>
      <c r="AT967" s="787"/>
      <c r="AU967" s="787"/>
      <c r="AV967" s="786"/>
      <c r="AW967" s="787"/>
      <c r="AX967" s="787"/>
      <c r="AY967" s="787"/>
      <c r="AZ967" s="780"/>
      <c r="BA967" s="780"/>
      <c r="BB967" s="780"/>
      <c r="BC967" s="780"/>
      <c r="BD967" s="541"/>
      <c r="BE967" s="541"/>
      <c r="BF967" s="541"/>
      <c r="BG967" s="541"/>
      <c r="BH967" s="780"/>
      <c r="BI967" s="780"/>
      <c r="BJ967" s="780"/>
      <c r="BK967" s="780"/>
      <c r="BL967" s="780"/>
      <c r="BM967" s="780"/>
    </row>
    <row r="968" ht="12.75" customHeight="1">
      <c r="A968" s="521"/>
      <c r="B968" s="521"/>
      <c r="C968" s="515"/>
      <c r="D968" s="515"/>
      <c r="E968" s="515"/>
      <c r="F968" s="515"/>
      <c r="G968" s="515"/>
      <c r="H968" s="515"/>
      <c r="I968" s="515"/>
      <c r="J968" s="515"/>
      <c r="K968" s="515"/>
      <c r="L968" s="515"/>
      <c r="M968" s="515"/>
      <c r="N968" s="515"/>
      <c r="O968" s="533"/>
      <c r="P968" s="786"/>
      <c r="Q968" s="787"/>
      <c r="R968" s="787"/>
      <c r="S968" s="787"/>
      <c r="T968" s="786"/>
      <c r="U968" s="787"/>
      <c r="V968" s="787"/>
      <c r="W968" s="787"/>
      <c r="X968" s="786"/>
      <c r="Y968" s="787"/>
      <c r="Z968" s="787"/>
      <c r="AA968" s="787"/>
      <c r="AB968" s="786"/>
      <c r="AC968" s="787"/>
      <c r="AD968" s="787"/>
      <c r="AE968" s="787"/>
      <c r="AF968" s="786"/>
      <c r="AG968" s="787"/>
      <c r="AH968" s="787"/>
      <c r="AI968" s="787"/>
      <c r="AJ968" s="786"/>
      <c r="AK968" s="787"/>
      <c r="AL968" s="787"/>
      <c r="AM968" s="787"/>
      <c r="AN968" s="786"/>
      <c r="AO968" s="787"/>
      <c r="AP968" s="787"/>
      <c r="AQ968" s="787"/>
      <c r="AR968" s="786"/>
      <c r="AS968" s="787"/>
      <c r="AT968" s="787"/>
      <c r="AU968" s="787"/>
      <c r="AV968" s="786"/>
      <c r="AW968" s="787"/>
      <c r="AX968" s="787"/>
      <c r="AY968" s="787"/>
      <c r="AZ968" s="780"/>
      <c r="BA968" s="780"/>
      <c r="BB968" s="780"/>
      <c r="BC968" s="780"/>
      <c r="BD968" s="541"/>
      <c r="BE968" s="541"/>
      <c r="BF968" s="541"/>
      <c r="BG968" s="541"/>
      <c r="BH968" s="780"/>
      <c r="BI968" s="780"/>
      <c r="BJ968" s="780"/>
      <c r="BK968" s="780"/>
      <c r="BL968" s="780"/>
      <c r="BM968" s="780"/>
    </row>
    <row r="969" ht="12.75" customHeight="1">
      <c r="A969" s="521"/>
      <c r="B969" s="521"/>
      <c r="C969" s="515"/>
      <c r="D969" s="515"/>
      <c r="E969" s="515"/>
      <c r="F969" s="515"/>
      <c r="G969" s="515"/>
      <c r="H969" s="515"/>
      <c r="I969" s="515"/>
      <c r="J969" s="515"/>
      <c r="K969" s="515"/>
      <c r="L969" s="515"/>
      <c r="M969" s="515"/>
      <c r="N969" s="515"/>
      <c r="O969" s="533"/>
      <c r="P969" s="786"/>
      <c r="Q969" s="787"/>
      <c r="R969" s="787"/>
      <c r="S969" s="787"/>
      <c r="T969" s="786"/>
      <c r="U969" s="787"/>
      <c r="V969" s="787"/>
      <c r="W969" s="787"/>
      <c r="X969" s="786"/>
      <c r="Y969" s="787"/>
      <c r="Z969" s="787"/>
      <c r="AA969" s="787"/>
      <c r="AB969" s="786"/>
      <c r="AC969" s="787"/>
      <c r="AD969" s="787"/>
      <c r="AE969" s="787"/>
      <c r="AF969" s="786"/>
      <c r="AG969" s="787"/>
      <c r="AH969" s="787"/>
      <c r="AI969" s="787"/>
      <c r="AJ969" s="786"/>
      <c r="AK969" s="787"/>
      <c r="AL969" s="787"/>
      <c r="AM969" s="787"/>
      <c r="AN969" s="786"/>
      <c r="AO969" s="787"/>
      <c r="AP969" s="787"/>
      <c r="AQ969" s="787"/>
      <c r="AR969" s="786"/>
      <c r="AS969" s="787"/>
      <c r="AT969" s="787"/>
      <c r="AU969" s="787"/>
      <c r="AV969" s="786"/>
      <c r="AW969" s="787"/>
      <c r="AX969" s="787"/>
      <c r="AY969" s="787"/>
      <c r="AZ969" s="780"/>
      <c r="BA969" s="780"/>
      <c r="BB969" s="780"/>
      <c r="BC969" s="780"/>
      <c r="BD969" s="541"/>
      <c r="BE969" s="541"/>
      <c r="BF969" s="541"/>
      <c r="BG969" s="541"/>
      <c r="BH969" s="780"/>
      <c r="BI969" s="780"/>
      <c r="BJ969" s="780"/>
      <c r="BK969" s="780"/>
      <c r="BL969" s="780"/>
      <c r="BM969" s="780"/>
    </row>
    <row r="970" ht="12.75" customHeight="1">
      <c r="A970" s="521"/>
      <c r="B970" s="521"/>
      <c r="C970" s="515"/>
      <c r="D970" s="515"/>
      <c r="E970" s="515"/>
      <c r="F970" s="515"/>
      <c r="G970" s="515"/>
      <c r="H970" s="515"/>
      <c r="I970" s="515"/>
      <c r="J970" s="515"/>
      <c r="K970" s="515"/>
      <c r="L970" s="515"/>
      <c r="M970" s="515"/>
      <c r="N970" s="515"/>
      <c r="O970" s="533"/>
      <c r="P970" s="786"/>
      <c r="Q970" s="787"/>
      <c r="R970" s="787"/>
      <c r="S970" s="787"/>
      <c r="T970" s="786"/>
      <c r="U970" s="787"/>
      <c r="V970" s="787"/>
      <c r="W970" s="787"/>
      <c r="X970" s="786"/>
      <c r="Y970" s="787"/>
      <c r="Z970" s="787"/>
      <c r="AA970" s="787"/>
      <c r="AB970" s="786"/>
      <c r="AC970" s="787"/>
      <c r="AD970" s="787"/>
      <c r="AE970" s="787"/>
      <c r="AF970" s="786"/>
      <c r="AG970" s="787"/>
      <c r="AH970" s="787"/>
      <c r="AI970" s="787"/>
      <c r="AJ970" s="786"/>
      <c r="AK970" s="787"/>
      <c r="AL970" s="787"/>
      <c r="AM970" s="787"/>
      <c r="AN970" s="786"/>
      <c r="AO970" s="787"/>
      <c r="AP970" s="787"/>
      <c r="AQ970" s="787"/>
      <c r="AR970" s="786"/>
      <c r="AS970" s="787"/>
      <c r="AT970" s="787"/>
      <c r="AU970" s="787"/>
      <c r="AV970" s="786"/>
      <c r="AW970" s="787"/>
      <c r="AX970" s="787"/>
      <c r="AY970" s="787"/>
      <c r="AZ970" s="780"/>
      <c r="BA970" s="780"/>
      <c r="BB970" s="780"/>
      <c r="BC970" s="780"/>
      <c r="BD970" s="541"/>
      <c r="BE970" s="541"/>
      <c r="BF970" s="541"/>
      <c r="BG970" s="541"/>
      <c r="BH970" s="780"/>
      <c r="BI970" s="780"/>
      <c r="BJ970" s="780"/>
      <c r="BK970" s="780"/>
      <c r="BL970" s="780"/>
      <c r="BM970" s="780"/>
    </row>
    <row r="971" ht="12.75" customHeight="1">
      <c r="A971" s="521"/>
      <c r="B971" s="521"/>
      <c r="C971" s="515"/>
      <c r="D971" s="515"/>
      <c r="E971" s="515"/>
      <c r="F971" s="515"/>
      <c r="G971" s="515"/>
      <c r="H971" s="515"/>
      <c r="I971" s="515"/>
      <c r="J971" s="515"/>
      <c r="K971" s="515"/>
      <c r="L971" s="515"/>
      <c r="M971" s="515"/>
      <c r="N971" s="515"/>
      <c r="O971" s="533"/>
      <c r="P971" s="786"/>
      <c r="Q971" s="787"/>
      <c r="R971" s="787"/>
      <c r="S971" s="787"/>
      <c r="T971" s="786"/>
      <c r="U971" s="787"/>
      <c r="V971" s="787"/>
      <c r="W971" s="787"/>
      <c r="X971" s="786"/>
      <c r="Y971" s="787"/>
      <c r="Z971" s="787"/>
      <c r="AA971" s="787"/>
      <c r="AB971" s="786"/>
      <c r="AC971" s="787"/>
      <c r="AD971" s="787"/>
      <c r="AE971" s="787"/>
      <c r="AF971" s="786"/>
      <c r="AG971" s="787"/>
      <c r="AH971" s="787"/>
      <c r="AI971" s="787"/>
      <c r="AJ971" s="786"/>
      <c r="AK971" s="787"/>
      <c r="AL971" s="787"/>
      <c r="AM971" s="787"/>
      <c r="AN971" s="786"/>
      <c r="AO971" s="787"/>
      <c r="AP971" s="787"/>
      <c r="AQ971" s="787"/>
      <c r="AR971" s="786"/>
      <c r="AS971" s="787"/>
      <c r="AT971" s="787"/>
      <c r="AU971" s="787"/>
      <c r="AV971" s="786"/>
      <c r="AW971" s="787"/>
      <c r="AX971" s="787"/>
      <c r="AY971" s="787"/>
      <c r="AZ971" s="780"/>
      <c r="BA971" s="780"/>
      <c r="BB971" s="780"/>
      <c r="BC971" s="780"/>
      <c r="BD971" s="541"/>
      <c r="BE971" s="541"/>
      <c r="BF971" s="541"/>
      <c r="BG971" s="541"/>
      <c r="BH971" s="780"/>
      <c r="BI971" s="780"/>
      <c r="BJ971" s="780"/>
      <c r="BK971" s="780"/>
      <c r="BL971" s="780"/>
      <c r="BM971" s="780"/>
    </row>
    <row r="972" ht="12.75" customHeight="1">
      <c r="A972" s="521"/>
      <c r="B972" s="521"/>
      <c r="C972" s="515"/>
      <c r="D972" s="515"/>
      <c r="E972" s="515"/>
      <c r="F972" s="515"/>
      <c r="G972" s="515"/>
      <c r="H972" s="515"/>
      <c r="I972" s="515"/>
      <c r="J972" s="515"/>
      <c r="K972" s="515"/>
      <c r="L972" s="515"/>
      <c r="M972" s="515"/>
      <c r="N972" s="515"/>
      <c r="O972" s="533"/>
      <c r="P972" s="786"/>
      <c r="Q972" s="787"/>
      <c r="R972" s="787"/>
      <c r="S972" s="787"/>
      <c r="T972" s="786"/>
      <c r="U972" s="787"/>
      <c r="V972" s="787"/>
      <c r="W972" s="787"/>
      <c r="X972" s="786"/>
      <c r="Y972" s="787"/>
      <c r="Z972" s="787"/>
      <c r="AA972" s="787"/>
      <c r="AB972" s="786"/>
      <c r="AC972" s="787"/>
      <c r="AD972" s="787"/>
      <c r="AE972" s="787"/>
      <c r="AF972" s="786"/>
      <c r="AG972" s="787"/>
      <c r="AH972" s="787"/>
      <c r="AI972" s="787"/>
      <c r="AJ972" s="786"/>
      <c r="AK972" s="787"/>
      <c r="AL972" s="787"/>
      <c r="AM972" s="787"/>
      <c r="AN972" s="786"/>
      <c r="AO972" s="787"/>
      <c r="AP972" s="787"/>
      <c r="AQ972" s="787"/>
      <c r="AR972" s="786"/>
      <c r="AS972" s="787"/>
      <c r="AT972" s="787"/>
      <c r="AU972" s="787"/>
      <c r="AV972" s="786"/>
      <c r="AW972" s="787"/>
      <c r="AX972" s="787"/>
      <c r="AY972" s="787"/>
      <c r="AZ972" s="780"/>
      <c r="BA972" s="780"/>
      <c r="BB972" s="780"/>
      <c r="BC972" s="780"/>
      <c r="BD972" s="541"/>
      <c r="BE972" s="541"/>
      <c r="BF972" s="541"/>
      <c r="BG972" s="541"/>
      <c r="BH972" s="780"/>
      <c r="BI972" s="780"/>
      <c r="BJ972" s="780"/>
      <c r="BK972" s="780"/>
      <c r="BL972" s="780"/>
      <c r="BM972" s="780"/>
    </row>
    <row r="973" ht="12.75" customHeight="1">
      <c r="A973" s="521"/>
      <c r="B973" s="521"/>
      <c r="C973" s="515"/>
      <c r="D973" s="515"/>
      <c r="E973" s="515"/>
      <c r="F973" s="515"/>
      <c r="G973" s="515"/>
      <c r="H973" s="515"/>
      <c r="I973" s="515"/>
      <c r="J973" s="515"/>
      <c r="K973" s="515"/>
      <c r="L973" s="515"/>
      <c r="M973" s="515"/>
      <c r="N973" s="515"/>
      <c r="O973" s="533"/>
      <c r="P973" s="786"/>
      <c r="Q973" s="787"/>
      <c r="R973" s="787"/>
      <c r="S973" s="787"/>
      <c r="T973" s="786"/>
      <c r="U973" s="787"/>
      <c r="V973" s="787"/>
      <c r="W973" s="787"/>
      <c r="X973" s="786"/>
      <c r="Y973" s="787"/>
      <c r="Z973" s="787"/>
      <c r="AA973" s="787"/>
      <c r="AB973" s="786"/>
      <c r="AC973" s="787"/>
      <c r="AD973" s="787"/>
      <c r="AE973" s="787"/>
      <c r="AF973" s="786"/>
      <c r="AG973" s="787"/>
      <c r="AH973" s="787"/>
      <c r="AI973" s="787"/>
      <c r="AJ973" s="786"/>
      <c r="AK973" s="787"/>
      <c r="AL973" s="787"/>
      <c r="AM973" s="787"/>
      <c r="AN973" s="786"/>
      <c r="AO973" s="787"/>
      <c r="AP973" s="787"/>
      <c r="AQ973" s="787"/>
      <c r="AR973" s="786"/>
      <c r="AS973" s="787"/>
      <c r="AT973" s="787"/>
      <c r="AU973" s="787"/>
      <c r="AV973" s="786"/>
      <c r="AW973" s="787"/>
      <c r="AX973" s="787"/>
      <c r="AY973" s="787"/>
      <c r="AZ973" s="780"/>
      <c r="BA973" s="780"/>
      <c r="BB973" s="780"/>
      <c r="BC973" s="780"/>
      <c r="BD973" s="541"/>
      <c r="BE973" s="541"/>
      <c r="BF973" s="541"/>
      <c r="BG973" s="541"/>
      <c r="BH973" s="780"/>
      <c r="BI973" s="780"/>
      <c r="BJ973" s="780"/>
      <c r="BK973" s="780"/>
      <c r="BL973" s="780"/>
      <c r="BM973" s="780"/>
    </row>
    <row r="974" ht="12.75" customHeight="1">
      <c r="A974" s="521"/>
      <c r="B974" s="521"/>
      <c r="C974" s="515"/>
      <c r="D974" s="515"/>
      <c r="E974" s="515"/>
      <c r="F974" s="515"/>
      <c r="G974" s="515"/>
      <c r="H974" s="515"/>
      <c r="I974" s="515"/>
      <c r="J974" s="515"/>
      <c r="K974" s="515"/>
      <c r="L974" s="515"/>
      <c r="M974" s="515"/>
      <c r="N974" s="515"/>
      <c r="O974" s="533"/>
      <c r="P974" s="786"/>
      <c r="Q974" s="787"/>
      <c r="R974" s="787"/>
      <c r="S974" s="787"/>
      <c r="T974" s="786"/>
      <c r="U974" s="787"/>
      <c r="V974" s="787"/>
      <c r="W974" s="787"/>
      <c r="X974" s="786"/>
      <c r="Y974" s="787"/>
      <c r="Z974" s="787"/>
      <c r="AA974" s="787"/>
      <c r="AB974" s="786"/>
      <c r="AC974" s="787"/>
      <c r="AD974" s="787"/>
      <c r="AE974" s="787"/>
      <c r="AF974" s="786"/>
      <c r="AG974" s="787"/>
      <c r="AH974" s="787"/>
      <c r="AI974" s="787"/>
      <c r="AJ974" s="786"/>
      <c r="AK974" s="787"/>
      <c r="AL974" s="787"/>
      <c r="AM974" s="787"/>
      <c r="AN974" s="786"/>
      <c r="AO974" s="787"/>
      <c r="AP974" s="787"/>
      <c r="AQ974" s="787"/>
      <c r="AR974" s="786"/>
      <c r="AS974" s="787"/>
      <c r="AT974" s="787"/>
      <c r="AU974" s="787"/>
      <c r="AV974" s="786"/>
      <c r="AW974" s="787"/>
      <c r="AX974" s="787"/>
      <c r="AY974" s="787"/>
      <c r="AZ974" s="780"/>
      <c r="BA974" s="780"/>
      <c r="BB974" s="780"/>
      <c r="BC974" s="780"/>
      <c r="BD974" s="541"/>
      <c r="BE974" s="541"/>
      <c r="BF974" s="541"/>
      <c r="BG974" s="541"/>
      <c r="BH974" s="780"/>
      <c r="BI974" s="780"/>
      <c r="BJ974" s="780"/>
      <c r="BK974" s="780"/>
      <c r="BL974" s="780"/>
      <c r="BM974" s="780"/>
    </row>
    <row r="975" ht="12.75" customHeight="1">
      <c r="A975" s="521"/>
      <c r="B975" s="521"/>
      <c r="C975" s="515"/>
      <c r="D975" s="515"/>
      <c r="E975" s="515"/>
      <c r="F975" s="515"/>
      <c r="G975" s="515"/>
      <c r="H975" s="515"/>
      <c r="I975" s="515"/>
      <c r="J975" s="515"/>
      <c r="K975" s="515"/>
      <c r="L975" s="515"/>
      <c r="M975" s="515"/>
      <c r="N975" s="515"/>
      <c r="O975" s="533"/>
      <c r="P975" s="786"/>
      <c r="Q975" s="787"/>
      <c r="R975" s="787"/>
      <c r="S975" s="787"/>
      <c r="T975" s="786"/>
      <c r="U975" s="787"/>
      <c r="V975" s="787"/>
      <c r="W975" s="787"/>
      <c r="X975" s="786"/>
      <c r="Y975" s="787"/>
      <c r="Z975" s="787"/>
      <c r="AA975" s="787"/>
      <c r="AB975" s="786"/>
      <c r="AC975" s="787"/>
      <c r="AD975" s="787"/>
      <c r="AE975" s="787"/>
      <c r="AF975" s="786"/>
      <c r="AG975" s="787"/>
      <c r="AH975" s="787"/>
      <c r="AI975" s="787"/>
      <c r="AJ975" s="786"/>
      <c r="AK975" s="787"/>
      <c r="AL975" s="787"/>
      <c r="AM975" s="787"/>
      <c r="AN975" s="786"/>
      <c r="AO975" s="787"/>
      <c r="AP975" s="787"/>
      <c r="AQ975" s="787"/>
      <c r="AR975" s="786"/>
      <c r="AS975" s="787"/>
      <c r="AT975" s="787"/>
      <c r="AU975" s="787"/>
      <c r="AV975" s="786"/>
      <c r="AW975" s="787"/>
      <c r="AX975" s="787"/>
      <c r="AY975" s="787"/>
      <c r="AZ975" s="780"/>
      <c r="BA975" s="780"/>
      <c r="BB975" s="780"/>
      <c r="BC975" s="780"/>
      <c r="BD975" s="541"/>
      <c r="BE975" s="541"/>
      <c r="BF975" s="541"/>
      <c r="BG975" s="541"/>
      <c r="BH975" s="780"/>
      <c r="BI975" s="780"/>
      <c r="BJ975" s="780"/>
      <c r="BK975" s="780"/>
      <c r="BL975" s="780"/>
      <c r="BM975" s="780"/>
    </row>
    <row r="976" ht="12.75" customHeight="1">
      <c r="A976" s="521"/>
      <c r="B976" s="521"/>
      <c r="C976" s="515"/>
      <c r="D976" s="515"/>
      <c r="E976" s="515"/>
      <c r="F976" s="515"/>
      <c r="G976" s="515"/>
      <c r="H976" s="515"/>
      <c r="I976" s="515"/>
      <c r="J976" s="515"/>
      <c r="K976" s="515"/>
      <c r="L976" s="515"/>
      <c r="M976" s="515"/>
      <c r="N976" s="515"/>
      <c r="O976" s="533"/>
      <c r="P976" s="786"/>
      <c r="Q976" s="787"/>
      <c r="R976" s="787"/>
      <c r="S976" s="787"/>
      <c r="T976" s="786"/>
      <c r="U976" s="787"/>
      <c r="V976" s="787"/>
      <c r="W976" s="787"/>
      <c r="X976" s="786"/>
      <c r="Y976" s="787"/>
      <c r="Z976" s="787"/>
      <c r="AA976" s="787"/>
      <c r="AB976" s="786"/>
      <c r="AC976" s="787"/>
      <c r="AD976" s="787"/>
      <c r="AE976" s="787"/>
      <c r="AF976" s="786"/>
      <c r="AG976" s="787"/>
      <c r="AH976" s="787"/>
      <c r="AI976" s="787"/>
      <c r="AJ976" s="786"/>
      <c r="AK976" s="787"/>
      <c r="AL976" s="787"/>
      <c r="AM976" s="787"/>
      <c r="AN976" s="786"/>
      <c r="AO976" s="787"/>
      <c r="AP976" s="787"/>
      <c r="AQ976" s="787"/>
      <c r="AR976" s="786"/>
      <c r="AS976" s="787"/>
      <c r="AT976" s="787"/>
      <c r="AU976" s="787"/>
      <c r="AV976" s="786"/>
      <c r="AW976" s="787"/>
      <c r="AX976" s="787"/>
      <c r="AY976" s="787"/>
      <c r="AZ976" s="780"/>
      <c r="BA976" s="780"/>
      <c r="BB976" s="780"/>
      <c r="BC976" s="780"/>
      <c r="BD976" s="541"/>
      <c r="BE976" s="541"/>
      <c r="BF976" s="541"/>
      <c r="BG976" s="541"/>
      <c r="BH976" s="780"/>
      <c r="BI976" s="780"/>
      <c r="BJ976" s="780"/>
      <c r="BK976" s="780"/>
      <c r="BL976" s="780"/>
      <c r="BM976" s="780"/>
    </row>
    <row r="977" ht="12.75" customHeight="1">
      <c r="A977" s="521"/>
      <c r="B977" s="521"/>
      <c r="C977" s="515"/>
      <c r="D977" s="515"/>
      <c r="E977" s="515"/>
      <c r="F977" s="515"/>
      <c r="G977" s="515"/>
      <c r="H977" s="515"/>
      <c r="I977" s="515"/>
      <c r="J977" s="515"/>
      <c r="K977" s="515"/>
      <c r="L977" s="515"/>
      <c r="M977" s="515"/>
      <c r="N977" s="515"/>
      <c r="O977" s="533"/>
      <c r="P977" s="786"/>
      <c r="Q977" s="787"/>
      <c r="R977" s="787"/>
      <c r="S977" s="787"/>
      <c r="T977" s="786"/>
      <c r="U977" s="787"/>
      <c r="V977" s="787"/>
      <c r="W977" s="787"/>
      <c r="X977" s="786"/>
      <c r="Y977" s="787"/>
      <c r="Z977" s="787"/>
      <c r="AA977" s="787"/>
      <c r="AB977" s="786"/>
      <c r="AC977" s="787"/>
      <c r="AD977" s="787"/>
      <c r="AE977" s="787"/>
      <c r="AF977" s="786"/>
      <c r="AG977" s="787"/>
      <c r="AH977" s="787"/>
      <c r="AI977" s="787"/>
      <c r="AJ977" s="786"/>
      <c r="AK977" s="787"/>
      <c r="AL977" s="787"/>
      <c r="AM977" s="787"/>
      <c r="AN977" s="786"/>
      <c r="AO977" s="787"/>
      <c r="AP977" s="787"/>
      <c r="AQ977" s="787"/>
      <c r="AR977" s="786"/>
      <c r="AS977" s="787"/>
      <c r="AT977" s="787"/>
      <c r="AU977" s="787"/>
      <c r="AV977" s="786"/>
      <c r="AW977" s="787"/>
      <c r="AX977" s="787"/>
      <c r="AY977" s="787"/>
      <c r="AZ977" s="780"/>
      <c r="BA977" s="780"/>
      <c r="BB977" s="780"/>
      <c r="BC977" s="780"/>
      <c r="BD977" s="541"/>
      <c r="BE977" s="541"/>
      <c r="BF977" s="541"/>
      <c r="BG977" s="541"/>
      <c r="BH977" s="780"/>
      <c r="BI977" s="780"/>
      <c r="BJ977" s="780"/>
      <c r="BK977" s="780"/>
      <c r="BL977" s="780"/>
      <c r="BM977" s="780"/>
    </row>
    <row r="978" ht="12.75" customHeight="1">
      <c r="A978" s="521"/>
      <c r="B978" s="521"/>
      <c r="C978" s="515"/>
      <c r="D978" s="515"/>
      <c r="E978" s="515"/>
      <c r="F978" s="515"/>
      <c r="G978" s="515"/>
      <c r="H978" s="515"/>
      <c r="I978" s="515"/>
      <c r="J978" s="515"/>
      <c r="K978" s="515"/>
      <c r="L978" s="515"/>
      <c r="M978" s="515"/>
      <c r="N978" s="515"/>
      <c r="O978" s="533"/>
      <c r="P978" s="786"/>
      <c r="Q978" s="787"/>
      <c r="R978" s="787"/>
      <c r="S978" s="787"/>
      <c r="T978" s="786"/>
      <c r="U978" s="787"/>
      <c r="V978" s="787"/>
      <c r="W978" s="787"/>
      <c r="X978" s="786"/>
      <c r="Y978" s="787"/>
      <c r="Z978" s="787"/>
      <c r="AA978" s="787"/>
      <c r="AB978" s="786"/>
      <c r="AC978" s="787"/>
      <c r="AD978" s="787"/>
      <c r="AE978" s="787"/>
      <c r="AF978" s="786"/>
      <c r="AG978" s="787"/>
      <c r="AH978" s="787"/>
      <c r="AI978" s="787"/>
      <c r="AJ978" s="786"/>
      <c r="AK978" s="787"/>
      <c r="AL978" s="787"/>
      <c r="AM978" s="787"/>
      <c r="AN978" s="786"/>
      <c r="AO978" s="787"/>
      <c r="AP978" s="787"/>
      <c r="AQ978" s="787"/>
      <c r="AR978" s="786"/>
      <c r="AS978" s="787"/>
      <c r="AT978" s="787"/>
      <c r="AU978" s="787"/>
      <c r="AV978" s="786"/>
      <c r="AW978" s="787"/>
      <c r="AX978" s="787"/>
      <c r="AY978" s="787"/>
      <c r="AZ978" s="780"/>
      <c r="BA978" s="780"/>
      <c r="BB978" s="780"/>
      <c r="BC978" s="780"/>
      <c r="BD978" s="541"/>
      <c r="BE978" s="541"/>
      <c r="BF978" s="541"/>
      <c r="BG978" s="541"/>
      <c r="BH978" s="780"/>
      <c r="BI978" s="780"/>
      <c r="BJ978" s="780"/>
      <c r="BK978" s="780"/>
      <c r="BL978" s="780"/>
      <c r="BM978" s="780"/>
    </row>
    <row r="979" ht="12.75" customHeight="1">
      <c r="A979" s="521"/>
      <c r="B979" s="521"/>
      <c r="C979" s="515"/>
      <c r="D979" s="515"/>
      <c r="E979" s="515"/>
      <c r="F979" s="515"/>
      <c r="G979" s="515"/>
      <c r="H979" s="515"/>
      <c r="I979" s="515"/>
      <c r="J979" s="515"/>
      <c r="K979" s="515"/>
      <c r="L979" s="515"/>
      <c r="M979" s="515"/>
      <c r="N979" s="515"/>
      <c r="O979" s="533"/>
      <c r="P979" s="786"/>
      <c r="Q979" s="787"/>
      <c r="R979" s="787"/>
      <c r="S979" s="787"/>
      <c r="T979" s="786"/>
      <c r="U979" s="787"/>
      <c r="V979" s="787"/>
      <c r="W979" s="787"/>
      <c r="X979" s="786"/>
      <c r="Y979" s="787"/>
      <c r="Z979" s="787"/>
      <c r="AA979" s="787"/>
      <c r="AB979" s="786"/>
      <c r="AC979" s="787"/>
      <c r="AD979" s="787"/>
      <c r="AE979" s="787"/>
      <c r="AF979" s="786"/>
      <c r="AG979" s="787"/>
      <c r="AH979" s="787"/>
      <c r="AI979" s="787"/>
      <c r="AJ979" s="786"/>
      <c r="AK979" s="787"/>
      <c r="AL979" s="787"/>
      <c r="AM979" s="787"/>
      <c r="AN979" s="786"/>
      <c r="AO979" s="787"/>
      <c r="AP979" s="787"/>
      <c r="AQ979" s="787"/>
      <c r="AR979" s="786"/>
      <c r="AS979" s="787"/>
      <c r="AT979" s="787"/>
      <c r="AU979" s="787"/>
      <c r="AV979" s="786"/>
      <c r="AW979" s="787"/>
      <c r="AX979" s="787"/>
      <c r="AY979" s="787"/>
      <c r="AZ979" s="780"/>
      <c r="BA979" s="780"/>
      <c r="BB979" s="780"/>
      <c r="BC979" s="780"/>
      <c r="BD979" s="541"/>
      <c r="BE979" s="541"/>
      <c r="BF979" s="541"/>
      <c r="BG979" s="541"/>
      <c r="BH979" s="780"/>
      <c r="BI979" s="780"/>
      <c r="BJ979" s="780"/>
      <c r="BK979" s="780"/>
      <c r="BL979" s="780"/>
      <c r="BM979" s="780"/>
    </row>
    <row r="980" ht="12.75" customHeight="1">
      <c r="A980" s="521"/>
      <c r="B980" s="521"/>
      <c r="C980" s="515"/>
      <c r="D980" s="515"/>
      <c r="E980" s="515"/>
      <c r="F980" s="515"/>
      <c r="G980" s="515"/>
      <c r="H980" s="515"/>
      <c r="I980" s="515"/>
      <c r="J980" s="515"/>
      <c r="K980" s="515"/>
      <c r="L980" s="515"/>
      <c r="M980" s="515"/>
      <c r="N980" s="515"/>
      <c r="O980" s="533"/>
      <c r="P980" s="786"/>
      <c r="Q980" s="787"/>
      <c r="R980" s="787"/>
      <c r="S980" s="787"/>
      <c r="T980" s="786"/>
      <c r="U980" s="787"/>
      <c r="V980" s="787"/>
      <c r="W980" s="787"/>
      <c r="X980" s="786"/>
      <c r="Y980" s="787"/>
      <c r="Z980" s="787"/>
      <c r="AA980" s="787"/>
      <c r="AB980" s="786"/>
      <c r="AC980" s="787"/>
      <c r="AD980" s="787"/>
      <c r="AE980" s="787"/>
      <c r="AF980" s="786"/>
      <c r="AG980" s="787"/>
      <c r="AH980" s="787"/>
      <c r="AI980" s="787"/>
      <c r="AJ980" s="786"/>
      <c r="AK980" s="787"/>
      <c r="AL980" s="787"/>
      <c r="AM980" s="787"/>
      <c r="AN980" s="786"/>
      <c r="AO980" s="787"/>
      <c r="AP980" s="787"/>
      <c r="AQ980" s="787"/>
      <c r="AR980" s="786"/>
      <c r="AS980" s="787"/>
      <c r="AT980" s="787"/>
      <c r="AU980" s="787"/>
      <c r="AV980" s="786"/>
      <c r="AW980" s="787"/>
      <c r="AX980" s="787"/>
      <c r="AY980" s="787"/>
      <c r="AZ980" s="780"/>
      <c r="BA980" s="780"/>
      <c r="BB980" s="780"/>
      <c r="BC980" s="780"/>
      <c r="BD980" s="541"/>
      <c r="BE980" s="541"/>
      <c r="BF980" s="541"/>
      <c r="BG980" s="541"/>
      <c r="BH980" s="780"/>
      <c r="BI980" s="780"/>
      <c r="BJ980" s="780"/>
      <c r="BK980" s="780"/>
      <c r="BL980" s="780"/>
      <c r="BM980" s="780"/>
    </row>
    <row r="981" ht="12.75" customHeight="1">
      <c r="A981" s="521"/>
      <c r="B981" s="521"/>
      <c r="C981" s="515"/>
      <c r="D981" s="515"/>
      <c r="E981" s="515"/>
      <c r="F981" s="515"/>
      <c r="G981" s="515"/>
      <c r="H981" s="515"/>
      <c r="I981" s="515"/>
      <c r="J981" s="515"/>
      <c r="K981" s="515"/>
      <c r="L981" s="515"/>
      <c r="M981" s="515"/>
      <c r="N981" s="515"/>
      <c r="O981" s="533"/>
      <c r="P981" s="786"/>
      <c r="Q981" s="787"/>
      <c r="R981" s="787"/>
      <c r="S981" s="787"/>
      <c r="T981" s="786"/>
      <c r="U981" s="787"/>
      <c r="V981" s="787"/>
      <c r="W981" s="787"/>
      <c r="X981" s="786"/>
      <c r="Y981" s="787"/>
      <c r="Z981" s="787"/>
      <c r="AA981" s="787"/>
      <c r="AB981" s="786"/>
      <c r="AC981" s="787"/>
      <c r="AD981" s="787"/>
      <c r="AE981" s="787"/>
      <c r="AF981" s="786"/>
      <c r="AG981" s="787"/>
      <c r="AH981" s="787"/>
      <c r="AI981" s="787"/>
      <c r="AJ981" s="786"/>
      <c r="AK981" s="787"/>
      <c r="AL981" s="787"/>
      <c r="AM981" s="787"/>
      <c r="AN981" s="786"/>
      <c r="AO981" s="787"/>
      <c r="AP981" s="787"/>
      <c r="AQ981" s="787"/>
      <c r="AR981" s="786"/>
      <c r="AS981" s="787"/>
      <c r="AT981" s="787"/>
      <c r="AU981" s="787"/>
      <c r="AV981" s="786"/>
      <c r="AW981" s="787"/>
      <c r="AX981" s="787"/>
      <c r="AY981" s="787"/>
      <c r="AZ981" s="780"/>
      <c r="BA981" s="780"/>
      <c r="BB981" s="780"/>
      <c r="BC981" s="780"/>
      <c r="BD981" s="541"/>
      <c r="BE981" s="541"/>
      <c r="BF981" s="541"/>
      <c r="BG981" s="541"/>
      <c r="BH981" s="780"/>
      <c r="BI981" s="780"/>
      <c r="BJ981" s="780"/>
      <c r="BK981" s="780"/>
      <c r="BL981" s="780"/>
      <c r="BM981" s="780"/>
    </row>
    <row r="982" ht="12.75" customHeight="1">
      <c r="A982" s="521"/>
      <c r="B982" s="521"/>
      <c r="C982" s="515"/>
      <c r="D982" s="515"/>
      <c r="E982" s="515"/>
      <c r="F982" s="515"/>
      <c r="G982" s="515"/>
      <c r="H982" s="515"/>
      <c r="I982" s="515"/>
      <c r="J982" s="515"/>
      <c r="K982" s="515"/>
      <c r="L982" s="515"/>
      <c r="M982" s="515"/>
      <c r="N982" s="515"/>
      <c r="O982" s="533"/>
      <c r="P982" s="786"/>
      <c r="Q982" s="787"/>
      <c r="R982" s="787"/>
      <c r="S982" s="787"/>
      <c r="T982" s="786"/>
      <c r="U982" s="787"/>
      <c r="V982" s="787"/>
      <c r="W982" s="787"/>
      <c r="X982" s="786"/>
      <c r="Y982" s="787"/>
      <c r="Z982" s="787"/>
      <c r="AA982" s="787"/>
      <c r="AB982" s="786"/>
      <c r="AC982" s="787"/>
      <c r="AD982" s="787"/>
      <c r="AE982" s="787"/>
      <c r="AF982" s="786"/>
      <c r="AG982" s="787"/>
      <c r="AH982" s="787"/>
      <c r="AI982" s="787"/>
      <c r="AJ982" s="786"/>
      <c r="AK982" s="787"/>
      <c r="AL982" s="787"/>
      <c r="AM982" s="787"/>
      <c r="AN982" s="786"/>
      <c r="AO982" s="787"/>
      <c r="AP982" s="787"/>
      <c r="AQ982" s="787"/>
      <c r="AR982" s="786"/>
      <c r="AS982" s="787"/>
      <c r="AT982" s="787"/>
      <c r="AU982" s="787"/>
      <c r="AV982" s="786"/>
      <c r="AW982" s="787"/>
      <c r="AX982" s="787"/>
      <c r="AY982" s="787"/>
      <c r="AZ982" s="780"/>
      <c r="BA982" s="780"/>
      <c r="BB982" s="780"/>
      <c r="BC982" s="780"/>
      <c r="BD982" s="541"/>
      <c r="BE982" s="541"/>
      <c r="BF982" s="541"/>
      <c r="BG982" s="541"/>
      <c r="BH982" s="780"/>
      <c r="BI982" s="780"/>
      <c r="BJ982" s="780"/>
      <c r="BK982" s="780"/>
      <c r="BL982" s="780"/>
      <c r="BM982" s="780"/>
    </row>
    <row r="983" ht="12.75" customHeight="1">
      <c r="A983" s="521"/>
      <c r="B983" s="521"/>
      <c r="C983" s="515"/>
      <c r="D983" s="515"/>
      <c r="E983" s="515"/>
      <c r="F983" s="515"/>
      <c r="G983" s="515"/>
      <c r="H983" s="515"/>
      <c r="I983" s="515"/>
      <c r="J983" s="515"/>
      <c r="K983" s="515"/>
      <c r="L983" s="515"/>
      <c r="M983" s="515"/>
      <c r="N983" s="515"/>
      <c r="O983" s="533"/>
      <c r="P983" s="786"/>
      <c r="Q983" s="787"/>
      <c r="R983" s="787"/>
      <c r="S983" s="787"/>
      <c r="T983" s="786"/>
      <c r="U983" s="787"/>
      <c r="V983" s="787"/>
      <c r="W983" s="787"/>
      <c r="X983" s="786"/>
      <c r="Y983" s="787"/>
      <c r="Z983" s="787"/>
      <c r="AA983" s="787"/>
      <c r="AB983" s="786"/>
      <c r="AC983" s="787"/>
      <c r="AD983" s="787"/>
      <c r="AE983" s="787"/>
      <c r="AF983" s="786"/>
      <c r="AG983" s="787"/>
      <c r="AH983" s="787"/>
      <c r="AI983" s="787"/>
      <c r="AJ983" s="786"/>
      <c r="AK983" s="787"/>
      <c r="AL983" s="787"/>
      <c r="AM983" s="787"/>
      <c r="AN983" s="786"/>
      <c r="AO983" s="787"/>
      <c r="AP983" s="787"/>
      <c r="AQ983" s="787"/>
      <c r="AR983" s="786"/>
      <c r="AS983" s="787"/>
      <c r="AT983" s="787"/>
      <c r="AU983" s="787"/>
      <c r="AV983" s="786"/>
      <c r="AW983" s="787"/>
      <c r="AX983" s="787"/>
      <c r="AY983" s="787"/>
      <c r="AZ983" s="780"/>
      <c r="BA983" s="780"/>
      <c r="BB983" s="780"/>
      <c r="BC983" s="780"/>
      <c r="BD983" s="541"/>
      <c r="BE983" s="541"/>
      <c r="BF983" s="541"/>
      <c r="BG983" s="541"/>
      <c r="BH983" s="780"/>
      <c r="BI983" s="780"/>
      <c r="BJ983" s="780"/>
      <c r="BK983" s="780"/>
      <c r="BL983" s="780"/>
      <c r="BM983" s="780"/>
    </row>
    <row r="984" ht="12.75" customHeight="1">
      <c r="A984" s="521"/>
      <c r="B984" s="521"/>
      <c r="C984" s="515"/>
      <c r="D984" s="515"/>
      <c r="E984" s="515"/>
      <c r="F984" s="515"/>
      <c r="G984" s="515"/>
      <c r="H984" s="515"/>
      <c r="I984" s="515"/>
      <c r="J984" s="515"/>
      <c r="K984" s="515"/>
      <c r="L984" s="515"/>
      <c r="M984" s="515"/>
      <c r="N984" s="515"/>
      <c r="O984" s="533"/>
      <c r="P984" s="786"/>
      <c r="Q984" s="787"/>
      <c r="R984" s="787"/>
      <c r="S984" s="787"/>
      <c r="T984" s="786"/>
      <c r="U984" s="787"/>
      <c r="V984" s="787"/>
      <c r="W984" s="787"/>
      <c r="X984" s="786"/>
      <c r="Y984" s="787"/>
      <c r="Z984" s="787"/>
      <c r="AA984" s="787"/>
      <c r="AB984" s="786"/>
      <c r="AC984" s="787"/>
      <c r="AD984" s="787"/>
      <c r="AE984" s="787"/>
      <c r="AF984" s="786"/>
      <c r="AG984" s="787"/>
      <c r="AH984" s="787"/>
      <c r="AI984" s="787"/>
      <c r="AJ984" s="786"/>
      <c r="AK984" s="787"/>
      <c r="AL984" s="787"/>
      <c r="AM984" s="787"/>
      <c r="AN984" s="786"/>
      <c r="AO984" s="787"/>
      <c r="AP984" s="787"/>
      <c r="AQ984" s="787"/>
      <c r="AR984" s="786"/>
      <c r="AS984" s="787"/>
      <c r="AT984" s="787"/>
      <c r="AU984" s="787"/>
      <c r="AV984" s="786"/>
      <c r="AW984" s="787"/>
      <c r="AX984" s="787"/>
      <c r="AY984" s="787"/>
      <c r="AZ984" s="780"/>
      <c r="BA984" s="780"/>
      <c r="BB984" s="780"/>
      <c r="BC984" s="780"/>
      <c r="BD984" s="541"/>
      <c r="BE984" s="541"/>
      <c r="BF984" s="541"/>
      <c r="BG984" s="541"/>
      <c r="BH984" s="780"/>
      <c r="BI984" s="780"/>
      <c r="BJ984" s="780"/>
      <c r="BK984" s="780"/>
      <c r="BL984" s="780"/>
      <c r="BM984" s="780"/>
    </row>
    <row r="985" ht="12.75" customHeight="1">
      <c r="A985" s="521"/>
      <c r="B985" s="521"/>
      <c r="C985" s="515"/>
      <c r="D985" s="515"/>
      <c r="E985" s="515"/>
      <c r="F985" s="515"/>
      <c r="G985" s="515"/>
      <c r="H985" s="515"/>
      <c r="I985" s="515"/>
      <c r="J985" s="515"/>
      <c r="K985" s="515"/>
      <c r="L985" s="515"/>
      <c r="M985" s="515"/>
      <c r="N985" s="515"/>
      <c r="O985" s="533"/>
      <c r="P985" s="786"/>
      <c r="Q985" s="787"/>
      <c r="R985" s="787"/>
      <c r="S985" s="787"/>
      <c r="T985" s="786"/>
      <c r="U985" s="787"/>
      <c r="V985" s="787"/>
      <c r="W985" s="787"/>
      <c r="X985" s="786"/>
      <c r="Y985" s="787"/>
      <c r="Z985" s="787"/>
      <c r="AA985" s="787"/>
      <c r="AB985" s="786"/>
      <c r="AC985" s="787"/>
      <c r="AD985" s="787"/>
      <c r="AE985" s="787"/>
      <c r="AF985" s="786"/>
      <c r="AG985" s="787"/>
      <c r="AH985" s="787"/>
      <c r="AI985" s="787"/>
      <c r="AJ985" s="786"/>
      <c r="AK985" s="787"/>
      <c r="AL985" s="787"/>
      <c r="AM985" s="787"/>
      <c r="AN985" s="786"/>
      <c r="AO985" s="787"/>
      <c r="AP985" s="787"/>
      <c r="AQ985" s="787"/>
      <c r="AR985" s="786"/>
      <c r="AS985" s="787"/>
      <c r="AT985" s="787"/>
      <c r="AU985" s="787"/>
      <c r="AV985" s="786"/>
      <c r="AW985" s="787"/>
      <c r="AX985" s="787"/>
      <c r="AY985" s="787"/>
      <c r="AZ985" s="780"/>
      <c r="BA985" s="780"/>
      <c r="BB985" s="780"/>
      <c r="BC985" s="780"/>
      <c r="BD985" s="541"/>
      <c r="BE985" s="541"/>
      <c r="BF985" s="541"/>
      <c r="BG985" s="541"/>
      <c r="BH985" s="780"/>
      <c r="BI985" s="780"/>
      <c r="BJ985" s="780"/>
      <c r="BK985" s="780"/>
      <c r="BL985" s="780"/>
      <c r="BM985" s="780"/>
    </row>
    <row r="986" ht="12.75" customHeight="1">
      <c r="A986" s="521"/>
      <c r="B986" s="521"/>
      <c r="C986" s="515"/>
      <c r="D986" s="515"/>
      <c r="E986" s="515"/>
      <c r="F986" s="515"/>
      <c r="G986" s="515"/>
      <c r="H986" s="515"/>
      <c r="I986" s="515"/>
      <c r="J986" s="515"/>
      <c r="K986" s="515"/>
      <c r="L986" s="515"/>
      <c r="M986" s="515"/>
      <c r="N986" s="515"/>
      <c r="O986" s="533"/>
      <c r="P986" s="786"/>
      <c r="Q986" s="787"/>
      <c r="R986" s="787"/>
      <c r="S986" s="787"/>
      <c r="T986" s="786"/>
      <c r="U986" s="787"/>
      <c r="V986" s="787"/>
      <c r="W986" s="787"/>
      <c r="X986" s="786"/>
      <c r="Y986" s="787"/>
      <c r="Z986" s="787"/>
      <c r="AA986" s="787"/>
      <c r="AB986" s="786"/>
      <c r="AC986" s="787"/>
      <c r="AD986" s="787"/>
      <c r="AE986" s="787"/>
      <c r="AF986" s="786"/>
      <c r="AG986" s="787"/>
      <c r="AH986" s="787"/>
      <c r="AI986" s="787"/>
      <c r="AJ986" s="786"/>
      <c r="AK986" s="787"/>
      <c r="AL986" s="787"/>
      <c r="AM986" s="787"/>
      <c r="AN986" s="786"/>
      <c r="AO986" s="787"/>
      <c r="AP986" s="787"/>
      <c r="AQ986" s="787"/>
      <c r="AR986" s="786"/>
      <c r="AS986" s="787"/>
      <c r="AT986" s="787"/>
      <c r="AU986" s="787"/>
      <c r="AV986" s="786"/>
      <c r="AW986" s="787"/>
      <c r="AX986" s="787"/>
      <c r="AY986" s="787"/>
      <c r="AZ986" s="780"/>
      <c r="BA986" s="780"/>
      <c r="BB986" s="780"/>
      <c r="BC986" s="780"/>
      <c r="BD986" s="541"/>
      <c r="BE986" s="541"/>
      <c r="BF986" s="541"/>
      <c r="BG986" s="541"/>
      <c r="BH986" s="780"/>
      <c r="BI986" s="780"/>
      <c r="BJ986" s="780"/>
      <c r="BK986" s="780"/>
      <c r="BL986" s="780"/>
      <c r="BM986" s="780"/>
    </row>
    <row r="987" ht="12.75" customHeight="1">
      <c r="A987" s="521"/>
      <c r="B987" s="521"/>
      <c r="C987" s="515"/>
      <c r="D987" s="515"/>
      <c r="E987" s="515"/>
      <c r="F987" s="515"/>
      <c r="G987" s="515"/>
      <c r="H987" s="515"/>
      <c r="I987" s="515"/>
      <c r="J987" s="515"/>
      <c r="K987" s="515"/>
      <c r="L987" s="515"/>
      <c r="M987" s="515"/>
      <c r="N987" s="515"/>
      <c r="O987" s="533"/>
      <c r="P987" s="786"/>
      <c r="Q987" s="787"/>
      <c r="R987" s="787"/>
      <c r="S987" s="787"/>
      <c r="T987" s="786"/>
      <c r="U987" s="787"/>
      <c r="V987" s="787"/>
      <c r="W987" s="787"/>
      <c r="X987" s="786"/>
      <c r="Y987" s="787"/>
      <c r="Z987" s="787"/>
      <c r="AA987" s="787"/>
      <c r="AB987" s="786"/>
      <c r="AC987" s="787"/>
      <c r="AD987" s="787"/>
      <c r="AE987" s="787"/>
      <c r="AF987" s="786"/>
      <c r="AG987" s="787"/>
      <c r="AH987" s="787"/>
      <c r="AI987" s="787"/>
      <c r="AJ987" s="786"/>
      <c r="AK987" s="787"/>
      <c r="AL987" s="787"/>
      <c r="AM987" s="787"/>
      <c r="AN987" s="786"/>
      <c r="AO987" s="787"/>
      <c r="AP987" s="787"/>
      <c r="AQ987" s="787"/>
      <c r="AR987" s="786"/>
      <c r="AS987" s="787"/>
      <c r="AT987" s="787"/>
      <c r="AU987" s="787"/>
      <c r="AV987" s="786"/>
      <c r="AW987" s="787"/>
      <c r="AX987" s="787"/>
      <c r="AY987" s="787"/>
      <c r="AZ987" s="780"/>
      <c r="BA987" s="780"/>
      <c r="BB987" s="780"/>
      <c r="BC987" s="780"/>
      <c r="BD987" s="541"/>
      <c r="BE987" s="541"/>
      <c r="BF987" s="541"/>
      <c r="BG987" s="541"/>
      <c r="BH987" s="780"/>
      <c r="BI987" s="780"/>
      <c r="BJ987" s="780"/>
      <c r="BK987" s="780"/>
      <c r="BL987" s="780"/>
      <c r="BM987" s="780"/>
    </row>
    <row r="988" ht="12.75" customHeight="1">
      <c r="A988" s="521"/>
      <c r="B988" s="521"/>
      <c r="C988" s="515"/>
      <c r="D988" s="515"/>
      <c r="E988" s="515"/>
      <c r="F988" s="515"/>
      <c r="G988" s="515"/>
      <c r="H988" s="515"/>
      <c r="I988" s="515"/>
      <c r="J988" s="515"/>
      <c r="K988" s="515"/>
      <c r="L988" s="515"/>
      <c r="M988" s="515"/>
      <c r="N988" s="515"/>
      <c r="O988" s="533"/>
      <c r="P988" s="786"/>
      <c r="Q988" s="787"/>
      <c r="R988" s="787"/>
      <c r="S988" s="787"/>
      <c r="T988" s="786"/>
      <c r="U988" s="787"/>
      <c r="V988" s="787"/>
      <c r="W988" s="787"/>
      <c r="X988" s="786"/>
      <c r="Y988" s="787"/>
      <c r="Z988" s="787"/>
      <c r="AA988" s="787"/>
      <c r="AB988" s="786"/>
      <c r="AC988" s="787"/>
      <c r="AD988" s="787"/>
      <c r="AE988" s="787"/>
      <c r="AF988" s="786"/>
      <c r="AG988" s="787"/>
      <c r="AH988" s="787"/>
      <c r="AI988" s="787"/>
      <c r="AJ988" s="786"/>
      <c r="AK988" s="787"/>
      <c r="AL988" s="787"/>
      <c r="AM988" s="787"/>
      <c r="AN988" s="786"/>
      <c r="AO988" s="787"/>
      <c r="AP988" s="787"/>
      <c r="AQ988" s="787"/>
      <c r="AR988" s="786"/>
      <c r="AS988" s="787"/>
      <c r="AT988" s="787"/>
      <c r="AU988" s="787"/>
      <c r="AV988" s="786"/>
      <c r="AW988" s="787"/>
      <c r="AX988" s="787"/>
      <c r="AY988" s="787"/>
      <c r="AZ988" s="780"/>
      <c r="BA988" s="780"/>
      <c r="BB988" s="780"/>
      <c r="BC988" s="780"/>
      <c r="BD988" s="541"/>
      <c r="BE988" s="541"/>
      <c r="BF988" s="541"/>
      <c r="BG988" s="541"/>
      <c r="BH988" s="780"/>
      <c r="BI988" s="780"/>
      <c r="BJ988" s="780"/>
      <c r="BK988" s="780"/>
      <c r="BL988" s="780"/>
      <c r="BM988" s="780"/>
    </row>
    <row r="989" ht="12.75" customHeight="1">
      <c r="A989" s="521"/>
      <c r="B989" s="521"/>
      <c r="C989" s="515"/>
      <c r="D989" s="515"/>
      <c r="E989" s="515"/>
      <c r="F989" s="515"/>
      <c r="G989" s="515"/>
      <c r="H989" s="515"/>
      <c r="I989" s="515"/>
      <c r="J989" s="515"/>
      <c r="K989" s="515"/>
      <c r="L989" s="515"/>
      <c r="M989" s="515"/>
      <c r="N989" s="515"/>
      <c r="O989" s="533"/>
      <c r="P989" s="786"/>
      <c r="Q989" s="787"/>
      <c r="R989" s="787"/>
      <c r="S989" s="787"/>
      <c r="T989" s="786"/>
      <c r="U989" s="787"/>
      <c r="V989" s="787"/>
      <c r="W989" s="787"/>
      <c r="X989" s="786"/>
      <c r="Y989" s="787"/>
      <c r="Z989" s="787"/>
      <c r="AA989" s="787"/>
      <c r="AB989" s="786"/>
      <c r="AC989" s="787"/>
      <c r="AD989" s="787"/>
      <c r="AE989" s="787"/>
      <c r="AF989" s="786"/>
      <c r="AG989" s="787"/>
      <c r="AH989" s="787"/>
      <c r="AI989" s="787"/>
      <c r="AJ989" s="786"/>
      <c r="AK989" s="787"/>
      <c r="AL989" s="787"/>
      <c r="AM989" s="787"/>
      <c r="AN989" s="786"/>
      <c r="AO989" s="787"/>
      <c r="AP989" s="787"/>
      <c r="AQ989" s="787"/>
      <c r="AR989" s="786"/>
      <c r="AS989" s="787"/>
      <c r="AT989" s="787"/>
      <c r="AU989" s="787"/>
      <c r="AV989" s="786"/>
      <c r="AW989" s="787"/>
      <c r="AX989" s="787"/>
      <c r="AY989" s="787"/>
      <c r="AZ989" s="780"/>
      <c r="BA989" s="780"/>
      <c r="BB989" s="780"/>
      <c r="BC989" s="780"/>
      <c r="BD989" s="541"/>
      <c r="BE989" s="541"/>
      <c r="BF989" s="541"/>
      <c r="BG989" s="541"/>
      <c r="BH989" s="780"/>
      <c r="BI989" s="780"/>
      <c r="BJ989" s="780"/>
      <c r="BK989" s="780"/>
      <c r="BL989" s="780"/>
      <c r="BM989" s="780"/>
    </row>
    <row r="990" ht="12.75" customHeight="1">
      <c r="A990" s="521"/>
      <c r="B990" s="521"/>
      <c r="C990" s="515"/>
      <c r="D990" s="515"/>
      <c r="E990" s="515"/>
      <c r="F990" s="515"/>
      <c r="G990" s="515"/>
      <c r="H990" s="515"/>
      <c r="I990" s="515"/>
      <c r="J990" s="515"/>
      <c r="K990" s="515"/>
      <c r="L990" s="515"/>
      <c r="M990" s="515"/>
      <c r="N990" s="515"/>
      <c r="O990" s="533"/>
      <c r="P990" s="786"/>
      <c r="Q990" s="787"/>
      <c r="R990" s="787"/>
      <c r="S990" s="787"/>
      <c r="T990" s="786"/>
      <c r="U990" s="787"/>
      <c r="V990" s="787"/>
      <c r="W990" s="787"/>
      <c r="X990" s="786"/>
      <c r="Y990" s="787"/>
      <c r="Z990" s="787"/>
      <c r="AA990" s="787"/>
      <c r="AB990" s="786"/>
      <c r="AC990" s="787"/>
      <c r="AD990" s="787"/>
      <c r="AE990" s="787"/>
      <c r="AF990" s="786"/>
      <c r="AG990" s="787"/>
      <c r="AH990" s="787"/>
      <c r="AI990" s="787"/>
      <c r="AJ990" s="786"/>
      <c r="AK990" s="787"/>
      <c r="AL990" s="787"/>
      <c r="AM990" s="787"/>
      <c r="AN990" s="786"/>
      <c r="AO990" s="787"/>
      <c r="AP990" s="787"/>
      <c r="AQ990" s="787"/>
      <c r="AR990" s="786"/>
      <c r="AS990" s="787"/>
      <c r="AT990" s="787"/>
      <c r="AU990" s="787"/>
      <c r="AV990" s="786"/>
      <c r="AW990" s="787"/>
      <c r="AX990" s="787"/>
      <c r="AY990" s="787"/>
      <c r="AZ990" s="780"/>
      <c r="BA990" s="780"/>
      <c r="BB990" s="780"/>
      <c r="BC990" s="780"/>
      <c r="BD990" s="541"/>
      <c r="BE990" s="541"/>
      <c r="BF990" s="541"/>
      <c r="BG990" s="541"/>
      <c r="BH990" s="780"/>
      <c r="BI990" s="780"/>
      <c r="BJ990" s="780"/>
      <c r="BK990" s="780"/>
      <c r="BL990" s="780"/>
      <c r="BM990" s="780"/>
    </row>
    <row r="991" ht="12.75" customHeight="1">
      <c r="A991" s="521"/>
      <c r="B991" s="521"/>
      <c r="C991" s="515"/>
      <c r="D991" s="515"/>
      <c r="E991" s="515"/>
      <c r="F991" s="515"/>
      <c r="G991" s="515"/>
      <c r="H991" s="515"/>
      <c r="I991" s="515"/>
      <c r="J991" s="515"/>
      <c r="K991" s="515"/>
      <c r="L991" s="515"/>
      <c r="M991" s="515"/>
      <c r="N991" s="515"/>
      <c r="O991" s="533"/>
      <c r="P991" s="786"/>
      <c r="Q991" s="787"/>
      <c r="R991" s="787"/>
      <c r="S991" s="787"/>
      <c r="T991" s="786"/>
      <c r="U991" s="787"/>
      <c r="V991" s="787"/>
      <c r="W991" s="787"/>
      <c r="X991" s="786"/>
      <c r="Y991" s="787"/>
      <c r="Z991" s="787"/>
      <c r="AA991" s="787"/>
      <c r="AB991" s="786"/>
      <c r="AC991" s="787"/>
      <c r="AD991" s="787"/>
      <c r="AE991" s="787"/>
      <c r="AF991" s="786"/>
      <c r="AG991" s="787"/>
      <c r="AH991" s="787"/>
      <c r="AI991" s="787"/>
      <c r="AJ991" s="786"/>
      <c r="AK991" s="787"/>
      <c r="AL991" s="787"/>
      <c r="AM991" s="787"/>
      <c r="AN991" s="786"/>
      <c r="AO991" s="787"/>
      <c r="AP991" s="787"/>
      <c r="AQ991" s="787"/>
      <c r="AR991" s="786"/>
      <c r="AS991" s="787"/>
      <c r="AT991" s="787"/>
      <c r="AU991" s="787"/>
      <c r="AV991" s="786"/>
      <c r="AW991" s="787"/>
      <c r="AX991" s="787"/>
      <c r="AY991" s="787"/>
      <c r="AZ991" s="780"/>
      <c r="BA991" s="780"/>
      <c r="BB991" s="780"/>
      <c r="BC991" s="780"/>
      <c r="BD991" s="541"/>
      <c r="BE991" s="541"/>
      <c r="BF991" s="541"/>
      <c r="BG991" s="541"/>
      <c r="BH991" s="780"/>
      <c r="BI991" s="780"/>
      <c r="BJ991" s="780"/>
      <c r="BK991" s="780"/>
      <c r="BL991" s="780"/>
      <c r="BM991" s="780"/>
    </row>
    <row r="992" ht="12.75" customHeight="1">
      <c r="A992" s="521"/>
      <c r="B992" s="521"/>
      <c r="C992" s="515"/>
      <c r="D992" s="515"/>
      <c r="E992" s="515"/>
      <c r="F992" s="515"/>
      <c r="G992" s="515"/>
      <c r="H992" s="515"/>
      <c r="I992" s="515"/>
      <c r="J992" s="515"/>
      <c r="K992" s="515"/>
      <c r="L992" s="515"/>
      <c r="M992" s="515"/>
      <c r="N992" s="515"/>
      <c r="O992" s="533"/>
      <c r="P992" s="786"/>
      <c r="Q992" s="787"/>
      <c r="R992" s="787"/>
      <c r="S992" s="787"/>
      <c r="T992" s="786"/>
      <c r="U992" s="787"/>
      <c r="V992" s="787"/>
      <c r="W992" s="787"/>
      <c r="X992" s="786"/>
      <c r="Y992" s="787"/>
      <c r="Z992" s="787"/>
      <c r="AA992" s="787"/>
      <c r="AB992" s="786"/>
      <c r="AC992" s="787"/>
      <c r="AD992" s="787"/>
      <c r="AE992" s="787"/>
      <c r="AF992" s="786"/>
      <c r="AG992" s="787"/>
      <c r="AH992" s="787"/>
      <c r="AI992" s="787"/>
      <c r="AJ992" s="786"/>
      <c r="AK992" s="787"/>
      <c r="AL992" s="787"/>
      <c r="AM992" s="787"/>
      <c r="AN992" s="786"/>
      <c r="AO992" s="787"/>
      <c r="AP992" s="787"/>
      <c r="AQ992" s="787"/>
      <c r="AR992" s="786"/>
      <c r="AS992" s="787"/>
      <c r="AT992" s="787"/>
      <c r="AU992" s="787"/>
      <c r="AV992" s="786"/>
      <c r="AW992" s="787"/>
      <c r="AX992" s="787"/>
      <c r="AY992" s="787"/>
      <c r="AZ992" s="780"/>
      <c r="BA992" s="780"/>
      <c r="BB992" s="780"/>
      <c r="BC992" s="780"/>
      <c r="BD992" s="541"/>
      <c r="BE992" s="541"/>
      <c r="BF992" s="541"/>
      <c r="BG992" s="541"/>
      <c r="BH992" s="780"/>
      <c r="BI992" s="780"/>
      <c r="BJ992" s="780"/>
      <c r="BK992" s="780"/>
      <c r="BL992" s="780"/>
      <c r="BM992" s="780"/>
    </row>
    <row r="993" ht="12.75" customHeight="1">
      <c r="A993" s="521"/>
      <c r="B993" s="521"/>
      <c r="C993" s="515"/>
      <c r="D993" s="515"/>
      <c r="E993" s="515"/>
      <c r="F993" s="515"/>
      <c r="G993" s="515"/>
      <c r="H993" s="515"/>
      <c r="I993" s="515"/>
      <c r="J993" s="515"/>
      <c r="K993" s="515"/>
      <c r="L993" s="515"/>
      <c r="M993" s="515"/>
      <c r="N993" s="515"/>
      <c r="O993" s="533"/>
      <c r="P993" s="786"/>
      <c r="Q993" s="787"/>
      <c r="R993" s="787"/>
      <c r="S993" s="787"/>
      <c r="T993" s="786"/>
      <c r="U993" s="787"/>
      <c r="V993" s="787"/>
      <c r="W993" s="787"/>
      <c r="X993" s="786"/>
      <c r="Y993" s="787"/>
      <c r="Z993" s="787"/>
      <c r="AA993" s="787"/>
      <c r="AB993" s="786"/>
      <c r="AC993" s="787"/>
      <c r="AD993" s="787"/>
      <c r="AE993" s="787"/>
      <c r="AF993" s="786"/>
      <c r="AG993" s="787"/>
      <c r="AH993" s="787"/>
      <c r="AI993" s="787"/>
      <c r="AJ993" s="786"/>
      <c r="AK993" s="787"/>
      <c r="AL993" s="787"/>
      <c r="AM993" s="787"/>
      <c r="AN993" s="786"/>
      <c r="AO993" s="787"/>
      <c r="AP993" s="787"/>
      <c r="AQ993" s="787"/>
      <c r="AR993" s="786"/>
      <c r="AS993" s="787"/>
      <c r="AT993" s="787"/>
      <c r="AU993" s="787"/>
      <c r="AV993" s="786"/>
      <c r="AW993" s="787"/>
      <c r="AX993" s="787"/>
      <c r="AY993" s="787"/>
      <c r="AZ993" s="780"/>
      <c r="BA993" s="780"/>
      <c r="BB993" s="780"/>
      <c r="BC993" s="780"/>
      <c r="BD993" s="541"/>
      <c r="BE993" s="541"/>
      <c r="BF993" s="541"/>
      <c r="BG993" s="541"/>
      <c r="BH993" s="780"/>
      <c r="BI993" s="780"/>
      <c r="BJ993" s="780"/>
      <c r="BK993" s="780"/>
      <c r="BL993" s="780"/>
      <c r="BM993" s="780"/>
    </row>
    <row r="994" ht="12.75" customHeight="1">
      <c r="A994" s="521"/>
      <c r="B994" s="521"/>
      <c r="C994" s="515"/>
      <c r="D994" s="515"/>
      <c r="E994" s="515"/>
      <c r="F994" s="515"/>
      <c r="G994" s="515"/>
      <c r="H994" s="515"/>
      <c r="I994" s="515"/>
      <c r="J994" s="515"/>
      <c r="K994" s="515"/>
      <c r="L994" s="515"/>
      <c r="M994" s="515"/>
      <c r="N994" s="515"/>
      <c r="O994" s="533"/>
      <c r="P994" s="786"/>
      <c r="Q994" s="787"/>
      <c r="R994" s="787"/>
      <c r="S994" s="787"/>
      <c r="T994" s="786"/>
      <c r="U994" s="787"/>
      <c r="V994" s="787"/>
      <c r="W994" s="787"/>
      <c r="X994" s="786"/>
      <c r="Y994" s="787"/>
      <c r="Z994" s="787"/>
      <c r="AA994" s="787"/>
      <c r="AB994" s="786"/>
      <c r="AC994" s="787"/>
      <c r="AD994" s="787"/>
      <c r="AE994" s="787"/>
      <c r="AF994" s="786"/>
      <c r="AG994" s="787"/>
      <c r="AH994" s="787"/>
      <c r="AI994" s="787"/>
      <c r="AJ994" s="786"/>
      <c r="AK994" s="787"/>
      <c r="AL994" s="787"/>
      <c r="AM994" s="787"/>
      <c r="AN994" s="786"/>
      <c r="AO994" s="787"/>
      <c r="AP994" s="787"/>
      <c r="AQ994" s="787"/>
      <c r="AR994" s="786"/>
      <c r="AS994" s="787"/>
      <c r="AT994" s="787"/>
      <c r="AU994" s="787"/>
      <c r="AV994" s="786"/>
      <c r="AW994" s="787"/>
      <c r="AX994" s="787"/>
      <c r="AY994" s="787"/>
      <c r="AZ994" s="780"/>
      <c r="BA994" s="780"/>
      <c r="BB994" s="780"/>
      <c r="BC994" s="780"/>
      <c r="BD994" s="541"/>
      <c r="BE994" s="541"/>
      <c r="BF994" s="541"/>
      <c r="BG994" s="541"/>
      <c r="BH994" s="780"/>
      <c r="BI994" s="780"/>
      <c r="BJ994" s="780"/>
      <c r="BK994" s="780"/>
      <c r="BL994" s="780"/>
      <c r="BM994" s="780"/>
    </row>
    <row r="995" ht="12.75" customHeight="1">
      <c r="A995" s="521"/>
      <c r="B995" s="521"/>
      <c r="C995" s="515"/>
      <c r="D995" s="515"/>
      <c r="E995" s="515"/>
      <c r="F995" s="515"/>
      <c r="G995" s="515"/>
      <c r="H995" s="515"/>
      <c r="I995" s="515"/>
      <c r="J995" s="515"/>
      <c r="K995" s="515"/>
      <c r="L995" s="515"/>
      <c r="M995" s="515"/>
      <c r="N995" s="515"/>
      <c r="O995" s="533"/>
      <c r="P995" s="786"/>
      <c r="Q995" s="787"/>
      <c r="R995" s="787"/>
      <c r="S995" s="787"/>
      <c r="T995" s="786"/>
      <c r="U995" s="787"/>
      <c r="V995" s="787"/>
      <c r="W995" s="787"/>
      <c r="X995" s="786"/>
      <c r="Y995" s="787"/>
      <c r="Z995" s="787"/>
      <c r="AA995" s="787"/>
      <c r="AB995" s="786"/>
      <c r="AC995" s="787"/>
      <c r="AD995" s="787"/>
      <c r="AE995" s="787"/>
      <c r="AF995" s="786"/>
      <c r="AG995" s="787"/>
      <c r="AH995" s="787"/>
      <c r="AI995" s="787"/>
      <c r="AJ995" s="786"/>
      <c r="AK995" s="787"/>
      <c r="AL995" s="787"/>
      <c r="AM995" s="787"/>
      <c r="AN995" s="786"/>
      <c r="AO995" s="787"/>
      <c r="AP995" s="787"/>
      <c r="AQ995" s="787"/>
      <c r="AR995" s="786"/>
      <c r="AS995" s="787"/>
      <c r="AT995" s="787"/>
      <c r="AU995" s="787"/>
      <c r="AV995" s="786"/>
      <c r="AW995" s="787"/>
      <c r="AX995" s="787"/>
      <c r="AY995" s="787"/>
      <c r="AZ995" s="780"/>
      <c r="BA995" s="780"/>
      <c r="BB995" s="780"/>
      <c r="BC995" s="780"/>
      <c r="BD995" s="541"/>
      <c r="BE995" s="541"/>
      <c r="BF995" s="541"/>
      <c r="BG995" s="541"/>
      <c r="BH995" s="780"/>
      <c r="BI995" s="780"/>
      <c r="BJ995" s="780"/>
      <c r="BK995" s="780"/>
      <c r="BL995" s="780"/>
      <c r="BM995" s="780"/>
    </row>
    <row r="996" ht="12.75" customHeight="1">
      <c r="A996" s="521"/>
      <c r="B996" s="521"/>
      <c r="C996" s="515"/>
      <c r="D996" s="515"/>
      <c r="E996" s="515"/>
      <c r="F996" s="515"/>
      <c r="G996" s="515"/>
      <c r="H996" s="515"/>
      <c r="I996" s="515"/>
      <c r="J996" s="515"/>
      <c r="K996" s="515"/>
      <c r="L996" s="515"/>
      <c r="M996" s="515"/>
      <c r="N996" s="515"/>
      <c r="O996" s="533"/>
      <c r="P996" s="786"/>
      <c r="Q996" s="787"/>
      <c r="R996" s="787"/>
      <c r="S996" s="787"/>
      <c r="T996" s="786"/>
      <c r="U996" s="787"/>
      <c r="V996" s="787"/>
      <c r="W996" s="787"/>
      <c r="X996" s="786"/>
      <c r="Y996" s="787"/>
      <c r="Z996" s="787"/>
      <c r="AA996" s="787"/>
      <c r="AB996" s="786"/>
      <c r="AC996" s="787"/>
      <c r="AD996" s="787"/>
      <c r="AE996" s="787"/>
      <c r="AF996" s="786"/>
      <c r="AG996" s="787"/>
      <c r="AH996" s="787"/>
      <c r="AI996" s="787"/>
      <c r="AJ996" s="786"/>
      <c r="AK996" s="787"/>
      <c r="AL996" s="787"/>
      <c r="AM996" s="787"/>
      <c r="AN996" s="786"/>
      <c r="AO996" s="787"/>
      <c r="AP996" s="787"/>
      <c r="AQ996" s="787"/>
      <c r="AR996" s="786"/>
      <c r="AS996" s="787"/>
      <c r="AT996" s="787"/>
      <c r="AU996" s="787"/>
      <c r="AV996" s="786"/>
      <c r="AW996" s="787"/>
      <c r="AX996" s="787"/>
      <c r="AY996" s="787"/>
      <c r="AZ996" s="780"/>
      <c r="BA996" s="780"/>
      <c r="BB996" s="780"/>
      <c r="BC996" s="780"/>
      <c r="BD996" s="541"/>
      <c r="BE996" s="541"/>
      <c r="BF996" s="541"/>
      <c r="BG996" s="541"/>
      <c r="BH996" s="780"/>
      <c r="BI996" s="780"/>
      <c r="BJ996" s="780"/>
      <c r="BK996" s="780"/>
      <c r="BL996" s="780"/>
      <c r="BM996" s="780"/>
    </row>
    <row r="997" ht="12.75" customHeight="1">
      <c r="A997" s="521"/>
      <c r="B997" s="521"/>
      <c r="C997" s="515"/>
      <c r="D997" s="515"/>
      <c r="E997" s="515"/>
      <c r="F997" s="515"/>
      <c r="G997" s="515"/>
      <c r="H997" s="515"/>
      <c r="I997" s="515"/>
      <c r="J997" s="515"/>
      <c r="K997" s="515"/>
      <c r="L997" s="515"/>
      <c r="M997" s="515"/>
      <c r="N997" s="515"/>
      <c r="O997" s="533"/>
      <c r="P997" s="786"/>
      <c r="Q997" s="787"/>
      <c r="R997" s="787"/>
      <c r="S997" s="787"/>
      <c r="T997" s="786"/>
      <c r="U997" s="787"/>
      <c r="V997" s="787"/>
      <c r="W997" s="787"/>
      <c r="X997" s="786"/>
      <c r="Y997" s="787"/>
      <c r="Z997" s="787"/>
      <c r="AA997" s="787"/>
      <c r="AB997" s="786"/>
      <c r="AC997" s="787"/>
      <c r="AD997" s="787"/>
      <c r="AE997" s="787"/>
      <c r="AF997" s="786"/>
      <c r="AG997" s="787"/>
      <c r="AH997" s="787"/>
      <c r="AI997" s="787"/>
      <c r="AJ997" s="786"/>
      <c r="AK997" s="787"/>
      <c r="AL997" s="787"/>
      <c r="AM997" s="787"/>
      <c r="AN997" s="786"/>
      <c r="AO997" s="787"/>
      <c r="AP997" s="787"/>
      <c r="AQ997" s="787"/>
      <c r="AR997" s="786"/>
      <c r="AS997" s="787"/>
      <c r="AT997" s="787"/>
      <c r="AU997" s="787"/>
      <c r="AV997" s="786"/>
      <c r="AW997" s="787"/>
      <c r="AX997" s="787"/>
      <c r="AY997" s="787"/>
      <c r="AZ997" s="780"/>
      <c r="BA997" s="780"/>
      <c r="BB997" s="780"/>
      <c r="BC997" s="780"/>
      <c r="BD997" s="541"/>
      <c r="BE997" s="541"/>
      <c r="BF997" s="541"/>
      <c r="BG997" s="541"/>
      <c r="BH997" s="780"/>
      <c r="BI997" s="780"/>
      <c r="BJ997" s="780"/>
      <c r="BK997" s="780"/>
      <c r="BL997" s="780"/>
      <c r="BM997" s="780"/>
    </row>
    <row r="998" ht="12.75" customHeight="1">
      <c r="A998" s="521"/>
      <c r="B998" s="521"/>
      <c r="C998" s="515"/>
      <c r="D998" s="515"/>
      <c r="E998" s="515"/>
      <c r="F998" s="515"/>
      <c r="G998" s="515"/>
      <c r="H998" s="515"/>
      <c r="I998" s="515"/>
      <c r="J998" s="515"/>
      <c r="K998" s="515"/>
      <c r="L998" s="515"/>
      <c r="M998" s="515"/>
      <c r="N998" s="515"/>
      <c r="O998" s="533"/>
      <c r="P998" s="786"/>
      <c r="Q998" s="787"/>
      <c r="R998" s="787"/>
      <c r="S998" s="787"/>
      <c r="T998" s="786"/>
      <c r="U998" s="787"/>
      <c r="V998" s="787"/>
      <c r="W998" s="787"/>
      <c r="X998" s="786"/>
      <c r="Y998" s="787"/>
      <c r="Z998" s="787"/>
      <c r="AA998" s="787"/>
      <c r="AB998" s="786"/>
      <c r="AC998" s="787"/>
      <c r="AD998" s="787"/>
      <c r="AE998" s="787"/>
      <c r="AF998" s="786"/>
      <c r="AG998" s="787"/>
      <c r="AH998" s="787"/>
      <c r="AI998" s="787"/>
      <c r="AJ998" s="786"/>
      <c r="AK998" s="787"/>
      <c r="AL998" s="787"/>
      <c r="AM998" s="787"/>
      <c r="AN998" s="786"/>
      <c r="AO998" s="787"/>
      <c r="AP998" s="787"/>
      <c r="AQ998" s="787"/>
      <c r="AR998" s="786"/>
      <c r="AS998" s="787"/>
      <c r="AT998" s="787"/>
      <c r="AU998" s="787"/>
      <c r="AV998" s="786"/>
      <c r="AW998" s="787"/>
      <c r="AX998" s="787"/>
      <c r="AY998" s="787"/>
      <c r="AZ998" s="780"/>
      <c r="BA998" s="780"/>
      <c r="BB998" s="780"/>
      <c r="BC998" s="780"/>
      <c r="BD998" s="541"/>
      <c r="BE998" s="541"/>
      <c r="BF998" s="541"/>
      <c r="BG998" s="541"/>
      <c r="BH998" s="780"/>
      <c r="BI998" s="780"/>
      <c r="BJ998" s="780"/>
      <c r="BK998" s="780"/>
      <c r="BL998" s="780"/>
      <c r="BM998" s="780"/>
    </row>
    <row r="999" ht="12.75" customHeight="1">
      <c r="A999" s="521"/>
      <c r="B999" s="521"/>
      <c r="C999" s="515"/>
      <c r="D999" s="515"/>
      <c r="E999" s="515"/>
      <c r="F999" s="515"/>
      <c r="G999" s="515"/>
      <c r="H999" s="515"/>
      <c r="I999" s="515"/>
      <c r="J999" s="515"/>
      <c r="K999" s="515"/>
      <c r="L999" s="515"/>
      <c r="M999" s="515"/>
      <c r="N999" s="515"/>
      <c r="O999" s="533"/>
      <c r="P999" s="786"/>
      <c r="Q999" s="787"/>
      <c r="R999" s="787"/>
      <c r="S999" s="787"/>
      <c r="T999" s="786"/>
      <c r="U999" s="787"/>
      <c r="V999" s="787"/>
      <c r="W999" s="787"/>
      <c r="X999" s="786"/>
      <c r="Y999" s="787"/>
      <c r="Z999" s="787"/>
      <c r="AA999" s="787"/>
      <c r="AB999" s="786"/>
      <c r="AC999" s="787"/>
      <c r="AD999" s="787"/>
      <c r="AE999" s="787"/>
      <c r="AF999" s="786"/>
      <c r="AG999" s="787"/>
      <c r="AH999" s="787"/>
      <c r="AI999" s="787"/>
      <c r="AJ999" s="786"/>
      <c r="AK999" s="787"/>
      <c r="AL999" s="787"/>
      <c r="AM999" s="787"/>
      <c r="AN999" s="786"/>
      <c r="AO999" s="787"/>
      <c r="AP999" s="787"/>
      <c r="AQ999" s="787"/>
      <c r="AR999" s="786"/>
      <c r="AS999" s="787"/>
      <c r="AT999" s="787"/>
      <c r="AU999" s="787"/>
      <c r="AV999" s="786"/>
      <c r="AW999" s="787"/>
      <c r="AX999" s="787"/>
      <c r="AY999" s="787"/>
      <c r="AZ999" s="780"/>
      <c r="BA999" s="780"/>
      <c r="BB999" s="780"/>
      <c r="BC999" s="780"/>
      <c r="BD999" s="541"/>
      <c r="BE999" s="541"/>
      <c r="BF999" s="541"/>
      <c r="BG999" s="541"/>
      <c r="BH999" s="780"/>
      <c r="BI999" s="780"/>
      <c r="BJ999" s="780"/>
      <c r="BK999" s="780"/>
      <c r="BL999" s="780"/>
      <c r="BM999" s="780"/>
    </row>
    <row r="1000" ht="12.75" customHeight="1">
      <c r="A1000" s="521"/>
      <c r="B1000" s="521"/>
      <c r="C1000" s="515"/>
      <c r="D1000" s="515"/>
      <c r="E1000" s="515"/>
      <c r="F1000" s="515"/>
      <c r="G1000" s="515"/>
      <c r="H1000" s="515"/>
      <c r="I1000" s="515"/>
      <c r="J1000" s="515"/>
      <c r="K1000" s="515"/>
      <c r="L1000" s="515"/>
      <c r="M1000" s="515"/>
      <c r="N1000" s="515"/>
      <c r="O1000" s="533"/>
      <c r="P1000" s="786"/>
      <c r="Q1000" s="787"/>
      <c r="R1000" s="787"/>
      <c r="S1000" s="787"/>
      <c r="T1000" s="786"/>
      <c r="U1000" s="787"/>
      <c r="V1000" s="787"/>
      <c r="W1000" s="787"/>
      <c r="X1000" s="786"/>
      <c r="Y1000" s="787"/>
      <c r="Z1000" s="787"/>
      <c r="AA1000" s="787"/>
      <c r="AB1000" s="786"/>
      <c r="AC1000" s="787"/>
      <c r="AD1000" s="787"/>
      <c r="AE1000" s="787"/>
      <c r="AF1000" s="786"/>
      <c r="AG1000" s="787"/>
      <c r="AH1000" s="787"/>
      <c r="AI1000" s="787"/>
      <c r="AJ1000" s="786"/>
      <c r="AK1000" s="787"/>
      <c r="AL1000" s="787"/>
      <c r="AM1000" s="787"/>
      <c r="AN1000" s="786"/>
      <c r="AO1000" s="787"/>
      <c r="AP1000" s="787"/>
      <c r="AQ1000" s="787"/>
      <c r="AR1000" s="786"/>
      <c r="AS1000" s="787"/>
      <c r="AT1000" s="787"/>
      <c r="AU1000" s="787"/>
      <c r="AV1000" s="786"/>
      <c r="AW1000" s="787"/>
      <c r="AX1000" s="787"/>
      <c r="AY1000" s="787"/>
      <c r="AZ1000" s="780"/>
      <c r="BA1000" s="780"/>
      <c r="BB1000" s="780"/>
      <c r="BC1000" s="780"/>
      <c r="BD1000" s="541"/>
      <c r="BE1000" s="541"/>
      <c r="BF1000" s="541"/>
      <c r="BG1000" s="541"/>
      <c r="BH1000" s="780"/>
      <c r="BI1000" s="780"/>
      <c r="BJ1000" s="780"/>
      <c r="BK1000" s="780"/>
      <c r="BL1000" s="780"/>
      <c r="BM1000" s="780"/>
    </row>
    <row r="1001" ht="12.75" customHeight="1">
      <c r="A1001" s="521"/>
      <c r="B1001" s="521"/>
      <c r="C1001" s="515"/>
      <c r="D1001" s="515"/>
      <c r="E1001" s="515"/>
      <c r="F1001" s="515"/>
      <c r="G1001" s="515"/>
      <c r="H1001" s="515"/>
      <c r="I1001" s="515"/>
      <c r="J1001" s="515"/>
      <c r="K1001" s="515"/>
      <c r="L1001" s="515"/>
      <c r="M1001" s="515"/>
      <c r="N1001" s="515"/>
      <c r="O1001" s="533"/>
      <c r="P1001" s="786"/>
      <c r="Q1001" s="787"/>
      <c r="R1001" s="787"/>
      <c r="S1001" s="787"/>
      <c r="T1001" s="786"/>
      <c r="U1001" s="787"/>
      <c r="V1001" s="787"/>
      <c r="W1001" s="787"/>
      <c r="X1001" s="786"/>
      <c r="Y1001" s="787"/>
      <c r="Z1001" s="787"/>
      <c r="AA1001" s="787"/>
      <c r="AB1001" s="786"/>
      <c r="AC1001" s="787"/>
      <c r="AD1001" s="787"/>
      <c r="AE1001" s="787"/>
      <c r="AF1001" s="786"/>
      <c r="AG1001" s="787"/>
      <c r="AH1001" s="787"/>
      <c r="AI1001" s="787"/>
      <c r="AJ1001" s="786"/>
      <c r="AK1001" s="787"/>
      <c r="AL1001" s="787"/>
      <c r="AM1001" s="787"/>
      <c r="AN1001" s="786"/>
      <c r="AO1001" s="787"/>
      <c r="AP1001" s="787"/>
      <c r="AQ1001" s="787"/>
      <c r="AR1001" s="786"/>
      <c r="AS1001" s="787"/>
      <c r="AT1001" s="787"/>
      <c r="AU1001" s="787"/>
      <c r="AV1001" s="786"/>
      <c r="AW1001" s="787"/>
      <c r="AX1001" s="787"/>
      <c r="AY1001" s="787"/>
      <c r="AZ1001" s="780"/>
      <c r="BA1001" s="780"/>
      <c r="BB1001" s="780"/>
      <c r="BC1001" s="780"/>
      <c r="BD1001" s="541"/>
      <c r="BE1001" s="541"/>
      <c r="BF1001" s="541"/>
      <c r="BG1001" s="541"/>
      <c r="BH1001" s="780"/>
      <c r="BI1001" s="780"/>
      <c r="BJ1001" s="780"/>
      <c r="BK1001" s="780"/>
      <c r="BL1001" s="780"/>
      <c r="BM1001" s="780"/>
    </row>
    <row r="1002" ht="12.75" customHeight="1">
      <c r="A1002" s="521"/>
      <c r="B1002" s="521"/>
      <c r="C1002" s="515"/>
      <c r="D1002" s="515"/>
      <c r="E1002" s="515"/>
      <c r="F1002" s="515"/>
      <c r="G1002" s="515"/>
      <c r="H1002" s="515"/>
      <c r="I1002" s="515"/>
      <c r="J1002" s="515"/>
      <c r="K1002" s="515"/>
      <c r="L1002" s="515"/>
      <c r="M1002" s="515"/>
      <c r="N1002" s="515"/>
      <c r="O1002" s="533"/>
      <c r="P1002" s="786"/>
      <c r="Q1002" s="787"/>
      <c r="R1002" s="787"/>
      <c r="S1002" s="787"/>
      <c r="T1002" s="786"/>
      <c r="U1002" s="787"/>
      <c r="V1002" s="787"/>
      <c r="W1002" s="787"/>
      <c r="X1002" s="786"/>
      <c r="Y1002" s="787"/>
      <c r="Z1002" s="787"/>
      <c r="AA1002" s="787"/>
      <c r="AB1002" s="786"/>
      <c r="AC1002" s="787"/>
      <c r="AD1002" s="787"/>
      <c r="AE1002" s="787"/>
      <c r="AF1002" s="786"/>
      <c r="AG1002" s="787"/>
      <c r="AH1002" s="787"/>
      <c r="AI1002" s="787"/>
      <c r="AJ1002" s="786"/>
      <c r="AK1002" s="787"/>
      <c r="AL1002" s="787"/>
      <c r="AM1002" s="787"/>
      <c r="AN1002" s="786"/>
      <c r="AO1002" s="787"/>
      <c r="AP1002" s="787"/>
      <c r="AQ1002" s="787"/>
      <c r="AR1002" s="786"/>
      <c r="AS1002" s="787"/>
      <c r="AT1002" s="787"/>
      <c r="AU1002" s="787"/>
      <c r="AV1002" s="786"/>
      <c r="AW1002" s="787"/>
      <c r="AX1002" s="787"/>
      <c r="AY1002" s="787"/>
      <c r="AZ1002" s="780"/>
      <c r="BA1002" s="780"/>
      <c r="BB1002" s="780"/>
      <c r="BC1002" s="780"/>
      <c r="BD1002" s="541"/>
      <c r="BE1002" s="541"/>
      <c r="BF1002" s="541"/>
      <c r="BG1002" s="541"/>
      <c r="BH1002" s="780"/>
      <c r="BI1002" s="780"/>
      <c r="BJ1002" s="780"/>
      <c r="BK1002" s="780"/>
      <c r="BL1002" s="780"/>
      <c r="BM1002" s="780"/>
    </row>
    <row r="1003" ht="12.75" customHeight="1">
      <c r="A1003" s="521"/>
      <c r="B1003" s="521"/>
      <c r="C1003" s="515"/>
      <c r="D1003" s="515"/>
      <c r="E1003" s="515"/>
      <c r="F1003" s="515"/>
      <c r="G1003" s="515"/>
      <c r="H1003" s="515"/>
      <c r="I1003" s="515"/>
      <c r="J1003" s="515"/>
      <c r="K1003" s="515"/>
      <c r="L1003" s="515"/>
      <c r="M1003" s="515"/>
      <c r="N1003" s="515"/>
      <c r="O1003" s="533"/>
      <c r="P1003" s="786"/>
      <c r="Q1003" s="787"/>
      <c r="R1003" s="787"/>
      <c r="S1003" s="787"/>
      <c r="T1003" s="786"/>
      <c r="U1003" s="787"/>
      <c r="V1003" s="787"/>
      <c r="W1003" s="787"/>
      <c r="X1003" s="786"/>
      <c r="Y1003" s="787"/>
      <c r="Z1003" s="787"/>
      <c r="AA1003" s="787"/>
      <c r="AB1003" s="786"/>
      <c r="AC1003" s="787"/>
      <c r="AD1003" s="787"/>
      <c r="AE1003" s="787"/>
      <c r="AF1003" s="786"/>
      <c r="AG1003" s="787"/>
      <c r="AH1003" s="787"/>
      <c r="AI1003" s="787"/>
      <c r="AJ1003" s="786"/>
      <c r="AK1003" s="787"/>
      <c r="AL1003" s="787"/>
      <c r="AM1003" s="787"/>
      <c r="AN1003" s="786"/>
      <c r="AO1003" s="787"/>
      <c r="AP1003" s="787"/>
      <c r="AQ1003" s="787"/>
      <c r="AR1003" s="786"/>
      <c r="AS1003" s="787"/>
      <c r="AT1003" s="787"/>
      <c r="AU1003" s="787"/>
      <c r="AV1003" s="786"/>
      <c r="AW1003" s="787"/>
      <c r="AX1003" s="787"/>
      <c r="AY1003" s="787"/>
      <c r="AZ1003" s="780"/>
      <c r="BA1003" s="780"/>
      <c r="BB1003" s="780"/>
      <c r="BC1003" s="780"/>
      <c r="BD1003" s="541"/>
      <c r="BE1003" s="541"/>
      <c r="BF1003" s="541"/>
      <c r="BG1003" s="541"/>
      <c r="BH1003" s="780"/>
      <c r="BI1003" s="780"/>
      <c r="BJ1003" s="780"/>
      <c r="BK1003" s="780"/>
      <c r="BL1003" s="780"/>
      <c r="BM1003" s="780"/>
    </row>
    <row r="1004" ht="12.75" customHeight="1">
      <c r="A1004" s="521"/>
      <c r="B1004" s="521"/>
      <c r="C1004" s="515"/>
      <c r="D1004" s="515"/>
      <c r="E1004" s="515"/>
      <c r="F1004" s="515"/>
      <c r="G1004" s="515"/>
      <c r="H1004" s="515"/>
      <c r="I1004" s="515"/>
      <c r="J1004" s="515"/>
      <c r="K1004" s="515"/>
      <c r="L1004" s="515"/>
      <c r="M1004" s="515"/>
      <c r="N1004" s="515"/>
      <c r="O1004" s="533"/>
      <c r="P1004" s="786"/>
      <c r="Q1004" s="787"/>
      <c r="R1004" s="787"/>
      <c r="S1004" s="787"/>
      <c r="T1004" s="786"/>
      <c r="U1004" s="787"/>
      <c r="V1004" s="787"/>
      <c r="W1004" s="787"/>
      <c r="X1004" s="786"/>
      <c r="Y1004" s="787"/>
      <c r="Z1004" s="787"/>
      <c r="AA1004" s="787"/>
      <c r="AB1004" s="786"/>
      <c r="AC1004" s="787"/>
      <c r="AD1004" s="787"/>
      <c r="AE1004" s="787"/>
      <c r="AF1004" s="786"/>
      <c r="AG1004" s="787"/>
      <c r="AH1004" s="787"/>
      <c r="AI1004" s="787"/>
      <c r="AJ1004" s="786"/>
      <c r="AK1004" s="787"/>
      <c r="AL1004" s="787"/>
      <c r="AM1004" s="787"/>
      <c r="AN1004" s="786"/>
      <c r="AO1004" s="787"/>
      <c r="AP1004" s="787"/>
      <c r="AQ1004" s="787"/>
      <c r="AR1004" s="786"/>
      <c r="AS1004" s="787"/>
      <c r="AT1004" s="787"/>
      <c r="AU1004" s="787"/>
      <c r="AV1004" s="786"/>
      <c r="AW1004" s="787"/>
      <c r="AX1004" s="787"/>
      <c r="AY1004" s="787"/>
      <c r="AZ1004" s="780"/>
      <c r="BA1004" s="780"/>
      <c r="BB1004" s="780"/>
      <c r="BC1004" s="780"/>
      <c r="BD1004" s="541"/>
      <c r="BE1004" s="541"/>
      <c r="BF1004" s="541"/>
      <c r="BG1004" s="541"/>
      <c r="BH1004" s="780"/>
      <c r="BI1004" s="780"/>
      <c r="BJ1004" s="780"/>
      <c r="BK1004" s="780"/>
      <c r="BL1004" s="780"/>
      <c r="BM1004" s="780"/>
    </row>
    <row r="1005" ht="12.75" customHeight="1">
      <c r="A1005" s="521"/>
      <c r="B1005" s="521"/>
      <c r="C1005" s="515"/>
      <c r="D1005" s="515"/>
      <c r="E1005" s="515"/>
      <c r="F1005" s="515"/>
      <c r="G1005" s="515"/>
      <c r="H1005" s="515"/>
      <c r="I1005" s="515"/>
      <c r="J1005" s="515"/>
      <c r="K1005" s="515"/>
      <c r="L1005" s="515"/>
      <c r="M1005" s="515"/>
      <c r="N1005" s="515"/>
      <c r="O1005" s="533"/>
      <c r="P1005" s="786"/>
      <c r="Q1005" s="787"/>
      <c r="R1005" s="787"/>
      <c r="S1005" s="787"/>
      <c r="T1005" s="786"/>
      <c r="U1005" s="787"/>
      <c r="V1005" s="787"/>
      <c r="W1005" s="787"/>
      <c r="X1005" s="786"/>
      <c r="Y1005" s="787"/>
      <c r="Z1005" s="787"/>
      <c r="AA1005" s="787"/>
      <c r="AB1005" s="786"/>
      <c r="AC1005" s="787"/>
      <c r="AD1005" s="787"/>
      <c r="AE1005" s="787"/>
      <c r="AF1005" s="786"/>
      <c r="AG1005" s="787"/>
      <c r="AH1005" s="787"/>
      <c r="AI1005" s="787"/>
      <c r="AJ1005" s="786"/>
      <c r="AK1005" s="787"/>
      <c r="AL1005" s="787"/>
      <c r="AM1005" s="787"/>
      <c r="AN1005" s="786"/>
      <c r="AO1005" s="787"/>
      <c r="AP1005" s="787"/>
      <c r="AQ1005" s="787"/>
      <c r="AR1005" s="786"/>
      <c r="AS1005" s="787"/>
      <c r="AT1005" s="787"/>
      <c r="AU1005" s="787"/>
      <c r="AV1005" s="786"/>
      <c r="AW1005" s="787"/>
      <c r="AX1005" s="787"/>
      <c r="AY1005" s="787"/>
      <c r="AZ1005" s="780"/>
      <c r="BA1005" s="780"/>
      <c r="BB1005" s="780"/>
      <c r="BC1005" s="780"/>
      <c r="BD1005" s="541"/>
      <c r="BE1005" s="541"/>
      <c r="BF1005" s="541"/>
      <c r="BG1005" s="541"/>
      <c r="BH1005" s="780"/>
      <c r="BI1005" s="780"/>
      <c r="BJ1005" s="780"/>
      <c r="BK1005" s="780"/>
      <c r="BL1005" s="780"/>
      <c r="BM1005" s="780"/>
    </row>
    <row r="1006" ht="12.75" customHeight="1">
      <c r="A1006" s="521"/>
      <c r="B1006" s="521"/>
      <c r="C1006" s="515"/>
      <c r="D1006" s="515"/>
      <c r="E1006" s="515"/>
      <c r="F1006" s="515"/>
      <c r="G1006" s="515"/>
      <c r="H1006" s="515"/>
      <c r="I1006" s="515"/>
      <c r="J1006" s="515"/>
      <c r="K1006" s="515"/>
      <c r="L1006" s="515"/>
      <c r="M1006" s="515"/>
      <c r="N1006" s="515"/>
      <c r="O1006" s="533"/>
      <c r="P1006" s="786"/>
      <c r="Q1006" s="787"/>
      <c r="R1006" s="787"/>
      <c r="S1006" s="787"/>
      <c r="T1006" s="786"/>
      <c r="U1006" s="787"/>
      <c r="V1006" s="787"/>
      <c r="W1006" s="787"/>
      <c r="X1006" s="786"/>
      <c r="Y1006" s="787"/>
      <c r="Z1006" s="787"/>
      <c r="AA1006" s="787"/>
      <c r="AB1006" s="786"/>
      <c r="AC1006" s="787"/>
      <c r="AD1006" s="787"/>
      <c r="AE1006" s="787"/>
      <c r="AF1006" s="786"/>
      <c r="AG1006" s="787"/>
      <c r="AH1006" s="787"/>
      <c r="AI1006" s="787"/>
      <c r="AJ1006" s="786"/>
      <c r="AK1006" s="787"/>
      <c r="AL1006" s="787"/>
      <c r="AM1006" s="787"/>
      <c r="AN1006" s="786"/>
      <c r="AO1006" s="787"/>
      <c r="AP1006" s="787"/>
      <c r="AQ1006" s="787"/>
      <c r="AR1006" s="786"/>
      <c r="AS1006" s="787"/>
      <c r="AT1006" s="787"/>
      <c r="AU1006" s="787"/>
      <c r="AV1006" s="786"/>
      <c r="AW1006" s="787"/>
      <c r="AX1006" s="787"/>
      <c r="AY1006" s="787"/>
      <c r="AZ1006" s="780"/>
      <c r="BA1006" s="780"/>
      <c r="BB1006" s="780"/>
      <c r="BC1006" s="780"/>
      <c r="BD1006" s="541"/>
      <c r="BE1006" s="541"/>
      <c r="BF1006" s="541"/>
      <c r="BG1006" s="541"/>
      <c r="BH1006" s="780"/>
      <c r="BI1006" s="780"/>
      <c r="BJ1006" s="780"/>
      <c r="BK1006" s="780"/>
      <c r="BL1006" s="780"/>
      <c r="BM1006" s="780"/>
    </row>
    <row r="1007" ht="12.75" customHeight="1">
      <c r="A1007" s="521"/>
      <c r="B1007" s="521"/>
      <c r="C1007" s="515"/>
      <c r="D1007" s="515"/>
      <c r="E1007" s="515"/>
      <c r="F1007" s="515"/>
      <c r="G1007" s="515"/>
      <c r="H1007" s="515"/>
      <c r="I1007" s="515"/>
      <c r="J1007" s="515"/>
      <c r="K1007" s="515"/>
      <c r="L1007" s="515"/>
      <c r="M1007" s="515"/>
      <c r="N1007" s="515"/>
      <c r="O1007" s="533"/>
      <c r="P1007" s="786"/>
      <c r="Q1007" s="787"/>
      <c r="R1007" s="787"/>
      <c r="S1007" s="787"/>
      <c r="T1007" s="786"/>
      <c r="U1007" s="787"/>
      <c r="V1007" s="787"/>
      <c r="W1007" s="787"/>
      <c r="X1007" s="786"/>
      <c r="Y1007" s="787"/>
      <c r="Z1007" s="787"/>
      <c r="AA1007" s="787"/>
      <c r="AB1007" s="786"/>
      <c r="AC1007" s="787"/>
      <c r="AD1007" s="787"/>
      <c r="AE1007" s="787"/>
      <c r="AF1007" s="786"/>
      <c r="AG1007" s="787"/>
      <c r="AH1007" s="787"/>
      <c r="AI1007" s="787"/>
      <c r="AJ1007" s="786"/>
      <c r="AK1007" s="787"/>
      <c r="AL1007" s="787"/>
      <c r="AM1007" s="787"/>
      <c r="AN1007" s="786"/>
      <c r="AO1007" s="787"/>
      <c r="AP1007" s="787"/>
      <c r="AQ1007" s="787"/>
      <c r="AR1007" s="786"/>
      <c r="AS1007" s="787"/>
      <c r="AT1007" s="787"/>
      <c r="AU1007" s="787"/>
      <c r="AV1007" s="786"/>
      <c r="AW1007" s="787"/>
      <c r="AX1007" s="787"/>
      <c r="AY1007" s="787"/>
      <c r="AZ1007" s="780"/>
      <c r="BA1007" s="780"/>
      <c r="BB1007" s="780"/>
      <c r="BC1007" s="780"/>
      <c r="BD1007" s="541"/>
      <c r="BE1007" s="541"/>
      <c r="BF1007" s="541"/>
      <c r="BG1007" s="541"/>
      <c r="BH1007" s="780"/>
      <c r="BI1007" s="780"/>
      <c r="BJ1007" s="780"/>
      <c r="BK1007" s="780"/>
      <c r="BL1007" s="780"/>
      <c r="BM1007" s="780"/>
    </row>
    <row r="1008" ht="12.75" customHeight="1">
      <c r="A1008" s="521"/>
      <c r="B1008" s="521"/>
      <c r="C1008" s="515"/>
      <c r="D1008" s="515"/>
      <c r="E1008" s="515"/>
      <c r="F1008" s="515"/>
      <c r="G1008" s="515"/>
      <c r="H1008" s="515"/>
      <c r="I1008" s="515"/>
      <c r="J1008" s="515"/>
      <c r="K1008" s="515"/>
      <c r="L1008" s="515"/>
      <c r="M1008" s="515"/>
      <c r="N1008" s="515"/>
      <c r="O1008" s="533"/>
      <c r="P1008" s="786"/>
      <c r="Q1008" s="787"/>
      <c r="R1008" s="787"/>
      <c r="S1008" s="787"/>
      <c r="T1008" s="786"/>
      <c r="U1008" s="787"/>
      <c r="V1008" s="787"/>
      <c r="W1008" s="787"/>
      <c r="X1008" s="786"/>
      <c r="Y1008" s="787"/>
      <c r="Z1008" s="787"/>
      <c r="AA1008" s="787"/>
      <c r="AB1008" s="786"/>
      <c r="AC1008" s="787"/>
      <c r="AD1008" s="787"/>
      <c r="AE1008" s="787"/>
      <c r="AF1008" s="786"/>
      <c r="AG1008" s="787"/>
      <c r="AH1008" s="787"/>
      <c r="AI1008" s="787"/>
      <c r="AJ1008" s="786"/>
      <c r="AK1008" s="787"/>
      <c r="AL1008" s="787"/>
      <c r="AM1008" s="787"/>
      <c r="AN1008" s="786"/>
      <c r="AO1008" s="787"/>
      <c r="AP1008" s="787"/>
      <c r="AQ1008" s="787"/>
      <c r="AR1008" s="786"/>
      <c r="AS1008" s="787"/>
      <c r="AT1008" s="787"/>
      <c r="AU1008" s="787"/>
      <c r="AV1008" s="786"/>
      <c r="AW1008" s="787"/>
      <c r="AX1008" s="787"/>
      <c r="AY1008" s="787"/>
      <c r="AZ1008" s="780"/>
      <c r="BA1008" s="780"/>
      <c r="BB1008" s="780"/>
      <c r="BC1008" s="780"/>
      <c r="BD1008" s="541"/>
      <c r="BE1008" s="541"/>
      <c r="BF1008" s="541"/>
      <c r="BG1008" s="541"/>
      <c r="BH1008" s="780"/>
      <c r="BI1008" s="780"/>
      <c r="BJ1008" s="780"/>
      <c r="BK1008" s="780"/>
      <c r="BL1008" s="780"/>
      <c r="BM1008" s="780"/>
    </row>
    <row r="1009" ht="12.75" customHeight="1">
      <c r="A1009" s="521"/>
      <c r="B1009" s="521"/>
      <c r="C1009" s="515"/>
      <c r="D1009" s="515"/>
      <c r="E1009" s="515"/>
      <c r="F1009" s="515"/>
      <c r="G1009" s="515"/>
      <c r="H1009" s="515"/>
      <c r="I1009" s="515"/>
      <c r="J1009" s="515"/>
      <c r="K1009" s="515"/>
      <c r="L1009" s="515"/>
      <c r="M1009" s="515"/>
      <c r="N1009" s="515"/>
      <c r="O1009" s="533"/>
      <c r="P1009" s="786"/>
      <c r="Q1009" s="787"/>
      <c r="R1009" s="787"/>
      <c r="S1009" s="787"/>
      <c r="T1009" s="786"/>
      <c r="U1009" s="787"/>
      <c r="V1009" s="787"/>
      <c r="W1009" s="787"/>
      <c r="X1009" s="786"/>
      <c r="Y1009" s="787"/>
      <c r="Z1009" s="787"/>
      <c r="AA1009" s="787"/>
      <c r="AB1009" s="786"/>
      <c r="AC1009" s="787"/>
      <c r="AD1009" s="787"/>
      <c r="AE1009" s="787"/>
      <c r="AF1009" s="786"/>
      <c r="AG1009" s="787"/>
      <c r="AH1009" s="787"/>
      <c r="AI1009" s="787"/>
      <c r="AJ1009" s="786"/>
      <c r="AK1009" s="787"/>
      <c r="AL1009" s="787"/>
      <c r="AM1009" s="787"/>
      <c r="AN1009" s="786"/>
      <c r="AO1009" s="787"/>
      <c r="AP1009" s="787"/>
      <c r="AQ1009" s="787"/>
      <c r="AR1009" s="786"/>
      <c r="AS1009" s="787"/>
      <c r="AT1009" s="787"/>
      <c r="AU1009" s="787"/>
      <c r="AV1009" s="786"/>
      <c r="AW1009" s="787"/>
      <c r="AX1009" s="787"/>
      <c r="AY1009" s="787"/>
      <c r="AZ1009" s="780"/>
      <c r="BA1009" s="780"/>
      <c r="BB1009" s="780"/>
      <c r="BC1009" s="780"/>
      <c r="BD1009" s="541"/>
      <c r="BE1009" s="541"/>
      <c r="BF1009" s="541"/>
      <c r="BG1009" s="541"/>
      <c r="BH1009" s="780"/>
      <c r="BI1009" s="780"/>
      <c r="BJ1009" s="780"/>
      <c r="BK1009" s="780"/>
      <c r="BL1009" s="780"/>
      <c r="BM1009" s="780"/>
    </row>
    <row r="1010" ht="12.75" customHeight="1">
      <c r="A1010" s="521"/>
      <c r="B1010" s="521"/>
      <c r="C1010" s="515"/>
      <c r="D1010" s="515"/>
      <c r="E1010" s="515"/>
      <c r="F1010" s="515"/>
      <c r="G1010" s="515"/>
      <c r="H1010" s="515"/>
      <c r="I1010" s="515"/>
      <c r="J1010" s="515"/>
      <c r="K1010" s="515"/>
      <c r="L1010" s="515"/>
      <c r="M1010" s="515"/>
      <c r="N1010" s="515"/>
      <c r="O1010" s="533"/>
      <c r="P1010" s="786"/>
      <c r="Q1010" s="787"/>
      <c r="R1010" s="787"/>
      <c r="S1010" s="787"/>
      <c r="T1010" s="786"/>
      <c r="U1010" s="787"/>
      <c r="V1010" s="787"/>
      <c r="W1010" s="787"/>
      <c r="X1010" s="786"/>
      <c r="Y1010" s="787"/>
      <c r="Z1010" s="787"/>
      <c r="AA1010" s="787"/>
      <c r="AB1010" s="786"/>
      <c r="AC1010" s="787"/>
      <c r="AD1010" s="787"/>
      <c r="AE1010" s="787"/>
      <c r="AF1010" s="786"/>
      <c r="AG1010" s="787"/>
      <c r="AH1010" s="787"/>
      <c r="AI1010" s="787"/>
      <c r="AJ1010" s="786"/>
      <c r="AK1010" s="787"/>
      <c r="AL1010" s="787"/>
      <c r="AM1010" s="787"/>
      <c r="AN1010" s="786"/>
      <c r="AO1010" s="787"/>
      <c r="AP1010" s="787"/>
      <c r="AQ1010" s="787"/>
      <c r="AR1010" s="786"/>
      <c r="AS1010" s="787"/>
      <c r="AT1010" s="787"/>
      <c r="AU1010" s="787"/>
      <c r="AV1010" s="786"/>
      <c r="AW1010" s="787"/>
      <c r="AX1010" s="787"/>
      <c r="AY1010" s="787"/>
      <c r="AZ1010" s="780"/>
      <c r="BA1010" s="780"/>
      <c r="BB1010" s="780"/>
      <c r="BC1010" s="780"/>
      <c r="BD1010" s="541"/>
      <c r="BE1010" s="541"/>
      <c r="BF1010" s="541"/>
      <c r="BG1010" s="541"/>
      <c r="BH1010" s="780"/>
      <c r="BI1010" s="780"/>
      <c r="BJ1010" s="780"/>
      <c r="BK1010" s="780"/>
      <c r="BL1010" s="780"/>
      <c r="BM1010" s="780"/>
    </row>
    <row r="1011" ht="12.75" customHeight="1">
      <c r="A1011" s="521"/>
      <c r="B1011" s="521"/>
      <c r="C1011" s="515"/>
      <c r="D1011" s="515"/>
      <c r="E1011" s="515"/>
      <c r="F1011" s="515"/>
      <c r="G1011" s="515"/>
      <c r="H1011" s="515"/>
      <c r="I1011" s="515"/>
      <c r="J1011" s="515"/>
      <c r="K1011" s="515"/>
      <c r="L1011" s="515"/>
      <c r="M1011" s="515"/>
      <c r="N1011" s="515"/>
      <c r="O1011" s="533"/>
      <c r="P1011" s="786"/>
      <c r="Q1011" s="787"/>
      <c r="R1011" s="787"/>
      <c r="S1011" s="787"/>
      <c r="T1011" s="786"/>
      <c r="U1011" s="787"/>
      <c r="V1011" s="787"/>
      <c r="W1011" s="787"/>
      <c r="X1011" s="786"/>
      <c r="Y1011" s="787"/>
      <c r="Z1011" s="787"/>
      <c r="AA1011" s="787"/>
      <c r="AB1011" s="786"/>
      <c r="AC1011" s="787"/>
      <c r="AD1011" s="787"/>
      <c r="AE1011" s="787"/>
      <c r="AF1011" s="786"/>
      <c r="AG1011" s="787"/>
      <c r="AH1011" s="787"/>
      <c r="AI1011" s="787"/>
      <c r="AJ1011" s="786"/>
      <c r="AK1011" s="787"/>
      <c r="AL1011" s="787"/>
      <c r="AM1011" s="787"/>
      <c r="AN1011" s="786"/>
      <c r="AO1011" s="787"/>
      <c r="AP1011" s="787"/>
      <c r="AQ1011" s="787"/>
      <c r="AR1011" s="786"/>
      <c r="AS1011" s="787"/>
      <c r="AT1011" s="787"/>
      <c r="AU1011" s="787"/>
      <c r="AV1011" s="786"/>
      <c r="AW1011" s="787"/>
      <c r="AX1011" s="787"/>
      <c r="AY1011" s="787"/>
      <c r="AZ1011" s="780"/>
      <c r="BA1011" s="780"/>
      <c r="BB1011" s="780"/>
      <c r="BC1011" s="780"/>
      <c r="BD1011" s="541"/>
      <c r="BE1011" s="541"/>
      <c r="BF1011" s="541"/>
      <c r="BG1011" s="541"/>
      <c r="BH1011" s="780"/>
      <c r="BI1011" s="780"/>
      <c r="BJ1011" s="780"/>
      <c r="BK1011" s="780"/>
      <c r="BL1011" s="780"/>
      <c r="BM1011" s="780"/>
    </row>
    <row r="1012" ht="12.75" customHeight="1">
      <c r="A1012" s="521"/>
      <c r="B1012" s="521"/>
      <c r="C1012" s="515"/>
      <c r="D1012" s="515"/>
      <c r="E1012" s="515"/>
      <c r="F1012" s="515"/>
      <c r="G1012" s="515"/>
      <c r="H1012" s="515"/>
      <c r="I1012" s="515"/>
      <c r="J1012" s="515"/>
      <c r="K1012" s="515"/>
      <c r="L1012" s="515"/>
      <c r="M1012" s="515"/>
      <c r="N1012" s="515"/>
      <c r="O1012" s="533"/>
      <c r="P1012" s="786"/>
      <c r="Q1012" s="787"/>
      <c r="R1012" s="787"/>
      <c r="S1012" s="787"/>
      <c r="T1012" s="786"/>
      <c r="U1012" s="787"/>
      <c r="V1012" s="787"/>
      <c r="W1012" s="787"/>
      <c r="X1012" s="786"/>
      <c r="Y1012" s="787"/>
      <c r="Z1012" s="787"/>
      <c r="AA1012" s="787"/>
      <c r="AB1012" s="786"/>
      <c r="AC1012" s="787"/>
      <c r="AD1012" s="787"/>
      <c r="AE1012" s="787"/>
      <c r="AF1012" s="786"/>
      <c r="AG1012" s="787"/>
      <c r="AH1012" s="787"/>
      <c r="AI1012" s="787"/>
      <c r="AJ1012" s="786"/>
      <c r="AK1012" s="787"/>
      <c r="AL1012" s="787"/>
      <c r="AM1012" s="787"/>
      <c r="AN1012" s="786"/>
      <c r="AO1012" s="787"/>
      <c r="AP1012" s="787"/>
      <c r="AQ1012" s="787"/>
      <c r="AR1012" s="786"/>
      <c r="AS1012" s="787"/>
      <c r="AT1012" s="787"/>
      <c r="AU1012" s="787"/>
      <c r="AV1012" s="786"/>
      <c r="AW1012" s="787"/>
      <c r="AX1012" s="787"/>
      <c r="AY1012" s="787"/>
      <c r="AZ1012" s="780"/>
      <c r="BA1012" s="780"/>
      <c r="BB1012" s="780"/>
      <c r="BC1012" s="780"/>
      <c r="BD1012" s="541"/>
      <c r="BE1012" s="541"/>
      <c r="BF1012" s="541"/>
      <c r="BG1012" s="541"/>
      <c r="BH1012" s="780"/>
      <c r="BI1012" s="780"/>
      <c r="BJ1012" s="780"/>
      <c r="BK1012" s="780"/>
      <c r="BL1012" s="780"/>
      <c r="BM1012" s="780"/>
    </row>
    <row r="1013" ht="12.75" customHeight="1">
      <c r="A1013" s="521"/>
      <c r="B1013" s="521"/>
      <c r="C1013" s="515"/>
      <c r="D1013" s="515"/>
      <c r="E1013" s="515"/>
      <c r="F1013" s="515"/>
      <c r="G1013" s="515"/>
      <c r="H1013" s="515"/>
      <c r="I1013" s="515"/>
      <c r="J1013" s="515"/>
      <c r="K1013" s="515"/>
      <c r="L1013" s="515"/>
      <c r="M1013" s="515"/>
      <c r="N1013" s="515"/>
      <c r="O1013" s="533"/>
      <c r="P1013" s="786"/>
      <c r="Q1013" s="787"/>
      <c r="R1013" s="787"/>
      <c r="S1013" s="787"/>
      <c r="T1013" s="786"/>
      <c r="U1013" s="787"/>
      <c r="V1013" s="787"/>
      <c r="W1013" s="787"/>
      <c r="X1013" s="786"/>
      <c r="Y1013" s="787"/>
      <c r="Z1013" s="787"/>
      <c r="AA1013" s="787"/>
      <c r="AB1013" s="786"/>
      <c r="AC1013" s="787"/>
      <c r="AD1013" s="787"/>
      <c r="AE1013" s="787"/>
      <c r="AF1013" s="786"/>
      <c r="AG1013" s="787"/>
      <c r="AH1013" s="787"/>
      <c r="AI1013" s="787"/>
      <c r="AJ1013" s="786"/>
      <c r="AK1013" s="787"/>
      <c r="AL1013" s="787"/>
      <c r="AM1013" s="787"/>
      <c r="AN1013" s="786"/>
      <c r="AO1013" s="787"/>
      <c r="AP1013" s="787"/>
      <c r="AQ1013" s="787"/>
      <c r="AR1013" s="786"/>
      <c r="AS1013" s="787"/>
      <c r="AT1013" s="787"/>
      <c r="AU1013" s="787"/>
      <c r="AV1013" s="786"/>
      <c r="AW1013" s="787"/>
      <c r="AX1013" s="787"/>
      <c r="AY1013" s="787"/>
      <c r="AZ1013" s="780"/>
      <c r="BA1013" s="780"/>
      <c r="BB1013" s="780"/>
      <c r="BC1013" s="780"/>
      <c r="BD1013" s="541"/>
      <c r="BE1013" s="541"/>
      <c r="BF1013" s="541"/>
      <c r="BG1013" s="541"/>
      <c r="BH1013" s="780"/>
      <c r="BI1013" s="780"/>
      <c r="BJ1013" s="780"/>
      <c r="BK1013" s="780"/>
      <c r="BL1013" s="780"/>
      <c r="BM1013" s="780"/>
    </row>
    <row r="1014" ht="12.75" customHeight="1">
      <c r="A1014" s="521"/>
      <c r="B1014" s="521"/>
      <c r="C1014" s="515"/>
      <c r="D1014" s="515"/>
      <c r="E1014" s="515"/>
      <c r="F1014" s="515"/>
      <c r="G1014" s="515"/>
      <c r="H1014" s="515"/>
      <c r="I1014" s="515"/>
      <c r="J1014" s="515"/>
      <c r="K1014" s="515"/>
      <c r="L1014" s="515"/>
      <c r="M1014" s="515"/>
      <c r="N1014" s="515"/>
      <c r="O1014" s="533"/>
      <c r="P1014" s="786"/>
      <c r="Q1014" s="787"/>
      <c r="R1014" s="787"/>
      <c r="S1014" s="787"/>
      <c r="T1014" s="786"/>
      <c r="U1014" s="787"/>
      <c r="V1014" s="787"/>
      <c r="W1014" s="787"/>
      <c r="X1014" s="786"/>
      <c r="Y1014" s="787"/>
      <c r="Z1014" s="787"/>
      <c r="AA1014" s="787"/>
      <c r="AB1014" s="786"/>
      <c r="AC1014" s="787"/>
      <c r="AD1014" s="787"/>
      <c r="AE1014" s="787"/>
      <c r="AF1014" s="786"/>
      <c r="AG1014" s="787"/>
      <c r="AH1014" s="787"/>
      <c r="AI1014" s="787"/>
      <c r="AJ1014" s="786"/>
      <c r="AK1014" s="787"/>
      <c r="AL1014" s="787"/>
      <c r="AM1014" s="787"/>
      <c r="AN1014" s="786"/>
      <c r="AO1014" s="787"/>
      <c r="AP1014" s="787"/>
      <c r="AQ1014" s="787"/>
      <c r="AR1014" s="786"/>
      <c r="AS1014" s="787"/>
      <c r="AT1014" s="787"/>
      <c r="AU1014" s="787"/>
      <c r="AV1014" s="786"/>
      <c r="AW1014" s="787"/>
      <c r="AX1014" s="787"/>
      <c r="AY1014" s="787"/>
      <c r="AZ1014" s="780"/>
      <c r="BA1014" s="780"/>
      <c r="BB1014" s="780"/>
      <c r="BC1014" s="780"/>
      <c r="BD1014" s="541"/>
      <c r="BE1014" s="541"/>
      <c r="BF1014" s="541"/>
      <c r="BG1014" s="541"/>
      <c r="BH1014" s="780"/>
      <c r="BI1014" s="780"/>
      <c r="BJ1014" s="780"/>
      <c r="BK1014" s="780"/>
      <c r="BL1014" s="780"/>
      <c r="BM1014" s="780"/>
    </row>
    <row r="1015" ht="12.75" customHeight="1">
      <c r="A1015" s="521"/>
      <c r="B1015" s="521"/>
      <c r="C1015" s="515"/>
      <c r="D1015" s="515"/>
      <c r="E1015" s="515"/>
      <c r="F1015" s="515"/>
      <c r="G1015" s="515"/>
      <c r="H1015" s="515"/>
      <c r="I1015" s="515"/>
      <c r="J1015" s="515"/>
      <c r="K1015" s="515"/>
      <c r="L1015" s="515"/>
      <c r="M1015" s="515"/>
      <c r="N1015" s="515"/>
      <c r="O1015" s="533"/>
      <c r="P1015" s="786"/>
      <c r="Q1015" s="787"/>
      <c r="R1015" s="787"/>
      <c r="S1015" s="787"/>
      <c r="T1015" s="786"/>
      <c r="U1015" s="787"/>
      <c r="V1015" s="787"/>
      <c r="W1015" s="787"/>
      <c r="X1015" s="786"/>
      <c r="Y1015" s="787"/>
      <c r="Z1015" s="787"/>
      <c r="AA1015" s="787"/>
      <c r="AB1015" s="786"/>
      <c r="AC1015" s="787"/>
      <c r="AD1015" s="787"/>
      <c r="AE1015" s="787"/>
      <c r="AF1015" s="786"/>
      <c r="AG1015" s="787"/>
      <c r="AH1015" s="787"/>
      <c r="AI1015" s="787"/>
      <c r="AJ1015" s="786"/>
      <c r="AK1015" s="787"/>
      <c r="AL1015" s="787"/>
      <c r="AM1015" s="787"/>
      <c r="AN1015" s="786"/>
      <c r="AO1015" s="787"/>
      <c r="AP1015" s="787"/>
      <c r="AQ1015" s="787"/>
      <c r="AR1015" s="786"/>
      <c r="AS1015" s="787"/>
      <c r="AT1015" s="787"/>
      <c r="AU1015" s="787"/>
      <c r="AV1015" s="786"/>
      <c r="AW1015" s="787"/>
      <c r="AX1015" s="787"/>
      <c r="AY1015" s="787"/>
      <c r="AZ1015" s="780"/>
      <c r="BA1015" s="780"/>
      <c r="BB1015" s="780"/>
      <c r="BC1015" s="780"/>
      <c r="BD1015" s="541"/>
      <c r="BE1015" s="541"/>
      <c r="BF1015" s="541"/>
      <c r="BG1015" s="541"/>
      <c r="BH1015" s="780"/>
      <c r="BI1015" s="780"/>
      <c r="BJ1015" s="780"/>
      <c r="BK1015" s="780"/>
      <c r="BL1015" s="780"/>
      <c r="BM1015" s="780"/>
    </row>
    <row r="1016" ht="12.75" customHeight="1">
      <c r="A1016" s="521"/>
      <c r="B1016" s="521"/>
      <c r="C1016" s="515"/>
      <c r="D1016" s="515"/>
      <c r="E1016" s="515"/>
      <c r="F1016" s="515"/>
      <c r="G1016" s="515"/>
      <c r="H1016" s="515"/>
      <c r="I1016" s="515"/>
      <c r="J1016" s="515"/>
      <c r="K1016" s="515"/>
      <c r="L1016" s="515"/>
      <c r="M1016" s="515"/>
      <c r="N1016" s="515"/>
      <c r="O1016" s="533"/>
      <c r="P1016" s="786"/>
      <c r="Q1016" s="787"/>
      <c r="R1016" s="787"/>
      <c r="S1016" s="787"/>
      <c r="T1016" s="786"/>
      <c r="U1016" s="787"/>
      <c r="V1016" s="787"/>
      <c r="W1016" s="787"/>
      <c r="X1016" s="786"/>
      <c r="Y1016" s="787"/>
      <c r="Z1016" s="787"/>
      <c r="AA1016" s="787"/>
      <c r="AB1016" s="786"/>
      <c r="AC1016" s="787"/>
      <c r="AD1016" s="787"/>
      <c r="AE1016" s="787"/>
      <c r="AF1016" s="786"/>
      <c r="AG1016" s="787"/>
      <c r="AH1016" s="787"/>
      <c r="AI1016" s="787"/>
      <c r="AJ1016" s="786"/>
      <c r="AK1016" s="787"/>
      <c r="AL1016" s="787"/>
      <c r="AM1016" s="787"/>
      <c r="AN1016" s="786"/>
      <c r="AO1016" s="787"/>
      <c r="AP1016" s="787"/>
      <c r="AQ1016" s="787"/>
      <c r="AR1016" s="786"/>
      <c r="AS1016" s="787"/>
      <c r="AT1016" s="787"/>
      <c r="AU1016" s="787"/>
      <c r="AV1016" s="786"/>
      <c r="AW1016" s="787"/>
      <c r="AX1016" s="787"/>
      <c r="AY1016" s="787"/>
      <c r="AZ1016" s="780"/>
      <c r="BA1016" s="780"/>
      <c r="BB1016" s="780"/>
      <c r="BC1016" s="780"/>
      <c r="BD1016" s="541"/>
      <c r="BE1016" s="541"/>
      <c r="BF1016" s="541"/>
      <c r="BG1016" s="541"/>
      <c r="BH1016" s="780"/>
      <c r="BI1016" s="780"/>
      <c r="BJ1016" s="780"/>
      <c r="BK1016" s="780"/>
      <c r="BL1016" s="780"/>
      <c r="BM1016" s="780"/>
    </row>
    <row r="1017" ht="12.75" customHeight="1">
      <c r="A1017" s="521"/>
      <c r="B1017" s="521"/>
      <c r="C1017" s="515"/>
      <c r="D1017" s="515"/>
      <c r="E1017" s="515"/>
      <c r="F1017" s="515"/>
      <c r="G1017" s="515"/>
      <c r="H1017" s="515"/>
      <c r="I1017" s="515"/>
      <c r="J1017" s="515"/>
      <c r="K1017" s="515"/>
      <c r="L1017" s="515"/>
      <c r="M1017" s="515"/>
      <c r="N1017" s="515"/>
      <c r="O1017" s="533"/>
      <c r="P1017" s="786"/>
      <c r="Q1017" s="787"/>
      <c r="R1017" s="787"/>
      <c r="S1017" s="787"/>
      <c r="T1017" s="786"/>
      <c r="U1017" s="787"/>
      <c r="V1017" s="787"/>
      <c r="W1017" s="787"/>
      <c r="X1017" s="786"/>
      <c r="Y1017" s="787"/>
      <c r="Z1017" s="787"/>
      <c r="AA1017" s="787"/>
      <c r="AB1017" s="786"/>
      <c r="AC1017" s="787"/>
      <c r="AD1017" s="787"/>
      <c r="AE1017" s="787"/>
      <c r="AF1017" s="786"/>
      <c r="AG1017" s="787"/>
      <c r="AH1017" s="787"/>
      <c r="AI1017" s="787"/>
      <c r="AJ1017" s="786"/>
      <c r="AK1017" s="787"/>
      <c r="AL1017" s="787"/>
      <c r="AM1017" s="787"/>
      <c r="AN1017" s="786"/>
      <c r="AO1017" s="787"/>
      <c r="AP1017" s="787"/>
      <c r="AQ1017" s="787"/>
      <c r="AR1017" s="786"/>
      <c r="AS1017" s="787"/>
      <c r="AT1017" s="787"/>
      <c r="AU1017" s="787"/>
      <c r="AV1017" s="786"/>
      <c r="AW1017" s="787"/>
      <c r="AX1017" s="787"/>
      <c r="AY1017" s="787"/>
      <c r="AZ1017" s="780"/>
      <c r="BA1017" s="780"/>
      <c r="BB1017" s="780"/>
      <c r="BC1017" s="780"/>
      <c r="BD1017" s="541"/>
      <c r="BE1017" s="541"/>
      <c r="BF1017" s="541"/>
      <c r="BG1017" s="541"/>
      <c r="BH1017" s="780"/>
      <c r="BI1017" s="780"/>
      <c r="BJ1017" s="780"/>
      <c r="BK1017" s="780"/>
      <c r="BL1017" s="780"/>
      <c r="BM1017" s="780"/>
    </row>
    <row r="1018" ht="12.75" customHeight="1">
      <c r="A1018" s="521"/>
      <c r="B1018" s="521"/>
      <c r="C1018" s="515"/>
      <c r="D1018" s="515"/>
      <c r="E1018" s="515"/>
      <c r="F1018" s="515"/>
      <c r="G1018" s="515"/>
      <c r="H1018" s="515"/>
      <c r="I1018" s="515"/>
      <c r="J1018" s="515"/>
      <c r="K1018" s="515"/>
      <c r="L1018" s="515"/>
      <c r="M1018" s="515"/>
      <c r="N1018" s="515"/>
      <c r="O1018" s="533"/>
      <c r="P1018" s="786"/>
      <c r="Q1018" s="787"/>
      <c r="R1018" s="787"/>
      <c r="S1018" s="787"/>
      <c r="T1018" s="786"/>
      <c r="U1018" s="787"/>
      <c r="V1018" s="787"/>
      <c r="W1018" s="787"/>
      <c r="X1018" s="786"/>
      <c r="Y1018" s="787"/>
      <c r="Z1018" s="787"/>
      <c r="AA1018" s="787"/>
      <c r="AB1018" s="786"/>
      <c r="AC1018" s="787"/>
      <c r="AD1018" s="787"/>
      <c r="AE1018" s="787"/>
      <c r="AF1018" s="786"/>
      <c r="AG1018" s="787"/>
      <c r="AH1018" s="787"/>
      <c r="AI1018" s="787"/>
      <c r="AJ1018" s="786"/>
      <c r="AK1018" s="787"/>
      <c r="AL1018" s="787"/>
      <c r="AM1018" s="787"/>
      <c r="AN1018" s="786"/>
      <c r="AO1018" s="787"/>
      <c r="AP1018" s="787"/>
      <c r="AQ1018" s="787"/>
      <c r="AR1018" s="786"/>
      <c r="AS1018" s="787"/>
      <c r="AT1018" s="787"/>
      <c r="AU1018" s="787"/>
      <c r="AV1018" s="786"/>
      <c r="AW1018" s="787"/>
      <c r="AX1018" s="787"/>
      <c r="AY1018" s="787"/>
      <c r="AZ1018" s="780"/>
      <c r="BA1018" s="780"/>
      <c r="BB1018" s="780"/>
      <c r="BC1018" s="780"/>
      <c r="BD1018" s="541"/>
      <c r="BE1018" s="541"/>
      <c r="BF1018" s="541"/>
      <c r="BG1018" s="541"/>
      <c r="BH1018" s="780"/>
      <c r="BI1018" s="780"/>
      <c r="BJ1018" s="780"/>
      <c r="BK1018" s="780"/>
      <c r="BL1018" s="780"/>
      <c r="BM1018" s="780"/>
    </row>
    <row r="1019" ht="12.75" customHeight="1">
      <c r="A1019" s="521"/>
      <c r="B1019" s="521"/>
      <c r="C1019" s="515"/>
      <c r="D1019" s="515"/>
      <c r="E1019" s="515"/>
      <c r="F1019" s="515"/>
      <c r="G1019" s="515"/>
      <c r="H1019" s="515"/>
      <c r="I1019" s="515"/>
      <c r="J1019" s="515"/>
      <c r="K1019" s="515"/>
      <c r="L1019" s="515"/>
      <c r="M1019" s="515"/>
      <c r="N1019" s="515"/>
      <c r="O1019" s="533"/>
      <c r="P1019" s="786"/>
      <c r="Q1019" s="787"/>
      <c r="R1019" s="787"/>
      <c r="S1019" s="787"/>
      <c r="T1019" s="786"/>
      <c r="U1019" s="787"/>
      <c r="V1019" s="787"/>
      <c r="W1019" s="787"/>
      <c r="X1019" s="786"/>
      <c r="Y1019" s="787"/>
      <c r="Z1019" s="787"/>
      <c r="AA1019" s="787"/>
      <c r="AB1019" s="786"/>
      <c r="AC1019" s="787"/>
      <c r="AD1019" s="787"/>
      <c r="AE1019" s="787"/>
      <c r="AF1019" s="786"/>
      <c r="AG1019" s="787"/>
      <c r="AH1019" s="787"/>
      <c r="AI1019" s="787"/>
      <c r="AJ1019" s="786"/>
      <c r="AK1019" s="787"/>
      <c r="AL1019" s="787"/>
      <c r="AM1019" s="787"/>
      <c r="AN1019" s="786"/>
      <c r="AO1019" s="787"/>
      <c r="AP1019" s="787"/>
      <c r="AQ1019" s="787"/>
      <c r="AR1019" s="786"/>
      <c r="AS1019" s="787"/>
      <c r="AT1019" s="787"/>
      <c r="AU1019" s="787"/>
      <c r="AV1019" s="786"/>
      <c r="AW1019" s="787"/>
      <c r="AX1019" s="787"/>
      <c r="AY1019" s="787"/>
      <c r="AZ1019" s="780"/>
      <c r="BA1019" s="780"/>
      <c r="BB1019" s="780"/>
      <c r="BC1019" s="780"/>
      <c r="BD1019" s="541"/>
      <c r="BE1019" s="541"/>
      <c r="BF1019" s="541"/>
      <c r="BG1019" s="541"/>
      <c r="BH1019" s="780"/>
      <c r="BI1019" s="780"/>
      <c r="BJ1019" s="780"/>
      <c r="BK1019" s="780"/>
      <c r="BL1019" s="780"/>
      <c r="BM1019" s="780"/>
    </row>
    <row r="1020" ht="12.75" customHeight="1">
      <c r="A1020" s="521"/>
      <c r="B1020" s="521"/>
      <c r="C1020" s="515"/>
      <c r="D1020" s="515"/>
      <c r="E1020" s="515"/>
      <c r="F1020" s="515"/>
      <c r="G1020" s="515"/>
      <c r="H1020" s="515"/>
      <c r="I1020" s="515"/>
      <c r="J1020" s="515"/>
      <c r="K1020" s="515"/>
      <c r="L1020" s="515"/>
      <c r="M1020" s="515"/>
      <c r="N1020" s="515"/>
      <c r="O1020" s="533"/>
      <c r="P1020" s="786"/>
      <c r="Q1020" s="787"/>
      <c r="R1020" s="787"/>
      <c r="S1020" s="787"/>
      <c r="T1020" s="786"/>
      <c r="U1020" s="787"/>
      <c r="V1020" s="787"/>
      <c r="W1020" s="787"/>
      <c r="X1020" s="786"/>
      <c r="Y1020" s="787"/>
      <c r="Z1020" s="787"/>
      <c r="AA1020" s="787"/>
      <c r="AB1020" s="786"/>
      <c r="AC1020" s="787"/>
      <c r="AD1020" s="787"/>
      <c r="AE1020" s="787"/>
      <c r="AF1020" s="786"/>
      <c r="AG1020" s="787"/>
      <c r="AH1020" s="787"/>
      <c r="AI1020" s="787"/>
      <c r="AJ1020" s="786"/>
      <c r="AK1020" s="787"/>
      <c r="AL1020" s="787"/>
      <c r="AM1020" s="787"/>
      <c r="AN1020" s="786"/>
      <c r="AO1020" s="787"/>
      <c r="AP1020" s="787"/>
      <c r="AQ1020" s="787"/>
      <c r="AR1020" s="786"/>
      <c r="AS1020" s="787"/>
      <c r="AT1020" s="787"/>
      <c r="AU1020" s="787"/>
      <c r="AV1020" s="786"/>
      <c r="AW1020" s="787"/>
      <c r="AX1020" s="787"/>
      <c r="AY1020" s="787"/>
      <c r="AZ1020" s="780"/>
      <c r="BA1020" s="780"/>
      <c r="BB1020" s="780"/>
      <c r="BC1020" s="780"/>
      <c r="BD1020" s="541"/>
      <c r="BE1020" s="541"/>
      <c r="BF1020" s="541"/>
      <c r="BG1020" s="541"/>
      <c r="BH1020" s="780"/>
      <c r="BI1020" s="780"/>
      <c r="BJ1020" s="780"/>
      <c r="BK1020" s="780"/>
      <c r="BL1020" s="780"/>
      <c r="BM1020" s="780"/>
    </row>
    <row r="1021" ht="12.75" customHeight="1">
      <c r="A1021" s="521"/>
      <c r="B1021" s="521"/>
      <c r="C1021" s="515"/>
      <c r="D1021" s="515"/>
      <c r="E1021" s="515"/>
      <c r="F1021" s="515"/>
      <c r="G1021" s="515"/>
      <c r="H1021" s="515"/>
      <c r="I1021" s="515"/>
      <c r="J1021" s="515"/>
      <c r="K1021" s="515"/>
      <c r="L1021" s="515"/>
      <c r="M1021" s="515"/>
      <c r="N1021" s="515"/>
      <c r="O1021" s="533"/>
      <c r="P1021" s="786"/>
      <c r="Q1021" s="787"/>
      <c r="R1021" s="787"/>
      <c r="S1021" s="787"/>
      <c r="T1021" s="786"/>
      <c r="U1021" s="787"/>
      <c r="V1021" s="787"/>
      <c r="W1021" s="787"/>
      <c r="X1021" s="786"/>
      <c r="Y1021" s="787"/>
      <c r="Z1021" s="787"/>
      <c r="AA1021" s="787"/>
      <c r="AB1021" s="786"/>
      <c r="AC1021" s="787"/>
      <c r="AD1021" s="787"/>
      <c r="AE1021" s="787"/>
      <c r="AF1021" s="786"/>
      <c r="AG1021" s="787"/>
      <c r="AH1021" s="787"/>
      <c r="AI1021" s="787"/>
      <c r="AJ1021" s="786"/>
      <c r="AK1021" s="787"/>
      <c r="AL1021" s="787"/>
      <c r="AM1021" s="787"/>
      <c r="AN1021" s="786"/>
      <c r="AO1021" s="787"/>
      <c r="AP1021" s="787"/>
      <c r="AQ1021" s="787"/>
      <c r="AR1021" s="786"/>
      <c r="AS1021" s="787"/>
      <c r="AT1021" s="787"/>
      <c r="AU1021" s="787"/>
      <c r="AV1021" s="786"/>
      <c r="AW1021" s="787"/>
      <c r="AX1021" s="787"/>
      <c r="AY1021" s="787"/>
      <c r="AZ1021" s="780"/>
      <c r="BA1021" s="780"/>
      <c r="BB1021" s="780"/>
      <c r="BC1021" s="780"/>
      <c r="BD1021" s="541"/>
      <c r="BE1021" s="541"/>
      <c r="BF1021" s="541"/>
      <c r="BG1021" s="541"/>
      <c r="BH1021" s="780"/>
      <c r="BI1021" s="780"/>
      <c r="BJ1021" s="780"/>
      <c r="BK1021" s="780"/>
      <c r="BL1021" s="780"/>
      <c r="BM1021" s="780"/>
    </row>
    <row r="1022" ht="12.75" customHeight="1">
      <c r="A1022" s="521"/>
      <c r="B1022" s="521"/>
      <c r="C1022" s="515"/>
      <c r="D1022" s="515"/>
      <c r="E1022" s="515"/>
      <c r="F1022" s="515"/>
      <c r="G1022" s="515"/>
      <c r="H1022" s="515"/>
      <c r="I1022" s="515"/>
      <c r="J1022" s="515"/>
      <c r="K1022" s="515"/>
      <c r="L1022" s="515"/>
      <c r="M1022" s="515"/>
      <c r="N1022" s="515"/>
      <c r="O1022" s="533"/>
      <c r="P1022" s="786"/>
      <c r="Q1022" s="787"/>
      <c r="R1022" s="787"/>
      <c r="S1022" s="787"/>
      <c r="T1022" s="786"/>
      <c r="U1022" s="787"/>
      <c r="V1022" s="787"/>
      <c r="W1022" s="787"/>
      <c r="X1022" s="786"/>
      <c r="Y1022" s="787"/>
      <c r="Z1022" s="787"/>
      <c r="AA1022" s="787"/>
      <c r="AB1022" s="786"/>
      <c r="AC1022" s="787"/>
      <c r="AD1022" s="787"/>
      <c r="AE1022" s="787"/>
      <c r="AF1022" s="786"/>
      <c r="AG1022" s="787"/>
      <c r="AH1022" s="787"/>
      <c r="AI1022" s="787"/>
      <c r="AJ1022" s="786"/>
      <c r="AK1022" s="787"/>
      <c r="AL1022" s="787"/>
      <c r="AM1022" s="787"/>
      <c r="AN1022" s="786"/>
      <c r="AO1022" s="787"/>
      <c r="AP1022" s="787"/>
      <c r="AQ1022" s="787"/>
      <c r="AR1022" s="786"/>
      <c r="AS1022" s="787"/>
      <c r="AT1022" s="787"/>
      <c r="AU1022" s="787"/>
      <c r="AV1022" s="786"/>
      <c r="AW1022" s="787"/>
      <c r="AX1022" s="787"/>
      <c r="AY1022" s="787"/>
      <c r="AZ1022" s="780"/>
      <c r="BA1022" s="780"/>
      <c r="BB1022" s="780"/>
      <c r="BC1022" s="780"/>
      <c r="BD1022" s="541"/>
      <c r="BE1022" s="541"/>
      <c r="BF1022" s="541"/>
      <c r="BG1022" s="541"/>
      <c r="BH1022" s="780"/>
      <c r="BI1022" s="780"/>
      <c r="BJ1022" s="780"/>
      <c r="BK1022" s="780"/>
      <c r="BL1022" s="780"/>
      <c r="BM1022" s="780"/>
    </row>
    <row r="1023" ht="12.75" customHeight="1">
      <c r="A1023" s="521"/>
      <c r="B1023" s="521"/>
      <c r="C1023" s="515"/>
      <c r="D1023" s="515"/>
      <c r="E1023" s="515"/>
      <c r="F1023" s="515"/>
      <c r="G1023" s="515"/>
      <c r="H1023" s="515"/>
      <c r="I1023" s="515"/>
      <c r="J1023" s="515"/>
      <c r="K1023" s="515"/>
      <c r="L1023" s="515"/>
      <c r="M1023" s="515"/>
      <c r="N1023" s="515"/>
      <c r="O1023" s="533"/>
      <c r="P1023" s="786"/>
      <c r="Q1023" s="787"/>
      <c r="R1023" s="787"/>
      <c r="S1023" s="787"/>
      <c r="T1023" s="786"/>
      <c r="U1023" s="787"/>
      <c r="V1023" s="787"/>
      <c r="W1023" s="787"/>
      <c r="X1023" s="786"/>
      <c r="Y1023" s="787"/>
      <c r="Z1023" s="787"/>
      <c r="AA1023" s="787"/>
      <c r="AB1023" s="786"/>
      <c r="AC1023" s="787"/>
      <c r="AD1023" s="787"/>
      <c r="AE1023" s="787"/>
      <c r="AF1023" s="786"/>
      <c r="AG1023" s="787"/>
      <c r="AH1023" s="787"/>
      <c r="AI1023" s="787"/>
      <c r="AJ1023" s="786"/>
      <c r="AK1023" s="787"/>
      <c r="AL1023" s="787"/>
      <c r="AM1023" s="787"/>
      <c r="AN1023" s="786"/>
      <c r="AO1023" s="787"/>
      <c r="AP1023" s="787"/>
      <c r="AQ1023" s="787"/>
      <c r="AR1023" s="786"/>
      <c r="AS1023" s="787"/>
      <c r="AT1023" s="787"/>
      <c r="AU1023" s="787"/>
      <c r="AV1023" s="786"/>
      <c r="AW1023" s="787"/>
      <c r="AX1023" s="787"/>
      <c r="AY1023" s="787"/>
      <c r="AZ1023" s="780"/>
      <c r="BA1023" s="780"/>
      <c r="BB1023" s="780"/>
      <c r="BC1023" s="780"/>
      <c r="BD1023" s="541"/>
      <c r="BE1023" s="541"/>
      <c r="BF1023" s="541"/>
      <c r="BG1023" s="541"/>
      <c r="BH1023" s="780"/>
      <c r="BI1023" s="780"/>
      <c r="BJ1023" s="780"/>
      <c r="BK1023" s="780"/>
      <c r="BL1023" s="780"/>
      <c r="BM1023" s="780"/>
    </row>
    <row r="1024" ht="12.75" customHeight="1">
      <c r="A1024" s="521"/>
      <c r="B1024" s="521"/>
      <c r="C1024" s="515"/>
      <c r="D1024" s="515"/>
      <c r="E1024" s="515"/>
      <c r="F1024" s="515"/>
      <c r="G1024" s="515"/>
      <c r="H1024" s="515"/>
      <c r="I1024" s="515"/>
      <c r="J1024" s="515"/>
      <c r="K1024" s="515"/>
      <c r="L1024" s="515"/>
      <c r="M1024" s="515"/>
      <c r="N1024" s="515"/>
      <c r="O1024" s="533"/>
      <c r="P1024" s="786"/>
      <c r="Q1024" s="787"/>
      <c r="R1024" s="787"/>
      <c r="S1024" s="787"/>
      <c r="T1024" s="786"/>
      <c r="U1024" s="787"/>
      <c r="V1024" s="787"/>
      <c r="W1024" s="787"/>
      <c r="X1024" s="786"/>
      <c r="Y1024" s="787"/>
      <c r="Z1024" s="787"/>
      <c r="AA1024" s="787"/>
      <c r="AB1024" s="786"/>
      <c r="AC1024" s="787"/>
      <c r="AD1024" s="787"/>
      <c r="AE1024" s="787"/>
      <c r="AF1024" s="786"/>
      <c r="AG1024" s="787"/>
      <c r="AH1024" s="787"/>
      <c r="AI1024" s="787"/>
      <c r="AJ1024" s="786"/>
      <c r="AK1024" s="787"/>
      <c r="AL1024" s="787"/>
      <c r="AM1024" s="787"/>
      <c r="AN1024" s="786"/>
      <c r="AO1024" s="787"/>
      <c r="AP1024" s="787"/>
      <c r="AQ1024" s="787"/>
      <c r="AR1024" s="786"/>
      <c r="AS1024" s="787"/>
      <c r="AT1024" s="787"/>
      <c r="AU1024" s="787"/>
      <c r="AV1024" s="786"/>
      <c r="AW1024" s="787"/>
      <c r="AX1024" s="787"/>
      <c r="AY1024" s="787"/>
      <c r="AZ1024" s="780"/>
      <c r="BA1024" s="780"/>
      <c r="BB1024" s="780"/>
      <c r="BC1024" s="780"/>
      <c r="BD1024" s="541"/>
      <c r="BE1024" s="541"/>
      <c r="BF1024" s="541"/>
      <c r="BG1024" s="541"/>
      <c r="BH1024" s="780"/>
      <c r="BI1024" s="780"/>
      <c r="BJ1024" s="780"/>
      <c r="BK1024" s="780"/>
      <c r="BL1024" s="780"/>
      <c r="BM1024" s="780"/>
    </row>
    <row r="1025" ht="12.75" customHeight="1">
      <c r="A1025" s="521"/>
      <c r="B1025" s="521"/>
      <c r="C1025" s="515"/>
      <c r="D1025" s="515"/>
      <c r="E1025" s="515"/>
      <c r="F1025" s="515"/>
      <c r="G1025" s="515"/>
      <c r="H1025" s="515"/>
      <c r="I1025" s="515"/>
      <c r="J1025" s="515"/>
      <c r="K1025" s="515"/>
      <c r="L1025" s="515"/>
      <c r="M1025" s="515"/>
      <c r="N1025" s="515"/>
      <c r="O1025" s="533"/>
      <c r="P1025" s="786"/>
      <c r="Q1025" s="787"/>
      <c r="R1025" s="787"/>
      <c r="S1025" s="787"/>
      <c r="T1025" s="786"/>
      <c r="U1025" s="787"/>
      <c r="V1025" s="787"/>
      <c r="W1025" s="787"/>
      <c r="X1025" s="786"/>
      <c r="Y1025" s="787"/>
      <c r="Z1025" s="787"/>
      <c r="AA1025" s="787"/>
      <c r="AB1025" s="786"/>
      <c r="AC1025" s="787"/>
      <c r="AD1025" s="787"/>
      <c r="AE1025" s="787"/>
      <c r="AF1025" s="786"/>
      <c r="AG1025" s="787"/>
      <c r="AH1025" s="787"/>
      <c r="AI1025" s="787"/>
      <c r="AJ1025" s="786"/>
      <c r="AK1025" s="787"/>
      <c r="AL1025" s="787"/>
      <c r="AM1025" s="787"/>
      <c r="AN1025" s="786"/>
      <c r="AO1025" s="787"/>
      <c r="AP1025" s="787"/>
      <c r="AQ1025" s="787"/>
      <c r="AR1025" s="786"/>
      <c r="AS1025" s="787"/>
      <c r="AT1025" s="787"/>
      <c r="AU1025" s="787"/>
      <c r="AV1025" s="786"/>
      <c r="AW1025" s="787"/>
      <c r="AX1025" s="787"/>
      <c r="AY1025" s="787"/>
      <c r="AZ1025" s="780"/>
      <c r="BA1025" s="780"/>
      <c r="BB1025" s="780"/>
      <c r="BC1025" s="780"/>
      <c r="BD1025" s="541"/>
      <c r="BE1025" s="541"/>
      <c r="BF1025" s="541"/>
      <c r="BG1025" s="541"/>
      <c r="BH1025" s="780"/>
      <c r="BI1025" s="780"/>
      <c r="BJ1025" s="780"/>
      <c r="BK1025" s="780"/>
      <c r="BL1025" s="780"/>
      <c r="BM1025" s="780"/>
    </row>
    <row r="1026" ht="12.75" customHeight="1">
      <c r="A1026" s="521"/>
      <c r="B1026" s="521"/>
      <c r="C1026" s="515"/>
      <c r="D1026" s="515"/>
      <c r="E1026" s="515"/>
      <c r="F1026" s="515"/>
      <c r="G1026" s="515"/>
      <c r="H1026" s="515"/>
      <c r="I1026" s="515"/>
      <c r="J1026" s="515"/>
      <c r="K1026" s="515"/>
      <c r="L1026" s="515"/>
      <c r="M1026" s="515"/>
      <c r="N1026" s="515"/>
      <c r="O1026" s="533"/>
      <c r="P1026" s="786"/>
      <c r="Q1026" s="787"/>
      <c r="R1026" s="787"/>
      <c r="S1026" s="787"/>
      <c r="T1026" s="786"/>
      <c r="U1026" s="787"/>
      <c r="V1026" s="787"/>
      <c r="W1026" s="787"/>
      <c r="X1026" s="786"/>
      <c r="Y1026" s="787"/>
      <c r="Z1026" s="787"/>
      <c r="AA1026" s="787"/>
      <c r="AB1026" s="786"/>
      <c r="AC1026" s="787"/>
      <c r="AD1026" s="787"/>
      <c r="AE1026" s="787"/>
      <c r="AF1026" s="786"/>
      <c r="AG1026" s="787"/>
      <c r="AH1026" s="787"/>
      <c r="AI1026" s="787"/>
      <c r="AJ1026" s="786"/>
      <c r="AK1026" s="787"/>
      <c r="AL1026" s="787"/>
      <c r="AM1026" s="787"/>
      <c r="AN1026" s="786"/>
      <c r="AO1026" s="787"/>
      <c r="AP1026" s="787"/>
      <c r="AQ1026" s="787"/>
      <c r="AR1026" s="786"/>
      <c r="AS1026" s="787"/>
      <c r="AT1026" s="787"/>
      <c r="AU1026" s="787"/>
      <c r="AV1026" s="786"/>
      <c r="AW1026" s="787"/>
      <c r="AX1026" s="787"/>
      <c r="AY1026" s="787"/>
      <c r="AZ1026" s="780"/>
      <c r="BA1026" s="780"/>
      <c r="BB1026" s="780"/>
      <c r="BC1026" s="780"/>
      <c r="BD1026" s="541"/>
      <c r="BE1026" s="541"/>
      <c r="BF1026" s="541"/>
      <c r="BG1026" s="541"/>
      <c r="BH1026" s="780"/>
      <c r="BI1026" s="780"/>
      <c r="BJ1026" s="780"/>
      <c r="BK1026" s="780"/>
      <c r="BL1026" s="780"/>
      <c r="BM1026" s="780"/>
    </row>
    <row r="1027" ht="12.75" customHeight="1">
      <c r="A1027" s="521"/>
      <c r="B1027" s="521"/>
      <c r="C1027" s="515"/>
      <c r="D1027" s="515"/>
      <c r="E1027" s="515"/>
      <c r="F1027" s="515"/>
      <c r="G1027" s="515"/>
      <c r="H1027" s="515"/>
      <c r="I1027" s="515"/>
      <c r="J1027" s="515"/>
      <c r="K1027" s="515"/>
      <c r="L1027" s="515"/>
      <c r="M1027" s="515"/>
      <c r="N1027" s="515"/>
      <c r="O1027" s="533"/>
      <c r="P1027" s="786"/>
      <c r="Q1027" s="787"/>
      <c r="R1027" s="787"/>
      <c r="S1027" s="787"/>
      <c r="T1027" s="786"/>
      <c r="U1027" s="787"/>
      <c r="V1027" s="787"/>
      <c r="W1027" s="787"/>
      <c r="X1027" s="786"/>
      <c r="Y1027" s="787"/>
      <c r="Z1027" s="787"/>
      <c r="AA1027" s="787"/>
      <c r="AB1027" s="786"/>
      <c r="AC1027" s="787"/>
      <c r="AD1027" s="787"/>
      <c r="AE1027" s="787"/>
      <c r="AF1027" s="786"/>
      <c r="AG1027" s="787"/>
      <c r="AH1027" s="787"/>
      <c r="AI1027" s="787"/>
      <c r="AJ1027" s="786"/>
      <c r="AK1027" s="787"/>
      <c r="AL1027" s="787"/>
      <c r="AM1027" s="787"/>
      <c r="AN1027" s="786"/>
      <c r="AO1027" s="787"/>
      <c r="AP1027" s="787"/>
      <c r="AQ1027" s="787"/>
      <c r="AR1027" s="786"/>
      <c r="AS1027" s="787"/>
      <c r="AT1027" s="787"/>
      <c r="AU1027" s="787"/>
      <c r="AV1027" s="786"/>
      <c r="AW1027" s="787"/>
      <c r="AX1027" s="787"/>
      <c r="AY1027" s="787"/>
      <c r="AZ1027" s="780"/>
      <c r="BA1027" s="780"/>
      <c r="BB1027" s="780"/>
      <c r="BC1027" s="780"/>
      <c r="BD1027" s="541"/>
      <c r="BE1027" s="541"/>
      <c r="BF1027" s="541"/>
      <c r="BG1027" s="541"/>
      <c r="BH1027" s="780"/>
      <c r="BI1027" s="780"/>
      <c r="BJ1027" s="780"/>
      <c r="BK1027" s="780"/>
      <c r="BL1027" s="780"/>
      <c r="BM1027" s="780"/>
    </row>
    <row r="1028" ht="12.75" customHeight="1">
      <c r="A1028" s="521"/>
      <c r="B1028" s="521"/>
      <c r="C1028" s="515"/>
      <c r="D1028" s="515"/>
      <c r="E1028" s="515"/>
      <c r="F1028" s="515"/>
      <c r="G1028" s="515"/>
      <c r="H1028" s="515"/>
      <c r="I1028" s="515"/>
      <c r="J1028" s="515"/>
      <c r="K1028" s="515"/>
      <c r="L1028" s="515"/>
      <c r="M1028" s="515"/>
      <c r="N1028" s="515"/>
      <c r="O1028" s="533"/>
      <c r="P1028" s="786"/>
      <c r="Q1028" s="787"/>
      <c r="R1028" s="787"/>
      <c r="S1028" s="787"/>
      <c r="T1028" s="786"/>
      <c r="U1028" s="787"/>
      <c r="V1028" s="787"/>
      <c r="W1028" s="787"/>
      <c r="X1028" s="786"/>
      <c r="Y1028" s="787"/>
      <c r="Z1028" s="787"/>
      <c r="AA1028" s="787"/>
      <c r="AB1028" s="786"/>
      <c r="AC1028" s="787"/>
      <c r="AD1028" s="787"/>
      <c r="AE1028" s="787"/>
      <c r="AF1028" s="786"/>
      <c r="AG1028" s="787"/>
      <c r="AH1028" s="787"/>
      <c r="AI1028" s="787"/>
      <c r="AJ1028" s="786"/>
      <c r="AK1028" s="787"/>
      <c r="AL1028" s="787"/>
      <c r="AM1028" s="787"/>
      <c r="AN1028" s="786"/>
      <c r="AO1028" s="787"/>
      <c r="AP1028" s="787"/>
      <c r="AQ1028" s="787"/>
      <c r="AR1028" s="786"/>
      <c r="AS1028" s="787"/>
      <c r="AT1028" s="787"/>
      <c r="AU1028" s="787"/>
      <c r="AV1028" s="786"/>
      <c r="AW1028" s="787"/>
      <c r="AX1028" s="787"/>
      <c r="AY1028" s="787"/>
      <c r="AZ1028" s="780"/>
      <c r="BA1028" s="780"/>
      <c r="BB1028" s="780"/>
      <c r="BC1028" s="780"/>
      <c r="BD1028" s="541"/>
      <c r="BE1028" s="541"/>
      <c r="BF1028" s="541"/>
      <c r="BG1028" s="541"/>
      <c r="BH1028" s="780"/>
      <c r="BI1028" s="780"/>
      <c r="BJ1028" s="780"/>
      <c r="BK1028" s="780"/>
      <c r="BL1028" s="780"/>
      <c r="BM1028" s="780"/>
    </row>
    <row r="1029" ht="12.75" customHeight="1">
      <c r="A1029" s="521"/>
      <c r="B1029" s="521"/>
      <c r="C1029" s="515"/>
      <c r="D1029" s="515"/>
      <c r="E1029" s="515"/>
      <c r="F1029" s="515"/>
      <c r="G1029" s="515"/>
      <c r="H1029" s="515"/>
      <c r="I1029" s="515"/>
      <c r="J1029" s="515"/>
      <c r="K1029" s="515"/>
      <c r="L1029" s="515"/>
      <c r="M1029" s="515"/>
      <c r="N1029" s="515"/>
      <c r="O1029" s="533"/>
      <c r="P1029" s="786"/>
      <c r="Q1029" s="787"/>
      <c r="R1029" s="787"/>
      <c r="S1029" s="787"/>
      <c r="T1029" s="786"/>
      <c r="U1029" s="787"/>
      <c r="V1029" s="787"/>
      <c r="W1029" s="787"/>
      <c r="X1029" s="786"/>
      <c r="Y1029" s="787"/>
      <c r="Z1029" s="787"/>
      <c r="AA1029" s="787"/>
      <c r="AB1029" s="786"/>
      <c r="AC1029" s="787"/>
      <c r="AD1029" s="787"/>
      <c r="AE1029" s="787"/>
      <c r="AF1029" s="786"/>
      <c r="AG1029" s="787"/>
      <c r="AH1029" s="787"/>
      <c r="AI1029" s="787"/>
      <c r="AJ1029" s="786"/>
      <c r="AK1029" s="787"/>
      <c r="AL1029" s="787"/>
      <c r="AM1029" s="787"/>
      <c r="AN1029" s="786"/>
      <c r="AO1029" s="787"/>
      <c r="AP1029" s="787"/>
      <c r="AQ1029" s="787"/>
      <c r="AR1029" s="786"/>
      <c r="AS1029" s="787"/>
      <c r="AT1029" s="787"/>
      <c r="AU1029" s="787"/>
      <c r="AV1029" s="786"/>
      <c r="AW1029" s="787"/>
      <c r="AX1029" s="787"/>
      <c r="AY1029" s="787"/>
      <c r="AZ1029" s="780"/>
      <c r="BA1029" s="780"/>
      <c r="BB1029" s="780"/>
      <c r="BC1029" s="780"/>
      <c r="BD1029" s="541"/>
      <c r="BE1029" s="541"/>
      <c r="BF1029" s="541"/>
      <c r="BG1029" s="541"/>
      <c r="BH1029" s="780"/>
      <c r="BI1029" s="780"/>
      <c r="BJ1029" s="780"/>
      <c r="BK1029" s="780"/>
      <c r="BL1029" s="780"/>
      <c r="BM1029" s="780"/>
    </row>
    <row r="1030" ht="12.75" customHeight="1">
      <c r="A1030" s="521"/>
      <c r="B1030" s="521"/>
      <c r="C1030" s="515"/>
      <c r="D1030" s="515"/>
      <c r="E1030" s="515"/>
      <c r="F1030" s="515"/>
      <c r="G1030" s="515"/>
      <c r="H1030" s="515"/>
      <c r="I1030" s="515"/>
      <c r="J1030" s="515"/>
      <c r="K1030" s="515"/>
      <c r="L1030" s="515"/>
      <c r="M1030" s="515"/>
      <c r="N1030" s="515"/>
      <c r="O1030" s="533"/>
      <c r="P1030" s="786"/>
      <c r="Q1030" s="787"/>
      <c r="R1030" s="787"/>
      <c r="S1030" s="787"/>
      <c r="T1030" s="786"/>
      <c r="U1030" s="787"/>
      <c r="V1030" s="787"/>
      <c r="W1030" s="787"/>
      <c r="X1030" s="786"/>
      <c r="Y1030" s="787"/>
      <c r="Z1030" s="787"/>
      <c r="AA1030" s="787"/>
      <c r="AB1030" s="786"/>
      <c r="AC1030" s="787"/>
      <c r="AD1030" s="787"/>
      <c r="AE1030" s="787"/>
      <c r="AF1030" s="786"/>
      <c r="AG1030" s="787"/>
      <c r="AH1030" s="787"/>
      <c r="AI1030" s="787"/>
      <c r="AJ1030" s="786"/>
      <c r="AK1030" s="787"/>
      <c r="AL1030" s="787"/>
      <c r="AM1030" s="787"/>
      <c r="AN1030" s="786"/>
      <c r="AO1030" s="787"/>
      <c r="AP1030" s="787"/>
      <c r="AQ1030" s="787"/>
      <c r="AR1030" s="786"/>
      <c r="AS1030" s="787"/>
      <c r="AT1030" s="787"/>
      <c r="AU1030" s="787"/>
      <c r="AV1030" s="786"/>
      <c r="AW1030" s="787"/>
      <c r="AX1030" s="787"/>
      <c r="AY1030" s="787"/>
      <c r="AZ1030" s="780"/>
      <c r="BA1030" s="780"/>
      <c r="BB1030" s="780"/>
      <c r="BC1030" s="780"/>
      <c r="BD1030" s="541"/>
      <c r="BE1030" s="541"/>
      <c r="BF1030" s="541"/>
      <c r="BG1030" s="541"/>
      <c r="BH1030" s="780"/>
      <c r="BI1030" s="780"/>
      <c r="BJ1030" s="780"/>
      <c r="BK1030" s="780"/>
      <c r="BL1030" s="780"/>
      <c r="BM1030" s="780"/>
    </row>
    <row r="1031" ht="12.75" customHeight="1">
      <c r="A1031" s="521"/>
      <c r="B1031" s="521"/>
      <c r="C1031" s="515"/>
      <c r="D1031" s="515"/>
      <c r="E1031" s="515"/>
      <c r="F1031" s="515"/>
      <c r="G1031" s="515"/>
      <c r="H1031" s="515"/>
      <c r="I1031" s="515"/>
      <c r="J1031" s="515"/>
      <c r="K1031" s="515"/>
      <c r="L1031" s="515"/>
      <c r="M1031" s="515"/>
      <c r="N1031" s="515"/>
      <c r="O1031" s="533"/>
      <c r="P1031" s="786"/>
      <c r="Q1031" s="787"/>
      <c r="R1031" s="787"/>
      <c r="S1031" s="787"/>
      <c r="T1031" s="786"/>
      <c r="U1031" s="787"/>
      <c r="V1031" s="787"/>
      <c r="W1031" s="787"/>
      <c r="X1031" s="786"/>
      <c r="Y1031" s="787"/>
      <c r="Z1031" s="787"/>
      <c r="AA1031" s="787"/>
      <c r="AB1031" s="786"/>
      <c r="AC1031" s="787"/>
      <c r="AD1031" s="787"/>
      <c r="AE1031" s="787"/>
      <c r="AF1031" s="786"/>
      <c r="AG1031" s="787"/>
      <c r="AH1031" s="787"/>
      <c r="AI1031" s="787"/>
      <c r="AJ1031" s="786"/>
      <c r="AK1031" s="787"/>
      <c r="AL1031" s="787"/>
      <c r="AM1031" s="787"/>
      <c r="AN1031" s="786"/>
      <c r="AO1031" s="787"/>
      <c r="AP1031" s="787"/>
      <c r="AQ1031" s="787"/>
      <c r="AR1031" s="786"/>
      <c r="AS1031" s="787"/>
      <c r="AT1031" s="787"/>
      <c r="AU1031" s="787"/>
      <c r="AV1031" s="786"/>
      <c r="AW1031" s="787"/>
      <c r="AX1031" s="787"/>
      <c r="AY1031" s="787"/>
      <c r="AZ1031" s="780"/>
      <c r="BA1031" s="780"/>
      <c r="BB1031" s="780"/>
      <c r="BC1031" s="780"/>
      <c r="BD1031" s="541"/>
      <c r="BE1031" s="541"/>
      <c r="BF1031" s="541"/>
      <c r="BG1031" s="541"/>
      <c r="BH1031" s="780"/>
      <c r="BI1031" s="780"/>
      <c r="BJ1031" s="780"/>
      <c r="BK1031" s="780"/>
      <c r="BL1031" s="780"/>
      <c r="BM1031" s="780"/>
    </row>
    <row r="1032" ht="12.75" customHeight="1">
      <c r="A1032" s="521"/>
      <c r="B1032" s="521"/>
      <c r="C1032" s="515"/>
      <c r="D1032" s="515"/>
      <c r="E1032" s="515"/>
      <c r="F1032" s="515"/>
      <c r="G1032" s="515"/>
      <c r="H1032" s="515"/>
      <c r="I1032" s="515"/>
      <c r="J1032" s="515"/>
      <c r="K1032" s="515"/>
      <c r="L1032" s="515"/>
      <c r="M1032" s="515"/>
      <c r="N1032" s="515"/>
      <c r="O1032" s="533"/>
      <c r="P1032" s="786"/>
      <c r="Q1032" s="787"/>
      <c r="R1032" s="787"/>
      <c r="S1032" s="787"/>
      <c r="T1032" s="786"/>
      <c r="U1032" s="787"/>
      <c r="V1032" s="787"/>
      <c r="W1032" s="787"/>
      <c r="X1032" s="786"/>
      <c r="Y1032" s="787"/>
      <c r="Z1032" s="787"/>
      <c r="AA1032" s="787"/>
      <c r="AB1032" s="786"/>
      <c r="AC1032" s="787"/>
      <c r="AD1032" s="787"/>
      <c r="AE1032" s="787"/>
      <c r="AF1032" s="786"/>
      <c r="AG1032" s="787"/>
      <c r="AH1032" s="787"/>
      <c r="AI1032" s="787"/>
      <c r="AJ1032" s="786"/>
      <c r="AK1032" s="787"/>
      <c r="AL1032" s="787"/>
      <c r="AM1032" s="787"/>
      <c r="AN1032" s="786"/>
      <c r="AO1032" s="787"/>
      <c r="AP1032" s="787"/>
      <c r="AQ1032" s="787"/>
      <c r="AR1032" s="786"/>
      <c r="AS1032" s="787"/>
      <c r="AT1032" s="787"/>
      <c r="AU1032" s="787"/>
      <c r="AV1032" s="786"/>
      <c r="AW1032" s="787"/>
      <c r="AX1032" s="787"/>
      <c r="AY1032" s="787"/>
      <c r="AZ1032" s="780"/>
      <c r="BA1032" s="780"/>
      <c r="BB1032" s="780"/>
      <c r="BC1032" s="780"/>
      <c r="BD1032" s="541"/>
      <c r="BE1032" s="541"/>
      <c r="BF1032" s="541"/>
      <c r="BG1032" s="541"/>
      <c r="BH1032" s="780"/>
      <c r="BI1032" s="780"/>
      <c r="BJ1032" s="780"/>
      <c r="BK1032" s="780"/>
      <c r="BL1032" s="780"/>
      <c r="BM1032" s="780"/>
    </row>
    <row r="1033" ht="12.75" customHeight="1">
      <c r="A1033" s="521"/>
      <c r="B1033" s="521"/>
      <c r="C1033" s="515"/>
      <c r="D1033" s="515"/>
      <c r="E1033" s="515"/>
      <c r="F1033" s="515"/>
      <c r="G1033" s="515"/>
      <c r="H1033" s="515"/>
      <c r="I1033" s="515"/>
      <c r="J1033" s="515"/>
      <c r="K1033" s="515"/>
      <c r="L1033" s="515"/>
      <c r="M1033" s="515"/>
      <c r="N1033" s="515"/>
      <c r="O1033" s="533"/>
      <c r="P1033" s="786"/>
      <c r="Q1033" s="787"/>
      <c r="R1033" s="787"/>
      <c r="S1033" s="787"/>
      <c r="T1033" s="786"/>
      <c r="U1033" s="787"/>
      <c r="V1033" s="787"/>
      <c r="W1033" s="787"/>
      <c r="X1033" s="786"/>
      <c r="Y1033" s="787"/>
      <c r="Z1033" s="787"/>
      <c r="AA1033" s="787"/>
      <c r="AB1033" s="786"/>
      <c r="AC1033" s="787"/>
      <c r="AD1033" s="787"/>
      <c r="AE1033" s="787"/>
      <c r="AF1033" s="786"/>
      <c r="AG1033" s="787"/>
      <c r="AH1033" s="787"/>
      <c r="AI1033" s="787"/>
      <c r="AJ1033" s="786"/>
      <c r="AK1033" s="787"/>
      <c r="AL1033" s="787"/>
      <c r="AM1033" s="787"/>
      <c r="AN1033" s="786"/>
      <c r="AO1033" s="787"/>
      <c r="AP1033" s="787"/>
      <c r="AQ1033" s="787"/>
      <c r="AR1033" s="786"/>
      <c r="AS1033" s="787"/>
      <c r="AT1033" s="787"/>
      <c r="AU1033" s="787"/>
      <c r="AV1033" s="786"/>
      <c r="AW1033" s="787"/>
      <c r="AX1033" s="787"/>
      <c r="AY1033" s="787"/>
      <c r="AZ1033" s="780"/>
      <c r="BA1033" s="780"/>
      <c r="BB1033" s="780"/>
      <c r="BC1033" s="780"/>
      <c r="BD1033" s="541"/>
      <c r="BE1033" s="541"/>
      <c r="BF1033" s="541"/>
      <c r="BG1033" s="541"/>
      <c r="BH1033" s="780"/>
      <c r="BI1033" s="780"/>
      <c r="BJ1033" s="780"/>
      <c r="BK1033" s="780"/>
      <c r="BL1033" s="780"/>
      <c r="BM1033" s="780"/>
    </row>
    <row r="1034" ht="12.75" customHeight="1">
      <c r="A1034" s="521"/>
      <c r="B1034" s="521"/>
      <c r="C1034" s="515"/>
      <c r="D1034" s="515"/>
      <c r="E1034" s="515"/>
      <c r="F1034" s="515"/>
      <c r="G1034" s="515"/>
      <c r="H1034" s="515"/>
      <c r="I1034" s="515"/>
      <c r="J1034" s="515"/>
      <c r="K1034" s="515"/>
      <c r="L1034" s="515"/>
      <c r="M1034" s="515"/>
      <c r="N1034" s="515"/>
      <c r="O1034" s="533"/>
      <c r="P1034" s="786"/>
      <c r="Q1034" s="787"/>
      <c r="R1034" s="787"/>
      <c r="S1034" s="787"/>
      <c r="T1034" s="786"/>
      <c r="U1034" s="787"/>
      <c r="V1034" s="787"/>
      <c r="W1034" s="787"/>
      <c r="X1034" s="786"/>
      <c r="Y1034" s="787"/>
      <c r="Z1034" s="787"/>
      <c r="AA1034" s="787"/>
      <c r="AB1034" s="786"/>
      <c r="AC1034" s="787"/>
      <c r="AD1034" s="787"/>
      <c r="AE1034" s="787"/>
      <c r="AF1034" s="786"/>
      <c r="AG1034" s="787"/>
      <c r="AH1034" s="787"/>
      <c r="AI1034" s="787"/>
      <c r="AJ1034" s="786"/>
      <c r="AK1034" s="787"/>
      <c r="AL1034" s="787"/>
      <c r="AM1034" s="787"/>
      <c r="AN1034" s="786"/>
      <c r="AO1034" s="787"/>
      <c r="AP1034" s="787"/>
      <c r="AQ1034" s="787"/>
      <c r="AR1034" s="786"/>
      <c r="AS1034" s="787"/>
      <c r="AT1034" s="787"/>
      <c r="AU1034" s="787"/>
      <c r="AV1034" s="786"/>
      <c r="AW1034" s="787"/>
      <c r="AX1034" s="787"/>
      <c r="AY1034" s="787"/>
      <c r="AZ1034" s="780"/>
      <c r="BA1034" s="780"/>
      <c r="BB1034" s="780"/>
      <c r="BC1034" s="780"/>
      <c r="BD1034" s="541"/>
      <c r="BE1034" s="541"/>
      <c r="BF1034" s="541"/>
      <c r="BG1034" s="541"/>
      <c r="BH1034" s="780"/>
      <c r="BI1034" s="780"/>
      <c r="BJ1034" s="780"/>
      <c r="BK1034" s="780"/>
      <c r="BL1034" s="780"/>
      <c r="BM1034" s="780"/>
    </row>
    <row r="1035" ht="12.75" customHeight="1">
      <c r="A1035" s="521"/>
      <c r="B1035" s="521"/>
      <c r="C1035" s="515"/>
      <c r="D1035" s="515"/>
      <c r="E1035" s="515"/>
      <c r="F1035" s="515"/>
      <c r="G1035" s="515"/>
      <c r="H1035" s="515"/>
      <c r="I1035" s="515"/>
      <c r="J1035" s="515"/>
      <c r="K1035" s="515"/>
      <c r="L1035" s="515"/>
      <c r="M1035" s="515"/>
      <c r="N1035" s="515"/>
      <c r="O1035" s="533"/>
      <c r="P1035" s="786"/>
      <c r="Q1035" s="787"/>
      <c r="R1035" s="787"/>
      <c r="S1035" s="787"/>
      <c r="T1035" s="786"/>
      <c r="U1035" s="787"/>
      <c r="V1035" s="787"/>
      <c r="W1035" s="787"/>
      <c r="X1035" s="786"/>
      <c r="Y1035" s="787"/>
      <c r="Z1035" s="787"/>
      <c r="AA1035" s="787"/>
      <c r="AB1035" s="786"/>
      <c r="AC1035" s="787"/>
      <c r="AD1035" s="787"/>
      <c r="AE1035" s="787"/>
      <c r="AF1035" s="786"/>
      <c r="AG1035" s="787"/>
      <c r="AH1035" s="787"/>
      <c r="AI1035" s="787"/>
      <c r="AJ1035" s="786"/>
      <c r="AK1035" s="787"/>
      <c r="AL1035" s="787"/>
      <c r="AM1035" s="787"/>
      <c r="AN1035" s="786"/>
      <c r="AO1035" s="787"/>
      <c r="AP1035" s="787"/>
      <c r="AQ1035" s="787"/>
      <c r="AR1035" s="786"/>
      <c r="AS1035" s="787"/>
      <c r="AT1035" s="787"/>
      <c r="AU1035" s="787"/>
      <c r="AV1035" s="786"/>
      <c r="AW1035" s="787"/>
      <c r="AX1035" s="787"/>
      <c r="AY1035" s="787"/>
      <c r="AZ1035" s="780"/>
      <c r="BA1035" s="780"/>
      <c r="BB1035" s="780"/>
      <c r="BC1035" s="780"/>
      <c r="BD1035" s="541"/>
      <c r="BE1035" s="541"/>
      <c r="BF1035" s="541"/>
      <c r="BG1035" s="541"/>
      <c r="BH1035" s="780"/>
      <c r="BI1035" s="780"/>
      <c r="BJ1035" s="780"/>
      <c r="BK1035" s="780"/>
      <c r="BL1035" s="780"/>
      <c r="BM1035" s="780"/>
    </row>
    <row r="1036" ht="12.75" customHeight="1">
      <c r="A1036" s="521"/>
      <c r="B1036" s="521"/>
      <c r="C1036" s="515"/>
      <c r="D1036" s="515"/>
      <c r="E1036" s="515"/>
      <c r="F1036" s="515"/>
      <c r="G1036" s="515"/>
      <c r="H1036" s="515"/>
      <c r="I1036" s="515"/>
      <c r="J1036" s="515"/>
      <c r="K1036" s="515"/>
      <c r="L1036" s="515"/>
      <c r="M1036" s="515"/>
      <c r="N1036" s="515"/>
      <c r="O1036" s="533"/>
      <c r="P1036" s="786"/>
      <c r="Q1036" s="787"/>
      <c r="R1036" s="787"/>
      <c r="S1036" s="787"/>
      <c r="T1036" s="786"/>
      <c r="U1036" s="787"/>
      <c r="V1036" s="787"/>
      <c r="W1036" s="787"/>
      <c r="X1036" s="786"/>
      <c r="Y1036" s="787"/>
      <c r="Z1036" s="787"/>
      <c r="AA1036" s="787"/>
      <c r="AB1036" s="786"/>
      <c r="AC1036" s="787"/>
      <c r="AD1036" s="787"/>
      <c r="AE1036" s="787"/>
      <c r="AF1036" s="786"/>
      <c r="AG1036" s="787"/>
      <c r="AH1036" s="787"/>
      <c r="AI1036" s="787"/>
      <c r="AJ1036" s="786"/>
      <c r="AK1036" s="787"/>
      <c r="AL1036" s="787"/>
      <c r="AM1036" s="787"/>
      <c r="AN1036" s="786"/>
      <c r="AO1036" s="787"/>
      <c r="AP1036" s="787"/>
      <c r="AQ1036" s="787"/>
      <c r="AR1036" s="786"/>
      <c r="AS1036" s="787"/>
      <c r="AT1036" s="787"/>
      <c r="AU1036" s="787"/>
      <c r="AV1036" s="786"/>
      <c r="AW1036" s="787"/>
      <c r="AX1036" s="787"/>
      <c r="AY1036" s="787"/>
      <c r="AZ1036" s="780"/>
      <c r="BA1036" s="780"/>
      <c r="BB1036" s="780"/>
      <c r="BC1036" s="780"/>
      <c r="BD1036" s="541"/>
      <c r="BE1036" s="541"/>
      <c r="BF1036" s="541"/>
      <c r="BG1036" s="541"/>
      <c r="BH1036" s="780"/>
      <c r="BI1036" s="780"/>
      <c r="BJ1036" s="780"/>
      <c r="BK1036" s="780"/>
      <c r="BL1036" s="780"/>
      <c r="BM1036" s="780"/>
    </row>
    <row r="1037" ht="12.75" customHeight="1">
      <c r="A1037" s="521"/>
      <c r="B1037" s="521"/>
      <c r="C1037" s="515"/>
      <c r="D1037" s="515"/>
      <c r="E1037" s="515"/>
      <c r="F1037" s="515"/>
      <c r="G1037" s="515"/>
      <c r="H1037" s="515"/>
      <c r="I1037" s="515"/>
      <c r="J1037" s="515"/>
      <c r="K1037" s="515"/>
      <c r="L1037" s="515"/>
      <c r="M1037" s="515"/>
      <c r="N1037" s="515"/>
      <c r="O1037" s="533"/>
      <c r="P1037" s="786"/>
      <c r="Q1037" s="787"/>
      <c r="R1037" s="787"/>
      <c r="S1037" s="787"/>
      <c r="T1037" s="786"/>
      <c r="U1037" s="787"/>
      <c r="V1037" s="787"/>
      <c r="W1037" s="787"/>
      <c r="X1037" s="786"/>
      <c r="Y1037" s="787"/>
      <c r="Z1037" s="787"/>
      <c r="AA1037" s="787"/>
      <c r="AB1037" s="786"/>
      <c r="AC1037" s="787"/>
      <c r="AD1037" s="787"/>
      <c r="AE1037" s="787"/>
      <c r="AF1037" s="786"/>
      <c r="AG1037" s="787"/>
      <c r="AH1037" s="787"/>
      <c r="AI1037" s="787"/>
      <c r="AJ1037" s="786"/>
      <c r="AK1037" s="787"/>
      <c r="AL1037" s="787"/>
      <c r="AM1037" s="787"/>
      <c r="AN1037" s="786"/>
      <c r="AO1037" s="787"/>
      <c r="AP1037" s="787"/>
      <c r="AQ1037" s="787"/>
      <c r="AR1037" s="786"/>
      <c r="AS1037" s="787"/>
      <c r="AT1037" s="787"/>
      <c r="AU1037" s="787"/>
      <c r="AV1037" s="786"/>
      <c r="AW1037" s="787"/>
      <c r="AX1037" s="787"/>
      <c r="AY1037" s="787"/>
      <c r="AZ1037" s="780"/>
      <c r="BA1037" s="780"/>
      <c r="BB1037" s="780"/>
      <c r="BC1037" s="780"/>
      <c r="BD1037" s="541"/>
      <c r="BE1037" s="541"/>
      <c r="BF1037" s="541"/>
      <c r="BG1037" s="541"/>
      <c r="BH1037" s="780"/>
      <c r="BI1037" s="780"/>
      <c r="BJ1037" s="780"/>
      <c r="BK1037" s="780"/>
      <c r="BL1037" s="780"/>
      <c r="BM1037" s="780"/>
    </row>
    <row r="1038" ht="12.75" customHeight="1">
      <c r="A1038" s="521"/>
      <c r="B1038" s="521"/>
      <c r="C1038" s="515"/>
      <c r="D1038" s="515"/>
      <c r="E1038" s="515"/>
      <c r="F1038" s="515"/>
      <c r="G1038" s="515"/>
      <c r="H1038" s="515"/>
      <c r="I1038" s="515"/>
      <c r="J1038" s="515"/>
      <c r="K1038" s="515"/>
      <c r="L1038" s="515"/>
      <c r="M1038" s="515"/>
      <c r="N1038" s="515"/>
      <c r="O1038" s="533"/>
      <c r="P1038" s="786"/>
      <c r="Q1038" s="787"/>
      <c r="R1038" s="787"/>
      <c r="S1038" s="787"/>
      <c r="T1038" s="786"/>
      <c r="U1038" s="787"/>
      <c r="V1038" s="787"/>
      <c r="W1038" s="787"/>
      <c r="X1038" s="786"/>
      <c r="Y1038" s="787"/>
      <c r="Z1038" s="787"/>
      <c r="AA1038" s="787"/>
      <c r="AB1038" s="786"/>
      <c r="AC1038" s="787"/>
      <c r="AD1038" s="787"/>
      <c r="AE1038" s="787"/>
      <c r="AF1038" s="786"/>
      <c r="AG1038" s="787"/>
      <c r="AH1038" s="787"/>
      <c r="AI1038" s="787"/>
      <c r="AJ1038" s="786"/>
      <c r="AK1038" s="787"/>
      <c r="AL1038" s="787"/>
      <c r="AM1038" s="787"/>
      <c r="AN1038" s="786"/>
      <c r="AO1038" s="787"/>
      <c r="AP1038" s="787"/>
      <c r="AQ1038" s="787"/>
      <c r="AR1038" s="786"/>
      <c r="AS1038" s="787"/>
      <c r="AT1038" s="787"/>
      <c r="AU1038" s="787"/>
      <c r="AV1038" s="786"/>
      <c r="AW1038" s="787"/>
      <c r="AX1038" s="787"/>
      <c r="AY1038" s="787"/>
      <c r="AZ1038" s="780"/>
      <c r="BA1038" s="780"/>
      <c r="BB1038" s="780"/>
      <c r="BC1038" s="780"/>
      <c r="BD1038" s="541"/>
      <c r="BE1038" s="541"/>
      <c r="BF1038" s="541"/>
      <c r="BG1038" s="541"/>
      <c r="BH1038" s="780"/>
      <c r="BI1038" s="780"/>
      <c r="BJ1038" s="780"/>
      <c r="BK1038" s="780"/>
      <c r="BL1038" s="780"/>
      <c r="BM1038" s="780"/>
    </row>
    <row r="1039" ht="12.75" customHeight="1">
      <c r="A1039" s="521"/>
      <c r="B1039" s="521"/>
      <c r="C1039" s="515"/>
      <c r="D1039" s="515"/>
      <c r="E1039" s="515"/>
      <c r="F1039" s="515"/>
      <c r="G1039" s="515"/>
      <c r="H1039" s="515"/>
      <c r="I1039" s="515"/>
      <c r="J1039" s="515"/>
      <c r="K1039" s="515"/>
      <c r="L1039" s="515"/>
      <c r="M1039" s="515"/>
      <c r="N1039" s="515"/>
      <c r="O1039" s="533"/>
      <c r="P1039" s="786"/>
      <c r="Q1039" s="787"/>
      <c r="R1039" s="787"/>
      <c r="S1039" s="787"/>
      <c r="T1039" s="786"/>
      <c r="U1039" s="787"/>
      <c r="V1039" s="787"/>
      <c r="W1039" s="787"/>
      <c r="X1039" s="786"/>
      <c r="Y1039" s="787"/>
      <c r="Z1039" s="787"/>
      <c r="AA1039" s="787"/>
      <c r="AB1039" s="786"/>
      <c r="AC1039" s="787"/>
      <c r="AD1039" s="787"/>
      <c r="AE1039" s="787"/>
      <c r="AF1039" s="786"/>
      <c r="AG1039" s="787"/>
      <c r="AH1039" s="787"/>
      <c r="AI1039" s="787"/>
      <c r="AJ1039" s="786"/>
      <c r="AK1039" s="787"/>
      <c r="AL1039" s="787"/>
      <c r="AM1039" s="787"/>
      <c r="AN1039" s="786"/>
      <c r="AO1039" s="787"/>
      <c r="AP1039" s="787"/>
      <c r="AQ1039" s="787"/>
      <c r="AR1039" s="786"/>
      <c r="AS1039" s="787"/>
      <c r="AT1039" s="787"/>
      <c r="AU1039" s="787"/>
      <c r="AV1039" s="786"/>
      <c r="AW1039" s="787"/>
      <c r="AX1039" s="787"/>
      <c r="AY1039" s="787"/>
      <c r="AZ1039" s="780"/>
      <c r="BA1039" s="780"/>
      <c r="BB1039" s="780"/>
      <c r="BC1039" s="780"/>
      <c r="BD1039" s="541"/>
      <c r="BE1039" s="541"/>
      <c r="BF1039" s="541"/>
      <c r="BG1039" s="541"/>
      <c r="BH1039" s="780"/>
      <c r="BI1039" s="780"/>
      <c r="BJ1039" s="780"/>
      <c r="BK1039" s="780"/>
      <c r="BL1039" s="780"/>
      <c r="BM1039" s="780"/>
    </row>
    <row r="1040" ht="12.75" customHeight="1">
      <c r="A1040" s="521"/>
      <c r="B1040" s="521"/>
      <c r="C1040" s="515"/>
      <c r="D1040" s="515"/>
      <c r="E1040" s="515"/>
      <c r="F1040" s="515"/>
      <c r="G1040" s="515"/>
      <c r="H1040" s="515"/>
      <c r="I1040" s="515"/>
      <c r="J1040" s="515"/>
      <c r="K1040" s="515"/>
      <c r="L1040" s="515"/>
      <c r="M1040" s="515"/>
      <c r="N1040" s="515"/>
      <c r="O1040" s="533"/>
      <c r="P1040" s="786"/>
      <c r="Q1040" s="787"/>
      <c r="R1040" s="787"/>
      <c r="S1040" s="787"/>
      <c r="T1040" s="786"/>
      <c r="U1040" s="787"/>
      <c r="V1040" s="787"/>
      <c r="W1040" s="787"/>
      <c r="X1040" s="786"/>
      <c r="Y1040" s="787"/>
      <c r="Z1040" s="787"/>
      <c r="AA1040" s="787"/>
      <c r="AB1040" s="786"/>
      <c r="AC1040" s="787"/>
      <c r="AD1040" s="787"/>
      <c r="AE1040" s="787"/>
      <c r="AF1040" s="786"/>
      <c r="AG1040" s="787"/>
      <c r="AH1040" s="787"/>
      <c r="AI1040" s="787"/>
      <c r="AJ1040" s="786"/>
      <c r="AK1040" s="787"/>
      <c r="AL1040" s="787"/>
      <c r="AM1040" s="787"/>
      <c r="AN1040" s="786"/>
      <c r="AO1040" s="787"/>
      <c r="AP1040" s="787"/>
      <c r="AQ1040" s="787"/>
      <c r="AR1040" s="786"/>
      <c r="AS1040" s="787"/>
      <c r="AT1040" s="787"/>
      <c r="AU1040" s="787"/>
      <c r="AV1040" s="786"/>
      <c r="AW1040" s="787"/>
      <c r="AX1040" s="787"/>
      <c r="AY1040" s="787"/>
      <c r="AZ1040" s="780"/>
      <c r="BA1040" s="780"/>
      <c r="BB1040" s="780"/>
      <c r="BC1040" s="780"/>
      <c r="BD1040" s="541"/>
      <c r="BE1040" s="541"/>
      <c r="BF1040" s="541"/>
      <c r="BG1040" s="541"/>
      <c r="BH1040" s="780"/>
      <c r="BI1040" s="780"/>
      <c r="BJ1040" s="780"/>
      <c r="BK1040" s="780"/>
      <c r="BL1040" s="780"/>
      <c r="BM1040" s="780"/>
    </row>
    <row r="1041" ht="12.75" customHeight="1">
      <c r="A1041" s="521"/>
      <c r="B1041" s="521"/>
      <c r="C1041" s="515"/>
      <c r="D1041" s="515"/>
      <c r="E1041" s="515"/>
      <c r="F1041" s="515"/>
      <c r="G1041" s="515"/>
      <c r="H1041" s="515"/>
      <c r="I1041" s="515"/>
      <c r="J1041" s="515"/>
      <c r="K1041" s="515"/>
      <c r="L1041" s="515"/>
      <c r="M1041" s="515"/>
      <c r="N1041" s="515"/>
      <c r="O1041" s="533"/>
      <c r="P1041" s="786"/>
      <c r="Q1041" s="787"/>
      <c r="R1041" s="787"/>
      <c r="S1041" s="787"/>
      <c r="T1041" s="786"/>
      <c r="U1041" s="787"/>
      <c r="V1041" s="787"/>
      <c r="W1041" s="787"/>
      <c r="X1041" s="786"/>
      <c r="Y1041" s="787"/>
      <c r="Z1041" s="787"/>
      <c r="AA1041" s="787"/>
      <c r="AB1041" s="786"/>
      <c r="AC1041" s="787"/>
      <c r="AD1041" s="787"/>
      <c r="AE1041" s="787"/>
      <c r="AF1041" s="786"/>
      <c r="AG1041" s="787"/>
      <c r="AH1041" s="787"/>
      <c r="AI1041" s="787"/>
      <c r="AJ1041" s="786"/>
      <c r="AK1041" s="787"/>
      <c r="AL1041" s="787"/>
      <c r="AM1041" s="787"/>
      <c r="AN1041" s="786"/>
      <c r="AO1041" s="787"/>
      <c r="AP1041" s="787"/>
      <c r="AQ1041" s="787"/>
      <c r="AR1041" s="786"/>
      <c r="AS1041" s="787"/>
      <c r="AT1041" s="787"/>
      <c r="AU1041" s="787"/>
      <c r="AV1041" s="786"/>
      <c r="AW1041" s="787"/>
      <c r="AX1041" s="787"/>
      <c r="AY1041" s="787"/>
      <c r="AZ1041" s="780"/>
      <c r="BA1041" s="780"/>
      <c r="BB1041" s="780"/>
      <c r="BC1041" s="780"/>
      <c r="BD1041" s="541"/>
      <c r="BE1041" s="541"/>
      <c r="BF1041" s="541"/>
      <c r="BG1041" s="541"/>
      <c r="BH1041" s="780"/>
      <c r="BI1041" s="780"/>
      <c r="BJ1041" s="780"/>
      <c r="BK1041" s="780"/>
      <c r="BL1041" s="780"/>
      <c r="BM1041" s="780"/>
    </row>
    <row r="1042" ht="12.75" customHeight="1">
      <c r="A1042" s="521"/>
      <c r="B1042" s="521"/>
      <c r="C1042" s="515"/>
      <c r="D1042" s="515"/>
      <c r="E1042" s="515"/>
      <c r="F1042" s="515"/>
      <c r="G1042" s="515"/>
      <c r="H1042" s="515"/>
      <c r="I1042" s="515"/>
      <c r="J1042" s="515"/>
      <c r="K1042" s="515"/>
      <c r="L1042" s="515"/>
      <c r="M1042" s="515"/>
      <c r="N1042" s="515"/>
      <c r="O1042" s="533"/>
      <c r="P1042" s="786"/>
      <c r="Q1042" s="787"/>
      <c r="R1042" s="787"/>
      <c r="S1042" s="787"/>
      <c r="T1042" s="786"/>
      <c r="U1042" s="787"/>
      <c r="V1042" s="787"/>
      <c r="W1042" s="787"/>
      <c r="X1042" s="786"/>
      <c r="Y1042" s="787"/>
      <c r="Z1042" s="787"/>
      <c r="AA1042" s="787"/>
      <c r="AB1042" s="786"/>
      <c r="AC1042" s="787"/>
      <c r="AD1042" s="787"/>
      <c r="AE1042" s="787"/>
      <c r="AF1042" s="786"/>
      <c r="AG1042" s="787"/>
      <c r="AH1042" s="787"/>
      <c r="AI1042" s="787"/>
      <c r="AJ1042" s="786"/>
      <c r="AK1042" s="787"/>
      <c r="AL1042" s="787"/>
      <c r="AM1042" s="787"/>
      <c r="AN1042" s="786"/>
      <c r="AO1042" s="787"/>
      <c r="AP1042" s="787"/>
      <c r="AQ1042" s="787"/>
      <c r="AR1042" s="786"/>
      <c r="AS1042" s="787"/>
      <c r="AT1042" s="787"/>
      <c r="AU1042" s="787"/>
      <c r="AV1042" s="786"/>
      <c r="AW1042" s="787"/>
      <c r="AX1042" s="787"/>
      <c r="AY1042" s="787"/>
      <c r="AZ1042" s="780"/>
      <c r="BA1042" s="780"/>
      <c r="BB1042" s="780"/>
      <c r="BC1042" s="780"/>
      <c r="BD1042" s="541"/>
      <c r="BE1042" s="541"/>
      <c r="BF1042" s="541"/>
      <c r="BG1042" s="541"/>
      <c r="BH1042" s="780"/>
      <c r="BI1042" s="780"/>
      <c r="BJ1042" s="780"/>
      <c r="BK1042" s="780"/>
      <c r="BL1042" s="780"/>
      <c r="BM1042" s="780"/>
    </row>
    <row r="1043" ht="12.75" customHeight="1">
      <c r="A1043" s="521"/>
      <c r="B1043" s="521"/>
      <c r="C1043" s="515"/>
      <c r="D1043" s="515"/>
      <c r="E1043" s="515"/>
      <c r="F1043" s="515"/>
      <c r="G1043" s="515"/>
      <c r="H1043" s="515"/>
      <c r="I1043" s="515"/>
      <c r="J1043" s="515"/>
      <c r="K1043" s="515"/>
      <c r="L1043" s="515"/>
      <c r="M1043" s="515"/>
      <c r="N1043" s="515"/>
      <c r="O1043" s="533"/>
      <c r="P1043" s="786"/>
      <c r="Q1043" s="787"/>
      <c r="R1043" s="787"/>
      <c r="S1043" s="787"/>
      <c r="T1043" s="786"/>
      <c r="U1043" s="787"/>
      <c r="V1043" s="787"/>
      <c r="W1043" s="787"/>
      <c r="X1043" s="786"/>
      <c r="Y1043" s="787"/>
      <c r="Z1043" s="787"/>
      <c r="AA1043" s="787"/>
      <c r="AB1043" s="786"/>
      <c r="AC1043" s="787"/>
      <c r="AD1043" s="787"/>
      <c r="AE1043" s="787"/>
      <c r="AF1043" s="786"/>
      <c r="AG1043" s="787"/>
      <c r="AH1043" s="787"/>
      <c r="AI1043" s="787"/>
      <c r="AJ1043" s="786"/>
      <c r="AK1043" s="787"/>
      <c r="AL1043" s="787"/>
      <c r="AM1043" s="787"/>
      <c r="AN1043" s="786"/>
      <c r="AO1043" s="787"/>
      <c r="AP1043" s="787"/>
      <c r="AQ1043" s="787"/>
      <c r="AR1043" s="786"/>
      <c r="AS1043" s="787"/>
      <c r="AT1043" s="787"/>
      <c r="AU1043" s="787"/>
      <c r="AV1043" s="786"/>
      <c r="AW1043" s="787"/>
      <c r="AX1043" s="787"/>
      <c r="AY1043" s="787"/>
      <c r="AZ1043" s="780"/>
      <c r="BA1043" s="780"/>
      <c r="BB1043" s="780"/>
      <c r="BC1043" s="780"/>
      <c r="BD1043" s="541"/>
      <c r="BE1043" s="541"/>
      <c r="BF1043" s="541"/>
      <c r="BG1043" s="541"/>
      <c r="BH1043" s="780"/>
      <c r="BI1043" s="780"/>
      <c r="BJ1043" s="780"/>
      <c r="BK1043" s="780"/>
      <c r="BL1043" s="780"/>
      <c r="BM1043" s="780"/>
    </row>
    <row r="1044" ht="12.75" customHeight="1">
      <c r="A1044" s="521"/>
      <c r="B1044" s="521"/>
      <c r="C1044" s="515"/>
      <c r="D1044" s="515"/>
      <c r="E1044" s="515"/>
      <c r="F1044" s="515"/>
      <c r="G1044" s="515"/>
      <c r="H1044" s="515"/>
      <c r="I1044" s="515"/>
      <c r="J1044" s="515"/>
      <c r="K1044" s="515"/>
      <c r="L1044" s="515"/>
      <c r="M1044" s="515"/>
      <c r="N1044" s="515"/>
      <c r="O1044" s="533"/>
      <c r="P1044" s="786"/>
      <c r="Q1044" s="787"/>
      <c r="R1044" s="787"/>
      <c r="S1044" s="787"/>
      <c r="T1044" s="786"/>
      <c r="U1044" s="787"/>
      <c r="V1044" s="787"/>
      <c r="W1044" s="787"/>
      <c r="X1044" s="786"/>
      <c r="Y1044" s="787"/>
      <c r="Z1044" s="787"/>
      <c r="AA1044" s="787"/>
      <c r="AB1044" s="786"/>
      <c r="AC1044" s="787"/>
      <c r="AD1044" s="787"/>
      <c r="AE1044" s="787"/>
      <c r="AF1044" s="786"/>
      <c r="AG1044" s="787"/>
      <c r="AH1044" s="787"/>
      <c r="AI1044" s="787"/>
      <c r="AJ1044" s="786"/>
      <c r="AK1044" s="787"/>
      <c r="AL1044" s="787"/>
      <c r="AM1044" s="787"/>
      <c r="AN1044" s="786"/>
      <c r="AO1044" s="787"/>
      <c r="AP1044" s="787"/>
      <c r="AQ1044" s="787"/>
      <c r="AR1044" s="786"/>
      <c r="AS1044" s="787"/>
      <c r="AT1044" s="787"/>
      <c r="AU1044" s="787"/>
      <c r="AV1044" s="786"/>
      <c r="AW1044" s="787"/>
      <c r="AX1044" s="787"/>
      <c r="AY1044" s="787"/>
      <c r="AZ1044" s="780"/>
      <c r="BA1044" s="780"/>
      <c r="BB1044" s="780"/>
      <c r="BC1044" s="780"/>
      <c r="BD1044" s="541"/>
      <c r="BE1044" s="541"/>
      <c r="BF1044" s="541"/>
      <c r="BG1044" s="541"/>
      <c r="BH1044" s="780"/>
      <c r="BI1044" s="780"/>
      <c r="BJ1044" s="780"/>
      <c r="BK1044" s="780"/>
      <c r="BL1044" s="780"/>
      <c r="BM1044" s="780"/>
    </row>
    <row r="1045" ht="12.75" customHeight="1">
      <c r="A1045" s="521"/>
      <c r="B1045" s="521"/>
      <c r="C1045" s="515"/>
      <c r="D1045" s="515"/>
      <c r="E1045" s="515"/>
      <c r="F1045" s="515"/>
      <c r="G1045" s="515"/>
      <c r="H1045" s="515"/>
      <c r="I1045" s="515"/>
      <c r="J1045" s="515"/>
      <c r="K1045" s="515"/>
      <c r="L1045" s="515"/>
      <c r="M1045" s="515"/>
      <c r="N1045" s="515"/>
      <c r="O1045" s="533"/>
      <c r="P1045" s="786"/>
      <c r="Q1045" s="787"/>
      <c r="R1045" s="787"/>
      <c r="S1045" s="787"/>
      <c r="T1045" s="786"/>
      <c r="U1045" s="787"/>
      <c r="V1045" s="787"/>
      <c r="W1045" s="787"/>
      <c r="X1045" s="786"/>
      <c r="Y1045" s="787"/>
      <c r="Z1045" s="787"/>
      <c r="AA1045" s="787"/>
      <c r="AB1045" s="786"/>
      <c r="AC1045" s="787"/>
      <c r="AD1045" s="787"/>
      <c r="AE1045" s="787"/>
      <c r="AF1045" s="786"/>
      <c r="AG1045" s="787"/>
      <c r="AH1045" s="787"/>
      <c r="AI1045" s="787"/>
      <c r="AJ1045" s="786"/>
      <c r="AK1045" s="787"/>
      <c r="AL1045" s="787"/>
      <c r="AM1045" s="787"/>
      <c r="AN1045" s="786"/>
      <c r="AO1045" s="787"/>
      <c r="AP1045" s="787"/>
      <c r="AQ1045" s="787"/>
      <c r="AR1045" s="786"/>
      <c r="AS1045" s="787"/>
      <c r="AT1045" s="787"/>
      <c r="AU1045" s="787"/>
      <c r="AV1045" s="786"/>
      <c r="AW1045" s="787"/>
      <c r="AX1045" s="787"/>
      <c r="AY1045" s="787"/>
      <c r="AZ1045" s="780"/>
      <c r="BA1045" s="780"/>
      <c r="BB1045" s="780"/>
      <c r="BC1045" s="780"/>
      <c r="BD1045" s="541"/>
      <c r="BE1045" s="541"/>
      <c r="BF1045" s="541"/>
      <c r="BG1045" s="541"/>
      <c r="BH1045" s="780"/>
      <c r="BI1045" s="780"/>
      <c r="BJ1045" s="780"/>
      <c r="BK1045" s="780"/>
      <c r="BL1045" s="780"/>
      <c r="BM1045" s="780"/>
    </row>
    <row r="1046" ht="12.75" customHeight="1">
      <c r="A1046" s="521"/>
      <c r="B1046" s="521"/>
      <c r="C1046" s="515"/>
      <c r="D1046" s="515"/>
      <c r="E1046" s="515"/>
      <c r="F1046" s="515"/>
      <c r="G1046" s="515"/>
      <c r="H1046" s="515"/>
      <c r="I1046" s="515"/>
      <c r="J1046" s="515"/>
      <c r="K1046" s="515"/>
      <c r="L1046" s="515"/>
      <c r="M1046" s="515"/>
      <c r="N1046" s="515"/>
      <c r="O1046" s="533"/>
      <c r="P1046" s="786"/>
      <c r="Q1046" s="787"/>
      <c r="R1046" s="787"/>
      <c r="S1046" s="787"/>
      <c r="T1046" s="786"/>
      <c r="U1046" s="787"/>
      <c r="V1046" s="787"/>
      <c r="W1046" s="787"/>
      <c r="X1046" s="786"/>
      <c r="Y1046" s="787"/>
      <c r="Z1046" s="787"/>
      <c r="AA1046" s="787"/>
      <c r="AB1046" s="786"/>
      <c r="AC1046" s="787"/>
      <c r="AD1046" s="787"/>
      <c r="AE1046" s="787"/>
      <c r="AF1046" s="786"/>
      <c r="AG1046" s="787"/>
      <c r="AH1046" s="787"/>
      <c r="AI1046" s="787"/>
      <c r="AJ1046" s="786"/>
      <c r="AK1046" s="787"/>
      <c r="AL1046" s="787"/>
      <c r="AM1046" s="787"/>
      <c r="AN1046" s="786"/>
      <c r="AO1046" s="787"/>
      <c r="AP1046" s="787"/>
      <c r="AQ1046" s="787"/>
      <c r="AR1046" s="786"/>
      <c r="AS1046" s="787"/>
      <c r="AT1046" s="787"/>
      <c r="AU1046" s="787"/>
      <c r="AV1046" s="786"/>
      <c r="AW1046" s="787"/>
      <c r="AX1046" s="787"/>
      <c r="AY1046" s="787"/>
      <c r="AZ1046" s="780"/>
      <c r="BA1046" s="780"/>
      <c r="BB1046" s="780"/>
      <c r="BC1046" s="780"/>
      <c r="BD1046" s="541"/>
      <c r="BE1046" s="541"/>
      <c r="BF1046" s="541"/>
      <c r="BG1046" s="541"/>
      <c r="BH1046" s="780"/>
      <c r="BI1046" s="780"/>
      <c r="BJ1046" s="780"/>
      <c r="BK1046" s="780"/>
      <c r="BL1046" s="780"/>
      <c r="BM1046" s="780"/>
    </row>
    <row r="1047" ht="12.75" customHeight="1">
      <c r="A1047" s="521"/>
      <c r="B1047" s="521"/>
      <c r="C1047" s="515"/>
      <c r="D1047" s="515"/>
      <c r="E1047" s="515"/>
      <c r="F1047" s="515"/>
      <c r="G1047" s="515"/>
      <c r="H1047" s="515"/>
      <c r="I1047" s="515"/>
      <c r="J1047" s="515"/>
      <c r="K1047" s="515"/>
      <c r="L1047" s="515"/>
      <c r="M1047" s="515"/>
      <c r="N1047" s="515"/>
      <c r="O1047" s="533"/>
      <c r="P1047" s="786"/>
      <c r="Q1047" s="787"/>
      <c r="R1047" s="787"/>
      <c r="S1047" s="787"/>
      <c r="T1047" s="786"/>
      <c r="U1047" s="787"/>
      <c r="V1047" s="787"/>
      <c r="W1047" s="787"/>
      <c r="X1047" s="786"/>
      <c r="Y1047" s="787"/>
      <c r="Z1047" s="787"/>
      <c r="AA1047" s="787"/>
      <c r="AB1047" s="786"/>
      <c r="AC1047" s="787"/>
      <c r="AD1047" s="787"/>
      <c r="AE1047" s="787"/>
      <c r="AF1047" s="786"/>
      <c r="AG1047" s="787"/>
      <c r="AH1047" s="787"/>
      <c r="AI1047" s="787"/>
      <c r="AJ1047" s="786"/>
      <c r="AK1047" s="787"/>
      <c r="AL1047" s="787"/>
      <c r="AM1047" s="787"/>
      <c r="AN1047" s="786"/>
      <c r="AO1047" s="787"/>
      <c r="AP1047" s="787"/>
      <c r="AQ1047" s="787"/>
      <c r="AR1047" s="786"/>
      <c r="AS1047" s="787"/>
      <c r="AT1047" s="787"/>
      <c r="AU1047" s="787"/>
      <c r="AV1047" s="786"/>
      <c r="AW1047" s="787"/>
      <c r="AX1047" s="787"/>
      <c r="AY1047" s="787"/>
      <c r="AZ1047" s="780"/>
      <c r="BA1047" s="780"/>
      <c r="BB1047" s="780"/>
      <c r="BC1047" s="780"/>
      <c r="BD1047" s="541"/>
      <c r="BE1047" s="541"/>
      <c r="BF1047" s="541"/>
      <c r="BG1047" s="541"/>
      <c r="BH1047" s="780"/>
      <c r="BI1047" s="780"/>
      <c r="BJ1047" s="780"/>
      <c r="BK1047" s="780"/>
      <c r="BL1047" s="780"/>
      <c r="BM1047" s="780"/>
    </row>
    <row r="1048" ht="12.75" customHeight="1">
      <c r="A1048" s="521"/>
      <c r="B1048" s="521"/>
      <c r="C1048" s="515"/>
      <c r="D1048" s="515"/>
      <c r="E1048" s="515"/>
      <c r="F1048" s="515"/>
      <c r="G1048" s="515"/>
      <c r="H1048" s="515"/>
      <c r="I1048" s="515"/>
      <c r="J1048" s="515"/>
      <c r="K1048" s="515"/>
      <c r="L1048" s="515"/>
      <c r="M1048" s="515"/>
      <c r="N1048" s="515"/>
      <c r="O1048" s="533"/>
      <c r="P1048" s="786"/>
      <c r="Q1048" s="787"/>
      <c r="R1048" s="787"/>
      <c r="S1048" s="787"/>
      <c r="T1048" s="786"/>
      <c r="U1048" s="787"/>
      <c r="V1048" s="787"/>
      <c r="W1048" s="787"/>
      <c r="X1048" s="786"/>
      <c r="Y1048" s="787"/>
      <c r="Z1048" s="787"/>
      <c r="AA1048" s="787"/>
      <c r="AB1048" s="786"/>
      <c r="AC1048" s="787"/>
      <c r="AD1048" s="787"/>
      <c r="AE1048" s="787"/>
      <c r="AF1048" s="786"/>
      <c r="AG1048" s="787"/>
      <c r="AH1048" s="787"/>
      <c r="AI1048" s="787"/>
      <c r="AJ1048" s="786"/>
      <c r="AK1048" s="787"/>
      <c r="AL1048" s="787"/>
      <c r="AM1048" s="787"/>
      <c r="AN1048" s="786"/>
      <c r="AO1048" s="787"/>
      <c r="AP1048" s="787"/>
      <c r="AQ1048" s="787"/>
      <c r="AR1048" s="786"/>
      <c r="AS1048" s="787"/>
      <c r="AT1048" s="787"/>
      <c r="AU1048" s="787"/>
      <c r="AV1048" s="786"/>
      <c r="AW1048" s="787"/>
      <c r="AX1048" s="787"/>
      <c r="AY1048" s="787"/>
      <c r="AZ1048" s="780"/>
      <c r="BA1048" s="780"/>
      <c r="BB1048" s="780"/>
      <c r="BC1048" s="780"/>
      <c r="BD1048" s="541"/>
      <c r="BE1048" s="541"/>
      <c r="BF1048" s="541"/>
      <c r="BG1048" s="541"/>
      <c r="BH1048" s="780"/>
      <c r="BI1048" s="780"/>
      <c r="BJ1048" s="780"/>
      <c r="BK1048" s="780"/>
      <c r="BL1048" s="780"/>
      <c r="BM1048" s="780"/>
    </row>
    <row r="1049" ht="12.75" customHeight="1">
      <c r="A1049" s="521"/>
      <c r="B1049" s="521"/>
      <c r="C1049" s="515"/>
      <c r="D1049" s="515"/>
      <c r="E1049" s="515"/>
      <c r="F1049" s="515"/>
      <c r="G1049" s="515"/>
      <c r="H1049" s="515"/>
      <c r="I1049" s="515"/>
      <c r="J1049" s="515"/>
      <c r="K1049" s="515"/>
      <c r="L1049" s="515"/>
      <c r="M1049" s="515"/>
      <c r="N1049" s="515"/>
      <c r="O1049" s="533"/>
      <c r="P1049" s="786"/>
      <c r="Q1049" s="787"/>
      <c r="R1049" s="787"/>
      <c r="S1049" s="787"/>
      <c r="T1049" s="786"/>
      <c r="U1049" s="787"/>
      <c r="V1049" s="787"/>
      <c r="W1049" s="787"/>
      <c r="X1049" s="786"/>
      <c r="Y1049" s="787"/>
      <c r="Z1049" s="787"/>
      <c r="AA1049" s="787"/>
      <c r="AB1049" s="786"/>
      <c r="AC1049" s="787"/>
      <c r="AD1049" s="787"/>
      <c r="AE1049" s="787"/>
      <c r="AF1049" s="786"/>
      <c r="AG1049" s="787"/>
      <c r="AH1049" s="787"/>
      <c r="AI1049" s="787"/>
      <c r="AJ1049" s="786"/>
      <c r="AK1049" s="787"/>
      <c r="AL1049" s="787"/>
      <c r="AM1049" s="787"/>
      <c r="AN1049" s="786"/>
      <c r="AO1049" s="787"/>
      <c r="AP1049" s="787"/>
      <c r="AQ1049" s="787"/>
      <c r="AR1049" s="786"/>
      <c r="AS1049" s="787"/>
      <c r="AT1049" s="787"/>
      <c r="AU1049" s="787"/>
      <c r="AV1049" s="786"/>
      <c r="AW1049" s="787"/>
      <c r="AX1049" s="787"/>
      <c r="AY1049" s="787"/>
      <c r="AZ1049" s="780"/>
      <c r="BA1049" s="780"/>
      <c r="BB1049" s="780"/>
      <c r="BC1049" s="780"/>
      <c r="BD1049" s="541"/>
      <c r="BE1049" s="541"/>
      <c r="BF1049" s="541"/>
      <c r="BG1049" s="541"/>
      <c r="BH1049" s="780"/>
      <c r="BI1049" s="780"/>
      <c r="BJ1049" s="780"/>
      <c r="BK1049" s="780"/>
      <c r="BL1049" s="780"/>
      <c r="BM1049" s="780"/>
    </row>
    <row r="1050" ht="12.75" customHeight="1">
      <c r="A1050" s="521"/>
      <c r="B1050" s="521"/>
      <c r="C1050" s="515"/>
      <c r="D1050" s="515"/>
      <c r="E1050" s="515"/>
      <c r="F1050" s="515"/>
      <c r="G1050" s="515"/>
      <c r="H1050" s="515"/>
      <c r="I1050" s="515"/>
      <c r="J1050" s="515"/>
      <c r="K1050" s="515"/>
      <c r="L1050" s="515"/>
      <c r="M1050" s="515"/>
      <c r="N1050" s="515"/>
      <c r="O1050" s="533"/>
      <c r="P1050" s="786"/>
      <c r="Q1050" s="787"/>
      <c r="R1050" s="787"/>
      <c r="S1050" s="787"/>
      <c r="T1050" s="786"/>
      <c r="U1050" s="787"/>
      <c r="V1050" s="787"/>
      <c r="W1050" s="787"/>
      <c r="X1050" s="786"/>
      <c r="Y1050" s="787"/>
      <c r="Z1050" s="787"/>
      <c r="AA1050" s="787"/>
      <c r="AB1050" s="786"/>
      <c r="AC1050" s="787"/>
      <c r="AD1050" s="787"/>
      <c r="AE1050" s="787"/>
      <c r="AF1050" s="786"/>
      <c r="AG1050" s="787"/>
      <c r="AH1050" s="787"/>
      <c r="AI1050" s="787"/>
      <c r="AJ1050" s="786"/>
      <c r="AK1050" s="787"/>
      <c r="AL1050" s="787"/>
      <c r="AM1050" s="787"/>
      <c r="AN1050" s="786"/>
      <c r="AO1050" s="787"/>
      <c r="AP1050" s="787"/>
      <c r="AQ1050" s="787"/>
      <c r="AR1050" s="786"/>
      <c r="AS1050" s="787"/>
      <c r="AT1050" s="787"/>
      <c r="AU1050" s="787"/>
      <c r="AV1050" s="786"/>
      <c r="AW1050" s="787"/>
      <c r="AX1050" s="787"/>
      <c r="AY1050" s="787"/>
      <c r="AZ1050" s="780"/>
      <c r="BA1050" s="780"/>
      <c r="BB1050" s="780"/>
      <c r="BC1050" s="780"/>
      <c r="BD1050" s="541"/>
      <c r="BE1050" s="541"/>
      <c r="BF1050" s="541"/>
      <c r="BG1050" s="541"/>
      <c r="BH1050" s="780"/>
      <c r="BI1050" s="780"/>
      <c r="BJ1050" s="780"/>
      <c r="BK1050" s="780"/>
      <c r="BL1050" s="780"/>
      <c r="BM1050" s="780"/>
    </row>
    <row r="1051" ht="12.75" customHeight="1">
      <c r="A1051" s="521"/>
      <c r="B1051" s="521"/>
      <c r="C1051" s="515"/>
      <c r="D1051" s="515"/>
      <c r="E1051" s="515"/>
      <c r="F1051" s="515"/>
      <c r="G1051" s="515"/>
      <c r="H1051" s="515"/>
      <c r="I1051" s="515"/>
      <c r="J1051" s="515"/>
      <c r="K1051" s="515"/>
      <c r="L1051" s="515"/>
      <c r="M1051" s="515"/>
      <c r="N1051" s="515"/>
      <c r="O1051" s="533"/>
      <c r="P1051" s="786"/>
      <c r="Q1051" s="787"/>
      <c r="R1051" s="787"/>
      <c r="S1051" s="787"/>
      <c r="T1051" s="786"/>
      <c r="U1051" s="787"/>
      <c r="V1051" s="787"/>
      <c r="W1051" s="787"/>
      <c r="X1051" s="786"/>
      <c r="Y1051" s="787"/>
      <c r="Z1051" s="787"/>
      <c r="AA1051" s="787"/>
      <c r="AB1051" s="786"/>
      <c r="AC1051" s="787"/>
      <c r="AD1051" s="787"/>
      <c r="AE1051" s="787"/>
      <c r="AF1051" s="786"/>
      <c r="AG1051" s="787"/>
      <c r="AH1051" s="787"/>
      <c r="AI1051" s="787"/>
      <c r="AJ1051" s="786"/>
      <c r="AK1051" s="787"/>
      <c r="AL1051" s="787"/>
      <c r="AM1051" s="787"/>
      <c r="AN1051" s="786"/>
      <c r="AO1051" s="787"/>
      <c r="AP1051" s="787"/>
      <c r="AQ1051" s="787"/>
      <c r="AR1051" s="786"/>
      <c r="AS1051" s="787"/>
      <c r="AT1051" s="787"/>
      <c r="AU1051" s="787"/>
      <c r="AV1051" s="786"/>
      <c r="AW1051" s="787"/>
      <c r="AX1051" s="787"/>
      <c r="AY1051" s="787"/>
      <c r="AZ1051" s="780"/>
      <c r="BA1051" s="780"/>
      <c r="BB1051" s="780"/>
      <c r="BC1051" s="780"/>
      <c r="BD1051" s="541"/>
      <c r="BE1051" s="541"/>
      <c r="BF1051" s="541"/>
      <c r="BG1051" s="541"/>
      <c r="BH1051" s="780"/>
      <c r="BI1051" s="780"/>
      <c r="BJ1051" s="780"/>
      <c r="BK1051" s="780"/>
      <c r="BL1051" s="780"/>
      <c r="BM1051" s="780"/>
    </row>
    <row r="1052" ht="12.75" customHeight="1">
      <c r="A1052" s="521"/>
      <c r="B1052" s="521"/>
      <c r="C1052" s="515"/>
      <c r="D1052" s="515"/>
      <c r="E1052" s="515"/>
      <c r="F1052" s="515"/>
      <c r="G1052" s="515"/>
      <c r="H1052" s="515"/>
      <c r="I1052" s="515"/>
      <c r="J1052" s="515"/>
      <c r="K1052" s="515"/>
      <c r="L1052" s="515"/>
      <c r="M1052" s="515"/>
      <c r="N1052" s="515"/>
      <c r="O1052" s="533"/>
      <c r="P1052" s="786"/>
      <c r="Q1052" s="787"/>
      <c r="R1052" s="787"/>
      <c r="S1052" s="787"/>
      <c r="T1052" s="786"/>
      <c r="U1052" s="787"/>
      <c r="V1052" s="787"/>
      <c r="W1052" s="787"/>
      <c r="X1052" s="786"/>
      <c r="Y1052" s="787"/>
      <c r="Z1052" s="787"/>
      <c r="AA1052" s="787"/>
      <c r="AB1052" s="786"/>
      <c r="AC1052" s="787"/>
      <c r="AD1052" s="787"/>
      <c r="AE1052" s="787"/>
      <c r="AF1052" s="786"/>
      <c r="AG1052" s="787"/>
      <c r="AH1052" s="787"/>
      <c r="AI1052" s="787"/>
      <c r="AJ1052" s="786"/>
      <c r="AK1052" s="787"/>
      <c r="AL1052" s="787"/>
      <c r="AM1052" s="787"/>
      <c r="AN1052" s="786"/>
      <c r="AO1052" s="787"/>
      <c r="AP1052" s="787"/>
      <c r="AQ1052" s="787"/>
      <c r="AR1052" s="786"/>
      <c r="AS1052" s="787"/>
      <c r="AT1052" s="787"/>
      <c r="AU1052" s="787"/>
      <c r="AV1052" s="786"/>
      <c r="AW1052" s="787"/>
      <c r="AX1052" s="787"/>
      <c r="AY1052" s="787"/>
      <c r="AZ1052" s="780"/>
      <c r="BA1052" s="780"/>
      <c r="BB1052" s="780"/>
      <c r="BC1052" s="780"/>
      <c r="BD1052" s="541"/>
      <c r="BE1052" s="541"/>
      <c r="BF1052" s="541"/>
      <c r="BG1052" s="541"/>
      <c r="BH1052" s="780"/>
      <c r="BI1052" s="780"/>
      <c r="BJ1052" s="780"/>
      <c r="BK1052" s="780"/>
      <c r="BL1052" s="780"/>
      <c r="BM1052" s="780"/>
    </row>
    <row r="1053" ht="12.75" customHeight="1">
      <c r="A1053" s="521"/>
      <c r="B1053" s="521"/>
      <c r="C1053" s="515"/>
      <c r="D1053" s="515"/>
      <c r="E1053" s="515"/>
      <c r="F1053" s="515"/>
      <c r="G1053" s="515"/>
      <c r="H1053" s="515"/>
      <c r="I1053" s="515"/>
      <c r="J1053" s="515"/>
      <c r="K1053" s="515"/>
      <c r="L1053" s="515"/>
      <c r="M1053" s="515"/>
      <c r="N1053" s="515"/>
      <c r="O1053" s="533"/>
      <c r="P1053" s="786"/>
      <c r="Q1053" s="787"/>
      <c r="R1053" s="787"/>
      <c r="S1053" s="787"/>
      <c r="T1053" s="786"/>
      <c r="U1053" s="787"/>
      <c r="V1053" s="787"/>
      <c r="W1053" s="787"/>
      <c r="X1053" s="786"/>
      <c r="Y1053" s="787"/>
      <c r="Z1053" s="787"/>
      <c r="AA1053" s="787"/>
      <c r="AB1053" s="786"/>
      <c r="AC1053" s="787"/>
      <c r="AD1053" s="787"/>
      <c r="AE1053" s="787"/>
      <c r="AF1053" s="786"/>
      <c r="AG1053" s="787"/>
      <c r="AH1053" s="787"/>
      <c r="AI1053" s="787"/>
      <c r="AJ1053" s="786"/>
      <c r="AK1053" s="787"/>
      <c r="AL1053" s="787"/>
      <c r="AM1053" s="787"/>
      <c r="AN1053" s="786"/>
      <c r="AO1053" s="787"/>
      <c r="AP1053" s="787"/>
      <c r="AQ1053" s="787"/>
      <c r="AR1053" s="786"/>
      <c r="AS1053" s="787"/>
      <c r="AT1053" s="787"/>
      <c r="AU1053" s="787"/>
      <c r="AV1053" s="786"/>
      <c r="AW1053" s="787"/>
      <c r="AX1053" s="787"/>
      <c r="AY1053" s="787"/>
      <c r="AZ1053" s="780"/>
      <c r="BA1053" s="780"/>
      <c r="BB1053" s="780"/>
      <c r="BC1053" s="780"/>
      <c r="BD1053" s="541"/>
      <c r="BE1053" s="541"/>
      <c r="BF1053" s="541"/>
      <c r="BG1053" s="541"/>
      <c r="BH1053" s="780"/>
      <c r="BI1053" s="780"/>
      <c r="BJ1053" s="780"/>
      <c r="BK1053" s="780"/>
      <c r="BL1053" s="780"/>
      <c r="BM1053" s="780"/>
    </row>
    <row r="1054" ht="12.75" customHeight="1">
      <c r="A1054" s="521"/>
      <c r="B1054" s="521"/>
      <c r="C1054" s="515"/>
      <c r="D1054" s="515"/>
      <c r="E1054" s="515"/>
      <c r="F1054" s="515"/>
      <c r="G1054" s="515"/>
      <c r="H1054" s="515"/>
      <c r="I1054" s="515"/>
      <c r="J1054" s="515"/>
      <c r="K1054" s="515"/>
      <c r="L1054" s="515"/>
      <c r="M1054" s="515"/>
      <c r="N1054" s="515"/>
      <c r="O1054" s="533"/>
      <c r="P1054" s="786"/>
      <c r="Q1054" s="787"/>
      <c r="R1054" s="787"/>
      <c r="S1054" s="787"/>
      <c r="T1054" s="786"/>
      <c r="U1054" s="787"/>
      <c r="V1054" s="787"/>
      <c r="W1054" s="787"/>
      <c r="X1054" s="786"/>
      <c r="Y1054" s="787"/>
      <c r="Z1054" s="787"/>
      <c r="AA1054" s="787"/>
      <c r="AB1054" s="786"/>
      <c r="AC1054" s="787"/>
      <c r="AD1054" s="787"/>
      <c r="AE1054" s="787"/>
      <c r="AF1054" s="786"/>
      <c r="AG1054" s="787"/>
      <c r="AH1054" s="787"/>
      <c r="AI1054" s="787"/>
      <c r="AJ1054" s="786"/>
      <c r="AK1054" s="787"/>
      <c r="AL1054" s="787"/>
      <c r="AM1054" s="787"/>
      <c r="AN1054" s="786"/>
      <c r="AO1054" s="787"/>
      <c r="AP1054" s="787"/>
      <c r="AQ1054" s="787"/>
      <c r="AR1054" s="786"/>
      <c r="AS1054" s="787"/>
      <c r="AT1054" s="787"/>
      <c r="AU1054" s="787"/>
      <c r="AV1054" s="786"/>
      <c r="AW1054" s="787"/>
      <c r="AX1054" s="787"/>
      <c r="AY1054" s="787"/>
      <c r="AZ1054" s="780"/>
      <c r="BA1054" s="780"/>
      <c r="BB1054" s="780"/>
      <c r="BC1054" s="780"/>
      <c r="BD1054" s="541"/>
      <c r="BE1054" s="541"/>
      <c r="BF1054" s="541"/>
      <c r="BG1054" s="541"/>
      <c r="BH1054" s="780"/>
      <c r="BI1054" s="780"/>
      <c r="BJ1054" s="780"/>
      <c r="BK1054" s="780"/>
      <c r="BL1054" s="780"/>
      <c r="BM1054" s="780"/>
    </row>
    <row r="1055" ht="12.75" customHeight="1">
      <c r="A1055" s="521"/>
      <c r="B1055" s="521"/>
      <c r="C1055" s="515"/>
      <c r="D1055" s="515"/>
      <c r="E1055" s="515"/>
      <c r="F1055" s="515"/>
      <c r="G1055" s="515"/>
      <c r="H1055" s="515"/>
      <c r="I1055" s="515"/>
      <c r="J1055" s="515"/>
      <c r="K1055" s="515"/>
      <c r="L1055" s="515"/>
      <c r="M1055" s="515"/>
      <c r="N1055" s="515"/>
      <c r="O1055" s="533"/>
      <c r="P1055" s="786"/>
      <c r="Q1055" s="787"/>
      <c r="R1055" s="787"/>
      <c r="S1055" s="787"/>
      <c r="T1055" s="786"/>
      <c r="U1055" s="787"/>
      <c r="V1055" s="787"/>
      <c r="W1055" s="787"/>
      <c r="X1055" s="786"/>
      <c r="Y1055" s="787"/>
      <c r="Z1055" s="787"/>
      <c r="AA1055" s="787"/>
      <c r="AB1055" s="786"/>
      <c r="AC1055" s="787"/>
      <c r="AD1055" s="787"/>
      <c r="AE1055" s="787"/>
      <c r="AF1055" s="786"/>
      <c r="AG1055" s="787"/>
      <c r="AH1055" s="787"/>
      <c r="AI1055" s="787"/>
      <c r="AJ1055" s="786"/>
      <c r="AK1055" s="787"/>
      <c r="AL1055" s="787"/>
      <c r="AM1055" s="787"/>
      <c r="AN1055" s="786"/>
      <c r="AO1055" s="787"/>
      <c r="AP1055" s="787"/>
      <c r="AQ1055" s="787"/>
      <c r="AR1055" s="786"/>
      <c r="AS1055" s="787"/>
      <c r="AT1055" s="787"/>
      <c r="AU1055" s="787"/>
      <c r="AV1055" s="786"/>
      <c r="AW1055" s="787"/>
      <c r="AX1055" s="787"/>
      <c r="AY1055" s="787"/>
      <c r="AZ1055" s="780"/>
      <c r="BA1055" s="780"/>
      <c r="BB1055" s="780"/>
      <c r="BC1055" s="780"/>
      <c r="BD1055" s="541"/>
      <c r="BE1055" s="541"/>
      <c r="BF1055" s="541"/>
      <c r="BG1055" s="541"/>
      <c r="BH1055" s="780"/>
      <c r="BI1055" s="780"/>
      <c r="BJ1055" s="780"/>
      <c r="BK1055" s="780"/>
      <c r="BL1055" s="780"/>
      <c r="BM1055" s="780"/>
    </row>
    <row r="1056" ht="12.75" customHeight="1">
      <c r="A1056" s="521"/>
      <c r="B1056" s="521"/>
      <c r="C1056" s="515"/>
      <c r="D1056" s="515"/>
      <c r="E1056" s="515"/>
      <c r="F1056" s="515"/>
      <c r="G1056" s="515"/>
      <c r="H1056" s="515"/>
      <c r="I1056" s="515"/>
      <c r="J1056" s="515"/>
      <c r="K1056" s="515"/>
      <c r="L1056" s="515"/>
      <c r="M1056" s="515"/>
      <c r="N1056" s="515"/>
      <c r="O1056" s="533"/>
      <c r="P1056" s="786"/>
      <c r="Q1056" s="787"/>
      <c r="R1056" s="787"/>
      <c r="S1056" s="787"/>
      <c r="T1056" s="786"/>
      <c r="U1056" s="787"/>
      <c r="V1056" s="787"/>
      <c r="W1056" s="787"/>
      <c r="X1056" s="786"/>
      <c r="Y1056" s="787"/>
      <c r="Z1056" s="787"/>
      <c r="AA1056" s="787"/>
      <c r="AB1056" s="786"/>
      <c r="AC1056" s="787"/>
      <c r="AD1056" s="787"/>
      <c r="AE1056" s="787"/>
      <c r="AF1056" s="786"/>
      <c r="AG1056" s="787"/>
      <c r="AH1056" s="787"/>
      <c r="AI1056" s="787"/>
      <c r="AJ1056" s="786"/>
      <c r="AK1056" s="787"/>
      <c r="AL1056" s="787"/>
      <c r="AM1056" s="787"/>
      <c r="AN1056" s="786"/>
      <c r="AO1056" s="787"/>
      <c r="AP1056" s="787"/>
      <c r="AQ1056" s="787"/>
      <c r="AR1056" s="786"/>
      <c r="AS1056" s="787"/>
      <c r="AT1056" s="787"/>
      <c r="AU1056" s="787"/>
      <c r="AV1056" s="786"/>
      <c r="AW1056" s="787"/>
      <c r="AX1056" s="787"/>
      <c r="AY1056" s="787"/>
      <c r="AZ1056" s="780"/>
      <c r="BA1056" s="780"/>
      <c r="BB1056" s="780"/>
      <c r="BC1056" s="780"/>
      <c r="BD1056" s="541"/>
      <c r="BE1056" s="541"/>
      <c r="BF1056" s="541"/>
      <c r="BG1056" s="541"/>
      <c r="BH1056" s="780"/>
      <c r="BI1056" s="780"/>
      <c r="BJ1056" s="780"/>
      <c r="BK1056" s="780"/>
      <c r="BL1056" s="780"/>
      <c r="BM1056" s="780"/>
    </row>
    <row r="1057" ht="12.75" customHeight="1">
      <c r="A1057" s="521"/>
      <c r="B1057" s="521"/>
      <c r="C1057" s="515"/>
      <c r="D1057" s="515"/>
      <c r="E1057" s="515"/>
      <c r="F1057" s="515"/>
      <c r="G1057" s="515"/>
      <c r="H1057" s="515"/>
      <c r="I1057" s="515"/>
      <c r="J1057" s="515"/>
      <c r="K1057" s="515"/>
      <c r="L1057" s="515"/>
      <c r="M1057" s="515"/>
      <c r="N1057" s="515"/>
      <c r="O1057" s="533"/>
      <c r="P1057" s="786"/>
      <c r="Q1057" s="787"/>
      <c r="R1057" s="787"/>
      <c r="S1057" s="787"/>
      <c r="T1057" s="786"/>
      <c r="U1057" s="787"/>
      <c r="V1057" s="787"/>
      <c r="W1057" s="787"/>
      <c r="X1057" s="786"/>
      <c r="Y1057" s="787"/>
      <c r="Z1057" s="787"/>
      <c r="AA1057" s="787"/>
      <c r="AB1057" s="786"/>
      <c r="AC1057" s="787"/>
      <c r="AD1057" s="787"/>
      <c r="AE1057" s="787"/>
      <c r="AF1057" s="786"/>
      <c r="AG1057" s="787"/>
      <c r="AH1057" s="787"/>
      <c r="AI1057" s="787"/>
      <c r="AJ1057" s="786"/>
      <c r="AK1057" s="787"/>
      <c r="AL1057" s="787"/>
      <c r="AM1057" s="787"/>
      <c r="AN1057" s="786"/>
      <c r="AO1057" s="787"/>
      <c r="AP1057" s="787"/>
      <c r="AQ1057" s="787"/>
      <c r="AR1057" s="786"/>
      <c r="AS1057" s="787"/>
      <c r="AT1057" s="787"/>
      <c r="AU1057" s="787"/>
      <c r="AV1057" s="786"/>
      <c r="AW1057" s="787"/>
      <c r="AX1057" s="787"/>
      <c r="AY1057" s="787"/>
      <c r="AZ1057" s="780"/>
      <c r="BA1057" s="780"/>
      <c r="BB1057" s="780"/>
      <c r="BC1057" s="780"/>
      <c r="BD1057" s="541"/>
      <c r="BE1057" s="541"/>
      <c r="BF1057" s="541"/>
      <c r="BG1057" s="541"/>
      <c r="BH1057" s="780"/>
      <c r="BI1057" s="780"/>
      <c r="BJ1057" s="780"/>
      <c r="BK1057" s="780"/>
      <c r="BL1057" s="780"/>
      <c r="BM1057" s="780"/>
    </row>
    <row r="1058" ht="12.75" customHeight="1">
      <c r="A1058" s="521"/>
      <c r="B1058" s="521"/>
      <c r="C1058" s="515"/>
      <c r="D1058" s="515"/>
      <c r="E1058" s="515"/>
      <c r="F1058" s="515"/>
      <c r="G1058" s="515"/>
      <c r="H1058" s="515"/>
      <c r="I1058" s="515"/>
      <c r="J1058" s="515"/>
      <c r="K1058" s="515"/>
      <c r="L1058" s="515"/>
      <c r="M1058" s="515"/>
      <c r="N1058" s="515"/>
      <c r="O1058" s="533"/>
      <c r="P1058" s="786"/>
      <c r="Q1058" s="787"/>
      <c r="R1058" s="787"/>
      <c r="S1058" s="787"/>
      <c r="T1058" s="786"/>
      <c r="U1058" s="787"/>
      <c r="V1058" s="787"/>
      <c r="W1058" s="787"/>
      <c r="X1058" s="786"/>
      <c r="Y1058" s="787"/>
      <c r="Z1058" s="787"/>
      <c r="AA1058" s="787"/>
      <c r="AB1058" s="786"/>
      <c r="AC1058" s="787"/>
      <c r="AD1058" s="787"/>
      <c r="AE1058" s="787"/>
      <c r="AF1058" s="786"/>
      <c r="AG1058" s="787"/>
      <c r="AH1058" s="787"/>
      <c r="AI1058" s="787"/>
      <c r="AJ1058" s="786"/>
      <c r="AK1058" s="787"/>
      <c r="AL1058" s="787"/>
      <c r="AM1058" s="787"/>
      <c r="AN1058" s="786"/>
      <c r="AO1058" s="787"/>
      <c r="AP1058" s="787"/>
      <c r="AQ1058" s="787"/>
      <c r="AR1058" s="786"/>
      <c r="AS1058" s="787"/>
      <c r="AT1058" s="787"/>
      <c r="AU1058" s="787"/>
      <c r="AV1058" s="786"/>
      <c r="AW1058" s="787"/>
      <c r="AX1058" s="787"/>
      <c r="AY1058" s="787"/>
      <c r="AZ1058" s="780"/>
      <c r="BA1058" s="780"/>
      <c r="BB1058" s="780"/>
      <c r="BC1058" s="780"/>
      <c r="BD1058" s="541"/>
      <c r="BE1058" s="541"/>
      <c r="BF1058" s="541"/>
      <c r="BG1058" s="541"/>
      <c r="BH1058" s="780"/>
      <c r="BI1058" s="780"/>
      <c r="BJ1058" s="780"/>
      <c r="BK1058" s="780"/>
      <c r="BL1058" s="780"/>
      <c r="BM1058" s="780"/>
    </row>
    <row r="1059" ht="12.75" customHeight="1">
      <c r="A1059" s="521"/>
      <c r="B1059" s="521"/>
      <c r="C1059" s="515"/>
      <c r="D1059" s="515"/>
      <c r="E1059" s="515"/>
      <c r="F1059" s="515"/>
      <c r="G1059" s="515"/>
      <c r="H1059" s="515"/>
      <c r="I1059" s="515"/>
      <c r="J1059" s="515"/>
      <c r="K1059" s="515"/>
      <c r="L1059" s="515"/>
      <c r="M1059" s="515"/>
      <c r="N1059" s="515"/>
      <c r="O1059" s="533"/>
      <c r="P1059" s="786"/>
      <c r="Q1059" s="787"/>
      <c r="R1059" s="787"/>
      <c r="S1059" s="787"/>
      <c r="T1059" s="786"/>
      <c r="U1059" s="787"/>
      <c r="V1059" s="787"/>
      <c r="W1059" s="787"/>
      <c r="X1059" s="786"/>
      <c r="Y1059" s="787"/>
      <c r="Z1059" s="787"/>
      <c r="AA1059" s="787"/>
      <c r="AB1059" s="786"/>
      <c r="AC1059" s="787"/>
      <c r="AD1059" s="787"/>
      <c r="AE1059" s="787"/>
      <c r="AF1059" s="786"/>
      <c r="AG1059" s="787"/>
      <c r="AH1059" s="787"/>
      <c r="AI1059" s="787"/>
      <c r="AJ1059" s="786"/>
      <c r="AK1059" s="787"/>
      <c r="AL1059" s="787"/>
      <c r="AM1059" s="787"/>
      <c r="AN1059" s="786"/>
      <c r="AO1059" s="787"/>
      <c r="AP1059" s="787"/>
      <c r="AQ1059" s="787"/>
      <c r="AR1059" s="786"/>
      <c r="AS1059" s="787"/>
      <c r="AT1059" s="787"/>
      <c r="AU1059" s="787"/>
      <c r="AV1059" s="786"/>
      <c r="AW1059" s="787"/>
      <c r="AX1059" s="787"/>
      <c r="AY1059" s="787"/>
      <c r="AZ1059" s="780"/>
      <c r="BA1059" s="780"/>
      <c r="BB1059" s="780"/>
      <c r="BC1059" s="780"/>
      <c r="BD1059" s="541"/>
      <c r="BE1059" s="541"/>
      <c r="BF1059" s="541"/>
      <c r="BG1059" s="541"/>
      <c r="BH1059" s="780"/>
      <c r="BI1059" s="780"/>
      <c r="BJ1059" s="780"/>
      <c r="BK1059" s="780"/>
      <c r="BL1059" s="780"/>
      <c r="BM1059" s="780"/>
    </row>
    <row r="1060" ht="12.75" customHeight="1">
      <c r="A1060" s="521"/>
      <c r="B1060" s="521"/>
      <c r="C1060" s="515"/>
      <c r="D1060" s="515"/>
      <c r="E1060" s="515"/>
      <c r="F1060" s="515"/>
      <c r="G1060" s="515"/>
      <c r="H1060" s="515"/>
      <c r="I1060" s="515"/>
      <c r="J1060" s="515"/>
      <c r="K1060" s="515"/>
      <c r="L1060" s="515"/>
      <c r="M1060" s="515"/>
      <c r="N1060" s="515"/>
      <c r="O1060" s="533"/>
      <c r="P1060" s="786"/>
      <c r="Q1060" s="787"/>
      <c r="R1060" s="787"/>
      <c r="S1060" s="787"/>
      <c r="T1060" s="786"/>
      <c r="U1060" s="787"/>
      <c r="V1060" s="787"/>
      <c r="W1060" s="787"/>
      <c r="X1060" s="786"/>
      <c r="Y1060" s="787"/>
      <c r="Z1060" s="787"/>
      <c r="AA1060" s="787"/>
      <c r="AB1060" s="786"/>
      <c r="AC1060" s="787"/>
      <c r="AD1060" s="787"/>
      <c r="AE1060" s="787"/>
      <c r="AF1060" s="786"/>
      <c r="AG1060" s="787"/>
      <c r="AH1060" s="787"/>
      <c r="AI1060" s="787"/>
      <c r="AJ1060" s="786"/>
      <c r="AK1060" s="787"/>
      <c r="AL1060" s="787"/>
      <c r="AM1060" s="787"/>
      <c r="AN1060" s="786"/>
      <c r="AO1060" s="787"/>
      <c r="AP1060" s="787"/>
      <c r="AQ1060" s="787"/>
      <c r="AR1060" s="786"/>
      <c r="AS1060" s="787"/>
      <c r="AT1060" s="787"/>
      <c r="AU1060" s="787"/>
      <c r="AV1060" s="786"/>
      <c r="AW1060" s="787"/>
      <c r="AX1060" s="787"/>
      <c r="AY1060" s="787"/>
      <c r="AZ1060" s="780"/>
      <c r="BA1060" s="780"/>
      <c r="BB1060" s="780"/>
      <c r="BC1060" s="780"/>
      <c r="BD1060" s="541"/>
      <c r="BE1060" s="541"/>
      <c r="BF1060" s="541"/>
      <c r="BG1060" s="541"/>
      <c r="BH1060" s="780"/>
      <c r="BI1060" s="780"/>
      <c r="BJ1060" s="780"/>
      <c r="BK1060" s="780"/>
      <c r="BL1060" s="780"/>
      <c r="BM1060" s="780"/>
    </row>
    <row r="1061" ht="12.75" customHeight="1">
      <c r="A1061" s="521"/>
      <c r="B1061" s="521"/>
      <c r="C1061" s="515"/>
      <c r="D1061" s="515"/>
      <c r="E1061" s="515"/>
      <c r="F1061" s="515"/>
      <c r="G1061" s="515"/>
      <c r="H1061" s="515"/>
      <c r="I1061" s="515"/>
      <c r="J1061" s="515"/>
      <c r="K1061" s="515"/>
      <c r="L1061" s="515"/>
      <c r="M1061" s="515"/>
      <c r="N1061" s="515"/>
      <c r="O1061" s="533"/>
      <c r="P1061" s="786"/>
      <c r="Q1061" s="787"/>
      <c r="R1061" s="787"/>
      <c r="S1061" s="787"/>
      <c r="T1061" s="786"/>
      <c r="U1061" s="787"/>
      <c r="V1061" s="787"/>
      <c r="W1061" s="787"/>
      <c r="X1061" s="786"/>
      <c r="Y1061" s="787"/>
      <c r="Z1061" s="787"/>
      <c r="AA1061" s="787"/>
      <c r="AB1061" s="786"/>
      <c r="AC1061" s="787"/>
      <c r="AD1061" s="787"/>
      <c r="AE1061" s="787"/>
      <c r="AF1061" s="786"/>
      <c r="AG1061" s="787"/>
      <c r="AH1061" s="787"/>
      <c r="AI1061" s="787"/>
      <c r="AJ1061" s="786"/>
      <c r="AK1061" s="787"/>
      <c r="AL1061" s="787"/>
      <c r="AM1061" s="787"/>
      <c r="AN1061" s="786"/>
      <c r="AO1061" s="787"/>
      <c r="AP1061" s="787"/>
      <c r="AQ1061" s="787"/>
      <c r="AR1061" s="786"/>
      <c r="AS1061" s="787"/>
      <c r="AT1061" s="787"/>
      <c r="AU1061" s="787"/>
      <c r="AV1061" s="786"/>
      <c r="AW1061" s="787"/>
      <c r="AX1061" s="787"/>
      <c r="AY1061" s="787"/>
      <c r="AZ1061" s="780"/>
      <c r="BA1061" s="780"/>
      <c r="BB1061" s="780"/>
      <c r="BC1061" s="780"/>
      <c r="BD1061" s="541"/>
      <c r="BE1061" s="541"/>
      <c r="BF1061" s="541"/>
      <c r="BG1061" s="541"/>
      <c r="BH1061" s="780"/>
      <c r="BI1061" s="780"/>
      <c r="BJ1061" s="780"/>
      <c r="BK1061" s="780"/>
      <c r="BL1061" s="780"/>
      <c r="BM1061" s="780"/>
    </row>
    <row r="1062" ht="12.75" customHeight="1">
      <c r="A1062" s="521"/>
      <c r="B1062" s="521"/>
      <c r="C1062" s="515"/>
      <c r="D1062" s="515"/>
      <c r="E1062" s="515"/>
      <c r="F1062" s="515"/>
      <c r="G1062" s="515"/>
      <c r="H1062" s="515"/>
      <c r="I1062" s="515"/>
      <c r="J1062" s="515"/>
      <c r="K1062" s="515"/>
      <c r="L1062" s="515"/>
      <c r="M1062" s="515"/>
      <c r="N1062" s="515"/>
      <c r="O1062" s="533"/>
      <c r="P1062" s="786"/>
      <c r="Q1062" s="787"/>
      <c r="R1062" s="787"/>
      <c r="S1062" s="787"/>
      <c r="T1062" s="786"/>
      <c r="U1062" s="787"/>
      <c r="V1062" s="787"/>
      <c r="W1062" s="787"/>
      <c r="X1062" s="786"/>
      <c r="Y1062" s="787"/>
      <c r="Z1062" s="787"/>
      <c r="AA1062" s="787"/>
      <c r="AB1062" s="786"/>
      <c r="AC1062" s="787"/>
      <c r="AD1062" s="787"/>
      <c r="AE1062" s="787"/>
      <c r="AF1062" s="786"/>
      <c r="AG1062" s="787"/>
      <c r="AH1062" s="787"/>
      <c r="AI1062" s="787"/>
      <c r="AJ1062" s="786"/>
      <c r="AK1062" s="787"/>
      <c r="AL1062" s="787"/>
      <c r="AM1062" s="787"/>
      <c r="AN1062" s="786"/>
      <c r="AO1062" s="787"/>
      <c r="AP1062" s="787"/>
      <c r="AQ1062" s="787"/>
      <c r="AR1062" s="786"/>
      <c r="AS1062" s="787"/>
      <c r="AT1062" s="787"/>
      <c r="AU1062" s="787"/>
      <c r="AV1062" s="786"/>
      <c r="AW1062" s="787"/>
      <c r="AX1062" s="787"/>
      <c r="AY1062" s="787"/>
      <c r="AZ1062" s="780"/>
      <c r="BA1062" s="780"/>
      <c r="BB1062" s="780"/>
      <c r="BC1062" s="780"/>
      <c r="BD1062" s="541"/>
      <c r="BE1062" s="541"/>
      <c r="BF1062" s="541"/>
      <c r="BG1062" s="541"/>
      <c r="BH1062" s="780"/>
      <c r="BI1062" s="780"/>
      <c r="BJ1062" s="780"/>
      <c r="BK1062" s="780"/>
      <c r="BL1062" s="780"/>
      <c r="BM1062" s="780"/>
    </row>
    <row r="1063" ht="12.75" customHeight="1">
      <c r="A1063" s="521"/>
      <c r="B1063" s="521"/>
      <c r="C1063" s="515"/>
      <c r="D1063" s="515"/>
      <c r="E1063" s="515"/>
      <c r="F1063" s="515"/>
      <c r="G1063" s="515"/>
      <c r="H1063" s="515"/>
      <c r="I1063" s="515"/>
      <c r="J1063" s="515"/>
      <c r="K1063" s="515"/>
      <c r="L1063" s="515"/>
      <c r="M1063" s="515"/>
      <c r="N1063" s="515"/>
      <c r="O1063" s="533"/>
      <c r="P1063" s="786"/>
      <c r="Q1063" s="787"/>
      <c r="R1063" s="787"/>
      <c r="S1063" s="787"/>
      <c r="T1063" s="786"/>
      <c r="U1063" s="787"/>
      <c r="V1063" s="787"/>
      <c r="W1063" s="787"/>
      <c r="X1063" s="786"/>
      <c r="Y1063" s="787"/>
      <c r="Z1063" s="787"/>
      <c r="AA1063" s="787"/>
      <c r="AB1063" s="786"/>
      <c r="AC1063" s="787"/>
      <c r="AD1063" s="787"/>
      <c r="AE1063" s="787"/>
      <c r="AF1063" s="786"/>
      <c r="AG1063" s="787"/>
      <c r="AH1063" s="787"/>
      <c r="AI1063" s="787"/>
      <c r="AJ1063" s="786"/>
      <c r="AK1063" s="787"/>
      <c r="AL1063" s="787"/>
      <c r="AM1063" s="787"/>
      <c r="AN1063" s="786"/>
      <c r="AO1063" s="787"/>
      <c r="AP1063" s="787"/>
      <c r="AQ1063" s="787"/>
      <c r="AR1063" s="786"/>
      <c r="AS1063" s="787"/>
      <c r="AT1063" s="787"/>
      <c r="AU1063" s="787"/>
      <c r="AV1063" s="786"/>
      <c r="AW1063" s="787"/>
      <c r="AX1063" s="787"/>
      <c r="AY1063" s="787"/>
      <c r="AZ1063" s="780"/>
      <c r="BA1063" s="780"/>
      <c r="BB1063" s="780"/>
      <c r="BC1063" s="780"/>
      <c r="BD1063" s="541"/>
      <c r="BE1063" s="541"/>
      <c r="BF1063" s="541"/>
      <c r="BG1063" s="541"/>
      <c r="BH1063" s="780"/>
      <c r="BI1063" s="780"/>
      <c r="BJ1063" s="780"/>
      <c r="BK1063" s="780"/>
      <c r="BL1063" s="780"/>
      <c r="BM1063" s="780"/>
    </row>
    <row r="1064" ht="12.75" customHeight="1">
      <c r="A1064" s="521"/>
      <c r="B1064" s="521"/>
      <c r="C1064" s="515"/>
      <c r="D1064" s="515"/>
      <c r="E1064" s="515"/>
      <c r="F1064" s="515"/>
      <c r="G1064" s="515"/>
      <c r="H1064" s="515"/>
      <c r="I1064" s="515"/>
      <c r="J1064" s="515"/>
      <c r="K1064" s="515"/>
      <c r="L1064" s="515"/>
      <c r="M1064" s="515"/>
      <c r="N1064" s="515"/>
      <c r="O1064" s="533"/>
      <c r="P1064" s="786"/>
      <c r="Q1064" s="787"/>
      <c r="R1064" s="787"/>
      <c r="S1064" s="787"/>
      <c r="T1064" s="786"/>
      <c r="U1064" s="787"/>
      <c r="V1064" s="787"/>
      <c r="W1064" s="787"/>
      <c r="X1064" s="786"/>
      <c r="Y1064" s="787"/>
      <c r="Z1064" s="787"/>
      <c r="AA1064" s="787"/>
      <c r="AB1064" s="786"/>
      <c r="AC1064" s="787"/>
      <c r="AD1064" s="787"/>
      <c r="AE1064" s="787"/>
      <c r="AF1064" s="786"/>
      <c r="AG1064" s="787"/>
      <c r="AH1064" s="787"/>
      <c r="AI1064" s="787"/>
      <c r="AJ1064" s="786"/>
      <c r="AK1064" s="787"/>
      <c r="AL1064" s="787"/>
      <c r="AM1064" s="787"/>
      <c r="AN1064" s="786"/>
      <c r="AO1064" s="787"/>
      <c r="AP1064" s="787"/>
      <c r="AQ1064" s="787"/>
      <c r="AR1064" s="786"/>
      <c r="AS1064" s="787"/>
      <c r="AT1064" s="787"/>
      <c r="AU1064" s="787"/>
      <c r="AV1064" s="786"/>
      <c r="AW1064" s="787"/>
      <c r="AX1064" s="787"/>
      <c r="AY1064" s="787"/>
      <c r="AZ1064" s="780"/>
      <c r="BA1064" s="780"/>
      <c r="BB1064" s="780"/>
      <c r="BC1064" s="780"/>
      <c r="BD1064" s="541"/>
      <c r="BE1064" s="541"/>
      <c r="BF1064" s="541"/>
      <c r="BG1064" s="541"/>
      <c r="BH1064" s="780"/>
      <c r="BI1064" s="780"/>
      <c r="BJ1064" s="780"/>
      <c r="BK1064" s="780"/>
      <c r="BL1064" s="780"/>
      <c r="BM1064" s="780"/>
    </row>
    <row r="1065" ht="12.75" customHeight="1">
      <c r="A1065" s="521"/>
      <c r="B1065" s="521"/>
      <c r="C1065" s="515"/>
      <c r="D1065" s="515"/>
      <c r="E1065" s="515"/>
      <c r="F1065" s="515"/>
      <c r="G1065" s="515"/>
      <c r="H1065" s="515"/>
      <c r="I1065" s="515"/>
      <c r="J1065" s="515"/>
      <c r="K1065" s="515"/>
      <c r="L1065" s="515"/>
      <c r="M1065" s="515"/>
      <c r="N1065" s="515"/>
      <c r="O1065" s="533"/>
      <c r="P1065" s="786"/>
      <c r="Q1065" s="787"/>
      <c r="R1065" s="787"/>
      <c r="S1065" s="787"/>
      <c r="T1065" s="786"/>
      <c r="U1065" s="787"/>
      <c r="V1065" s="787"/>
      <c r="W1065" s="787"/>
      <c r="X1065" s="786"/>
      <c r="Y1065" s="787"/>
      <c r="Z1065" s="787"/>
      <c r="AA1065" s="787"/>
      <c r="AB1065" s="786"/>
      <c r="AC1065" s="787"/>
      <c r="AD1065" s="787"/>
      <c r="AE1065" s="787"/>
      <c r="AF1065" s="786"/>
      <c r="AG1065" s="787"/>
      <c r="AH1065" s="787"/>
      <c r="AI1065" s="787"/>
      <c r="AJ1065" s="786"/>
      <c r="AK1065" s="787"/>
      <c r="AL1065" s="787"/>
      <c r="AM1065" s="787"/>
      <c r="AN1065" s="786"/>
      <c r="AO1065" s="787"/>
      <c r="AP1065" s="787"/>
      <c r="AQ1065" s="787"/>
      <c r="AR1065" s="786"/>
      <c r="AS1065" s="787"/>
      <c r="AT1065" s="787"/>
      <c r="AU1065" s="787"/>
      <c r="AV1065" s="786"/>
      <c r="AW1065" s="787"/>
      <c r="AX1065" s="787"/>
      <c r="AY1065" s="787"/>
      <c r="AZ1065" s="780"/>
      <c r="BA1065" s="780"/>
      <c r="BB1065" s="780"/>
      <c r="BC1065" s="780"/>
      <c r="BD1065" s="541"/>
      <c r="BE1065" s="541"/>
      <c r="BF1065" s="541"/>
      <c r="BG1065" s="541"/>
      <c r="BH1065" s="780"/>
      <c r="BI1065" s="780"/>
      <c r="BJ1065" s="780"/>
      <c r="BK1065" s="780"/>
      <c r="BL1065" s="780"/>
      <c r="BM1065" s="780"/>
    </row>
    <row r="1066" ht="12.75" customHeight="1">
      <c r="A1066" s="521"/>
      <c r="B1066" s="521"/>
      <c r="C1066" s="515"/>
      <c r="D1066" s="515"/>
      <c r="E1066" s="515"/>
      <c r="F1066" s="515"/>
      <c r="G1066" s="515"/>
      <c r="H1066" s="515"/>
      <c r="I1066" s="515"/>
      <c r="J1066" s="515"/>
      <c r="K1066" s="515"/>
      <c r="L1066" s="515"/>
      <c r="M1066" s="515"/>
      <c r="N1066" s="515"/>
      <c r="O1066" s="533"/>
      <c r="P1066" s="786"/>
      <c r="Q1066" s="787"/>
      <c r="R1066" s="787"/>
      <c r="S1066" s="787"/>
      <c r="T1066" s="786"/>
      <c r="U1066" s="787"/>
      <c r="V1066" s="787"/>
      <c r="W1066" s="787"/>
      <c r="X1066" s="786"/>
      <c r="Y1066" s="787"/>
      <c r="Z1066" s="787"/>
      <c r="AA1066" s="787"/>
      <c r="AB1066" s="786"/>
      <c r="AC1066" s="787"/>
      <c r="AD1066" s="787"/>
      <c r="AE1066" s="787"/>
      <c r="AF1066" s="786"/>
      <c r="AG1066" s="787"/>
      <c r="AH1066" s="787"/>
      <c r="AI1066" s="787"/>
      <c r="AJ1066" s="786"/>
      <c r="AK1066" s="787"/>
      <c r="AL1066" s="787"/>
      <c r="AM1066" s="787"/>
      <c r="AN1066" s="786"/>
      <c r="AO1066" s="787"/>
      <c r="AP1066" s="787"/>
      <c r="AQ1066" s="787"/>
      <c r="AR1066" s="786"/>
      <c r="AS1066" s="787"/>
      <c r="AT1066" s="787"/>
      <c r="AU1066" s="787"/>
      <c r="AV1066" s="786"/>
      <c r="AW1066" s="787"/>
      <c r="AX1066" s="787"/>
      <c r="AY1066" s="787"/>
      <c r="AZ1066" s="780"/>
      <c r="BA1066" s="780"/>
      <c r="BB1066" s="780"/>
      <c r="BC1066" s="780"/>
      <c r="BD1066" s="541"/>
      <c r="BE1066" s="541"/>
      <c r="BF1066" s="541"/>
      <c r="BG1066" s="541"/>
      <c r="BH1066" s="780"/>
      <c r="BI1066" s="780"/>
      <c r="BJ1066" s="780"/>
      <c r="BK1066" s="780"/>
      <c r="BL1066" s="780"/>
      <c r="BM1066" s="780"/>
    </row>
    <row r="1067" ht="12.75" customHeight="1">
      <c r="A1067" s="521"/>
      <c r="B1067" s="521"/>
      <c r="C1067" s="515"/>
      <c r="D1067" s="515"/>
      <c r="E1067" s="515"/>
      <c r="F1067" s="515"/>
      <c r="G1067" s="515"/>
      <c r="H1067" s="515"/>
      <c r="I1067" s="515"/>
      <c r="J1067" s="515"/>
      <c r="K1067" s="515"/>
      <c r="L1067" s="515"/>
      <c r="M1067" s="515"/>
      <c r="N1067" s="515"/>
      <c r="O1067" s="533"/>
      <c r="P1067" s="786"/>
      <c r="Q1067" s="787"/>
      <c r="R1067" s="787"/>
      <c r="S1067" s="787"/>
      <c r="T1067" s="786"/>
      <c r="U1067" s="787"/>
      <c r="V1067" s="787"/>
      <c r="W1067" s="787"/>
      <c r="X1067" s="786"/>
      <c r="Y1067" s="787"/>
      <c r="Z1067" s="787"/>
      <c r="AA1067" s="787"/>
      <c r="AB1067" s="786"/>
      <c r="AC1067" s="787"/>
      <c r="AD1067" s="787"/>
      <c r="AE1067" s="787"/>
      <c r="AF1067" s="786"/>
      <c r="AG1067" s="787"/>
      <c r="AH1067" s="787"/>
      <c r="AI1067" s="787"/>
      <c r="AJ1067" s="786"/>
      <c r="AK1067" s="787"/>
      <c r="AL1067" s="787"/>
      <c r="AM1067" s="787"/>
      <c r="AN1067" s="786"/>
      <c r="AO1067" s="787"/>
      <c r="AP1067" s="787"/>
      <c r="AQ1067" s="787"/>
      <c r="AR1067" s="786"/>
      <c r="AS1067" s="787"/>
      <c r="AT1067" s="787"/>
      <c r="AU1067" s="787"/>
      <c r="AV1067" s="786"/>
      <c r="AW1067" s="787"/>
      <c r="AX1067" s="787"/>
      <c r="AY1067" s="787"/>
      <c r="AZ1067" s="780"/>
      <c r="BA1067" s="780"/>
      <c r="BB1067" s="780"/>
      <c r="BC1067" s="780"/>
      <c r="BD1067" s="541"/>
      <c r="BE1067" s="541"/>
      <c r="BF1067" s="541"/>
      <c r="BG1067" s="541"/>
      <c r="BH1067" s="780"/>
      <c r="BI1067" s="780"/>
      <c r="BJ1067" s="780"/>
      <c r="BK1067" s="780"/>
      <c r="BL1067" s="780"/>
      <c r="BM1067" s="780"/>
    </row>
    <row r="1068" ht="12.75" customHeight="1">
      <c r="A1068" s="521"/>
      <c r="B1068" s="521"/>
      <c r="C1068" s="515"/>
      <c r="D1068" s="515"/>
      <c r="E1068" s="515"/>
      <c r="F1068" s="515"/>
      <c r="G1068" s="515"/>
      <c r="H1068" s="515"/>
      <c r="I1068" s="515"/>
      <c r="J1068" s="515"/>
      <c r="K1068" s="515"/>
      <c r="L1068" s="515"/>
      <c r="M1068" s="515"/>
      <c r="N1068" s="515"/>
      <c r="O1068" s="533"/>
      <c r="P1068" s="786"/>
      <c r="Q1068" s="787"/>
      <c r="R1068" s="787"/>
      <c r="S1068" s="787"/>
      <c r="T1068" s="786"/>
      <c r="U1068" s="787"/>
      <c r="V1068" s="787"/>
      <c r="W1068" s="787"/>
      <c r="X1068" s="786"/>
      <c r="Y1068" s="787"/>
      <c r="Z1068" s="787"/>
      <c r="AA1068" s="787"/>
      <c r="AB1068" s="786"/>
      <c r="AC1068" s="787"/>
      <c r="AD1068" s="787"/>
      <c r="AE1068" s="787"/>
      <c r="AF1068" s="786"/>
      <c r="AG1068" s="787"/>
      <c r="AH1068" s="787"/>
      <c r="AI1068" s="787"/>
      <c r="AJ1068" s="786"/>
      <c r="AK1068" s="787"/>
      <c r="AL1068" s="787"/>
      <c r="AM1068" s="787"/>
      <c r="AN1068" s="786"/>
      <c r="AO1068" s="787"/>
      <c r="AP1068" s="787"/>
      <c r="AQ1068" s="787"/>
      <c r="AR1068" s="786"/>
      <c r="AS1068" s="787"/>
      <c r="AT1068" s="787"/>
      <c r="AU1068" s="787"/>
      <c r="AV1068" s="786"/>
      <c r="AW1068" s="787"/>
      <c r="AX1068" s="787"/>
      <c r="AY1068" s="787"/>
      <c r="AZ1068" s="780"/>
      <c r="BA1068" s="780"/>
      <c r="BB1068" s="780"/>
      <c r="BC1068" s="780"/>
      <c r="BD1068" s="541"/>
      <c r="BE1068" s="541"/>
      <c r="BF1068" s="541"/>
      <c r="BG1068" s="541"/>
      <c r="BH1068" s="780"/>
      <c r="BI1068" s="780"/>
      <c r="BJ1068" s="780"/>
      <c r="BK1068" s="780"/>
      <c r="BL1068" s="780"/>
      <c r="BM1068" s="780"/>
    </row>
    <row r="1069" ht="12.75" customHeight="1">
      <c r="A1069" s="521"/>
      <c r="B1069" s="521"/>
      <c r="C1069" s="515"/>
      <c r="D1069" s="515"/>
      <c r="E1069" s="515"/>
      <c r="F1069" s="515"/>
      <c r="G1069" s="515"/>
      <c r="H1069" s="515"/>
      <c r="I1069" s="515"/>
      <c r="J1069" s="515"/>
      <c r="K1069" s="515"/>
      <c r="L1069" s="515"/>
      <c r="M1069" s="515"/>
      <c r="N1069" s="515"/>
      <c r="O1069" s="533"/>
      <c r="P1069" s="786"/>
      <c r="Q1069" s="787"/>
      <c r="R1069" s="787"/>
      <c r="S1069" s="787"/>
      <c r="T1069" s="786"/>
      <c r="U1069" s="787"/>
      <c r="V1069" s="787"/>
      <c r="W1069" s="787"/>
      <c r="X1069" s="786"/>
      <c r="Y1069" s="787"/>
      <c r="Z1069" s="787"/>
      <c r="AA1069" s="787"/>
      <c r="AB1069" s="786"/>
      <c r="AC1069" s="787"/>
      <c r="AD1069" s="787"/>
      <c r="AE1069" s="787"/>
      <c r="AF1069" s="786"/>
      <c r="AG1069" s="787"/>
      <c r="AH1069" s="787"/>
      <c r="AI1069" s="787"/>
      <c r="AJ1069" s="786"/>
      <c r="AK1069" s="787"/>
      <c r="AL1069" s="787"/>
      <c r="AM1069" s="787"/>
      <c r="AN1069" s="786"/>
      <c r="AO1069" s="787"/>
      <c r="AP1069" s="787"/>
      <c r="AQ1069" s="787"/>
      <c r="AR1069" s="786"/>
      <c r="AS1069" s="787"/>
      <c r="AT1069" s="787"/>
      <c r="AU1069" s="787"/>
      <c r="AV1069" s="786"/>
      <c r="AW1069" s="787"/>
      <c r="AX1069" s="787"/>
      <c r="AY1069" s="787"/>
      <c r="AZ1069" s="780"/>
      <c r="BA1069" s="780"/>
      <c r="BB1069" s="780"/>
      <c r="BC1069" s="780"/>
      <c r="BD1069" s="541"/>
      <c r="BE1069" s="541"/>
      <c r="BF1069" s="541"/>
      <c r="BG1069" s="541"/>
      <c r="BH1069" s="780"/>
      <c r="BI1069" s="780"/>
      <c r="BJ1069" s="780"/>
      <c r="BK1069" s="780"/>
      <c r="BL1069" s="780"/>
      <c r="BM1069" s="780"/>
    </row>
    <row r="1070" ht="12.75" customHeight="1">
      <c r="A1070" s="521"/>
      <c r="B1070" s="521"/>
      <c r="C1070" s="515"/>
      <c r="D1070" s="515"/>
      <c r="E1070" s="515"/>
      <c r="F1070" s="515"/>
      <c r="G1070" s="515"/>
      <c r="H1070" s="515"/>
      <c r="I1070" s="515"/>
      <c r="J1070" s="515"/>
      <c r="K1070" s="515"/>
      <c r="L1070" s="515"/>
      <c r="M1070" s="515"/>
      <c r="N1070" s="515"/>
      <c r="O1070" s="533"/>
      <c r="P1070" s="786"/>
      <c r="Q1070" s="787"/>
      <c r="R1070" s="787"/>
      <c r="S1070" s="787"/>
      <c r="T1070" s="786"/>
      <c r="U1070" s="787"/>
      <c r="V1070" s="787"/>
      <c r="W1070" s="787"/>
      <c r="X1070" s="786"/>
      <c r="Y1070" s="787"/>
      <c r="Z1070" s="787"/>
      <c r="AA1070" s="787"/>
      <c r="AB1070" s="786"/>
      <c r="AC1070" s="787"/>
      <c r="AD1070" s="787"/>
      <c r="AE1070" s="787"/>
      <c r="AF1070" s="786"/>
      <c r="AG1070" s="787"/>
      <c r="AH1070" s="787"/>
      <c r="AI1070" s="787"/>
      <c r="AJ1070" s="786"/>
      <c r="AK1070" s="787"/>
      <c r="AL1070" s="787"/>
      <c r="AM1070" s="787"/>
      <c r="AN1070" s="786"/>
      <c r="AO1070" s="787"/>
      <c r="AP1070" s="787"/>
      <c r="AQ1070" s="787"/>
      <c r="AR1070" s="786"/>
      <c r="AS1070" s="787"/>
      <c r="AT1070" s="787"/>
      <c r="AU1070" s="787"/>
      <c r="AV1070" s="786"/>
      <c r="AW1070" s="787"/>
      <c r="AX1070" s="787"/>
      <c r="AY1070" s="787"/>
      <c r="AZ1070" s="780"/>
      <c r="BA1070" s="780"/>
      <c r="BB1070" s="780"/>
      <c r="BC1070" s="780"/>
      <c r="BD1070" s="541"/>
      <c r="BE1070" s="541"/>
      <c r="BF1070" s="541"/>
      <c r="BG1070" s="541"/>
      <c r="BH1070" s="780"/>
      <c r="BI1070" s="780"/>
      <c r="BJ1070" s="780"/>
      <c r="BK1070" s="780"/>
      <c r="BL1070" s="780"/>
      <c r="BM1070" s="780"/>
    </row>
    <row r="1071" ht="12.75" customHeight="1">
      <c r="A1071" s="521"/>
      <c r="B1071" s="521"/>
      <c r="C1071" s="515"/>
      <c r="D1071" s="515"/>
      <c r="E1071" s="515"/>
      <c r="F1071" s="515"/>
      <c r="G1071" s="515"/>
      <c r="H1071" s="515"/>
      <c r="I1071" s="515"/>
      <c r="J1071" s="515"/>
      <c r="K1071" s="515"/>
      <c r="L1071" s="515"/>
      <c r="M1071" s="515"/>
      <c r="N1071" s="515"/>
      <c r="O1071" s="533"/>
      <c r="P1071" s="786"/>
      <c r="Q1071" s="787"/>
      <c r="R1071" s="787"/>
      <c r="S1071" s="787"/>
      <c r="T1071" s="786"/>
      <c r="U1071" s="787"/>
      <c r="V1071" s="787"/>
      <c r="W1071" s="787"/>
      <c r="X1071" s="786"/>
      <c r="Y1071" s="787"/>
      <c r="Z1071" s="787"/>
      <c r="AA1071" s="787"/>
      <c r="AB1071" s="786"/>
      <c r="AC1071" s="787"/>
      <c r="AD1071" s="787"/>
      <c r="AE1071" s="787"/>
      <c r="AF1071" s="786"/>
      <c r="AG1071" s="787"/>
      <c r="AH1071" s="787"/>
      <c r="AI1071" s="787"/>
      <c r="AJ1071" s="786"/>
      <c r="AK1071" s="787"/>
      <c r="AL1071" s="787"/>
      <c r="AM1071" s="787"/>
      <c r="AN1071" s="786"/>
      <c r="AO1071" s="787"/>
      <c r="AP1071" s="787"/>
      <c r="AQ1071" s="787"/>
      <c r="AR1071" s="786"/>
      <c r="AS1071" s="787"/>
      <c r="AT1071" s="787"/>
      <c r="AU1071" s="787"/>
      <c r="AV1071" s="786"/>
      <c r="AW1071" s="787"/>
      <c r="AX1071" s="787"/>
      <c r="AY1071" s="787"/>
      <c r="AZ1071" s="780"/>
      <c r="BA1071" s="780"/>
      <c r="BB1071" s="780"/>
      <c r="BC1071" s="780"/>
      <c r="BD1071" s="541"/>
      <c r="BE1071" s="541"/>
      <c r="BF1071" s="541"/>
      <c r="BG1071" s="541"/>
      <c r="BH1071" s="780"/>
      <c r="BI1071" s="780"/>
      <c r="BJ1071" s="780"/>
      <c r="BK1071" s="780"/>
      <c r="BL1071" s="780"/>
      <c r="BM1071" s="780"/>
    </row>
    <row r="1072" ht="12.75" customHeight="1">
      <c r="A1072" s="521"/>
      <c r="B1072" s="521"/>
      <c r="C1072" s="515"/>
      <c r="D1072" s="515"/>
      <c r="E1072" s="515"/>
      <c r="F1072" s="515"/>
      <c r="G1072" s="515"/>
      <c r="H1072" s="515"/>
      <c r="I1072" s="515"/>
      <c r="J1072" s="515"/>
      <c r="K1072" s="515"/>
      <c r="L1072" s="515"/>
      <c r="M1072" s="515"/>
      <c r="N1072" s="515"/>
      <c r="O1072" s="533"/>
      <c r="P1072" s="786"/>
      <c r="Q1072" s="787"/>
      <c r="R1072" s="787"/>
      <c r="S1072" s="787"/>
      <c r="T1072" s="786"/>
      <c r="U1072" s="787"/>
      <c r="V1072" s="787"/>
      <c r="W1072" s="787"/>
      <c r="X1072" s="786"/>
      <c r="Y1072" s="787"/>
      <c r="Z1072" s="787"/>
      <c r="AA1072" s="787"/>
      <c r="AB1072" s="786"/>
      <c r="AC1072" s="787"/>
      <c r="AD1072" s="787"/>
      <c r="AE1072" s="787"/>
      <c r="AF1072" s="786"/>
      <c r="AG1072" s="787"/>
      <c r="AH1072" s="787"/>
      <c r="AI1072" s="787"/>
      <c r="AJ1072" s="786"/>
      <c r="AK1072" s="787"/>
      <c r="AL1072" s="787"/>
      <c r="AM1072" s="787"/>
      <c r="AN1072" s="786"/>
      <c r="AO1072" s="787"/>
      <c r="AP1072" s="787"/>
      <c r="AQ1072" s="787"/>
      <c r="AR1072" s="786"/>
      <c r="AS1072" s="787"/>
      <c r="AT1072" s="787"/>
      <c r="AU1072" s="787"/>
      <c r="AV1072" s="786"/>
      <c r="AW1072" s="787"/>
      <c r="AX1072" s="787"/>
      <c r="AY1072" s="787"/>
      <c r="AZ1072" s="780"/>
      <c r="BA1072" s="780"/>
      <c r="BB1072" s="780"/>
      <c r="BC1072" s="780"/>
      <c r="BD1072" s="541"/>
      <c r="BE1072" s="541"/>
      <c r="BF1072" s="541"/>
      <c r="BG1072" s="541"/>
      <c r="BH1072" s="780"/>
      <c r="BI1072" s="780"/>
      <c r="BJ1072" s="780"/>
      <c r="BK1072" s="780"/>
      <c r="BL1072" s="780"/>
      <c r="BM1072" s="780"/>
    </row>
    <row r="1073" ht="12.75" customHeight="1">
      <c r="A1073" s="521"/>
      <c r="B1073" s="521"/>
      <c r="C1073" s="515"/>
      <c r="D1073" s="515"/>
      <c r="E1073" s="515"/>
      <c r="F1073" s="515"/>
      <c r="G1073" s="515"/>
      <c r="H1073" s="515"/>
      <c r="I1073" s="515"/>
      <c r="J1073" s="515"/>
      <c r="K1073" s="515"/>
      <c r="L1073" s="515"/>
      <c r="M1073" s="515"/>
      <c r="N1073" s="515"/>
      <c r="O1073" s="533"/>
      <c r="P1073" s="786"/>
      <c r="Q1073" s="787"/>
      <c r="R1073" s="787"/>
      <c r="S1073" s="787"/>
      <c r="T1073" s="786"/>
      <c r="U1073" s="787"/>
      <c r="V1073" s="787"/>
      <c r="W1073" s="787"/>
      <c r="X1073" s="786"/>
      <c r="Y1073" s="787"/>
      <c r="Z1073" s="787"/>
      <c r="AA1073" s="787"/>
      <c r="AB1073" s="786"/>
      <c r="AC1073" s="787"/>
      <c r="AD1073" s="787"/>
      <c r="AE1073" s="787"/>
      <c r="AF1073" s="786"/>
      <c r="AG1073" s="787"/>
      <c r="AH1073" s="787"/>
      <c r="AI1073" s="787"/>
      <c r="AJ1073" s="786"/>
      <c r="AK1073" s="787"/>
      <c r="AL1073" s="787"/>
      <c r="AM1073" s="787"/>
      <c r="AN1073" s="786"/>
      <c r="AO1073" s="787"/>
      <c r="AP1073" s="787"/>
      <c r="AQ1073" s="787"/>
      <c r="AR1073" s="786"/>
      <c r="AS1073" s="787"/>
      <c r="AT1073" s="787"/>
      <c r="AU1073" s="787"/>
      <c r="AV1073" s="786"/>
      <c r="AW1073" s="787"/>
      <c r="AX1073" s="787"/>
      <c r="AY1073" s="787"/>
      <c r="AZ1073" s="780"/>
      <c r="BA1073" s="780"/>
      <c r="BB1073" s="780"/>
      <c r="BC1073" s="780"/>
      <c r="BD1073" s="541"/>
      <c r="BE1073" s="541"/>
      <c r="BF1073" s="541"/>
      <c r="BG1073" s="541"/>
      <c r="BH1073" s="780"/>
      <c r="BI1073" s="780"/>
      <c r="BJ1073" s="780"/>
      <c r="BK1073" s="780"/>
      <c r="BL1073" s="780"/>
      <c r="BM1073" s="780"/>
    </row>
    <row r="1074" ht="12.75" customHeight="1">
      <c r="A1074" s="521"/>
      <c r="B1074" s="521"/>
      <c r="C1074" s="515"/>
      <c r="D1074" s="515"/>
      <c r="E1074" s="515"/>
      <c r="F1074" s="515"/>
      <c r="G1074" s="515"/>
      <c r="H1074" s="515"/>
      <c r="I1074" s="515"/>
      <c r="J1074" s="515"/>
      <c r="K1074" s="515"/>
      <c r="L1074" s="515"/>
      <c r="M1074" s="515"/>
      <c r="N1074" s="515"/>
      <c r="O1074" s="533"/>
      <c r="P1074" s="786"/>
      <c r="Q1074" s="787"/>
      <c r="R1074" s="787"/>
      <c r="S1074" s="787"/>
      <c r="T1074" s="786"/>
      <c r="U1074" s="787"/>
      <c r="V1074" s="787"/>
      <c r="W1074" s="787"/>
      <c r="X1074" s="786"/>
      <c r="Y1074" s="787"/>
      <c r="Z1074" s="787"/>
      <c r="AA1074" s="787"/>
      <c r="AB1074" s="786"/>
      <c r="AC1074" s="787"/>
      <c r="AD1074" s="787"/>
      <c r="AE1074" s="787"/>
      <c r="AF1074" s="786"/>
      <c r="AG1074" s="787"/>
      <c r="AH1074" s="787"/>
      <c r="AI1074" s="787"/>
      <c r="AJ1074" s="786"/>
      <c r="AK1074" s="787"/>
      <c r="AL1074" s="787"/>
      <c r="AM1074" s="787"/>
      <c r="AN1074" s="786"/>
      <c r="AO1074" s="787"/>
      <c r="AP1074" s="787"/>
      <c r="AQ1074" s="787"/>
      <c r="AR1074" s="786"/>
      <c r="AS1074" s="787"/>
      <c r="AT1074" s="787"/>
      <c r="AU1074" s="787"/>
      <c r="AV1074" s="786"/>
      <c r="AW1074" s="787"/>
      <c r="AX1074" s="787"/>
      <c r="AY1074" s="787"/>
      <c r="AZ1074" s="780"/>
      <c r="BA1074" s="780"/>
      <c r="BB1074" s="780"/>
      <c r="BC1074" s="780"/>
      <c r="BD1074" s="541"/>
      <c r="BE1074" s="541"/>
      <c r="BF1074" s="541"/>
      <c r="BG1074" s="541"/>
      <c r="BH1074" s="780"/>
      <c r="BI1074" s="780"/>
      <c r="BJ1074" s="780"/>
      <c r="BK1074" s="780"/>
      <c r="BL1074" s="780"/>
      <c r="BM1074" s="780"/>
    </row>
    <row r="1075" ht="12.75" customHeight="1">
      <c r="A1075" s="521"/>
      <c r="B1075" s="521"/>
      <c r="C1075" s="515"/>
      <c r="D1075" s="515"/>
      <c r="E1075" s="515"/>
      <c r="F1075" s="515"/>
      <c r="G1075" s="515"/>
      <c r="H1075" s="515"/>
      <c r="I1075" s="515"/>
      <c r="J1075" s="515"/>
      <c r="K1075" s="515"/>
      <c r="L1075" s="515"/>
      <c r="M1075" s="515"/>
      <c r="N1075" s="515"/>
      <c r="O1075" s="533"/>
      <c r="P1075" s="786"/>
      <c r="Q1075" s="787"/>
      <c r="R1075" s="787"/>
      <c r="S1075" s="787"/>
      <c r="T1075" s="786"/>
      <c r="U1075" s="787"/>
      <c r="V1075" s="787"/>
      <c r="W1075" s="787"/>
      <c r="X1075" s="786"/>
      <c r="Y1075" s="787"/>
      <c r="Z1075" s="787"/>
      <c r="AA1075" s="787"/>
      <c r="AB1075" s="786"/>
      <c r="AC1075" s="787"/>
      <c r="AD1075" s="787"/>
      <c r="AE1075" s="787"/>
      <c r="AF1075" s="786"/>
      <c r="AG1075" s="787"/>
      <c r="AH1075" s="787"/>
      <c r="AI1075" s="787"/>
      <c r="AJ1075" s="786"/>
      <c r="AK1075" s="787"/>
      <c r="AL1075" s="787"/>
      <c r="AM1075" s="787"/>
      <c r="AN1075" s="786"/>
      <c r="AO1075" s="787"/>
      <c r="AP1075" s="787"/>
      <c r="AQ1075" s="787"/>
      <c r="AR1075" s="786"/>
      <c r="AS1075" s="787"/>
      <c r="AT1075" s="787"/>
      <c r="AU1075" s="787"/>
      <c r="AV1075" s="786"/>
      <c r="AW1075" s="787"/>
      <c r="AX1075" s="787"/>
      <c r="AY1075" s="787"/>
      <c r="AZ1075" s="780"/>
      <c r="BA1075" s="780"/>
      <c r="BB1075" s="780"/>
      <c r="BC1075" s="780"/>
      <c r="BD1075" s="541"/>
      <c r="BE1075" s="541"/>
      <c r="BF1075" s="541"/>
      <c r="BG1075" s="541"/>
      <c r="BH1075" s="780"/>
      <c r="BI1075" s="780"/>
      <c r="BJ1075" s="780"/>
      <c r="BK1075" s="780"/>
      <c r="BL1075" s="780"/>
      <c r="BM1075" s="780"/>
    </row>
    <row r="1076" ht="12.75" customHeight="1">
      <c r="A1076" s="521"/>
      <c r="B1076" s="521"/>
      <c r="C1076" s="515"/>
      <c r="D1076" s="515"/>
      <c r="E1076" s="515"/>
      <c r="F1076" s="515"/>
      <c r="G1076" s="515"/>
      <c r="H1076" s="515"/>
      <c r="I1076" s="515"/>
      <c r="J1076" s="515"/>
      <c r="K1076" s="515"/>
      <c r="L1076" s="515"/>
      <c r="M1076" s="515"/>
      <c r="N1076" s="515"/>
      <c r="O1076" s="533"/>
      <c r="P1076" s="786"/>
      <c r="Q1076" s="787"/>
      <c r="R1076" s="787"/>
      <c r="S1076" s="787"/>
      <c r="T1076" s="786"/>
      <c r="U1076" s="787"/>
      <c r="V1076" s="787"/>
      <c r="W1076" s="787"/>
      <c r="X1076" s="786"/>
      <c r="Y1076" s="787"/>
      <c r="Z1076" s="787"/>
      <c r="AA1076" s="787"/>
      <c r="AB1076" s="786"/>
      <c r="AC1076" s="787"/>
      <c r="AD1076" s="787"/>
      <c r="AE1076" s="787"/>
      <c r="AF1076" s="786"/>
      <c r="AG1076" s="787"/>
      <c r="AH1076" s="787"/>
      <c r="AI1076" s="787"/>
      <c r="AJ1076" s="786"/>
      <c r="AK1076" s="787"/>
      <c r="AL1076" s="787"/>
      <c r="AM1076" s="787"/>
      <c r="AN1076" s="786"/>
      <c r="AO1076" s="787"/>
      <c r="AP1076" s="787"/>
      <c r="AQ1076" s="787"/>
      <c r="AR1076" s="786"/>
      <c r="AS1076" s="787"/>
      <c r="AT1076" s="787"/>
      <c r="AU1076" s="787"/>
      <c r="AV1076" s="786"/>
      <c r="AW1076" s="787"/>
      <c r="AX1076" s="787"/>
      <c r="AY1076" s="787"/>
      <c r="AZ1076" s="780"/>
      <c r="BA1076" s="780"/>
      <c r="BB1076" s="780"/>
      <c r="BC1076" s="780"/>
      <c r="BD1076" s="541"/>
      <c r="BE1076" s="541"/>
      <c r="BF1076" s="541"/>
      <c r="BG1076" s="541"/>
      <c r="BH1076" s="780"/>
      <c r="BI1076" s="780"/>
      <c r="BJ1076" s="780"/>
      <c r="BK1076" s="780"/>
      <c r="BL1076" s="780"/>
      <c r="BM1076" s="780"/>
    </row>
    <row r="1077" ht="12.75" customHeight="1">
      <c r="A1077" s="521"/>
      <c r="B1077" s="521"/>
      <c r="C1077" s="515"/>
      <c r="D1077" s="515"/>
      <c r="E1077" s="515"/>
      <c r="F1077" s="515"/>
      <c r="G1077" s="515"/>
      <c r="H1077" s="515"/>
      <c r="I1077" s="515"/>
      <c r="J1077" s="515"/>
      <c r="K1077" s="515"/>
      <c r="L1077" s="515"/>
      <c r="M1077" s="515"/>
      <c r="N1077" s="515"/>
      <c r="O1077" s="533"/>
      <c r="P1077" s="786"/>
      <c r="Q1077" s="787"/>
      <c r="R1077" s="787"/>
      <c r="S1077" s="787"/>
      <c r="T1077" s="786"/>
      <c r="U1077" s="787"/>
      <c r="V1077" s="787"/>
      <c r="W1077" s="787"/>
      <c r="X1077" s="786"/>
      <c r="Y1077" s="787"/>
      <c r="Z1077" s="787"/>
      <c r="AA1077" s="787"/>
      <c r="AB1077" s="786"/>
      <c r="AC1077" s="787"/>
      <c r="AD1077" s="787"/>
      <c r="AE1077" s="787"/>
      <c r="AF1077" s="786"/>
      <c r="AG1077" s="787"/>
      <c r="AH1077" s="787"/>
      <c r="AI1077" s="787"/>
      <c r="AJ1077" s="786"/>
      <c r="AK1077" s="787"/>
      <c r="AL1077" s="787"/>
      <c r="AM1077" s="787"/>
      <c r="AN1077" s="786"/>
      <c r="AO1077" s="787"/>
      <c r="AP1077" s="787"/>
      <c r="AQ1077" s="787"/>
      <c r="AR1077" s="786"/>
      <c r="AS1077" s="787"/>
      <c r="AT1077" s="787"/>
      <c r="AU1077" s="787"/>
      <c r="AV1077" s="786"/>
      <c r="AW1077" s="787"/>
      <c r="AX1077" s="787"/>
      <c r="AY1077" s="787"/>
      <c r="AZ1077" s="780"/>
      <c r="BA1077" s="780"/>
      <c r="BB1077" s="780"/>
      <c r="BC1077" s="780"/>
      <c r="BD1077" s="541"/>
      <c r="BE1077" s="541"/>
      <c r="BF1077" s="541"/>
      <c r="BG1077" s="541"/>
      <c r="BH1077" s="780"/>
      <c r="BI1077" s="780"/>
      <c r="BJ1077" s="780"/>
      <c r="BK1077" s="780"/>
      <c r="BL1077" s="780"/>
      <c r="BM1077" s="780"/>
    </row>
    <row r="1078" ht="12.75" customHeight="1">
      <c r="A1078" s="521"/>
      <c r="B1078" s="521"/>
      <c r="C1078" s="515"/>
      <c r="D1078" s="515"/>
      <c r="E1078" s="515"/>
      <c r="F1078" s="515"/>
      <c r="G1078" s="515"/>
      <c r="H1078" s="515"/>
      <c r="I1078" s="515"/>
      <c r="J1078" s="515"/>
      <c r="K1078" s="515"/>
      <c r="L1078" s="515"/>
      <c r="M1078" s="515"/>
      <c r="N1078" s="515"/>
      <c r="O1078" s="533"/>
      <c r="P1078" s="786"/>
      <c r="Q1078" s="787"/>
      <c r="R1078" s="787"/>
      <c r="S1078" s="787"/>
      <c r="T1078" s="786"/>
      <c r="U1078" s="787"/>
      <c r="V1078" s="787"/>
      <c r="W1078" s="787"/>
      <c r="X1078" s="786"/>
      <c r="Y1078" s="787"/>
      <c r="Z1078" s="787"/>
      <c r="AA1078" s="787"/>
      <c r="AB1078" s="786"/>
      <c r="AC1078" s="787"/>
      <c r="AD1078" s="787"/>
      <c r="AE1078" s="787"/>
      <c r="AF1078" s="786"/>
      <c r="AG1078" s="787"/>
      <c r="AH1078" s="787"/>
      <c r="AI1078" s="787"/>
      <c r="AJ1078" s="786"/>
      <c r="AK1078" s="787"/>
      <c r="AL1078" s="787"/>
      <c r="AM1078" s="787"/>
      <c r="AN1078" s="786"/>
      <c r="AO1078" s="787"/>
      <c r="AP1078" s="787"/>
      <c r="AQ1078" s="787"/>
      <c r="AR1078" s="786"/>
      <c r="AS1078" s="787"/>
      <c r="AT1078" s="787"/>
      <c r="AU1078" s="787"/>
      <c r="AV1078" s="786"/>
      <c r="AW1078" s="787"/>
      <c r="AX1078" s="787"/>
      <c r="AY1078" s="787"/>
      <c r="AZ1078" s="780"/>
      <c r="BA1078" s="780"/>
      <c r="BB1078" s="780"/>
      <c r="BC1078" s="780"/>
      <c r="BD1078" s="541"/>
      <c r="BE1078" s="541"/>
      <c r="BF1078" s="541"/>
      <c r="BG1078" s="541"/>
      <c r="BH1078" s="780"/>
      <c r="BI1078" s="780"/>
      <c r="BJ1078" s="780"/>
      <c r="BK1078" s="780"/>
      <c r="BL1078" s="780"/>
      <c r="BM1078" s="780"/>
    </row>
    <row r="1079" ht="12.75" customHeight="1">
      <c r="A1079" s="521"/>
      <c r="B1079" s="521"/>
      <c r="C1079" s="515"/>
      <c r="D1079" s="515"/>
      <c r="E1079" s="515"/>
      <c r="F1079" s="515"/>
      <c r="G1079" s="515"/>
      <c r="H1079" s="515"/>
      <c r="I1079" s="515"/>
      <c r="J1079" s="515"/>
      <c r="K1079" s="515"/>
      <c r="L1079" s="515"/>
      <c r="M1079" s="515"/>
      <c r="N1079" s="515"/>
      <c r="O1079" s="533"/>
      <c r="P1079" s="786"/>
      <c r="Q1079" s="787"/>
      <c r="R1079" s="787"/>
      <c r="S1079" s="787"/>
      <c r="T1079" s="786"/>
      <c r="U1079" s="787"/>
      <c r="V1079" s="787"/>
      <c r="W1079" s="787"/>
      <c r="X1079" s="786"/>
      <c r="Y1079" s="787"/>
      <c r="Z1079" s="787"/>
      <c r="AA1079" s="787"/>
      <c r="AB1079" s="786"/>
      <c r="AC1079" s="787"/>
      <c r="AD1079" s="787"/>
      <c r="AE1079" s="787"/>
      <c r="AF1079" s="786"/>
      <c r="AG1079" s="787"/>
      <c r="AH1079" s="787"/>
      <c r="AI1079" s="787"/>
      <c r="AJ1079" s="786"/>
      <c r="AK1079" s="787"/>
      <c r="AL1079" s="787"/>
      <c r="AM1079" s="787"/>
      <c r="AN1079" s="786"/>
      <c r="AO1079" s="787"/>
      <c r="AP1079" s="787"/>
      <c r="AQ1079" s="787"/>
      <c r="AR1079" s="786"/>
      <c r="AS1079" s="787"/>
      <c r="AT1079" s="787"/>
      <c r="AU1079" s="787"/>
      <c r="AV1079" s="786"/>
      <c r="AW1079" s="787"/>
      <c r="AX1079" s="787"/>
      <c r="AY1079" s="787"/>
      <c r="AZ1079" s="780"/>
      <c r="BA1079" s="780"/>
      <c r="BB1079" s="780"/>
      <c r="BC1079" s="780"/>
      <c r="BD1079" s="541"/>
      <c r="BE1079" s="541"/>
      <c r="BF1079" s="541"/>
      <c r="BG1079" s="541"/>
      <c r="BH1079" s="780"/>
      <c r="BI1079" s="780"/>
      <c r="BJ1079" s="780"/>
      <c r="BK1079" s="780"/>
      <c r="BL1079" s="780"/>
      <c r="BM1079" s="780"/>
    </row>
    <row r="1080" ht="12.75" customHeight="1">
      <c r="A1080" s="521"/>
      <c r="B1080" s="521"/>
      <c r="C1080" s="515"/>
      <c r="D1080" s="515"/>
      <c r="E1080" s="515"/>
      <c r="F1080" s="515"/>
      <c r="G1080" s="515"/>
      <c r="H1080" s="515"/>
      <c r="I1080" s="515"/>
      <c r="J1080" s="515"/>
      <c r="K1080" s="515"/>
      <c r="L1080" s="515"/>
      <c r="M1080" s="515"/>
      <c r="N1080" s="515"/>
      <c r="O1080" s="533"/>
      <c r="P1080" s="786"/>
      <c r="Q1080" s="787"/>
      <c r="R1080" s="787"/>
      <c r="S1080" s="787"/>
      <c r="T1080" s="786"/>
      <c r="U1080" s="787"/>
      <c r="V1080" s="787"/>
      <c r="W1080" s="787"/>
      <c r="X1080" s="786"/>
      <c r="Y1080" s="787"/>
      <c r="Z1080" s="787"/>
      <c r="AA1080" s="787"/>
      <c r="AB1080" s="786"/>
      <c r="AC1080" s="787"/>
      <c r="AD1080" s="787"/>
      <c r="AE1080" s="787"/>
      <c r="AF1080" s="786"/>
      <c r="AG1080" s="787"/>
      <c r="AH1080" s="787"/>
      <c r="AI1080" s="787"/>
      <c r="AJ1080" s="786"/>
      <c r="AK1080" s="787"/>
      <c r="AL1080" s="787"/>
      <c r="AM1080" s="787"/>
      <c r="AN1080" s="786"/>
      <c r="AO1080" s="787"/>
      <c r="AP1080" s="787"/>
      <c r="AQ1080" s="787"/>
      <c r="AR1080" s="786"/>
      <c r="AS1080" s="787"/>
      <c r="AT1080" s="787"/>
      <c r="AU1080" s="787"/>
      <c r="AV1080" s="786"/>
      <c r="AW1080" s="787"/>
      <c r="AX1080" s="787"/>
      <c r="AY1080" s="787"/>
      <c r="AZ1080" s="780"/>
      <c r="BA1080" s="780"/>
      <c r="BB1080" s="780"/>
      <c r="BC1080" s="780"/>
      <c r="BD1080" s="541"/>
      <c r="BE1080" s="541"/>
      <c r="BF1080" s="541"/>
      <c r="BG1080" s="541"/>
      <c r="BH1080" s="780"/>
      <c r="BI1080" s="780"/>
      <c r="BJ1080" s="780"/>
      <c r="BK1080" s="780"/>
      <c r="BL1080" s="780"/>
      <c r="BM1080" s="780"/>
    </row>
    <row r="1081" ht="12.75" customHeight="1">
      <c r="A1081" s="521"/>
      <c r="B1081" s="521"/>
      <c r="C1081" s="515"/>
      <c r="D1081" s="515"/>
      <c r="E1081" s="515"/>
      <c r="F1081" s="515"/>
      <c r="G1081" s="515"/>
      <c r="H1081" s="515"/>
      <c r="I1081" s="515"/>
      <c r="J1081" s="515"/>
      <c r="K1081" s="515"/>
      <c r="L1081" s="515"/>
      <c r="M1081" s="515"/>
      <c r="N1081" s="515"/>
      <c r="O1081" s="533"/>
      <c r="P1081" s="786"/>
      <c r="Q1081" s="787"/>
      <c r="R1081" s="787"/>
      <c r="S1081" s="787"/>
      <c r="T1081" s="786"/>
      <c r="U1081" s="787"/>
      <c r="V1081" s="787"/>
      <c r="W1081" s="787"/>
      <c r="X1081" s="786"/>
      <c r="Y1081" s="787"/>
      <c r="Z1081" s="787"/>
      <c r="AA1081" s="787"/>
      <c r="AB1081" s="786"/>
      <c r="AC1081" s="787"/>
      <c r="AD1081" s="787"/>
      <c r="AE1081" s="787"/>
      <c r="AF1081" s="786"/>
      <c r="AG1081" s="787"/>
      <c r="AH1081" s="787"/>
      <c r="AI1081" s="787"/>
      <c r="AJ1081" s="786"/>
      <c r="AK1081" s="787"/>
      <c r="AL1081" s="787"/>
      <c r="AM1081" s="787"/>
      <c r="AN1081" s="786"/>
      <c r="AO1081" s="787"/>
      <c r="AP1081" s="787"/>
      <c r="AQ1081" s="787"/>
      <c r="AR1081" s="786"/>
      <c r="AS1081" s="787"/>
      <c r="AT1081" s="787"/>
      <c r="AU1081" s="787"/>
      <c r="AV1081" s="786"/>
      <c r="AW1081" s="787"/>
      <c r="AX1081" s="787"/>
      <c r="AY1081" s="787"/>
      <c r="AZ1081" s="780"/>
      <c r="BA1081" s="780"/>
      <c r="BB1081" s="780"/>
      <c r="BC1081" s="780"/>
      <c r="BD1081" s="541"/>
      <c r="BE1081" s="541"/>
      <c r="BF1081" s="541"/>
      <c r="BG1081" s="541"/>
      <c r="BH1081" s="780"/>
      <c r="BI1081" s="780"/>
      <c r="BJ1081" s="780"/>
      <c r="BK1081" s="780"/>
      <c r="BL1081" s="780"/>
      <c r="BM1081" s="780"/>
    </row>
    <row r="1082" ht="12.75" customHeight="1">
      <c r="A1082" s="521"/>
      <c r="B1082" s="521"/>
      <c r="C1082" s="515"/>
      <c r="D1082" s="515"/>
      <c r="E1082" s="515"/>
      <c r="F1082" s="515"/>
      <c r="G1082" s="515"/>
      <c r="H1082" s="515"/>
      <c r="I1082" s="515"/>
      <c r="J1082" s="515"/>
      <c r="K1082" s="515"/>
      <c r="L1082" s="515"/>
      <c r="M1082" s="515"/>
      <c r="N1082" s="515"/>
      <c r="O1082" s="533"/>
      <c r="P1082" s="786"/>
      <c r="Q1082" s="787"/>
      <c r="R1082" s="787"/>
      <c r="S1082" s="787"/>
      <c r="T1082" s="786"/>
      <c r="U1082" s="787"/>
      <c r="V1082" s="787"/>
      <c r="W1082" s="787"/>
      <c r="X1082" s="786"/>
      <c r="Y1082" s="787"/>
      <c r="Z1082" s="787"/>
      <c r="AA1082" s="787"/>
      <c r="AB1082" s="786"/>
      <c r="AC1082" s="787"/>
      <c r="AD1082" s="787"/>
      <c r="AE1082" s="787"/>
      <c r="AF1082" s="786"/>
      <c r="AG1082" s="787"/>
      <c r="AH1082" s="787"/>
      <c r="AI1082" s="787"/>
      <c r="AJ1082" s="786"/>
      <c r="AK1082" s="787"/>
      <c r="AL1082" s="787"/>
      <c r="AM1082" s="787"/>
      <c r="AN1082" s="786"/>
      <c r="AO1082" s="787"/>
      <c r="AP1082" s="787"/>
      <c r="AQ1082" s="787"/>
      <c r="AR1082" s="786"/>
      <c r="AS1082" s="787"/>
      <c r="AT1082" s="787"/>
      <c r="AU1082" s="787"/>
      <c r="AV1082" s="786"/>
      <c r="AW1082" s="787"/>
      <c r="AX1082" s="787"/>
      <c r="AY1082" s="787"/>
      <c r="AZ1082" s="780"/>
      <c r="BA1082" s="780"/>
      <c r="BB1082" s="780"/>
      <c r="BC1082" s="780"/>
      <c r="BD1082" s="541"/>
      <c r="BE1082" s="541"/>
      <c r="BF1082" s="541"/>
      <c r="BG1082" s="541"/>
      <c r="BH1082" s="780"/>
      <c r="BI1082" s="780"/>
      <c r="BJ1082" s="780"/>
      <c r="BK1082" s="780"/>
      <c r="BL1082" s="780"/>
      <c r="BM1082" s="780"/>
    </row>
    <row r="1083" ht="12.75" customHeight="1">
      <c r="A1083" s="521"/>
      <c r="B1083" s="521"/>
      <c r="C1083" s="515"/>
      <c r="D1083" s="515"/>
      <c r="E1083" s="515"/>
      <c r="F1083" s="515"/>
      <c r="G1083" s="515"/>
      <c r="H1083" s="515"/>
      <c r="I1083" s="515"/>
      <c r="J1083" s="515"/>
      <c r="K1083" s="515"/>
      <c r="L1083" s="515"/>
      <c r="M1083" s="515"/>
      <c r="N1083" s="515"/>
      <c r="O1083" s="533"/>
      <c r="P1083" s="786"/>
      <c r="Q1083" s="787"/>
      <c r="R1083" s="787"/>
      <c r="S1083" s="787"/>
      <c r="T1083" s="786"/>
      <c r="U1083" s="787"/>
      <c r="V1083" s="787"/>
      <c r="W1083" s="787"/>
      <c r="X1083" s="786"/>
      <c r="Y1083" s="787"/>
      <c r="Z1083" s="787"/>
      <c r="AA1083" s="787"/>
      <c r="AB1083" s="786"/>
      <c r="AC1083" s="787"/>
      <c r="AD1083" s="787"/>
      <c r="AE1083" s="787"/>
      <c r="AF1083" s="786"/>
      <c r="AG1083" s="787"/>
      <c r="AH1083" s="787"/>
      <c r="AI1083" s="787"/>
      <c r="AJ1083" s="786"/>
      <c r="AK1083" s="787"/>
      <c r="AL1083" s="787"/>
      <c r="AM1083" s="787"/>
      <c r="AN1083" s="786"/>
      <c r="AO1083" s="787"/>
      <c r="AP1083" s="787"/>
      <c r="AQ1083" s="787"/>
      <c r="AR1083" s="786"/>
      <c r="AS1083" s="787"/>
      <c r="AT1083" s="787"/>
      <c r="AU1083" s="787"/>
      <c r="AV1083" s="786"/>
      <c r="AW1083" s="787"/>
      <c r="AX1083" s="787"/>
      <c r="AY1083" s="787"/>
      <c r="AZ1083" s="780"/>
      <c r="BA1083" s="780"/>
      <c r="BB1083" s="780"/>
      <c r="BC1083" s="780"/>
      <c r="BD1083" s="541"/>
      <c r="BE1083" s="541"/>
      <c r="BF1083" s="541"/>
      <c r="BG1083" s="541"/>
      <c r="BH1083" s="780"/>
      <c r="BI1083" s="780"/>
      <c r="BJ1083" s="780"/>
      <c r="BK1083" s="780"/>
      <c r="BL1083" s="780"/>
      <c r="BM1083" s="780"/>
    </row>
    <row r="1084" ht="12.75" customHeight="1">
      <c r="A1084" s="521"/>
      <c r="B1084" s="521"/>
      <c r="C1084" s="515"/>
      <c r="D1084" s="515"/>
      <c r="E1084" s="515"/>
      <c r="F1084" s="515"/>
      <c r="G1084" s="515"/>
      <c r="H1084" s="515"/>
      <c r="I1084" s="515"/>
      <c r="J1084" s="515"/>
      <c r="K1084" s="515"/>
      <c r="L1084" s="515"/>
      <c r="M1084" s="515"/>
      <c r="N1084" s="515"/>
      <c r="O1084" s="533"/>
      <c r="P1084" s="786"/>
      <c r="Q1084" s="787"/>
      <c r="R1084" s="787"/>
      <c r="S1084" s="787"/>
      <c r="T1084" s="786"/>
      <c r="U1084" s="787"/>
      <c r="V1084" s="787"/>
      <c r="W1084" s="787"/>
      <c r="X1084" s="786"/>
      <c r="Y1084" s="787"/>
      <c r="Z1084" s="787"/>
      <c r="AA1084" s="787"/>
      <c r="AB1084" s="786"/>
      <c r="AC1084" s="787"/>
      <c r="AD1084" s="787"/>
      <c r="AE1084" s="787"/>
      <c r="AF1084" s="786"/>
      <c r="AG1084" s="787"/>
      <c r="AH1084" s="787"/>
      <c r="AI1084" s="787"/>
      <c r="AJ1084" s="786"/>
      <c r="AK1084" s="787"/>
      <c r="AL1084" s="787"/>
      <c r="AM1084" s="787"/>
      <c r="AN1084" s="786"/>
      <c r="AO1084" s="787"/>
      <c r="AP1084" s="787"/>
      <c r="AQ1084" s="787"/>
      <c r="AR1084" s="786"/>
      <c r="AS1084" s="787"/>
      <c r="AT1084" s="787"/>
      <c r="AU1084" s="787"/>
      <c r="AV1084" s="786"/>
      <c r="AW1084" s="787"/>
      <c r="AX1084" s="787"/>
      <c r="AY1084" s="787"/>
      <c r="AZ1084" s="780"/>
      <c r="BA1084" s="780"/>
      <c r="BB1084" s="780"/>
      <c r="BC1084" s="780"/>
      <c r="BD1084" s="541"/>
      <c r="BE1084" s="541"/>
      <c r="BF1084" s="541"/>
      <c r="BG1084" s="541"/>
      <c r="BH1084" s="780"/>
      <c r="BI1084" s="780"/>
      <c r="BJ1084" s="780"/>
      <c r="BK1084" s="780"/>
      <c r="BL1084" s="780"/>
      <c r="BM1084" s="780"/>
    </row>
    <row r="1085" ht="12.75" customHeight="1">
      <c r="A1085" s="521"/>
      <c r="B1085" s="521"/>
      <c r="C1085" s="515"/>
      <c r="D1085" s="515"/>
      <c r="E1085" s="515"/>
      <c r="F1085" s="515"/>
      <c r="G1085" s="515"/>
      <c r="H1085" s="515"/>
      <c r="I1085" s="515"/>
      <c r="J1085" s="515"/>
      <c r="K1085" s="515"/>
      <c r="L1085" s="515"/>
      <c r="M1085" s="515"/>
      <c r="N1085" s="515"/>
      <c r="O1085" s="533"/>
      <c r="P1085" s="786"/>
      <c r="Q1085" s="787"/>
      <c r="R1085" s="787"/>
      <c r="S1085" s="787"/>
      <c r="T1085" s="786"/>
      <c r="U1085" s="787"/>
      <c r="V1085" s="787"/>
      <c r="W1085" s="787"/>
      <c r="X1085" s="786"/>
      <c r="Y1085" s="787"/>
      <c r="Z1085" s="787"/>
      <c r="AA1085" s="787"/>
      <c r="AB1085" s="786"/>
      <c r="AC1085" s="787"/>
      <c r="AD1085" s="787"/>
      <c r="AE1085" s="787"/>
      <c r="AF1085" s="786"/>
      <c r="AG1085" s="787"/>
      <c r="AH1085" s="787"/>
      <c r="AI1085" s="787"/>
      <c r="AJ1085" s="786"/>
      <c r="AK1085" s="787"/>
      <c r="AL1085" s="787"/>
      <c r="AM1085" s="787"/>
      <c r="AN1085" s="786"/>
      <c r="AO1085" s="787"/>
      <c r="AP1085" s="787"/>
      <c r="AQ1085" s="787"/>
      <c r="AR1085" s="786"/>
      <c r="AS1085" s="787"/>
      <c r="AT1085" s="787"/>
      <c r="AU1085" s="787"/>
      <c r="AV1085" s="786"/>
      <c r="AW1085" s="787"/>
      <c r="AX1085" s="787"/>
      <c r="AY1085" s="787"/>
      <c r="AZ1085" s="780"/>
      <c r="BA1085" s="780"/>
      <c r="BB1085" s="780"/>
      <c r="BC1085" s="780"/>
      <c r="BD1085" s="541"/>
      <c r="BE1085" s="541"/>
      <c r="BF1085" s="541"/>
      <c r="BG1085" s="541"/>
      <c r="BH1085" s="780"/>
      <c r="BI1085" s="780"/>
      <c r="BJ1085" s="780"/>
      <c r="BK1085" s="780"/>
      <c r="BL1085" s="780"/>
      <c r="BM1085" s="780"/>
    </row>
    <row r="1086" ht="12.75" customHeight="1">
      <c r="A1086" s="521"/>
      <c r="B1086" s="521"/>
      <c r="C1086" s="515"/>
      <c r="D1086" s="515"/>
      <c r="E1086" s="515"/>
      <c r="F1086" s="515"/>
      <c r="G1086" s="515"/>
      <c r="H1086" s="515"/>
      <c r="I1086" s="515"/>
      <c r="J1086" s="515"/>
      <c r="K1086" s="515"/>
      <c r="L1086" s="515"/>
      <c r="M1086" s="515"/>
      <c r="N1086" s="515"/>
      <c r="O1086" s="533"/>
      <c r="P1086" s="786"/>
      <c r="Q1086" s="787"/>
      <c r="R1086" s="787"/>
      <c r="S1086" s="787"/>
      <c r="T1086" s="786"/>
      <c r="U1086" s="787"/>
      <c r="V1086" s="787"/>
      <c r="W1086" s="787"/>
      <c r="X1086" s="786"/>
      <c r="Y1086" s="787"/>
      <c r="Z1086" s="787"/>
      <c r="AA1086" s="787"/>
      <c r="AB1086" s="786"/>
      <c r="AC1086" s="787"/>
      <c r="AD1086" s="787"/>
      <c r="AE1086" s="787"/>
      <c r="AF1086" s="786"/>
      <c r="AG1086" s="787"/>
      <c r="AH1086" s="787"/>
      <c r="AI1086" s="787"/>
      <c r="AJ1086" s="786"/>
      <c r="AK1086" s="787"/>
      <c r="AL1086" s="787"/>
      <c r="AM1086" s="787"/>
      <c r="AN1086" s="786"/>
      <c r="AO1086" s="787"/>
      <c r="AP1086" s="787"/>
      <c r="AQ1086" s="787"/>
      <c r="AR1086" s="786"/>
      <c r="AS1086" s="787"/>
      <c r="AT1086" s="787"/>
      <c r="AU1086" s="787"/>
      <c r="AV1086" s="786"/>
      <c r="AW1086" s="787"/>
      <c r="AX1086" s="787"/>
      <c r="AY1086" s="787"/>
      <c r="AZ1086" s="780"/>
      <c r="BA1086" s="780"/>
      <c r="BB1086" s="780"/>
      <c r="BC1086" s="780"/>
      <c r="BD1086" s="541"/>
      <c r="BE1086" s="541"/>
      <c r="BF1086" s="541"/>
      <c r="BG1086" s="541"/>
      <c r="BH1086" s="780"/>
      <c r="BI1086" s="780"/>
      <c r="BJ1086" s="780"/>
      <c r="BK1086" s="780"/>
      <c r="BL1086" s="780"/>
      <c r="BM1086" s="780"/>
    </row>
    <row r="1087" ht="12.75" customHeight="1">
      <c r="A1087" s="521"/>
      <c r="B1087" s="521"/>
      <c r="C1087" s="515"/>
      <c r="D1087" s="515"/>
      <c r="E1087" s="515"/>
      <c r="F1087" s="515"/>
      <c r="G1087" s="515"/>
      <c r="H1087" s="515"/>
      <c r="I1087" s="515"/>
      <c r="J1087" s="515"/>
      <c r="K1087" s="515"/>
      <c r="L1087" s="515"/>
      <c r="M1087" s="515"/>
      <c r="N1087" s="515"/>
      <c r="O1087" s="533"/>
      <c r="P1087" s="786"/>
      <c r="Q1087" s="787"/>
      <c r="R1087" s="787"/>
      <c r="S1087" s="787"/>
      <c r="T1087" s="786"/>
      <c r="U1087" s="787"/>
      <c r="V1087" s="787"/>
      <c r="W1087" s="787"/>
      <c r="X1087" s="786"/>
      <c r="Y1087" s="787"/>
      <c r="Z1087" s="787"/>
      <c r="AA1087" s="787"/>
      <c r="AB1087" s="786"/>
      <c r="AC1087" s="787"/>
      <c r="AD1087" s="787"/>
      <c r="AE1087" s="787"/>
      <c r="AF1087" s="786"/>
      <c r="AG1087" s="787"/>
      <c r="AH1087" s="787"/>
      <c r="AI1087" s="787"/>
      <c r="AJ1087" s="786"/>
      <c r="AK1087" s="787"/>
      <c r="AL1087" s="787"/>
      <c r="AM1087" s="787"/>
      <c r="AN1087" s="786"/>
      <c r="AO1087" s="787"/>
      <c r="AP1087" s="787"/>
      <c r="AQ1087" s="787"/>
      <c r="AR1087" s="786"/>
      <c r="AS1087" s="787"/>
      <c r="AT1087" s="787"/>
      <c r="AU1087" s="787"/>
      <c r="AV1087" s="786"/>
      <c r="AW1087" s="787"/>
      <c r="AX1087" s="787"/>
      <c r="AY1087" s="787"/>
      <c r="AZ1087" s="780"/>
      <c r="BA1087" s="780"/>
      <c r="BB1087" s="780"/>
      <c r="BC1087" s="780"/>
      <c r="BD1087" s="541"/>
      <c r="BE1087" s="541"/>
      <c r="BF1087" s="541"/>
      <c r="BG1087" s="541"/>
      <c r="BH1087" s="780"/>
      <c r="BI1087" s="780"/>
      <c r="BJ1087" s="780"/>
      <c r="BK1087" s="780"/>
      <c r="BL1087" s="780"/>
      <c r="BM1087" s="780"/>
    </row>
    <row r="1088" ht="12.75" customHeight="1">
      <c r="A1088" s="521"/>
      <c r="B1088" s="521"/>
      <c r="C1088" s="515"/>
      <c r="D1088" s="515"/>
      <c r="E1088" s="515"/>
      <c r="F1088" s="515"/>
      <c r="G1088" s="515"/>
      <c r="H1088" s="515"/>
      <c r="I1088" s="515"/>
      <c r="J1088" s="515"/>
      <c r="K1088" s="515"/>
      <c r="L1088" s="515"/>
      <c r="M1088" s="515"/>
      <c r="N1088" s="515"/>
      <c r="O1088" s="533"/>
      <c r="P1088" s="786"/>
      <c r="Q1088" s="787"/>
      <c r="R1088" s="787"/>
      <c r="S1088" s="787"/>
      <c r="T1088" s="786"/>
      <c r="U1088" s="787"/>
      <c r="V1088" s="787"/>
      <c r="W1088" s="787"/>
      <c r="X1088" s="786"/>
      <c r="Y1088" s="787"/>
      <c r="Z1088" s="787"/>
      <c r="AA1088" s="787"/>
      <c r="AB1088" s="786"/>
      <c r="AC1088" s="787"/>
      <c r="AD1088" s="787"/>
      <c r="AE1088" s="787"/>
      <c r="AF1088" s="786"/>
      <c r="AG1088" s="787"/>
      <c r="AH1088" s="787"/>
      <c r="AI1088" s="787"/>
      <c r="AJ1088" s="786"/>
      <c r="AK1088" s="787"/>
      <c r="AL1088" s="787"/>
      <c r="AM1088" s="787"/>
      <c r="AN1088" s="786"/>
      <c r="AO1088" s="787"/>
      <c r="AP1088" s="787"/>
      <c r="AQ1088" s="787"/>
      <c r="AR1088" s="786"/>
      <c r="AS1088" s="787"/>
      <c r="AT1088" s="787"/>
      <c r="AU1088" s="787"/>
      <c r="AV1088" s="786"/>
      <c r="AW1088" s="787"/>
      <c r="AX1088" s="787"/>
      <c r="AY1088" s="787"/>
      <c r="AZ1088" s="780"/>
      <c r="BA1088" s="780"/>
      <c r="BB1088" s="780"/>
      <c r="BC1088" s="780"/>
      <c r="BD1088" s="541"/>
      <c r="BE1088" s="541"/>
      <c r="BF1088" s="541"/>
      <c r="BG1088" s="541"/>
      <c r="BH1088" s="780"/>
      <c r="BI1088" s="780"/>
      <c r="BJ1088" s="780"/>
      <c r="BK1088" s="780"/>
      <c r="BL1088" s="780"/>
      <c r="BM1088" s="780"/>
    </row>
    <row r="1089" ht="12.75" customHeight="1">
      <c r="A1089" s="521"/>
      <c r="B1089" s="521"/>
      <c r="C1089" s="515"/>
      <c r="D1089" s="515"/>
      <c r="E1089" s="515"/>
      <c r="F1089" s="515"/>
      <c r="G1089" s="515"/>
      <c r="H1089" s="515"/>
      <c r="I1089" s="515"/>
      <c r="J1089" s="515"/>
      <c r="K1089" s="515"/>
      <c r="L1089" s="515"/>
      <c r="M1089" s="515"/>
      <c r="N1089" s="515"/>
      <c r="O1089" s="533"/>
      <c r="P1089" s="786"/>
      <c r="Q1089" s="787"/>
      <c r="R1089" s="787"/>
      <c r="S1089" s="787"/>
      <c r="T1089" s="786"/>
      <c r="U1089" s="787"/>
      <c r="V1089" s="787"/>
      <c r="W1089" s="787"/>
      <c r="X1089" s="786"/>
      <c r="Y1089" s="787"/>
      <c r="Z1089" s="787"/>
      <c r="AA1089" s="787"/>
      <c r="AB1089" s="786"/>
      <c r="AC1089" s="787"/>
      <c r="AD1089" s="787"/>
      <c r="AE1089" s="787"/>
      <c r="AF1089" s="786"/>
      <c r="AG1089" s="787"/>
      <c r="AH1089" s="787"/>
      <c r="AI1089" s="787"/>
      <c r="AJ1089" s="786"/>
      <c r="AK1089" s="787"/>
      <c r="AL1089" s="787"/>
      <c r="AM1089" s="787"/>
      <c r="AN1089" s="786"/>
      <c r="AO1089" s="787"/>
      <c r="AP1089" s="787"/>
      <c r="AQ1089" s="787"/>
      <c r="AR1089" s="786"/>
      <c r="AS1089" s="787"/>
      <c r="AT1089" s="787"/>
      <c r="AU1089" s="787"/>
      <c r="AV1089" s="786"/>
      <c r="AW1089" s="787"/>
      <c r="AX1089" s="787"/>
      <c r="AY1089" s="787"/>
      <c r="AZ1089" s="780"/>
      <c r="BA1089" s="780"/>
      <c r="BB1089" s="780"/>
      <c r="BC1089" s="780"/>
      <c r="BD1089" s="541"/>
      <c r="BE1089" s="541"/>
      <c r="BF1089" s="541"/>
      <c r="BG1089" s="541"/>
      <c r="BH1089" s="780"/>
      <c r="BI1089" s="780"/>
      <c r="BJ1089" s="780"/>
      <c r="BK1089" s="780"/>
      <c r="BL1089" s="780"/>
      <c r="BM1089" s="780"/>
    </row>
    <row r="1090" ht="12.75" customHeight="1">
      <c r="A1090" s="521"/>
      <c r="B1090" s="521"/>
      <c r="C1090" s="515"/>
      <c r="D1090" s="515"/>
      <c r="E1090" s="515"/>
      <c r="F1090" s="515"/>
      <c r="G1090" s="515"/>
      <c r="H1090" s="515"/>
      <c r="I1090" s="515"/>
      <c r="J1090" s="515"/>
      <c r="K1090" s="515"/>
      <c r="L1090" s="515"/>
      <c r="M1090" s="515"/>
      <c r="N1090" s="515"/>
      <c r="O1090" s="533"/>
      <c r="P1090" s="786"/>
      <c r="Q1090" s="787"/>
      <c r="R1090" s="787"/>
      <c r="S1090" s="787"/>
      <c r="T1090" s="786"/>
      <c r="U1090" s="787"/>
      <c r="V1090" s="787"/>
      <c r="W1090" s="787"/>
      <c r="X1090" s="786"/>
      <c r="Y1090" s="787"/>
      <c r="Z1090" s="787"/>
      <c r="AA1090" s="787"/>
      <c r="AB1090" s="786"/>
      <c r="AC1090" s="787"/>
      <c r="AD1090" s="787"/>
      <c r="AE1090" s="787"/>
      <c r="AF1090" s="786"/>
      <c r="AG1090" s="787"/>
      <c r="AH1090" s="787"/>
      <c r="AI1090" s="787"/>
      <c r="AJ1090" s="786"/>
      <c r="AK1090" s="787"/>
      <c r="AL1090" s="787"/>
      <c r="AM1090" s="787"/>
      <c r="AN1090" s="786"/>
      <c r="AO1090" s="787"/>
      <c r="AP1090" s="787"/>
      <c r="AQ1090" s="787"/>
      <c r="AR1090" s="786"/>
      <c r="AS1090" s="787"/>
      <c r="AT1090" s="787"/>
      <c r="AU1090" s="787"/>
      <c r="AV1090" s="786"/>
      <c r="AW1090" s="787"/>
      <c r="AX1090" s="787"/>
      <c r="AY1090" s="787"/>
      <c r="AZ1090" s="780"/>
      <c r="BA1090" s="780"/>
      <c r="BB1090" s="780"/>
      <c r="BC1090" s="780"/>
      <c r="BD1090" s="541"/>
      <c r="BE1090" s="541"/>
      <c r="BF1090" s="541"/>
      <c r="BG1090" s="541"/>
      <c r="BH1090" s="780"/>
      <c r="BI1090" s="780"/>
      <c r="BJ1090" s="780"/>
      <c r="BK1090" s="780"/>
      <c r="BL1090" s="780"/>
      <c r="BM1090" s="780"/>
    </row>
    <row r="1091" ht="12.75" customHeight="1">
      <c r="A1091" s="521"/>
      <c r="B1091" s="521"/>
      <c r="C1091" s="515"/>
      <c r="D1091" s="515"/>
      <c r="E1091" s="515"/>
      <c r="F1091" s="515"/>
      <c r="G1091" s="515"/>
      <c r="H1091" s="515"/>
      <c r="I1091" s="515"/>
      <c r="J1091" s="515"/>
      <c r="K1091" s="515"/>
      <c r="L1091" s="515"/>
      <c r="M1091" s="515"/>
      <c r="N1091" s="515"/>
      <c r="O1091" s="533"/>
      <c r="P1091" s="786"/>
      <c r="Q1091" s="787"/>
      <c r="R1091" s="787"/>
      <c r="S1091" s="787"/>
      <c r="T1091" s="786"/>
      <c r="U1091" s="787"/>
      <c r="V1091" s="787"/>
      <c r="W1091" s="787"/>
      <c r="X1091" s="786"/>
      <c r="Y1091" s="787"/>
      <c r="Z1091" s="787"/>
      <c r="AA1091" s="787"/>
      <c r="AB1091" s="786"/>
      <c r="AC1091" s="787"/>
      <c r="AD1091" s="787"/>
      <c r="AE1091" s="787"/>
      <c r="AF1091" s="786"/>
      <c r="AG1091" s="787"/>
      <c r="AH1091" s="787"/>
      <c r="AI1091" s="787"/>
      <c r="AJ1091" s="786"/>
      <c r="AK1091" s="787"/>
      <c r="AL1091" s="787"/>
      <c r="AM1091" s="787"/>
      <c r="AN1091" s="786"/>
      <c r="AO1091" s="787"/>
      <c r="AP1091" s="787"/>
      <c r="AQ1091" s="787"/>
      <c r="AR1091" s="786"/>
      <c r="AS1091" s="787"/>
      <c r="AT1091" s="787"/>
      <c r="AU1091" s="787"/>
      <c r="AV1091" s="786"/>
      <c r="AW1091" s="787"/>
      <c r="AX1091" s="787"/>
      <c r="AY1091" s="787"/>
      <c r="AZ1091" s="780"/>
      <c r="BA1091" s="780"/>
      <c r="BB1091" s="780"/>
      <c r="BC1091" s="780"/>
      <c r="BD1091" s="541"/>
      <c r="BE1091" s="541"/>
      <c r="BF1091" s="541"/>
      <c r="BG1091" s="541"/>
      <c r="BH1091" s="780"/>
      <c r="BI1091" s="780"/>
      <c r="BJ1091" s="780"/>
      <c r="BK1091" s="780"/>
      <c r="BL1091" s="780"/>
      <c r="BM1091" s="780"/>
    </row>
    <row r="1092" ht="12.75" customHeight="1">
      <c r="A1092" s="521"/>
      <c r="B1092" s="521"/>
      <c r="C1092" s="515"/>
      <c r="D1092" s="515"/>
      <c r="E1092" s="515"/>
      <c r="F1092" s="515"/>
      <c r="G1092" s="515"/>
      <c r="H1092" s="515"/>
      <c r="I1092" s="515"/>
      <c r="J1092" s="515"/>
      <c r="K1092" s="515"/>
      <c r="L1092" s="515"/>
      <c r="M1092" s="515"/>
      <c r="N1092" s="515"/>
      <c r="O1092" s="533"/>
      <c r="P1092" s="786"/>
      <c r="Q1092" s="787"/>
      <c r="R1092" s="787"/>
      <c r="S1092" s="787"/>
      <c r="T1092" s="786"/>
      <c r="U1092" s="787"/>
      <c r="V1092" s="787"/>
      <c r="W1092" s="787"/>
      <c r="X1092" s="786"/>
      <c r="Y1092" s="787"/>
      <c r="Z1092" s="787"/>
      <c r="AA1092" s="787"/>
      <c r="AB1092" s="786"/>
      <c r="AC1092" s="787"/>
      <c r="AD1092" s="787"/>
      <c r="AE1092" s="787"/>
      <c r="AF1092" s="786"/>
      <c r="AG1092" s="787"/>
      <c r="AH1092" s="787"/>
      <c r="AI1092" s="787"/>
      <c r="AJ1092" s="786"/>
      <c r="AK1092" s="787"/>
      <c r="AL1092" s="787"/>
      <c r="AM1092" s="787"/>
      <c r="AN1092" s="786"/>
      <c r="AO1092" s="787"/>
      <c r="AP1092" s="787"/>
      <c r="AQ1092" s="787"/>
      <c r="AR1092" s="786"/>
      <c r="AS1092" s="787"/>
      <c r="AT1092" s="787"/>
      <c r="AU1092" s="787"/>
      <c r="AV1092" s="786"/>
      <c r="AW1092" s="787"/>
      <c r="AX1092" s="787"/>
      <c r="AY1092" s="787"/>
      <c r="AZ1092" s="780"/>
      <c r="BA1092" s="780"/>
      <c r="BB1092" s="780"/>
      <c r="BC1092" s="780"/>
      <c r="BD1092" s="541"/>
      <c r="BE1092" s="541"/>
      <c r="BF1092" s="541"/>
      <c r="BG1092" s="541"/>
      <c r="BH1092" s="780"/>
      <c r="BI1092" s="780"/>
      <c r="BJ1092" s="780"/>
      <c r="BK1092" s="780"/>
      <c r="BL1092" s="780"/>
      <c r="BM1092" s="780"/>
    </row>
    <row r="1093" ht="12.75" customHeight="1">
      <c r="A1093" s="521"/>
      <c r="B1093" s="521"/>
      <c r="C1093" s="515"/>
      <c r="D1093" s="515"/>
      <c r="E1093" s="515"/>
      <c r="F1093" s="515"/>
      <c r="G1093" s="515"/>
      <c r="H1093" s="515"/>
      <c r="I1093" s="515"/>
      <c r="J1093" s="515"/>
      <c r="K1093" s="515"/>
      <c r="L1093" s="515"/>
      <c r="M1093" s="515"/>
      <c r="N1093" s="515"/>
      <c r="O1093" s="533"/>
      <c r="P1093" s="786"/>
      <c r="Q1093" s="787"/>
      <c r="R1093" s="787"/>
      <c r="S1093" s="787"/>
      <c r="T1093" s="786"/>
      <c r="U1093" s="787"/>
      <c r="V1093" s="787"/>
      <c r="W1093" s="787"/>
      <c r="X1093" s="786"/>
      <c r="Y1093" s="787"/>
      <c r="Z1093" s="787"/>
      <c r="AA1093" s="787"/>
      <c r="AB1093" s="786"/>
      <c r="AC1093" s="787"/>
      <c r="AD1093" s="787"/>
      <c r="AE1093" s="787"/>
      <c r="AF1093" s="786"/>
      <c r="AG1093" s="787"/>
      <c r="AH1093" s="787"/>
      <c r="AI1093" s="787"/>
      <c r="AJ1093" s="786"/>
      <c r="AK1093" s="787"/>
      <c r="AL1093" s="787"/>
      <c r="AM1093" s="787"/>
      <c r="AN1093" s="786"/>
      <c r="AO1093" s="787"/>
      <c r="AP1093" s="787"/>
      <c r="AQ1093" s="787"/>
      <c r="AR1093" s="786"/>
      <c r="AS1093" s="787"/>
      <c r="AT1093" s="787"/>
      <c r="AU1093" s="787"/>
      <c r="AV1093" s="786"/>
      <c r="AW1093" s="787"/>
      <c r="AX1093" s="787"/>
      <c r="AY1093" s="787"/>
      <c r="AZ1093" s="780"/>
      <c r="BA1093" s="780"/>
      <c r="BB1093" s="780"/>
      <c r="BC1093" s="780"/>
      <c r="BD1093" s="541"/>
      <c r="BE1093" s="541"/>
      <c r="BF1093" s="541"/>
      <c r="BG1093" s="541"/>
      <c r="BH1093" s="780"/>
      <c r="BI1093" s="780"/>
      <c r="BJ1093" s="780"/>
      <c r="BK1093" s="780"/>
      <c r="BL1093" s="780"/>
      <c r="BM1093" s="780"/>
    </row>
    <row r="1094" ht="12.75" customHeight="1">
      <c r="A1094" s="521"/>
      <c r="B1094" s="521"/>
      <c r="C1094" s="515"/>
      <c r="D1094" s="515"/>
      <c r="E1094" s="515"/>
      <c r="F1094" s="515"/>
      <c r="G1094" s="515"/>
      <c r="H1094" s="515"/>
      <c r="I1094" s="515"/>
      <c r="J1094" s="515"/>
      <c r="K1094" s="515"/>
      <c r="L1094" s="515"/>
      <c r="M1094" s="515"/>
      <c r="N1094" s="515"/>
      <c r="O1094" s="533"/>
      <c r="P1094" s="786"/>
      <c r="Q1094" s="787"/>
      <c r="R1094" s="787"/>
      <c r="S1094" s="787"/>
      <c r="T1094" s="786"/>
      <c r="U1094" s="787"/>
      <c r="V1094" s="787"/>
      <c r="W1094" s="787"/>
      <c r="X1094" s="786"/>
      <c r="Y1094" s="787"/>
      <c r="Z1094" s="787"/>
      <c r="AA1094" s="787"/>
      <c r="AB1094" s="786"/>
      <c r="AC1094" s="787"/>
      <c r="AD1094" s="787"/>
      <c r="AE1094" s="787"/>
      <c r="AF1094" s="786"/>
      <c r="AG1094" s="787"/>
      <c r="AH1094" s="787"/>
      <c r="AI1094" s="787"/>
      <c r="AJ1094" s="786"/>
      <c r="AK1094" s="787"/>
      <c r="AL1094" s="787"/>
      <c r="AM1094" s="787"/>
      <c r="AN1094" s="786"/>
      <c r="AO1094" s="787"/>
      <c r="AP1094" s="787"/>
      <c r="AQ1094" s="787"/>
      <c r="AR1094" s="786"/>
      <c r="AS1094" s="787"/>
      <c r="AT1094" s="787"/>
      <c r="AU1094" s="787"/>
      <c r="AV1094" s="786"/>
      <c r="AW1094" s="787"/>
      <c r="AX1094" s="787"/>
      <c r="AY1094" s="787"/>
      <c r="AZ1094" s="780"/>
      <c r="BA1094" s="780"/>
      <c r="BB1094" s="780"/>
      <c r="BC1094" s="780"/>
      <c r="BD1094" s="541"/>
      <c r="BE1094" s="541"/>
      <c r="BF1094" s="541"/>
      <c r="BG1094" s="541"/>
      <c r="BH1094" s="780"/>
      <c r="BI1094" s="780"/>
      <c r="BJ1094" s="780"/>
      <c r="BK1094" s="780"/>
      <c r="BL1094" s="780"/>
      <c r="BM1094" s="780"/>
    </row>
    <row r="1095" ht="12.75" customHeight="1">
      <c r="A1095" s="521"/>
      <c r="B1095" s="521"/>
      <c r="C1095" s="515"/>
      <c r="D1095" s="515"/>
      <c r="E1095" s="515"/>
      <c r="F1095" s="515"/>
      <c r="G1095" s="515"/>
      <c r="H1095" s="515"/>
      <c r="I1095" s="515"/>
      <c r="J1095" s="515"/>
      <c r="K1095" s="515"/>
      <c r="L1095" s="515"/>
      <c r="M1095" s="515"/>
      <c r="N1095" s="515"/>
      <c r="O1095" s="533"/>
      <c r="P1095" s="786"/>
      <c r="Q1095" s="787"/>
      <c r="R1095" s="787"/>
      <c r="S1095" s="787"/>
      <c r="T1095" s="786"/>
      <c r="U1095" s="787"/>
      <c r="V1095" s="787"/>
      <c r="W1095" s="787"/>
      <c r="X1095" s="786"/>
      <c r="Y1095" s="787"/>
      <c r="Z1095" s="787"/>
      <c r="AA1095" s="787"/>
      <c r="AB1095" s="786"/>
      <c r="AC1095" s="787"/>
      <c r="AD1095" s="787"/>
      <c r="AE1095" s="787"/>
      <c r="AF1095" s="786"/>
      <c r="AG1095" s="787"/>
      <c r="AH1095" s="787"/>
      <c r="AI1095" s="787"/>
      <c r="AJ1095" s="786"/>
      <c r="AK1095" s="787"/>
      <c r="AL1095" s="787"/>
      <c r="AM1095" s="787"/>
      <c r="AN1095" s="786"/>
      <c r="AO1095" s="787"/>
      <c r="AP1095" s="787"/>
      <c r="AQ1095" s="787"/>
      <c r="AR1095" s="786"/>
      <c r="AS1095" s="787"/>
      <c r="AT1095" s="787"/>
      <c r="AU1095" s="787"/>
      <c r="AV1095" s="786"/>
      <c r="AW1095" s="787"/>
      <c r="AX1095" s="787"/>
      <c r="AY1095" s="787"/>
      <c r="AZ1095" s="780"/>
      <c r="BA1095" s="780"/>
      <c r="BB1095" s="780"/>
      <c r="BC1095" s="780"/>
      <c r="BD1095" s="541"/>
      <c r="BE1095" s="541"/>
      <c r="BF1095" s="541"/>
      <c r="BG1095" s="541"/>
      <c r="BH1095" s="780"/>
      <c r="BI1095" s="780"/>
      <c r="BJ1095" s="780"/>
      <c r="BK1095" s="780"/>
      <c r="BL1095" s="780"/>
      <c r="BM1095" s="780"/>
    </row>
    <row r="1096" ht="12.75" customHeight="1">
      <c r="A1096" s="521"/>
      <c r="B1096" s="521"/>
      <c r="C1096" s="515"/>
      <c r="D1096" s="515"/>
      <c r="E1096" s="515"/>
      <c r="F1096" s="515"/>
      <c r="G1096" s="515"/>
      <c r="H1096" s="515"/>
      <c r="I1096" s="515"/>
      <c r="J1096" s="515"/>
      <c r="K1096" s="515"/>
      <c r="L1096" s="515"/>
      <c r="M1096" s="515"/>
      <c r="N1096" s="515"/>
      <c r="O1096" s="533"/>
      <c r="P1096" s="786"/>
      <c r="Q1096" s="787"/>
      <c r="R1096" s="787"/>
      <c r="S1096" s="787"/>
      <c r="T1096" s="786"/>
      <c r="U1096" s="787"/>
      <c r="V1096" s="787"/>
      <c r="W1096" s="787"/>
      <c r="X1096" s="786"/>
      <c r="Y1096" s="787"/>
      <c r="Z1096" s="787"/>
      <c r="AA1096" s="787"/>
      <c r="AB1096" s="786"/>
      <c r="AC1096" s="787"/>
      <c r="AD1096" s="787"/>
      <c r="AE1096" s="787"/>
      <c r="AF1096" s="786"/>
      <c r="AG1096" s="787"/>
      <c r="AH1096" s="787"/>
      <c r="AI1096" s="787"/>
      <c r="AJ1096" s="786"/>
      <c r="AK1096" s="787"/>
      <c r="AL1096" s="787"/>
      <c r="AM1096" s="787"/>
      <c r="AN1096" s="786"/>
      <c r="AO1096" s="787"/>
      <c r="AP1096" s="787"/>
      <c r="AQ1096" s="787"/>
      <c r="AR1096" s="786"/>
      <c r="AS1096" s="787"/>
      <c r="AT1096" s="787"/>
      <c r="AU1096" s="787"/>
      <c r="AV1096" s="786"/>
      <c r="AW1096" s="787"/>
      <c r="AX1096" s="787"/>
      <c r="AY1096" s="787"/>
      <c r="AZ1096" s="780"/>
      <c r="BA1096" s="780"/>
      <c r="BB1096" s="780"/>
      <c r="BC1096" s="780"/>
      <c r="BD1096" s="541"/>
      <c r="BE1096" s="541"/>
      <c r="BF1096" s="541"/>
      <c r="BG1096" s="541"/>
      <c r="BH1096" s="780"/>
      <c r="BI1096" s="780"/>
      <c r="BJ1096" s="780"/>
      <c r="BK1096" s="780"/>
      <c r="BL1096" s="780"/>
      <c r="BM1096" s="780"/>
    </row>
    <row r="1097" ht="12.75" customHeight="1">
      <c r="A1097" s="521"/>
      <c r="B1097" s="521"/>
      <c r="C1097" s="515"/>
      <c r="D1097" s="515"/>
      <c r="E1097" s="515"/>
      <c r="F1097" s="515"/>
      <c r="G1097" s="515"/>
      <c r="H1097" s="515"/>
      <c r="I1097" s="515"/>
      <c r="J1097" s="515"/>
      <c r="K1097" s="515"/>
      <c r="L1097" s="515"/>
      <c r="M1097" s="515"/>
      <c r="N1097" s="515"/>
      <c r="O1097" s="533"/>
      <c r="P1097" s="786"/>
      <c r="Q1097" s="787"/>
      <c r="R1097" s="787"/>
      <c r="S1097" s="787"/>
      <c r="T1097" s="786"/>
      <c r="U1097" s="787"/>
      <c r="V1097" s="787"/>
      <c r="W1097" s="787"/>
      <c r="X1097" s="786"/>
      <c r="Y1097" s="787"/>
      <c r="Z1097" s="787"/>
      <c r="AA1097" s="787"/>
      <c r="AB1097" s="786"/>
      <c r="AC1097" s="787"/>
      <c r="AD1097" s="787"/>
      <c r="AE1097" s="787"/>
      <c r="AF1097" s="786"/>
      <c r="AG1097" s="787"/>
      <c r="AH1097" s="787"/>
      <c r="AI1097" s="787"/>
      <c r="AJ1097" s="786"/>
      <c r="AK1097" s="787"/>
      <c r="AL1097" s="787"/>
      <c r="AM1097" s="787"/>
      <c r="AN1097" s="786"/>
      <c r="AO1097" s="787"/>
      <c r="AP1097" s="787"/>
      <c r="AQ1097" s="787"/>
      <c r="AR1097" s="786"/>
      <c r="AS1097" s="787"/>
      <c r="AT1097" s="787"/>
      <c r="AU1097" s="787"/>
      <c r="AV1097" s="786"/>
      <c r="AW1097" s="787"/>
      <c r="AX1097" s="787"/>
      <c r="AY1097" s="787"/>
      <c r="AZ1097" s="780"/>
      <c r="BA1097" s="780"/>
      <c r="BB1097" s="780"/>
      <c r="BC1097" s="780"/>
      <c r="BD1097" s="541"/>
      <c r="BE1097" s="541"/>
      <c r="BF1097" s="541"/>
      <c r="BG1097" s="541"/>
      <c r="BH1097" s="780"/>
      <c r="BI1097" s="780"/>
      <c r="BJ1097" s="780"/>
      <c r="BK1097" s="780"/>
      <c r="BL1097" s="780"/>
      <c r="BM1097" s="780"/>
    </row>
    <row r="1098" ht="12.75" customHeight="1">
      <c r="A1098" s="521"/>
      <c r="B1098" s="521"/>
      <c r="C1098" s="515"/>
      <c r="D1098" s="515"/>
      <c r="E1098" s="515"/>
      <c r="F1098" s="515"/>
      <c r="G1098" s="515"/>
      <c r="H1098" s="515"/>
      <c r="I1098" s="515"/>
      <c r="J1098" s="515"/>
      <c r="K1098" s="515"/>
      <c r="L1098" s="515"/>
      <c r="M1098" s="515"/>
      <c r="N1098" s="515"/>
      <c r="O1098" s="533"/>
      <c r="P1098" s="786"/>
      <c r="Q1098" s="787"/>
      <c r="R1098" s="787"/>
      <c r="S1098" s="787"/>
      <c r="T1098" s="786"/>
      <c r="U1098" s="787"/>
      <c r="V1098" s="787"/>
      <c r="W1098" s="787"/>
      <c r="X1098" s="786"/>
      <c r="Y1098" s="787"/>
      <c r="Z1098" s="787"/>
      <c r="AA1098" s="787"/>
      <c r="AB1098" s="786"/>
      <c r="AC1098" s="787"/>
      <c r="AD1098" s="787"/>
      <c r="AE1098" s="787"/>
      <c r="AF1098" s="786"/>
      <c r="AG1098" s="787"/>
      <c r="AH1098" s="787"/>
      <c r="AI1098" s="787"/>
      <c r="AJ1098" s="786"/>
      <c r="AK1098" s="787"/>
      <c r="AL1098" s="787"/>
      <c r="AM1098" s="787"/>
      <c r="AN1098" s="786"/>
      <c r="AO1098" s="787"/>
      <c r="AP1098" s="787"/>
      <c r="AQ1098" s="787"/>
      <c r="AR1098" s="786"/>
      <c r="AS1098" s="787"/>
      <c r="AT1098" s="787"/>
      <c r="AU1098" s="787"/>
      <c r="AV1098" s="786"/>
      <c r="AW1098" s="787"/>
      <c r="AX1098" s="787"/>
      <c r="AY1098" s="787"/>
      <c r="AZ1098" s="780"/>
      <c r="BA1098" s="780"/>
      <c r="BB1098" s="780"/>
      <c r="BC1098" s="780"/>
      <c r="BD1098" s="541"/>
      <c r="BE1098" s="541"/>
      <c r="BF1098" s="541"/>
      <c r="BG1098" s="541"/>
      <c r="BH1098" s="780"/>
      <c r="BI1098" s="780"/>
      <c r="BJ1098" s="780"/>
      <c r="BK1098" s="780"/>
      <c r="BL1098" s="780"/>
      <c r="BM1098" s="780"/>
    </row>
    <row r="1099" ht="12.75" customHeight="1">
      <c r="A1099" s="521"/>
      <c r="B1099" s="521"/>
      <c r="C1099" s="515"/>
      <c r="D1099" s="515"/>
      <c r="E1099" s="515"/>
      <c r="F1099" s="515"/>
      <c r="G1099" s="515"/>
      <c r="H1099" s="515"/>
      <c r="I1099" s="515"/>
      <c r="J1099" s="515"/>
      <c r="K1099" s="515"/>
      <c r="L1099" s="515"/>
      <c r="M1099" s="515"/>
      <c r="N1099" s="515"/>
      <c r="O1099" s="533"/>
      <c r="P1099" s="786"/>
      <c r="Q1099" s="787"/>
      <c r="R1099" s="787"/>
      <c r="S1099" s="787"/>
      <c r="T1099" s="786"/>
      <c r="U1099" s="787"/>
      <c r="V1099" s="787"/>
      <c r="W1099" s="787"/>
      <c r="X1099" s="786"/>
      <c r="Y1099" s="787"/>
      <c r="Z1099" s="787"/>
      <c r="AA1099" s="787"/>
      <c r="AB1099" s="786"/>
      <c r="AC1099" s="787"/>
      <c r="AD1099" s="787"/>
      <c r="AE1099" s="787"/>
      <c r="AF1099" s="786"/>
      <c r="AG1099" s="787"/>
      <c r="AH1099" s="787"/>
      <c r="AI1099" s="787"/>
      <c r="AJ1099" s="786"/>
      <c r="AK1099" s="787"/>
      <c r="AL1099" s="787"/>
      <c r="AM1099" s="787"/>
      <c r="AN1099" s="786"/>
      <c r="AO1099" s="787"/>
      <c r="AP1099" s="787"/>
      <c r="AQ1099" s="787"/>
      <c r="AR1099" s="786"/>
      <c r="AS1099" s="787"/>
      <c r="AT1099" s="787"/>
      <c r="AU1099" s="787"/>
      <c r="AV1099" s="786"/>
      <c r="AW1099" s="787"/>
      <c r="AX1099" s="787"/>
      <c r="AY1099" s="787"/>
      <c r="AZ1099" s="780"/>
      <c r="BA1099" s="780"/>
      <c r="BB1099" s="780"/>
      <c r="BC1099" s="780"/>
      <c r="BD1099" s="541"/>
      <c r="BE1099" s="541"/>
      <c r="BF1099" s="541"/>
      <c r="BG1099" s="541"/>
      <c r="BH1099" s="780"/>
      <c r="BI1099" s="780"/>
      <c r="BJ1099" s="780"/>
      <c r="BK1099" s="780"/>
      <c r="BL1099" s="780"/>
      <c r="BM1099" s="780"/>
    </row>
    <row r="1100" ht="12.75" customHeight="1">
      <c r="A1100" s="521"/>
      <c r="B1100" s="521"/>
      <c r="C1100" s="515"/>
      <c r="D1100" s="515"/>
      <c r="E1100" s="515"/>
      <c r="F1100" s="515"/>
      <c r="G1100" s="515"/>
      <c r="H1100" s="515"/>
      <c r="I1100" s="515"/>
      <c r="J1100" s="515"/>
      <c r="K1100" s="515"/>
      <c r="L1100" s="515"/>
      <c r="M1100" s="515"/>
      <c r="N1100" s="515"/>
      <c r="O1100" s="533"/>
      <c r="P1100" s="786"/>
      <c r="Q1100" s="787"/>
      <c r="R1100" s="787"/>
      <c r="S1100" s="787"/>
      <c r="T1100" s="786"/>
      <c r="U1100" s="787"/>
      <c r="V1100" s="787"/>
      <c r="W1100" s="787"/>
      <c r="X1100" s="786"/>
      <c r="Y1100" s="787"/>
      <c r="Z1100" s="787"/>
      <c r="AA1100" s="787"/>
      <c r="AB1100" s="786"/>
      <c r="AC1100" s="787"/>
      <c r="AD1100" s="787"/>
      <c r="AE1100" s="787"/>
      <c r="AF1100" s="786"/>
      <c r="AG1100" s="787"/>
      <c r="AH1100" s="787"/>
      <c r="AI1100" s="787"/>
      <c r="AJ1100" s="786"/>
      <c r="AK1100" s="787"/>
      <c r="AL1100" s="787"/>
      <c r="AM1100" s="787"/>
      <c r="AN1100" s="786"/>
      <c r="AO1100" s="787"/>
      <c r="AP1100" s="787"/>
      <c r="AQ1100" s="787"/>
      <c r="AR1100" s="786"/>
      <c r="AS1100" s="787"/>
      <c r="AT1100" s="787"/>
      <c r="AU1100" s="787"/>
      <c r="AV1100" s="786"/>
      <c r="AW1100" s="787"/>
      <c r="AX1100" s="787"/>
      <c r="AY1100" s="787"/>
      <c r="AZ1100" s="780"/>
      <c r="BA1100" s="780"/>
      <c r="BB1100" s="780"/>
      <c r="BC1100" s="780"/>
      <c r="BD1100" s="541"/>
      <c r="BE1100" s="541"/>
      <c r="BF1100" s="541"/>
      <c r="BG1100" s="541"/>
      <c r="BH1100" s="780"/>
      <c r="BI1100" s="780"/>
      <c r="BJ1100" s="780"/>
      <c r="BK1100" s="780"/>
      <c r="BL1100" s="780"/>
      <c r="BM1100" s="780"/>
    </row>
    <row r="1101" ht="12.75" customHeight="1">
      <c r="A1101" s="521"/>
      <c r="B1101" s="521"/>
      <c r="C1101" s="515"/>
      <c r="D1101" s="515"/>
      <c r="E1101" s="515"/>
      <c r="F1101" s="515"/>
      <c r="G1101" s="515"/>
      <c r="H1101" s="515"/>
      <c r="I1101" s="515"/>
      <c r="J1101" s="515"/>
      <c r="K1101" s="515"/>
      <c r="L1101" s="515"/>
      <c r="M1101" s="515"/>
      <c r="N1101" s="515"/>
      <c r="O1101" s="533"/>
      <c r="P1101" s="786"/>
      <c r="Q1101" s="787"/>
      <c r="R1101" s="787"/>
      <c r="S1101" s="787"/>
      <c r="T1101" s="786"/>
      <c r="U1101" s="787"/>
      <c r="V1101" s="787"/>
      <c r="W1101" s="787"/>
      <c r="X1101" s="786"/>
      <c r="Y1101" s="787"/>
      <c r="Z1101" s="787"/>
      <c r="AA1101" s="787"/>
      <c r="AB1101" s="786"/>
      <c r="AC1101" s="787"/>
      <c r="AD1101" s="787"/>
      <c r="AE1101" s="787"/>
      <c r="AF1101" s="786"/>
      <c r="AG1101" s="787"/>
      <c r="AH1101" s="787"/>
      <c r="AI1101" s="787"/>
      <c r="AJ1101" s="786"/>
      <c r="AK1101" s="787"/>
      <c r="AL1101" s="787"/>
      <c r="AM1101" s="787"/>
      <c r="AN1101" s="786"/>
      <c r="AO1101" s="787"/>
      <c r="AP1101" s="787"/>
      <c r="AQ1101" s="787"/>
      <c r="AR1101" s="786"/>
      <c r="AS1101" s="787"/>
      <c r="AT1101" s="787"/>
      <c r="AU1101" s="787"/>
      <c r="AV1101" s="786"/>
      <c r="AW1101" s="787"/>
      <c r="AX1101" s="787"/>
      <c r="AY1101" s="787"/>
      <c r="AZ1101" s="780"/>
      <c r="BA1101" s="780"/>
      <c r="BB1101" s="780"/>
      <c r="BC1101" s="780"/>
      <c r="BD1101" s="541"/>
      <c r="BE1101" s="541"/>
      <c r="BF1101" s="541"/>
      <c r="BG1101" s="541"/>
      <c r="BH1101" s="780"/>
      <c r="BI1101" s="780"/>
      <c r="BJ1101" s="780"/>
      <c r="BK1101" s="780"/>
      <c r="BL1101" s="780"/>
      <c r="BM1101" s="780"/>
    </row>
    <row r="1102" ht="12.75" customHeight="1">
      <c r="A1102" s="521"/>
      <c r="B1102" s="521"/>
      <c r="C1102" s="515"/>
      <c r="D1102" s="515"/>
      <c r="E1102" s="515"/>
      <c r="F1102" s="515"/>
      <c r="G1102" s="515"/>
      <c r="H1102" s="515"/>
      <c r="I1102" s="515"/>
      <c r="J1102" s="515"/>
      <c r="K1102" s="515"/>
      <c r="L1102" s="515"/>
      <c r="M1102" s="515"/>
      <c r="N1102" s="515"/>
      <c r="O1102" s="533"/>
      <c r="P1102" s="786"/>
      <c r="Q1102" s="787"/>
      <c r="R1102" s="787"/>
      <c r="S1102" s="787"/>
      <c r="T1102" s="786"/>
      <c r="U1102" s="787"/>
      <c r="V1102" s="787"/>
      <c r="W1102" s="787"/>
      <c r="X1102" s="786"/>
      <c r="Y1102" s="787"/>
      <c r="Z1102" s="787"/>
      <c r="AA1102" s="787"/>
      <c r="AB1102" s="786"/>
      <c r="AC1102" s="787"/>
      <c r="AD1102" s="787"/>
      <c r="AE1102" s="787"/>
      <c r="AF1102" s="786"/>
      <c r="AG1102" s="787"/>
      <c r="AH1102" s="787"/>
      <c r="AI1102" s="787"/>
      <c r="AJ1102" s="786"/>
      <c r="AK1102" s="787"/>
      <c r="AL1102" s="787"/>
      <c r="AM1102" s="787"/>
      <c r="AN1102" s="786"/>
      <c r="AO1102" s="787"/>
      <c r="AP1102" s="787"/>
      <c r="AQ1102" s="787"/>
      <c r="AR1102" s="786"/>
      <c r="AS1102" s="787"/>
      <c r="AT1102" s="787"/>
      <c r="AU1102" s="787"/>
      <c r="AV1102" s="786"/>
      <c r="AW1102" s="787"/>
      <c r="AX1102" s="787"/>
      <c r="AY1102" s="787"/>
      <c r="AZ1102" s="780"/>
      <c r="BA1102" s="780"/>
      <c r="BB1102" s="780"/>
      <c r="BC1102" s="780"/>
      <c r="BD1102" s="541"/>
      <c r="BE1102" s="541"/>
      <c r="BF1102" s="541"/>
      <c r="BG1102" s="541"/>
      <c r="BH1102" s="780"/>
      <c r="BI1102" s="780"/>
      <c r="BJ1102" s="780"/>
      <c r="BK1102" s="780"/>
      <c r="BL1102" s="780"/>
      <c r="BM1102" s="780"/>
    </row>
    <row r="1103" ht="12.75" customHeight="1">
      <c r="A1103" s="521"/>
      <c r="B1103" s="521"/>
      <c r="C1103" s="515"/>
      <c r="D1103" s="515"/>
      <c r="E1103" s="515"/>
      <c r="F1103" s="515"/>
      <c r="G1103" s="515"/>
      <c r="H1103" s="515"/>
      <c r="I1103" s="515"/>
      <c r="J1103" s="515"/>
      <c r="K1103" s="515"/>
      <c r="L1103" s="515"/>
      <c r="M1103" s="515"/>
      <c r="N1103" s="515"/>
      <c r="O1103" s="533"/>
      <c r="P1103" s="786"/>
      <c r="Q1103" s="787"/>
      <c r="R1103" s="787"/>
      <c r="S1103" s="787"/>
      <c r="T1103" s="786"/>
      <c r="U1103" s="787"/>
      <c r="V1103" s="787"/>
      <c r="W1103" s="787"/>
      <c r="X1103" s="786"/>
      <c r="Y1103" s="787"/>
      <c r="Z1103" s="787"/>
      <c r="AA1103" s="787"/>
      <c r="AB1103" s="786"/>
      <c r="AC1103" s="787"/>
      <c r="AD1103" s="787"/>
      <c r="AE1103" s="787"/>
      <c r="AF1103" s="786"/>
      <c r="AG1103" s="787"/>
      <c r="AH1103" s="787"/>
      <c r="AI1103" s="787"/>
      <c r="AJ1103" s="786"/>
      <c r="AK1103" s="787"/>
      <c r="AL1103" s="787"/>
      <c r="AM1103" s="787"/>
      <c r="AN1103" s="786"/>
      <c r="AO1103" s="787"/>
      <c r="AP1103" s="787"/>
      <c r="AQ1103" s="787"/>
      <c r="AR1103" s="786"/>
      <c r="AS1103" s="787"/>
      <c r="AT1103" s="787"/>
      <c r="AU1103" s="787"/>
      <c r="AV1103" s="786"/>
      <c r="AW1103" s="787"/>
      <c r="AX1103" s="787"/>
      <c r="AY1103" s="787"/>
      <c r="AZ1103" s="780"/>
      <c r="BA1103" s="780"/>
      <c r="BB1103" s="780"/>
      <c r="BC1103" s="780"/>
      <c r="BD1103" s="541"/>
      <c r="BE1103" s="541"/>
      <c r="BF1103" s="541"/>
      <c r="BG1103" s="541"/>
      <c r="BH1103" s="780"/>
      <c r="BI1103" s="780"/>
      <c r="BJ1103" s="780"/>
      <c r="BK1103" s="780"/>
      <c r="BL1103" s="780"/>
      <c r="BM1103" s="780"/>
    </row>
    <row r="1104" ht="12.75" customHeight="1">
      <c r="A1104" s="521"/>
      <c r="B1104" s="521"/>
      <c r="C1104" s="515"/>
      <c r="D1104" s="515"/>
      <c r="E1104" s="515"/>
      <c r="F1104" s="515"/>
      <c r="G1104" s="515"/>
      <c r="H1104" s="515"/>
      <c r="I1104" s="515"/>
      <c r="J1104" s="515"/>
      <c r="K1104" s="515"/>
      <c r="L1104" s="515"/>
      <c r="M1104" s="515"/>
      <c r="N1104" s="515"/>
      <c r="O1104" s="533"/>
      <c r="P1104" s="786"/>
      <c r="Q1104" s="787"/>
      <c r="R1104" s="787"/>
      <c r="S1104" s="787"/>
      <c r="T1104" s="786"/>
      <c r="U1104" s="787"/>
      <c r="V1104" s="787"/>
      <c r="W1104" s="787"/>
      <c r="X1104" s="786"/>
      <c r="Y1104" s="787"/>
      <c r="Z1104" s="787"/>
      <c r="AA1104" s="787"/>
      <c r="AB1104" s="786"/>
      <c r="AC1104" s="787"/>
      <c r="AD1104" s="787"/>
      <c r="AE1104" s="787"/>
      <c r="AF1104" s="786"/>
      <c r="AG1104" s="787"/>
      <c r="AH1104" s="787"/>
      <c r="AI1104" s="787"/>
      <c r="AJ1104" s="786"/>
      <c r="AK1104" s="787"/>
      <c r="AL1104" s="787"/>
      <c r="AM1104" s="787"/>
      <c r="AN1104" s="786"/>
      <c r="AO1104" s="787"/>
      <c r="AP1104" s="787"/>
      <c r="AQ1104" s="787"/>
      <c r="AR1104" s="786"/>
      <c r="AS1104" s="787"/>
      <c r="AT1104" s="787"/>
      <c r="AU1104" s="787"/>
      <c r="AV1104" s="786"/>
      <c r="AW1104" s="787"/>
      <c r="AX1104" s="787"/>
      <c r="AY1104" s="787"/>
      <c r="AZ1104" s="780"/>
      <c r="BA1104" s="780"/>
      <c r="BB1104" s="780"/>
      <c r="BC1104" s="780"/>
      <c r="BD1104" s="541"/>
      <c r="BE1104" s="541"/>
      <c r="BF1104" s="541"/>
      <c r="BG1104" s="541"/>
      <c r="BH1104" s="780"/>
      <c r="BI1104" s="780"/>
      <c r="BJ1104" s="780"/>
      <c r="BK1104" s="780"/>
      <c r="BL1104" s="780"/>
      <c r="BM1104" s="780"/>
    </row>
    <row r="1105" ht="12.75" customHeight="1">
      <c r="A1105" s="521"/>
      <c r="B1105" s="521"/>
      <c r="C1105" s="515"/>
      <c r="D1105" s="515"/>
      <c r="E1105" s="515"/>
      <c r="F1105" s="515"/>
      <c r="G1105" s="515"/>
      <c r="H1105" s="515"/>
      <c r="I1105" s="515"/>
      <c r="J1105" s="515"/>
      <c r="K1105" s="515"/>
      <c r="L1105" s="515"/>
      <c r="M1105" s="515"/>
      <c r="N1105" s="515"/>
      <c r="O1105" s="533"/>
      <c r="P1105" s="786"/>
      <c r="Q1105" s="787"/>
      <c r="R1105" s="787"/>
      <c r="S1105" s="787"/>
      <c r="T1105" s="786"/>
      <c r="U1105" s="787"/>
      <c r="V1105" s="787"/>
      <c r="W1105" s="787"/>
      <c r="X1105" s="786"/>
      <c r="Y1105" s="787"/>
      <c r="Z1105" s="787"/>
      <c r="AA1105" s="787"/>
      <c r="AB1105" s="786"/>
      <c r="AC1105" s="787"/>
      <c r="AD1105" s="787"/>
      <c r="AE1105" s="787"/>
      <c r="AF1105" s="786"/>
      <c r="AG1105" s="787"/>
      <c r="AH1105" s="787"/>
      <c r="AI1105" s="787"/>
      <c r="AJ1105" s="786"/>
      <c r="AK1105" s="787"/>
      <c r="AL1105" s="787"/>
      <c r="AM1105" s="787"/>
      <c r="AN1105" s="786"/>
      <c r="AO1105" s="787"/>
      <c r="AP1105" s="787"/>
      <c r="AQ1105" s="787"/>
      <c r="AR1105" s="786"/>
      <c r="AS1105" s="787"/>
      <c r="AT1105" s="787"/>
      <c r="AU1105" s="787"/>
      <c r="AV1105" s="786"/>
      <c r="AW1105" s="787"/>
      <c r="AX1105" s="787"/>
      <c r="AY1105" s="787"/>
      <c r="AZ1105" s="780"/>
      <c r="BA1105" s="780"/>
      <c r="BB1105" s="780"/>
      <c r="BC1105" s="780"/>
      <c r="BD1105" s="541"/>
      <c r="BE1105" s="541"/>
      <c r="BF1105" s="541"/>
      <c r="BG1105" s="541"/>
      <c r="BH1105" s="780"/>
      <c r="BI1105" s="780"/>
      <c r="BJ1105" s="780"/>
      <c r="BK1105" s="780"/>
      <c r="BL1105" s="780"/>
      <c r="BM1105" s="780"/>
    </row>
    <row r="1106" ht="12.75" customHeight="1">
      <c r="A1106" s="521"/>
      <c r="B1106" s="521"/>
      <c r="C1106" s="515"/>
      <c r="D1106" s="515"/>
      <c r="E1106" s="515"/>
      <c r="F1106" s="515"/>
      <c r="G1106" s="515"/>
      <c r="H1106" s="515"/>
      <c r="I1106" s="515"/>
      <c r="J1106" s="515"/>
      <c r="K1106" s="515"/>
      <c r="L1106" s="515"/>
      <c r="M1106" s="515"/>
      <c r="N1106" s="515"/>
      <c r="O1106" s="533"/>
      <c r="P1106" s="786"/>
      <c r="Q1106" s="787"/>
      <c r="R1106" s="787"/>
      <c r="S1106" s="787"/>
      <c r="T1106" s="786"/>
      <c r="U1106" s="787"/>
      <c r="V1106" s="787"/>
      <c r="W1106" s="787"/>
      <c r="X1106" s="786"/>
      <c r="Y1106" s="787"/>
      <c r="Z1106" s="787"/>
      <c r="AA1106" s="787"/>
      <c r="AB1106" s="786"/>
      <c r="AC1106" s="787"/>
      <c r="AD1106" s="787"/>
      <c r="AE1106" s="787"/>
      <c r="AF1106" s="786"/>
      <c r="AG1106" s="787"/>
      <c r="AH1106" s="787"/>
      <c r="AI1106" s="787"/>
      <c r="AJ1106" s="786"/>
      <c r="AK1106" s="787"/>
      <c r="AL1106" s="787"/>
      <c r="AM1106" s="787"/>
      <c r="AN1106" s="786"/>
      <c r="AO1106" s="787"/>
      <c r="AP1106" s="787"/>
      <c r="AQ1106" s="787"/>
      <c r="AR1106" s="786"/>
      <c r="AS1106" s="787"/>
      <c r="AT1106" s="787"/>
      <c r="AU1106" s="787"/>
      <c r="AV1106" s="786"/>
      <c r="AW1106" s="787"/>
      <c r="AX1106" s="787"/>
      <c r="AY1106" s="787"/>
      <c r="AZ1106" s="780"/>
      <c r="BA1106" s="780"/>
      <c r="BB1106" s="780"/>
      <c r="BC1106" s="780"/>
      <c r="BD1106" s="541"/>
      <c r="BE1106" s="541"/>
      <c r="BF1106" s="541"/>
      <c r="BG1106" s="541"/>
      <c r="BH1106" s="780"/>
      <c r="BI1106" s="780"/>
      <c r="BJ1106" s="780"/>
      <c r="BK1106" s="780"/>
      <c r="BL1106" s="780"/>
      <c r="BM1106" s="780"/>
    </row>
    <row r="1107" ht="12.75" customHeight="1">
      <c r="A1107" s="521"/>
      <c r="B1107" s="521"/>
      <c r="C1107" s="515"/>
      <c r="D1107" s="515"/>
      <c r="E1107" s="515"/>
      <c r="F1107" s="515"/>
      <c r="G1107" s="515"/>
      <c r="H1107" s="515"/>
      <c r="I1107" s="515"/>
      <c r="J1107" s="515"/>
      <c r="K1107" s="515"/>
      <c r="L1107" s="515"/>
      <c r="M1107" s="515"/>
      <c r="N1107" s="515"/>
      <c r="O1107" s="533"/>
      <c r="P1107" s="786"/>
      <c r="Q1107" s="787"/>
      <c r="R1107" s="787"/>
      <c r="S1107" s="787"/>
      <c r="T1107" s="786"/>
      <c r="U1107" s="787"/>
      <c r="V1107" s="787"/>
      <c r="W1107" s="787"/>
      <c r="X1107" s="786"/>
      <c r="Y1107" s="787"/>
      <c r="Z1107" s="787"/>
      <c r="AA1107" s="787"/>
      <c r="AB1107" s="786"/>
      <c r="AC1107" s="787"/>
      <c r="AD1107" s="787"/>
      <c r="AE1107" s="787"/>
      <c r="AF1107" s="786"/>
      <c r="AG1107" s="787"/>
      <c r="AH1107" s="787"/>
      <c r="AI1107" s="787"/>
      <c r="AJ1107" s="786"/>
      <c r="AK1107" s="787"/>
      <c r="AL1107" s="787"/>
      <c r="AM1107" s="787"/>
      <c r="AN1107" s="786"/>
      <c r="AO1107" s="787"/>
      <c r="AP1107" s="787"/>
      <c r="AQ1107" s="787"/>
      <c r="AR1107" s="786"/>
      <c r="AS1107" s="787"/>
      <c r="AT1107" s="787"/>
      <c r="AU1107" s="787"/>
      <c r="AV1107" s="786"/>
      <c r="AW1107" s="787"/>
      <c r="AX1107" s="787"/>
      <c r="AY1107" s="787"/>
      <c r="AZ1107" s="780"/>
      <c r="BA1107" s="780"/>
      <c r="BB1107" s="780"/>
      <c r="BC1107" s="780"/>
      <c r="BD1107" s="541"/>
      <c r="BE1107" s="541"/>
      <c r="BF1107" s="541"/>
      <c r="BG1107" s="541"/>
      <c r="BH1107" s="780"/>
      <c r="BI1107" s="780"/>
      <c r="BJ1107" s="780"/>
      <c r="BK1107" s="780"/>
      <c r="BL1107" s="780"/>
      <c r="BM1107" s="780"/>
    </row>
    <row r="1108" ht="12.75" customHeight="1">
      <c r="A1108" s="521"/>
      <c r="B1108" s="521"/>
      <c r="C1108" s="515"/>
      <c r="D1108" s="515"/>
      <c r="E1108" s="515"/>
      <c r="F1108" s="515"/>
      <c r="G1108" s="515"/>
      <c r="H1108" s="515"/>
      <c r="I1108" s="515"/>
      <c r="J1108" s="515"/>
      <c r="K1108" s="515"/>
      <c r="L1108" s="515"/>
      <c r="M1108" s="515"/>
      <c r="N1108" s="515"/>
      <c r="O1108" s="533"/>
      <c r="P1108" s="786"/>
      <c r="Q1108" s="787"/>
      <c r="R1108" s="787"/>
      <c r="S1108" s="787"/>
      <c r="T1108" s="786"/>
      <c r="U1108" s="787"/>
      <c r="V1108" s="787"/>
      <c r="W1108" s="787"/>
      <c r="X1108" s="786"/>
      <c r="Y1108" s="787"/>
      <c r="Z1108" s="787"/>
      <c r="AA1108" s="787"/>
      <c r="AB1108" s="786"/>
      <c r="AC1108" s="787"/>
      <c r="AD1108" s="787"/>
      <c r="AE1108" s="787"/>
      <c r="AF1108" s="786"/>
      <c r="AG1108" s="787"/>
      <c r="AH1108" s="787"/>
      <c r="AI1108" s="787"/>
      <c r="AJ1108" s="786"/>
      <c r="AK1108" s="787"/>
      <c r="AL1108" s="787"/>
      <c r="AM1108" s="787"/>
      <c r="AN1108" s="786"/>
      <c r="AO1108" s="787"/>
      <c r="AP1108" s="787"/>
      <c r="AQ1108" s="787"/>
      <c r="AR1108" s="786"/>
      <c r="AS1108" s="787"/>
      <c r="AT1108" s="787"/>
      <c r="AU1108" s="787"/>
      <c r="AV1108" s="786"/>
      <c r="AW1108" s="787"/>
      <c r="AX1108" s="787"/>
      <c r="AY1108" s="787"/>
      <c r="AZ1108" s="780"/>
      <c r="BA1108" s="780"/>
      <c r="BB1108" s="780"/>
      <c r="BC1108" s="780"/>
      <c r="BD1108" s="541"/>
      <c r="BE1108" s="541"/>
      <c r="BF1108" s="541"/>
      <c r="BG1108" s="541"/>
      <c r="BH1108" s="780"/>
      <c r="BI1108" s="780"/>
      <c r="BJ1108" s="780"/>
      <c r="BK1108" s="780"/>
      <c r="BL1108" s="780"/>
      <c r="BM1108" s="780"/>
    </row>
    <row r="1109" ht="12.75" customHeight="1">
      <c r="A1109" s="521"/>
      <c r="B1109" s="521"/>
      <c r="C1109" s="515"/>
      <c r="D1109" s="515"/>
      <c r="E1109" s="515"/>
      <c r="F1109" s="515"/>
      <c r="G1109" s="515"/>
      <c r="H1109" s="515"/>
      <c r="I1109" s="515"/>
      <c r="J1109" s="515"/>
      <c r="K1109" s="515"/>
      <c r="L1109" s="515"/>
      <c r="M1109" s="515"/>
      <c r="N1109" s="515"/>
      <c r="O1109" s="533"/>
      <c r="P1109" s="786"/>
      <c r="Q1109" s="787"/>
      <c r="R1109" s="787"/>
      <c r="S1109" s="787"/>
      <c r="T1109" s="786"/>
      <c r="U1109" s="787"/>
      <c r="V1109" s="787"/>
      <c r="W1109" s="787"/>
      <c r="X1109" s="786"/>
      <c r="Y1109" s="787"/>
      <c r="Z1109" s="787"/>
      <c r="AA1109" s="787"/>
      <c r="AB1109" s="786"/>
      <c r="AC1109" s="787"/>
      <c r="AD1109" s="787"/>
      <c r="AE1109" s="787"/>
      <c r="AF1109" s="786"/>
      <c r="AG1109" s="787"/>
      <c r="AH1109" s="787"/>
      <c r="AI1109" s="787"/>
      <c r="AJ1109" s="786"/>
      <c r="AK1109" s="787"/>
      <c r="AL1109" s="787"/>
      <c r="AM1109" s="787"/>
      <c r="AN1109" s="786"/>
      <c r="AO1109" s="787"/>
      <c r="AP1109" s="787"/>
      <c r="AQ1109" s="787"/>
      <c r="AR1109" s="786"/>
      <c r="AS1109" s="787"/>
      <c r="AT1109" s="787"/>
      <c r="AU1109" s="787"/>
      <c r="AV1109" s="786"/>
      <c r="AW1109" s="787"/>
      <c r="AX1109" s="787"/>
      <c r="AY1109" s="787"/>
      <c r="AZ1109" s="780"/>
      <c r="BA1109" s="780"/>
      <c r="BB1109" s="780"/>
      <c r="BC1109" s="780"/>
      <c r="BD1109" s="541"/>
      <c r="BE1109" s="541"/>
      <c r="BF1109" s="541"/>
      <c r="BG1109" s="541"/>
      <c r="BH1109" s="780"/>
      <c r="BI1109" s="780"/>
      <c r="BJ1109" s="780"/>
      <c r="BK1109" s="780"/>
      <c r="BL1109" s="780"/>
      <c r="BM1109" s="780"/>
    </row>
    <row r="1110" ht="12.75" customHeight="1">
      <c r="A1110" s="521"/>
      <c r="B1110" s="521"/>
      <c r="C1110" s="515"/>
      <c r="D1110" s="515"/>
      <c r="E1110" s="515"/>
      <c r="F1110" s="515"/>
      <c r="G1110" s="515"/>
      <c r="H1110" s="515"/>
      <c r="I1110" s="515"/>
      <c r="J1110" s="515"/>
      <c r="K1110" s="515"/>
      <c r="L1110" s="515"/>
      <c r="M1110" s="515"/>
      <c r="N1110" s="515"/>
      <c r="O1110" s="533"/>
      <c r="P1110" s="786"/>
      <c r="Q1110" s="787"/>
      <c r="R1110" s="787"/>
      <c r="S1110" s="787"/>
      <c r="T1110" s="786"/>
      <c r="U1110" s="787"/>
      <c r="V1110" s="787"/>
      <c r="W1110" s="787"/>
      <c r="X1110" s="786"/>
      <c r="Y1110" s="787"/>
      <c r="Z1110" s="787"/>
      <c r="AA1110" s="787"/>
      <c r="AB1110" s="786"/>
      <c r="AC1110" s="787"/>
      <c r="AD1110" s="787"/>
      <c r="AE1110" s="787"/>
      <c r="AF1110" s="786"/>
      <c r="AG1110" s="787"/>
      <c r="AH1110" s="787"/>
      <c r="AI1110" s="787"/>
      <c r="AJ1110" s="786"/>
      <c r="AK1110" s="787"/>
      <c r="AL1110" s="787"/>
      <c r="AM1110" s="787"/>
      <c r="AN1110" s="786"/>
      <c r="AO1110" s="787"/>
      <c r="AP1110" s="787"/>
      <c r="AQ1110" s="787"/>
      <c r="AR1110" s="786"/>
      <c r="AS1110" s="787"/>
      <c r="AT1110" s="787"/>
      <c r="AU1110" s="787"/>
      <c r="AV1110" s="786"/>
      <c r="AW1110" s="787"/>
      <c r="AX1110" s="787"/>
      <c r="AY1110" s="787"/>
      <c r="AZ1110" s="780"/>
      <c r="BA1110" s="780"/>
      <c r="BB1110" s="780"/>
      <c r="BC1110" s="780"/>
      <c r="BD1110" s="541"/>
      <c r="BE1110" s="541"/>
      <c r="BF1110" s="541"/>
      <c r="BG1110" s="541"/>
      <c r="BH1110" s="780"/>
      <c r="BI1110" s="780"/>
      <c r="BJ1110" s="780"/>
      <c r="BK1110" s="780"/>
      <c r="BL1110" s="780"/>
      <c r="BM1110" s="780"/>
    </row>
    <row r="1111" ht="12.75" customHeight="1">
      <c r="A1111" s="521"/>
      <c r="B1111" s="521"/>
      <c r="C1111" s="515"/>
      <c r="D1111" s="515"/>
      <c r="E1111" s="515"/>
      <c r="F1111" s="515"/>
      <c r="G1111" s="515"/>
      <c r="H1111" s="515"/>
      <c r="I1111" s="515"/>
      <c r="J1111" s="515"/>
      <c r="K1111" s="515"/>
      <c r="L1111" s="515"/>
      <c r="M1111" s="515"/>
      <c r="N1111" s="515"/>
      <c r="O1111" s="533"/>
      <c r="P1111" s="786"/>
      <c r="Q1111" s="787"/>
      <c r="R1111" s="787"/>
      <c r="S1111" s="787"/>
      <c r="T1111" s="786"/>
      <c r="U1111" s="787"/>
      <c r="V1111" s="787"/>
      <c r="W1111" s="787"/>
      <c r="X1111" s="786"/>
      <c r="Y1111" s="787"/>
      <c r="Z1111" s="787"/>
      <c r="AA1111" s="787"/>
      <c r="AB1111" s="786"/>
      <c r="AC1111" s="787"/>
      <c r="AD1111" s="787"/>
      <c r="AE1111" s="787"/>
      <c r="AF1111" s="786"/>
      <c r="AG1111" s="787"/>
      <c r="AH1111" s="787"/>
      <c r="AI1111" s="787"/>
      <c r="AJ1111" s="786"/>
      <c r="AK1111" s="787"/>
      <c r="AL1111" s="787"/>
      <c r="AM1111" s="787"/>
      <c r="AN1111" s="786"/>
      <c r="AO1111" s="787"/>
      <c r="AP1111" s="787"/>
      <c r="AQ1111" s="787"/>
      <c r="AR1111" s="786"/>
      <c r="AS1111" s="787"/>
      <c r="AT1111" s="787"/>
      <c r="AU1111" s="787"/>
      <c r="AV1111" s="786"/>
      <c r="AW1111" s="787"/>
      <c r="AX1111" s="787"/>
      <c r="AY1111" s="787"/>
      <c r="AZ1111" s="780"/>
      <c r="BA1111" s="780"/>
      <c r="BB1111" s="780"/>
      <c r="BC1111" s="780"/>
      <c r="BD1111" s="541"/>
      <c r="BE1111" s="541"/>
      <c r="BF1111" s="541"/>
      <c r="BG1111" s="541"/>
      <c r="BH1111" s="780"/>
      <c r="BI1111" s="780"/>
      <c r="BJ1111" s="780"/>
      <c r="BK1111" s="780"/>
      <c r="BL1111" s="780"/>
      <c r="BM1111" s="780"/>
    </row>
    <row r="1112" ht="12.75" customHeight="1">
      <c r="A1112" s="521"/>
      <c r="B1112" s="521"/>
      <c r="C1112" s="515"/>
      <c r="D1112" s="515"/>
      <c r="E1112" s="515"/>
      <c r="F1112" s="515"/>
      <c r="G1112" s="515"/>
      <c r="H1112" s="515"/>
      <c r="I1112" s="515"/>
      <c r="J1112" s="515"/>
      <c r="K1112" s="515"/>
      <c r="L1112" s="515"/>
      <c r="M1112" s="515"/>
      <c r="N1112" s="515"/>
      <c r="O1112" s="533"/>
      <c r="P1112" s="786"/>
      <c r="Q1112" s="787"/>
      <c r="R1112" s="787"/>
      <c r="S1112" s="787"/>
      <c r="T1112" s="786"/>
      <c r="U1112" s="787"/>
      <c r="V1112" s="787"/>
      <c r="W1112" s="787"/>
      <c r="X1112" s="786"/>
      <c r="Y1112" s="787"/>
      <c r="Z1112" s="787"/>
      <c r="AA1112" s="787"/>
      <c r="AB1112" s="786"/>
      <c r="AC1112" s="787"/>
      <c r="AD1112" s="787"/>
      <c r="AE1112" s="787"/>
      <c r="AF1112" s="786"/>
      <c r="AG1112" s="787"/>
      <c r="AH1112" s="787"/>
      <c r="AI1112" s="787"/>
      <c r="AJ1112" s="786"/>
      <c r="AK1112" s="787"/>
      <c r="AL1112" s="787"/>
      <c r="AM1112" s="787"/>
      <c r="AN1112" s="786"/>
      <c r="AO1112" s="787"/>
      <c r="AP1112" s="787"/>
      <c r="AQ1112" s="787"/>
      <c r="AR1112" s="786"/>
      <c r="AS1112" s="787"/>
      <c r="AT1112" s="787"/>
      <c r="AU1112" s="787"/>
      <c r="AV1112" s="786"/>
      <c r="AW1112" s="787"/>
      <c r="AX1112" s="787"/>
      <c r="AY1112" s="787"/>
      <c r="AZ1112" s="780"/>
      <c r="BA1112" s="780"/>
      <c r="BB1112" s="780"/>
      <c r="BC1112" s="780"/>
      <c r="BD1112" s="541"/>
      <c r="BE1112" s="541"/>
      <c r="BF1112" s="541"/>
      <c r="BG1112" s="541"/>
      <c r="BH1112" s="780"/>
      <c r="BI1112" s="780"/>
      <c r="BJ1112" s="780"/>
      <c r="BK1112" s="780"/>
      <c r="BL1112" s="780"/>
      <c r="BM1112" s="780"/>
    </row>
    <row r="1113" ht="12.75" customHeight="1">
      <c r="A1113" s="521"/>
      <c r="B1113" s="521"/>
      <c r="C1113" s="515"/>
      <c r="D1113" s="515"/>
      <c r="E1113" s="515"/>
      <c r="F1113" s="515"/>
      <c r="G1113" s="515"/>
      <c r="H1113" s="515"/>
      <c r="I1113" s="515"/>
      <c r="J1113" s="515"/>
      <c r="K1113" s="515"/>
      <c r="L1113" s="515"/>
      <c r="M1113" s="515"/>
      <c r="N1113" s="515"/>
      <c r="O1113" s="533"/>
      <c r="P1113" s="786"/>
      <c r="Q1113" s="787"/>
      <c r="R1113" s="787"/>
      <c r="S1113" s="787"/>
      <c r="T1113" s="786"/>
      <c r="U1113" s="787"/>
      <c r="V1113" s="787"/>
      <c r="W1113" s="787"/>
      <c r="X1113" s="786"/>
      <c r="Y1113" s="787"/>
      <c r="Z1113" s="787"/>
      <c r="AA1113" s="787"/>
      <c r="AB1113" s="786"/>
      <c r="AC1113" s="787"/>
      <c r="AD1113" s="787"/>
      <c r="AE1113" s="787"/>
      <c r="AF1113" s="786"/>
      <c r="AG1113" s="787"/>
      <c r="AH1113" s="787"/>
      <c r="AI1113" s="787"/>
      <c r="AJ1113" s="786"/>
      <c r="AK1113" s="787"/>
      <c r="AL1113" s="787"/>
      <c r="AM1113" s="787"/>
      <c r="AN1113" s="786"/>
      <c r="AO1113" s="787"/>
      <c r="AP1113" s="787"/>
      <c r="AQ1113" s="787"/>
      <c r="AR1113" s="786"/>
      <c r="AS1113" s="787"/>
      <c r="AT1113" s="787"/>
      <c r="AU1113" s="787"/>
      <c r="AV1113" s="786"/>
      <c r="AW1113" s="787"/>
      <c r="AX1113" s="787"/>
      <c r="AY1113" s="787"/>
      <c r="AZ1113" s="780"/>
      <c r="BA1113" s="780"/>
      <c r="BB1113" s="780"/>
      <c r="BC1113" s="780"/>
      <c r="BD1113" s="541"/>
      <c r="BE1113" s="541"/>
      <c r="BF1113" s="541"/>
      <c r="BG1113" s="541"/>
      <c r="BH1113" s="780"/>
      <c r="BI1113" s="780"/>
      <c r="BJ1113" s="780"/>
      <c r="BK1113" s="780"/>
      <c r="BL1113" s="780"/>
      <c r="BM1113" s="780"/>
    </row>
    <row r="1114" ht="12.75" customHeight="1">
      <c r="A1114" s="521"/>
      <c r="B1114" s="521"/>
      <c r="C1114" s="515"/>
      <c r="D1114" s="515"/>
      <c r="E1114" s="515"/>
      <c r="F1114" s="515"/>
      <c r="G1114" s="515"/>
      <c r="H1114" s="515"/>
      <c r="I1114" s="515"/>
      <c r="J1114" s="515"/>
      <c r="K1114" s="515"/>
      <c r="L1114" s="515"/>
      <c r="M1114" s="515"/>
      <c r="N1114" s="515"/>
      <c r="O1114" s="533"/>
      <c r="P1114" s="786"/>
      <c r="Q1114" s="787"/>
      <c r="R1114" s="787"/>
      <c r="S1114" s="787"/>
      <c r="T1114" s="786"/>
      <c r="U1114" s="787"/>
      <c r="V1114" s="787"/>
      <c r="W1114" s="787"/>
      <c r="X1114" s="786"/>
      <c r="Y1114" s="787"/>
      <c r="Z1114" s="787"/>
      <c r="AA1114" s="787"/>
      <c r="AB1114" s="786"/>
      <c r="AC1114" s="787"/>
      <c r="AD1114" s="787"/>
      <c r="AE1114" s="787"/>
      <c r="AF1114" s="786"/>
      <c r="AG1114" s="787"/>
      <c r="AH1114" s="787"/>
      <c r="AI1114" s="787"/>
      <c r="AJ1114" s="786"/>
      <c r="AK1114" s="787"/>
      <c r="AL1114" s="787"/>
      <c r="AM1114" s="787"/>
      <c r="AN1114" s="786"/>
      <c r="AO1114" s="787"/>
      <c r="AP1114" s="787"/>
      <c r="AQ1114" s="787"/>
      <c r="AR1114" s="786"/>
      <c r="AS1114" s="787"/>
      <c r="AT1114" s="787"/>
      <c r="AU1114" s="787"/>
      <c r="AV1114" s="786"/>
      <c r="AW1114" s="787"/>
      <c r="AX1114" s="787"/>
      <c r="AY1114" s="787"/>
      <c r="AZ1114" s="780"/>
      <c r="BA1114" s="780"/>
      <c r="BB1114" s="780"/>
      <c r="BC1114" s="780"/>
      <c r="BD1114" s="541"/>
      <c r="BE1114" s="541"/>
      <c r="BF1114" s="541"/>
      <c r="BG1114" s="541"/>
      <c r="BH1114" s="780"/>
      <c r="BI1114" s="780"/>
      <c r="BJ1114" s="780"/>
      <c r="BK1114" s="780"/>
      <c r="BL1114" s="780"/>
      <c r="BM1114" s="780"/>
    </row>
    <row r="1115" ht="12.75" customHeight="1">
      <c r="A1115" s="521"/>
      <c r="B1115" s="521"/>
      <c r="C1115" s="515"/>
      <c r="D1115" s="515"/>
      <c r="E1115" s="515"/>
      <c r="F1115" s="515"/>
      <c r="G1115" s="515"/>
      <c r="H1115" s="515"/>
      <c r="I1115" s="515"/>
      <c r="J1115" s="515"/>
      <c r="K1115" s="515"/>
      <c r="L1115" s="515"/>
      <c r="M1115" s="515"/>
      <c r="N1115" s="515"/>
      <c r="O1115" s="533"/>
      <c r="P1115" s="786"/>
      <c r="Q1115" s="787"/>
      <c r="R1115" s="787"/>
      <c r="S1115" s="787"/>
      <c r="T1115" s="786"/>
      <c r="U1115" s="787"/>
      <c r="V1115" s="787"/>
      <c r="W1115" s="787"/>
      <c r="X1115" s="786"/>
      <c r="Y1115" s="787"/>
      <c r="Z1115" s="787"/>
      <c r="AA1115" s="787"/>
      <c r="AB1115" s="786"/>
      <c r="AC1115" s="787"/>
      <c r="AD1115" s="787"/>
      <c r="AE1115" s="787"/>
      <c r="AF1115" s="786"/>
      <c r="AG1115" s="787"/>
      <c r="AH1115" s="787"/>
      <c r="AI1115" s="787"/>
      <c r="AJ1115" s="786"/>
      <c r="AK1115" s="787"/>
      <c r="AL1115" s="787"/>
      <c r="AM1115" s="787"/>
      <c r="AN1115" s="786"/>
      <c r="AO1115" s="787"/>
      <c r="AP1115" s="787"/>
      <c r="AQ1115" s="787"/>
      <c r="AR1115" s="786"/>
      <c r="AS1115" s="787"/>
      <c r="AT1115" s="787"/>
      <c r="AU1115" s="787"/>
      <c r="AV1115" s="786"/>
      <c r="AW1115" s="787"/>
      <c r="AX1115" s="787"/>
      <c r="AY1115" s="787"/>
      <c r="AZ1115" s="780"/>
      <c r="BA1115" s="780"/>
      <c r="BB1115" s="780"/>
      <c r="BC1115" s="780"/>
      <c r="BD1115" s="541"/>
      <c r="BE1115" s="541"/>
      <c r="BF1115" s="541"/>
      <c r="BG1115" s="541"/>
      <c r="BH1115" s="780"/>
      <c r="BI1115" s="780"/>
      <c r="BJ1115" s="780"/>
      <c r="BK1115" s="780"/>
      <c r="BL1115" s="780"/>
      <c r="BM1115" s="780"/>
    </row>
    <row r="1116" ht="12.75" customHeight="1">
      <c r="A1116" s="521"/>
      <c r="B1116" s="521"/>
      <c r="C1116" s="515"/>
      <c r="D1116" s="515"/>
      <c r="E1116" s="515"/>
      <c r="F1116" s="515"/>
      <c r="G1116" s="515"/>
      <c r="H1116" s="515"/>
      <c r="I1116" s="515"/>
      <c r="J1116" s="515"/>
      <c r="K1116" s="515"/>
      <c r="L1116" s="515"/>
      <c r="M1116" s="515"/>
      <c r="N1116" s="515"/>
      <c r="O1116" s="533"/>
      <c r="P1116" s="786"/>
      <c r="Q1116" s="787"/>
      <c r="R1116" s="787"/>
      <c r="S1116" s="787"/>
      <c r="T1116" s="786"/>
      <c r="U1116" s="787"/>
      <c r="V1116" s="787"/>
      <c r="W1116" s="787"/>
      <c r="X1116" s="786"/>
      <c r="Y1116" s="787"/>
      <c r="Z1116" s="787"/>
      <c r="AA1116" s="787"/>
      <c r="AB1116" s="786"/>
      <c r="AC1116" s="787"/>
      <c r="AD1116" s="787"/>
      <c r="AE1116" s="787"/>
      <c r="AF1116" s="786"/>
      <c r="AG1116" s="787"/>
      <c r="AH1116" s="787"/>
      <c r="AI1116" s="787"/>
      <c r="AJ1116" s="786"/>
      <c r="AK1116" s="787"/>
      <c r="AL1116" s="787"/>
      <c r="AM1116" s="787"/>
      <c r="AN1116" s="786"/>
      <c r="AO1116" s="787"/>
      <c r="AP1116" s="787"/>
      <c r="AQ1116" s="787"/>
      <c r="AR1116" s="786"/>
      <c r="AS1116" s="787"/>
      <c r="AT1116" s="787"/>
      <c r="AU1116" s="787"/>
      <c r="AV1116" s="786"/>
      <c r="AW1116" s="787"/>
      <c r="AX1116" s="787"/>
      <c r="AY1116" s="787"/>
      <c r="AZ1116" s="780"/>
      <c r="BA1116" s="780"/>
      <c r="BB1116" s="780"/>
      <c r="BC1116" s="780"/>
      <c r="BD1116" s="541"/>
      <c r="BE1116" s="541"/>
      <c r="BF1116" s="541"/>
      <c r="BG1116" s="541"/>
      <c r="BH1116" s="780"/>
      <c r="BI1116" s="780"/>
      <c r="BJ1116" s="780"/>
      <c r="BK1116" s="780"/>
      <c r="BL1116" s="780"/>
      <c r="BM1116" s="780"/>
    </row>
    <row r="1117" ht="12.75" customHeight="1">
      <c r="A1117" s="521"/>
      <c r="B1117" s="521"/>
      <c r="C1117" s="515"/>
      <c r="D1117" s="515"/>
      <c r="E1117" s="515"/>
      <c r="F1117" s="515"/>
      <c r="G1117" s="515"/>
      <c r="H1117" s="515"/>
      <c r="I1117" s="515"/>
      <c r="J1117" s="515"/>
      <c r="K1117" s="515"/>
      <c r="L1117" s="515"/>
      <c r="M1117" s="515"/>
      <c r="N1117" s="515"/>
      <c r="O1117" s="533"/>
      <c r="P1117" s="786"/>
      <c r="Q1117" s="787"/>
      <c r="R1117" s="787"/>
      <c r="S1117" s="787"/>
      <c r="T1117" s="786"/>
      <c r="U1117" s="787"/>
      <c r="V1117" s="787"/>
      <c r="W1117" s="787"/>
      <c r="X1117" s="786"/>
      <c r="Y1117" s="787"/>
      <c r="Z1117" s="787"/>
      <c r="AA1117" s="787"/>
      <c r="AB1117" s="786"/>
      <c r="AC1117" s="787"/>
      <c r="AD1117" s="787"/>
      <c r="AE1117" s="787"/>
      <c r="AF1117" s="786"/>
      <c r="AG1117" s="787"/>
      <c r="AH1117" s="787"/>
      <c r="AI1117" s="787"/>
      <c r="AJ1117" s="786"/>
      <c r="AK1117" s="787"/>
      <c r="AL1117" s="787"/>
      <c r="AM1117" s="787"/>
      <c r="AN1117" s="786"/>
      <c r="AO1117" s="787"/>
      <c r="AP1117" s="787"/>
      <c r="AQ1117" s="787"/>
      <c r="AR1117" s="786"/>
      <c r="AS1117" s="787"/>
      <c r="AT1117" s="787"/>
      <c r="AU1117" s="787"/>
      <c r="AV1117" s="786"/>
      <c r="AW1117" s="787"/>
      <c r="AX1117" s="787"/>
      <c r="AY1117" s="787"/>
      <c r="AZ1117" s="780"/>
      <c r="BA1117" s="780"/>
      <c r="BB1117" s="780"/>
      <c r="BC1117" s="780"/>
      <c r="BD1117" s="541"/>
      <c r="BE1117" s="541"/>
      <c r="BF1117" s="541"/>
      <c r="BG1117" s="541"/>
      <c r="BH1117" s="780"/>
      <c r="BI1117" s="780"/>
      <c r="BJ1117" s="780"/>
      <c r="BK1117" s="780"/>
      <c r="BL1117" s="780"/>
      <c r="BM1117" s="780"/>
    </row>
    <row r="1118" ht="12.75" customHeight="1">
      <c r="A1118" s="521"/>
      <c r="B1118" s="521"/>
      <c r="C1118" s="515"/>
      <c r="D1118" s="515"/>
      <c r="E1118" s="515"/>
      <c r="F1118" s="515"/>
      <c r="G1118" s="515"/>
      <c r="H1118" s="515"/>
      <c r="I1118" s="515"/>
      <c r="J1118" s="515"/>
      <c r="K1118" s="515"/>
      <c r="L1118" s="515"/>
      <c r="M1118" s="515"/>
      <c r="N1118" s="515"/>
      <c r="O1118" s="533"/>
      <c r="P1118" s="786"/>
      <c r="Q1118" s="787"/>
      <c r="R1118" s="787"/>
      <c r="S1118" s="787"/>
      <c r="T1118" s="786"/>
      <c r="U1118" s="787"/>
      <c r="V1118" s="787"/>
      <c r="W1118" s="787"/>
      <c r="X1118" s="786"/>
      <c r="Y1118" s="787"/>
      <c r="Z1118" s="787"/>
      <c r="AA1118" s="787"/>
      <c r="AB1118" s="786"/>
      <c r="AC1118" s="787"/>
      <c r="AD1118" s="787"/>
      <c r="AE1118" s="787"/>
      <c r="AF1118" s="786"/>
      <c r="AG1118" s="787"/>
      <c r="AH1118" s="787"/>
      <c r="AI1118" s="787"/>
      <c r="AJ1118" s="786"/>
      <c r="AK1118" s="787"/>
      <c r="AL1118" s="787"/>
      <c r="AM1118" s="787"/>
      <c r="AN1118" s="786"/>
      <c r="AO1118" s="787"/>
      <c r="AP1118" s="787"/>
      <c r="AQ1118" s="787"/>
      <c r="AR1118" s="786"/>
      <c r="AS1118" s="787"/>
      <c r="AT1118" s="787"/>
      <c r="AU1118" s="787"/>
      <c r="AV1118" s="786"/>
      <c r="AW1118" s="787"/>
      <c r="AX1118" s="787"/>
      <c r="AY1118" s="787"/>
      <c r="AZ1118" s="780"/>
      <c r="BA1118" s="780"/>
      <c r="BB1118" s="780"/>
      <c r="BC1118" s="780"/>
      <c r="BD1118" s="541"/>
      <c r="BE1118" s="541"/>
      <c r="BF1118" s="541"/>
      <c r="BG1118" s="541"/>
      <c r="BH1118" s="780"/>
      <c r="BI1118" s="780"/>
      <c r="BJ1118" s="780"/>
      <c r="BK1118" s="780"/>
      <c r="BL1118" s="780"/>
      <c r="BM1118" s="780"/>
    </row>
    <row r="1119" ht="12.75" customHeight="1">
      <c r="A1119" s="521"/>
      <c r="B1119" s="521"/>
      <c r="C1119" s="515"/>
      <c r="D1119" s="515"/>
      <c r="E1119" s="515"/>
      <c r="F1119" s="515"/>
      <c r="G1119" s="515"/>
      <c r="H1119" s="515"/>
      <c r="I1119" s="515"/>
      <c r="J1119" s="515"/>
      <c r="K1119" s="515"/>
      <c r="L1119" s="515"/>
      <c r="M1119" s="515"/>
      <c r="N1119" s="515"/>
      <c r="O1119" s="533"/>
      <c r="P1119" s="786"/>
      <c r="Q1119" s="787"/>
      <c r="R1119" s="787"/>
      <c r="S1119" s="787"/>
      <c r="T1119" s="786"/>
      <c r="U1119" s="787"/>
      <c r="V1119" s="787"/>
      <c r="W1119" s="787"/>
      <c r="X1119" s="786"/>
      <c r="Y1119" s="787"/>
      <c r="Z1119" s="787"/>
      <c r="AA1119" s="787"/>
      <c r="AB1119" s="786"/>
      <c r="AC1119" s="787"/>
      <c r="AD1119" s="787"/>
      <c r="AE1119" s="787"/>
      <c r="AF1119" s="786"/>
      <c r="AG1119" s="787"/>
      <c r="AH1119" s="787"/>
      <c r="AI1119" s="787"/>
      <c r="AJ1119" s="786"/>
      <c r="AK1119" s="787"/>
      <c r="AL1119" s="787"/>
      <c r="AM1119" s="787"/>
      <c r="AN1119" s="786"/>
      <c r="AO1119" s="787"/>
      <c r="AP1119" s="787"/>
      <c r="AQ1119" s="787"/>
      <c r="AR1119" s="786"/>
      <c r="AS1119" s="787"/>
      <c r="AT1119" s="787"/>
      <c r="AU1119" s="787"/>
      <c r="AV1119" s="786"/>
      <c r="AW1119" s="787"/>
      <c r="AX1119" s="787"/>
      <c r="AY1119" s="787"/>
      <c r="AZ1119" s="780"/>
      <c r="BA1119" s="780"/>
      <c r="BB1119" s="780"/>
      <c r="BC1119" s="780"/>
      <c r="BD1119" s="541"/>
      <c r="BE1119" s="541"/>
      <c r="BF1119" s="541"/>
      <c r="BG1119" s="541"/>
      <c r="BH1119" s="780"/>
      <c r="BI1119" s="780"/>
      <c r="BJ1119" s="780"/>
      <c r="BK1119" s="780"/>
      <c r="BL1119" s="780"/>
      <c r="BM1119" s="780"/>
    </row>
    <row r="1120" ht="12.75" customHeight="1">
      <c r="A1120" s="521"/>
      <c r="B1120" s="521"/>
      <c r="C1120" s="515"/>
      <c r="D1120" s="515"/>
      <c r="E1120" s="515"/>
      <c r="F1120" s="515"/>
      <c r="G1120" s="515"/>
      <c r="H1120" s="515"/>
      <c r="I1120" s="515"/>
      <c r="J1120" s="515"/>
      <c r="K1120" s="515"/>
      <c r="L1120" s="515"/>
      <c r="M1120" s="515"/>
      <c r="N1120" s="515"/>
      <c r="O1120" s="533"/>
      <c r="P1120" s="786"/>
      <c r="Q1120" s="787"/>
      <c r="R1120" s="787"/>
      <c r="S1120" s="787"/>
      <c r="T1120" s="786"/>
      <c r="U1120" s="787"/>
      <c r="V1120" s="787"/>
      <c r="W1120" s="787"/>
      <c r="X1120" s="786"/>
      <c r="Y1120" s="787"/>
      <c r="Z1120" s="787"/>
      <c r="AA1120" s="787"/>
      <c r="AB1120" s="786"/>
      <c r="AC1120" s="787"/>
      <c r="AD1120" s="787"/>
      <c r="AE1120" s="787"/>
      <c r="AF1120" s="786"/>
      <c r="AG1120" s="787"/>
      <c r="AH1120" s="787"/>
      <c r="AI1120" s="787"/>
      <c r="AJ1120" s="786"/>
      <c r="AK1120" s="787"/>
      <c r="AL1120" s="787"/>
      <c r="AM1120" s="787"/>
      <c r="AN1120" s="786"/>
      <c r="AO1120" s="787"/>
      <c r="AP1120" s="787"/>
      <c r="AQ1120" s="787"/>
      <c r="AR1120" s="786"/>
      <c r="AS1120" s="787"/>
      <c r="AT1120" s="787"/>
      <c r="AU1120" s="787"/>
      <c r="AV1120" s="786"/>
      <c r="AW1120" s="787"/>
      <c r="AX1120" s="787"/>
      <c r="AY1120" s="787"/>
      <c r="AZ1120" s="780"/>
      <c r="BA1120" s="780"/>
      <c r="BB1120" s="780"/>
      <c r="BC1120" s="780"/>
      <c r="BD1120" s="541"/>
      <c r="BE1120" s="541"/>
      <c r="BF1120" s="541"/>
      <c r="BG1120" s="541"/>
      <c r="BH1120" s="780"/>
      <c r="BI1120" s="780"/>
      <c r="BJ1120" s="780"/>
      <c r="BK1120" s="780"/>
      <c r="BL1120" s="780"/>
      <c r="BM1120" s="780"/>
    </row>
    <row r="1121" ht="12.75" customHeight="1">
      <c r="A1121" s="521"/>
      <c r="B1121" s="521"/>
      <c r="C1121" s="515"/>
      <c r="D1121" s="515"/>
      <c r="E1121" s="515"/>
      <c r="F1121" s="515"/>
      <c r="G1121" s="515"/>
      <c r="H1121" s="515"/>
      <c r="I1121" s="515"/>
      <c r="J1121" s="515"/>
      <c r="K1121" s="515"/>
      <c r="L1121" s="515"/>
      <c r="M1121" s="515"/>
      <c r="N1121" s="515"/>
      <c r="O1121" s="533"/>
      <c r="P1121" s="786"/>
      <c r="Q1121" s="787"/>
      <c r="R1121" s="787"/>
      <c r="S1121" s="787"/>
      <c r="T1121" s="786"/>
      <c r="U1121" s="787"/>
      <c r="V1121" s="787"/>
      <c r="W1121" s="787"/>
      <c r="X1121" s="786"/>
      <c r="Y1121" s="787"/>
      <c r="Z1121" s="787"/>
      <c r="AA1121" s="787"/>
      <c r="AB1121" s="786"/>
      <c r="AC1121" s="787"/>
      <c r="AD1121" s="787"/>
      <c r="AE1121" s="787"/>
      <c r="AF1121" s="786"/>
      <c r="AG1121" s="787"/>
      <c r="AH1121" s="787"/>
      <c r="AI1121" s="787"/>
      <c r="AJ1121" s="786"/>
      <c r="AK1121" s="787"/>
      <c r="AL1121" s="787"/>
      <c r="AM1121" s="787"/>
      <c r="AN1121" s="786"/>
      <c r="AO1121" s="787"/>
      <c r="AP1121" s="787"/>
      <c r="AQ1121" s="787"/>
      <c r="AR1121" s="786"/>
      <c r="AS1121" s="787"/>
      <c r="AT1121" s="787"/>
      <c r="AU1121" s="787"/>
      <c r="AV1121" s="786"/>
      <c r="AW1121" s="787"/>
      <c r="AX1121" s="787"/>
      <c r="AY1121" s="787"/>
      <c r="AZ1121" s="780"/>
      <c r="BA1121" s="780"/>
      <c r="BB1121" s="780"/>
      <c r="BC1121" s="780"/>
      <c r="BD1121" s="541"/>
      <c r="BE1121" s="541"/>
      <c r="BF1121" s="541"/>
      <c r="BG1121" s="541"/>
      <c r="BH1121" s="780"/>
      <c r="BI1121" s="780"/>
      <c r="BJ1121" s="780"/>
      <c r="BK1121" s="780"/>
      <c r="BL1121" s="780"/>
      <c r="BM1121" s="780"/>
    </row>
    <row r="1122" ht="12.75" customHeight="1">
      <c r="A1122" s="521"/>
      <c r="B1122" s="521"/>
      <c r="C1122" s="515"/>
      <c r="D1122" s="515"/>
      <c r="E1122" s="515"/>
      <c r="F1122" s="515"/>
      <c r="G1122" s="515"/>
      <c r="H1122" s="515"/>
      <c r="I1122" s="515"/>
      <c r="J1122" s="515"/>
      <c r="K1122" s="515"/>
      <c r="L1122" s="515"/>
      <c r="M1122" s="515"/>
      <c r="N1122" s="515"/>
      <c r="O1122" s="533"/>
      <c r="P1122" s="786"/>
      <c r="Q1122" s="787"/>
      <c r="R1122" s="787"/>
      <c r="S1122" s="787"/>
      <c r="T1122" s="786"/>
      <c r="U1122" s="787"/>
      <c r="V1122" s="787"/>
      <c r="W1122" s="787"/>
      <c r="X1122" s="786"/>
      <c r="Y1122" s="787"/>
      <c r="Z1122" s="787"/>
      <c r="AA1122" s="787"/>
      <c r="AB1122" s="786"/>
      <c r="AC1122" s="787"/>
      <c r="AD1122" s="787"/>
      <c r="AE1122" s="787"/>
      <c r="AF1122" s="786"/>
      <c r="AG1122" s="787"/>
      <c r="AH1122" s="787"/>
      <c r="AI1122" s="787"/>
      <c r="AJ1122" s="786"/>
      <c r="AK1122" s="787"/>
      <c r="AL1122" s="787"/>
      <c r="AM1122" s="787"/>
      <c r="AN1122" s="786"/>
      <c r="AO1122" s="787"/>
      <c r="AP1122" s="787"/>
      <c r="AQ1122" s="787"/>
      <c r="AR1122" s="786"/>
      <c r="AS1122" s="787"/>
      <c r="AT1122" s="787"/>
      <c r="AU1122" s="787"/>
      <c r="AV1122" s="786"/>
      <c r="AW1122" s="787"/>
      <c r="AX1122" s="787"/>
      <c r="AY1122" s="787"/>
      <c r="AZ1122" s="780"/>
      <c r="BA1122" s="780"/>
      <c r="BB1122" s="780"/>
      <c r="BC1122" s="780"/>
      <c r="BD1122" s="541"/>
      <c r="BE1122" s="541"/>
      <c r="BF1122" s="541"/>
      <c r="BG1122" s="541"/>
      <c r="BH1122" s="780"/>
      <c r="BI1122" s="780"/>
      <c r="BJ1122" s="780"/>
      <c r="BK1122" s="780"/>
      <c r="BL1122" s="780"/>
      <c r="BM1122" s="780"/>
    </row>
    <row r="1123" ht="12.75" customHeight="1">
      <c r="A1123" s="521"/>
      <c r="B1123" s="521"/>
      <c r="C1123" s="515"/>
      <c r="D1123" s="515"/>
      <c r="E1123" s="515"/>
      <c r="F1123" s="515"/>
      <c r="G1123" s="515"/>
      <c r="H1123" s="515"/>
      <c r="I1123" s="515"/>
      <c r="J1123" s="515"/>
      <c r="K1123" s="515"/>
      <c r="L1123" s="515"/>
      <c r="M1123" s="515"/>
      <c r="N1123" s="515"/>
      <c r="O1123" s="533"/>
      <c r="P1123" s="786"/>
      <c r="Q1123" s="787"/>
      <c r="R1123" s="787"/>
      <c r="S1123" s="787"/>
      <c r="T1123" s="786"/>
      <c r="U1123" s="787"/>
      <c r="V1123" s="787"/>
      <c r="W1123" s="787"/>
      <c r="X1123" s="786"/>
      <c r="Y1123" s="787"/>
      <c r="Z1123" s="787"/>
      <c r="AA1123" s="787"/>
      <c r="AB1123" s="786"/>
      <c r="AC1123" s="787"/>
      <c r="AD1123" s="787"/>
      <c r="AE1123" s="787"/>
      <c r="AF1123" s="786"/>
      <c r="AG1123" s="787"/>
      <c r="AH1123" s="787"/>
      <c r="AI1123" s="787"/>
      <c r="AJ1123" s="786"/>
      <c r="AK1123" s="787"/>
      <c r="AL1123" s="787"/>
      <c r="AM1123" s="787"/>
      <c r="AN1123" s="786"/>
      <c r="AO1123" s="787"/>
      <c r="AP1123" s="787"/>
      <c r="AQ1123" s="787"/>
      <c r="AR1123" s="786"/>
      <c r="AS1123" s="787"/>
      <c r="AT1123" s="787"/>
      <c r="AU1123" s="787"/>
      <c r="AV1123" s="786"/>
      <c r="AW1123" s="787"/>
      <c r="AX1123" s="787"/>
      <c r="AY1123" s="787"/>
      <c r="AZ1123" s="780"/>
      <c r="BA1123" s="780"/>
      <c r="BB1123" s="780"/>
      <c r="BC1123" s="780"/>
      <c r="BD1123" s="541"/>
      <c r="BE1123" s="541"/>
      <c r="BF1123" s="541"/>
      <c r="BG1123" s="541"/>
      <c r="BH1123" s="780"/>
      <c r="BI1123" s="780"/>
      <c r="BJ1123" s="780"/>
      <c r="BK1123" s="780"/>
      <c r="BL1123" s="780"/>
      <c r="BM1123" s="780"/>
    </row>
    <row r="1124" ht="12.75" customHeight="1">
      <c r="A1124" s="521"/>
      <c r="B1124" s="521"/>
      <c r="C1124" s="515"/>
      <c r="D1124" s="515"/>
      <c r="E1124" s="515"/>
      <c r="F1124" s="515"/>
      <c r="G1124" s="515"/>
      <c r="H1124" s="515"/>
      <c r="I1124" s="515"/>
      <c r="J1124" s="515"/>
      <c r="K1124" s="515"/>
      <c r="L1124" s="515"/>
      <c r="M1124" s="515"/>
      <c r="N1124" s="515"/>
      <c r="O1124" s="533"/>
      <c r="P1124" s="786"/>
      <c r="Q1124" s="787"/>
      <c r="R1124" s="787"/>
      <c r="S1124" s="787"/>
      <c r="T1124" s="786"/>
      <c r="U1124" s="787"/>
      <c r="V1124" s="787"/>
      <c r="W1124" s="787"/>
      <c r="X1124" s="786"/>
      <c r="Y1124" s="787"/>
      <c r="Z1124" s="787"/>
      <c r="AA1124" s="787"/>
      <c r="AB1124" s="786"/>
      <c r="AC1124" s="787"/>
      <c r="AD1124" s="787"/>
      <c r="AE1124" s="787"/>
      <c r="AF1124" s="786"/>
      <c r="AG1124" s="787"/>
      <c r="AH1124" s="787"/>
      <c r="AI1124" s="787"/>
      <c r="AJ1124" s="786"/>
      <c r="AK1124" s="787"/>
      <c r="AL1124" s="787"/>
      <c r="AM1124" s="787"/>
      <c r="AN1124" s="786"/>
      <c r="AO1124" s="787"/>
      <c r="AP1124" s="787"/>
      <c r="AQ1124" s="787"/>
      <c r="AR1124" s="786"/>
      <c r="AS1124" s="787"/>
      <c r="AT1124" s="787"/>
      <c r="AU1124" s="787"/>
      <c r="AV1124" s="786"/>
      <c r="AW1124" s="787"/>
      <c r="AX1124" s="787"/>
      <c r="AY1124" s="787"/>
      <c r="AZ1124" s="780"/>
      <c r="BA1124" s="780"/>
      <c r="BB1124" s="780"/>
      <c r="BC1124" s="780"/>
      <c r="BD1124" s="541"/>
      <c r="BE1124" s="541"/>
      <c r="BF1124" s="541"/>
      <c r="BG1124" s="541"/>
      <c r="BH1124" s="780"/>
      <c r="BI1124" s="780"/>
      <c r="BJ1124" s="780"/>
      <c r="BK1124" s="780"/>
      <c r="BL1124" s="780"/>
      <c r="BM1124" s="780"/>
    </row>
    <row r="1125" ht="12.75" customHeight="1">
      <c r="A1125" s="521"/>
      <c r="B1125" s="521"/>
      <c r="C1125" s="515"/>
      <c r="D1125" s="515"/>
      <c r="E1125" s="515"/>
      <c r="F1125" s="515"/>
      <c r="G1125" s="515"/>
      <c r="H1125" s="515"/>
      <c r="I1125" s="515"/>
      <c r="J1125" s="515"/>
      <c r="K1125" s="515"/>
      <c r="L1125" s="515"/>
      <c r="M1125" s="515"/>
      <c r="N1125" s="515"/>
      <c r="O1125" s="533"/>
      <c r="P1125" s="786"/>
      <c r="Q1125" s="787"/>
      <c r="R1125" s="787"/>
      <c r="S1125" s="787"/>
      <c r="T1125" s="786"/>
      <c r="U1125" s="787"/>
      <c r="V1125" s="787"/>
      <c r="W1125" s="787"/>
      <c r="X1125" s="786"/>
      <c r="Y1125" s="787"/>
      <c r="Z1125" s="787"/>
      <c r="AA1125" s="787"/>
      <c r="AB1125" s="786"/>
      <c r="AC1125" s="787"/>
      <c r="AD1125" s="787"/>
      <c r="AE1125" s="787"/>
      <c r="AF1125" s="786"/>
      <c r="AG1125" s="787"/>
      <c r="AH1125" s="787"/>
      <c r="AI1125" s="787"/>
      <c r="AJ1125" s="786"/>
      <c r="AK1125" s="787"/>
      <c r="AL1125" s="787"/>
      <c r="AM1125" s="787"/>
      <c r="AN1125" s="786"/>
      <c r="AO1125" s="787"/>
      <c r="AP1125" s="787"/>
      <c r="AQ1125" s="787"/>
      <c r="AR1125" s="786"/>
      <c r="AS1125" s="787"/>
      <c r="AT1125" s="787"/>
      <c r="AU1125" s="787"/>
      <c r="AV1125" s="786"/>
      <c r="AW1125" s="787"/>
      <c r="AX1125" s="787"/>
      <c r="AY1125" s="787"/>
      <c r="AZ1125" s="780"/>
      <c r="BA1125" s="780"/>
      <c r="BB1125" s="780"/>
      <c r="BC1125" s="780"/>
      <c r="BD1125" s="541"/>
      <c r="BE1125" s="541"/>
      <c r="BF1125" s="541"/>
      <c r="BG1125" s="541"/>
      <c r="BH1125" s="780"/>
      <c r="BI1125" s="780"/>
      <c r="BJ1125" s="780"/>
      <c r="BK1125" s="780"/>
      <c r="BL1125" s="780"/>
      <c r="BM1125" s="780"/>
    </row>
    <row r="1126" ht="12.75" customHeight="1">
      <c r="A1126" s="521"/>
      <c r="B1126" s="521"/>
      <c r="C1126" s="515"/>
      <c r="D1126" s="515"/>
      <c r="E1126" s="515"/>
      <c r="F1126" s="515"/>
      <c r="G1126" s="515"/>
      <c r="H1126" s="515"/>
      <c r="I1126" s="515"/>
      <c r="J1126" s="515"/>
      <c r="K1126" s="515"/>
      <c r="L1126" s="515"/>
      <c r="M1126" s="515"/>
      <c r="N1126" s="515"/>
      <c r="O1126" s="533"/>
      <c r="P1126" s="786"/>
      <c r="Q1126" s="787"/>
      <c r="R1126" s="787"/>
      <c r="S1126" s="787"/>
      <c r="T1126" s="786"/>
      <c r="U1126" s="787"/>
      <c r="V1126" s="787"/>
      <c r="W1126" s="787"/>
      <c r="X1126" s="786"/>
      <c r="Y1126" s="787"/>
      <c r="Z1126" s="787"/>
      <c r="AA1126" s="787"/>
      <c r="AB1126" s="786"/>
      <c r="AC1126" s="787"/>
      <c r="AD1126" s="787"/>
      <c r="AE1126" s="787"/>
      <c r="AF1126" s="786"/>
      <c r="AG1126" s="787"/>
      <c r="AH1126" s="787"/>
      <c r="AI1126" s="787"/>
      <c r="AJ1126" s="786"/>
      <c r="AK1126" s="787"/>
      <c r="AL1126" s="787"/>
      <c r="AM1126" s="787"/>
      <c r="AN1126" s="786"/>
      <c r="AO1126" s="787"/>
      <c r="AP1126" s="787"/>
      <c r="AQ1126" s="787"/>
      <c r="AR1126" s="786"/>
      <c r="AS1126" s="787"/>
      <c r="AT1126" s="787"/>
      <c r="AU1126" s="787"/>
      <c r="AV1126" s="786"/>
      <c r="AW1126" s="787"/>
      <c r="AX1126" s="787"/>
      <c r="AY1126" s="787"/>
      <c r="AZ1126" s="780"/>
      <c r="BA1126" s="780"/>
      <c r="BB1126" s="780"/>
      <c r="BC1126" s="780"/>
      <c r="BD1126" s="541"/>
      <c r="BE1126" s="541"/>
      <c r="BF1126" s="541"/>
      <c r="BG1126" s="541"/>
      <c r="BH1126" s="780"/>
      <c r="BI1126" s="780"/>
      <c r="BJ1126" s="780"/>
      <c r="BK1126" s="780"/>
      <c r="BL1126" s="780"/>
      <c r="BM1126" s="780"/>
    </row>
    <row r="1127" ht="12.75" customHeight="1">
      <c r="A1127" s="521"/>
      <c r="B1127" s="521"/>
      <c r="C1127" s="515"/>
      <c r="D1127" s="515"/>
      <c r="E1127" s="515"/>
      <c r="F1127" s="515"/>
      <c r="G1127" s="515"/>
      <c r="H1127" s="515"/>
      <c r="I1127" s="515"/>
      <c r="J1127" s="515"/>
      <c r="K1127" s="515"/>
      <c r="L1127" s="515"/>
      <c r="M1127" s="515"/>
      <c r="N1127" s="515"/>
      <c r="O1127" s="533"/>
      <c r="P1127" s="786"/>
      <c r="Q1127" s="787"/>
      <c r="R1127" s="787"/>
      <c r="S1127" s="787"/>
      <c r="T1127" s="786"/>
      <c r="U1127" s="787"/>
      <c r="V1127" s="787"/>
      <c r="W1127" s="787"/>
      <c r="X1127" s="786"/>
      <c r="Y1127" s="787"/>
      <c r="Z1127" s="787"/>
      <c r="AA1127" s="787"/>
      <c r="AB1127" s="786"/>
      <c r="AC1127" s="787"/>
      <c r="AD1127" s="787"/>
      <c r="AE1127" s="787"/>
      <c r="AF1127" s="786"/>
      <c r="AG1127" s="787"/>
      <c r="AH1127" s="787"/>
      <c r="AI1127" s="787"/>
      <c r="AJ1127" s="786"/>
      <c r="AK1127" s="787"/>
      <c r="AL1127" s="787"/>
      <c r="AM1127" s="787"/>
      <c r="AN1127" s="786"/>
      <c r="AO1127" s="787"/>
      <c r="AP1127" s="787"/>
      <c r="AQ1127" s="787"/>
      <c r="AR1127" s="786"/>
      <c r="AS1127" s="787"/>
      <c r="AT1127" s="787"/>
      <c r="AU1127" s="787"/>
      <c r="AV1127" s="786"/>
      <c r="AW1127" s="787"/>
      <c r="AX1127" s="787"/>
      <c r="AY1127" s="787"/>
      <c r="AZ1127" s="780"/>
      <c r="BA1127" s="780"/>
      <c r="BB1127" s="780"/>
      <c r="BC1127" s="780"/>
      <c r="BD1127" s="541"/>
      <c r="BE1127" s="541"/>
      <c r="BF1127" s="541"/>
      <c r="BG1127" s="541"/>
      <c r="BH1127" s="780"/>
      <c r="BI1127" s="780"/>
      <c r="BJ1127" s="780"/>
      <c r="BK1127" s="780"/>
      <c r="BL1127" s="780"/>
      <c r="BM1127" s="780"/>
    </row>
    <row r="1128" ht="12.75" customHeight="1">
      <c r="A1128" s="521"/>
      <c r="B1128" s="521"/>
      <c r="C1128" s="515"/>
      <c r="D1128" s="515"/>
      <c r="E1128" s="515"/>
      <c r="F1128" s="515"/>
      <c r="G1128" s="515"/>
      <c r="H1128" s="515"/>
      <c r="I1128" s="515"/>
      <c r="J1128" s="515"/>
      <c r="K1128" s="515"/>
      <c r="L1128" s="515"/>
      <c r="M1128" s="515"/>
      <c r="N1128" s="515"/>
      <c r="O1128" s="533"/>
      <c r="P1128" s="786"/>
      <c r="Q1128" s="787"/>
      <c r="R1128" s="787"/>
      <c r="S1128" s="787"/>
      <c r="T1128" s="786"/>
      <c r="U1128" s="787"/>
      <c r="V1128" s="787"/>
      <c r="W1128" s="787"/>
      <c r="X1128" s="786"/>
      <c r="Y1128" s="787"/>
      <c r="Z1128" s="787"/>
      <c r="AA1128" s="787"/>
      <c r="AB1128" s="786"/>
      <c r="AC1128" s="787"/>
      <c r="AD1128" s="787"/>
      <c r="AE1128" s="787"/>
      <c r="AF1128" s="786"/>
      <c r="AG1128" s="787"/>
      <c r="AH1128" s="787"/>
      <c r="AI1128" s="787"/>
      <c r="AJ1128" s="786"/>
      <c r="AK1128" s="787"/>
      <c r="AL1128" s="787"/>
      <c r="AM1128" s="787"/>
      <c r="AN1128" s="786"/>
      <c r="AO1128" s="787"/>
      <c r="AP1128" s="787"/>
      <c r="AQ1128" s="787"/>
      <c r="AR1128" s="786"/>
      <c r="AS1128" s="787"/>
      <c r="AT1128" s="787"/>
      <c r="AU1128" s="787"/>
      <c r="AV1128" s="786"/>
      <c r="AW1128" s="787"/>
      <c r="AX1128" s="787"/>
      <c r="AY1128" s="787"/>
      <c r="AZ1128" s="780"/>
      <c r="BA1128" s="780"/>
      <c r="BB1128" s="780"/>
      <c r="BC1128" s="780"/>
      <c r="BD1128" s="541"/>
      <c r="BE1128" s="541"/>
      <c r="BF1128" s="541"/>
      <c r="BG1128" s="541"/>
      <c r="BH1128" s="780"/>
      <c r="BI1128" s="780"/>
      <c r="BJ1128" s="780"/>
      <c r="BK1128" s="780"/>
      <c r="BL1128" s="780"/>
      <c r="BM1128" s="780"/>
    </row>
    <row r="1129" ht="12.75" customHeight="1">
      <c r="A1129" s="521"/>
      <c r="B1129" s="521"/>
      <c r="C1129" s="515"/>
      <c r="D1129" s="515"/>
      <c r="E1129" s="515"/>
      <c r="F1129" s="515"/>
      <c r="G1129" s="515"/>
      <c r="H1129" s="515"/>
      <c r="I1129" s="515"/>
      <c r="J1129" s="515"/>
      <c r="K1129" s="515"/>
      <c r="L1129" s="515"/>
      <c r="M1129" s="515"/>
      <c r="N1129" s="515"/>
      <c r="O1129" s="533"/>
      <c r="P1129" s="786"/>
      <c r="Q1129" s="787"/>
      <c r="R1129" s="787"/>
      <c r="S1129" s="787"/>
      <c r="T1129" s="786"/>
      <c r="U1129" s="787"/>
      <c r="V1129" s="787"/>
      <c r="W1129" s="787"/>
      <c r="X1129" s="786"/>
      <c r="Y1129" s="787"/>
      <c r="Z1129" s="787"/>
      <c r="AA1129" s="787"/>
      <c r="AB1129" s="786"/>
      <c r="AC1129" s="787"/>
      <c r="AD1129" s="787"/>
      <c r="AE1129" s="787"/>
      <c r="AF1129" s="786"/>
      <c r="AG1129" s="787"/>
      <c r="AH1129" s="787"/>
      <c r="AI1129" s="787"/>
      <c r="AJ1129" s="786"/>
      <c r="AK1129" s="787"/>
      <c r="AL1129" s="787"/>
      <c r="AM1129" s="787"/>
      <c r="AN1129" s="786"/>
      <c r="AO1129" s="787"/>
      <c r="AP1129" s="787"/>
      <c r="AQ1129" s="787"/>
      <c r="AR1129" s="786"/>
      <c r="AS1129" s="787"/>
      <c r="AT1129" s="787"/>
      <c r="AU1129" s="787"/>
      <c r="AV1129" s="786"/>
      <c r="AW1129" s="787"/>
      <c r="AX1129" s="787"/>
      <c r="AY1129" s="787"/>
      <c r="AZ1129" s="780"/>
      <c r="BA1129" s="780"/>
      <c r="BB1129" s="780"/>
      <c r="BC1129" s="780"/>
      <c r="BD1129" s="541"/>
      <c r="BE1129" s="541"/>
      <c r="BF1129" s="541"/>
      <c r="BG1129" s="541"/>
      <c r="BH1129" s="780"/>
      <c r="BI1129" s="780"/>
      <c r="BJ1129" s="780"/>
      <c r="BK1129" s="780"/>
      <c r="BL1129" s="780"/>
      <c r="BM1129" s="780"/>
    </row>
    <row r="1130" ht="12.75" customHeight="1">
      <c r="A1130" s="521"/>
      <c r="B1130" s="521"/>
      <c r="C1130" s="515"/>
      <c r="D1130" s="515"/>
      <c r="E1130" s="515"/>
      <c r="F1130" s="515"/>
      <c r="G1130" s="515"/>
      <c r="H1130" s="515"/>
      <c r="I1130" s="515"/>
      <c r="J1130" s="515"/>
      <c r="K1130" s="515"/>
      <c r="L1130" s="515"/>
      <c r="M1130" s="515"/>
      <c r="N1130" s="515"/>
      <c r="O1130" s="533"/>
      <c r="P1130" s="786"/>
      <c r="Q1130" s="787"/>
      <c r="R1130" s="787"/>
      <c r="S1130" s="787"/>
      <c r="T1130" s="786"/>
      <c r="U1130" s="787"/>
      <c r="V1130" s="787"/>
      <c r="W1130" s="787"/>
      <c r="X1130" s="786"/>
      <c r="Y1130" s="787"/>
      <c r="Z1130" s="787"/>
      <c r="AA1130" s="787"/>
      <c r="AB1130" s="786"/>
      <c r="AC1130" s="787"/>
      <c r="AD1130" s="787"/>
      <c r="AE1130" s="787"/>
      <c r="AF1130" s="786"/>
      <c r="AG1130" s="787"/>
      <c r="AH1130" s="787"/>
      <c r="AI1130" s="787"/>
      <c r="AJ1130" s="786"/>
      <c r="AK1130" s="787"/>
      <c r="AL1130" s="787"/>
      <c r="AM1130" s="787"/>
      <c r="AN1130" s="786"/>
      <c r="AO1130" s="787"/>
      <c r="AP1130" s="787"/>
      <c r="AQ1130" s="787"/>
      <c r="AR1130" s="786"/>
      <c r="AS1130" s="787"/>
      <c r="AT1130" s="787"/>
      <c r="AU1130" s="787"/>
      <c r="AV1130" s="786"/>
      <c r="AW1130" s="787"/>
      <c r="AX1130" s="787"/>
      <c r="AY1130" s="787"/>
      <c r="AZ1130" s="780"/>
      <c r="BA1130" s="780"/>
      <c r="BB1130" s="780"/>
      <c r="BC1130" s="780"/>
      <c r="BD1130" s="541"/>
      <c r="BE1130" s="541"/>
      <c r="BF1130" s="541"/>
      <c r="BG1130" s="541"/>
      <c r="BH1130" s="780"/>
      <c r="BI1130" s="780"/>
      <c r="BJ1130" s="780"/>
      <c r="BK1130" s="780"/>
      <c r="BL1130" s="780"/>
      <c r="BM1130" s="780"/>
    </row>
    <row r="1131" ht="12.75" customHeight="1">
      <c r="A1131" s="521"/>
      <c r="B1131" s="521"/>
      <c r="C1131" s="515"/>
      <c r="D1131" s="515"/>
      <c r="E1131" s="515"/>
      <c r="F1131" s="515"/>
      <c r="G1131" s="515"/>
      <c r="H1131" s="515"/>
      <c r="I1131" s="515"/>
      <c r="J1131" s="515"/>
      <c r="K1131" s="515"/>
      <c r="L1131" s="515"/>
      <c r="M1131" s="515"/>
      <c r="N1131" s="515"/>
      <c r="O1131" s="533"/>
      <c r="P1131" s="786"/>
      <c r="Q1131" s="787"/>
      <c r="R1131" s="787"/>
      <c r="S1131" s="787"/>
      <c r="T1131" s="786"/>
      <c r="U1131" s="787"/>
      <c r="V1131" s="787"/>
      <c r="W1131" s="787"/>
      <c r="X1131" s="786"/>
      <c r="Y1131" s="787"/>
      <c r="Z1131" s="787"/>
      <c r="AA1131" s="787"/>
      <c r="AB1131" s="786"/>
      <c r="AC1131" s="787"/>
      <c r="AD1131" s="787"/>
      <c r="AE1131" s="787"/>
      <c r="AF1131" s="786"/>
      <c r="AG1131" s="787"/>
      <c r="AH1131" s="787"/>
      <c r="AI1131" s="787"/>
      <c r="AJ1131" s="786"/>
      <c r="AK1131" s="787"/>
      <c r="AL1131" s="787"/>
      <c r="AM1131" s="787"/>
      <c r="AN1131" s="786"/>
      <c r="AO1131" s="787"/>
      <c r="AP1131" s="787"/>
      <c r="AQ1131" s="787"/>
      <c r="AR1131" s="786"/>
      <c r="AS1131" s="787"/>
      <c r="AT1131" s="787"/>
      <c r="AU1131" s="787"/>
      <c r="AV1131" s="786"/>
      <c r="AW1131" s="787"/>
      <c r="AX1131" s="787"/>
      <c r="AY1131" s="787"/>
      <c r="AZ1131" s="780"/>
      <c r="BA1131" s="780"/>
      <c r="BB1131" s="780"/>
      <c r="BC1131" s="780"/>
      <c r="BD1131" s="541"/>
      <c r="BE1131" s="541"/>
      <c r="BF1131" s="541"/>
      <c r="BG1131" s="541"/>
      <c r="BH1131" s="780"/>
      <c r="BI1131" s="780"/>
      <c r="BJ1131" s="780"/>
      <c r="BK1131" s="780"/>
      <c r="BL1131" s="780"/>
      <c r="BM1131" s="780"/>
    </row>
    <row r="1132" ht="12.75" customHeight="1">
      <c r="A1132" s="521"/>
      <c r="B1132" s="521"/>
      <c r="C1132" s="515"/>
      <c r="D1132" s="515"/>
      <c r="E1132" s="515"/>
      <c r="F1132" s="515"/>
      <c r="G1132" s="515"/>
      <c r="H1132" s="515"/>
      <c r="I1132" s="515"/>
      <c r="J1132" s="515"/>
      <c r="K1132" s="515"/>
      <c r="L1132" s="515"/>
      <c r="M1132" s="515"/>
      <c r="N1132" s="515"/>
      <c r="O1132" s="533"/>
      <c r="P1132" s="786"/>
      <c r="Q1132" s="787"/>
      <c r="R1132" s="787"/>
      <c r="S1132" s="787"/>
      <c r="T1132" s="786"/>
      <c r="U1132" s="787"/>
      <c r="V1132" s="787"/>
      <c r="W1132" s="787"/>
      <c r="X1132" s="786"/>
      <c r="Y1132" s="787"/>
      <c r="Z1132" s="787"/>
      <c r="AA1132" s="787"/>
      <c r="AB1132" s="786"/>
      <c r="AC1132" s="787"/>
      <c r="AD1132" s="787"/>
      <c r="AE1132" s="787"/>
      <c r="AF1132" s="786"/>
      <c r="AG1132" s="787"/>
      <c r="AH1132" s="787"/>
      <c r="AI1132" s="787"/>
      <c r="AJ1132" s="786"/>
      <c r="AK1132" s="787"/>
      <c r="AL1132" s="787"/>
      <c r="AM1132" s="787"/>
      <c r="AN1132" s="786"/>
      <c r="AO1132" s="787"/>
      <c r="AP1132" s="787"/>
      <c r="AQ1132" s="787"/>
      <c r="AR1132" s="786"/>
      <c r="AS1132" s="787"/>
      <c r="AT1132" s="787"/>
      <c r="AU1132" s="787"/>
      <c r="AV1132" s="786"/>
      <c r="AW1132" s="787"/>
      <c r="AX1132" s="787"/>
      <c r="AY1132" s="787"/>
      <c r="AZ1132" s="780"/>
      <c r="BA1132" s="780"/>
      <c r="BB1132" s="780"/>
      <c r="BC1132" s="780"/>
      <c r="BD1132" s="541"/>
      <c r="BE1132" s="541"/>
      <c r="BF1132" s="541"/>
      <c r="BG1132" s="541"/>
      <c r="BH1132" s="780"/>
      <c r="BI1132" s="780"/>
      <c r="BJ1132" s="780"/>
      <c r="BK1132" s="780"/>
      <c r="BL1132" s="780"/>
      <c r="BM1132" s="780"/>
    </row>
    <row r="1133" ht="12.75" customHeight="1">
      <c r="A1133" s="521"/>
      <c r="B1133" s="521"/>
      <c r="C1133" s="515"/>
      <c r="D1133" s="515"/>
      <c r="E1133" s="515"/>
      <c r="F1133" s="515"/>
      <c r="G1133" s="515"/>
      <c r="H1133" s="515"/>
      <c r="I1133" s="515"/>
      <c r="J1133" s="515"/>
      <c r="K1133" s="515"/>
      <c r="L1133" s="515"/>
      <c r="M1133" s="515"/>
      <c r="N1133" s="515"/>
      <c r="O1133" s="533"/>
      <c r="P1133" s="786"/>
      <c r="Q1133" s="787"/>
      <c r="R1133" s="787"/>
      <c r="S1133" s="787"/>
      <c r="T1133" s="786"/>
      <c r="U1133" s="787"/>
      <c r="V1133" s="787"/>
      <c r="W1133" s="787"/>
      <c r="X1133" s="786"/>
      <c r="Y1133" s="787"/>
      <c r="Z1133" s="787"/>
      <c r="AA1133" s="787"/>
      <c r="AB1133" s="786"/>
      <c r="AC1133" s="787"/>
      <c r="AD1133" s="787"/>
      <c r="AE1133" s="787"/>
      <c r="AF1133" s="786"/>
      <c r="AG1133" s="787"/>
      <c r="AH1133" s="787"/>
      <c r="AI1133" s="787"/>
      <c r="AJ1133" s="786"/>
      <c r="AK1133" s="787"/>
      <c r="AL1133" s="787"/>
      <c r="AM1133" s="787"/>
      <c r="AN1133" s="786"/>
      <c r="AO1133" s="787"/>
      <c r="AP1133" s="787"/>
      <c r="AQ1133" s="787"/>
      <c r="AR1133" s="786"/>
      <c r="AS1133" s="787"/>
      <c r="AT1133" s="787"/>
      <c r="AU1133" s="787"/>
      <c r="AV1133" s="786"/>
      <c r="AW1133" s="787"/>
      <c r="AX1133" s="787"/>
      <c r="AY1133" s="787"/>
      <c r="AZ1133" s="780"/>
      <c r="BA1133" s="780"/>
      <c r="BB1133" s="780"/>
      <c r="BC1133" s="780"/>
      <c r="BD1133" s="541"/>
      <c r="BE1133" s="541"/>
      <c r="BF1133" s="541"/>
      <c r="BG1133" s="541"/>
      <c r="BH1133" s="780"/>
      <c r="BI1133" s="780"/>
      <c r="BJ1133" s="780"/>
      <c r="BK1133" s="780"/>
      <c r="BL1133" s="780"/>
      <c r="BM1133" s="780"/>
    </row>
    <row r="1134" ht="12.75" customHeight="1">
      <c r="A1134" s="521"/>
      <c r="B1134" s="521"/>
      <c r="C1134" s="515"/>
      <c r="D1134" s="515"/>
      <c r="E1134" s="515"/>
      <c r="F1134" s="515"/>
      <c r="G1134" s="515"/>
      <c r="H1134" s="515"/>
      <c r="I1134" s="515"/>
      <c r="J1134" s="515"/>
      <c r="K1134" s="515"/>
      <c r="L1134" s="515"/>
      <c r="M1134" s="515"/>
      <c r="N1134" s="515"/>
      <c r="O1134" s="533"/>
      <c r="P1134" s="786"/>
      <c r="Q1134" s="787"/>
      <c r="R1134" s="787"/>
      <c r="S1134" s="787"/>
      <c r="T1134" s="786"/>
      <c r="U1134" s="787"/>
      <c r="V1134" s="787"/>
      <c r="W1134" s="787"/>
      <c r="X1134" s="786"/>
      <c r="Y1134" s="787"/>
      <c r="Z1134" s="787"/>
      <c r="AA1134" s="787"/>
      <c r="AB1134" s="786"/>
      <c r="AC1134" s="787"/>
      <c r="AD1134" s="787"/>
      <c r="AE1134" s="787"/>
      <c r="AF1134" s="786"/>
      <c r="AG1134" s="787"/>
      <c r="AH1134" s="787"/>
      <c r="AI1134" s="787"/>
      <c r="AJ1134" s="786"/>
      <c r="AK1134" s="787"/>
      <c r="AL1134" s="787"/>
      <c r="AM1134" s="787"/>
      <c r="AN1134" s="786"/>
      <c r="AO1134" s="787"/>
      <c r="AP1134" s="787"/>
      <c r="AQ1134" s="787"/>
      <c r="AR1134" s="786"/>
      <c r="AS1134" s="787"/>
      <c r="AT1134" s="787"/>
      <c r="AU1134" s="787"/>
      <c r="AV1134" s="786"/>
      <c r="AW1134" s="787"/>
      <c r="AX1134" s="787"/>
      <c r="AY1134" s="787"/>
      <c r="AZ1134" s="780"/>
      <c r="BA1134" s="780"/>
      <c r="BB1134" s="780"/>
      <c r="BC1134" s="780"/>
      <c r="BD1134" s="541"/>
      <c r="BE1134" s="541"/>
      <c r="BF1134" s="541"/>
      <c r="BG1134" s="541"/>
      <c r="BH1134" s="780"/>
      <c r="BI1134" s="780"/>
      <c r="BJ1134" s="780"/>
      <c r="BK1134" s="780"/>
      <c r="BL1134" s="780"/>
      <c r="BM1134" s="780"/>
    </row>
    <row r="1135" ht="12.75" customHeight="1">
      <c r="A1135" s="521"/>
      <c r="B1135" s="521"/>
      <c r="C1135" s="515"/>
      <c r="D1135" s="515"/>
      <c r="E1135" s="515"/>
      <c r="F1135" s="515"/>
      <c r="G1135" s="515"/>
      <c r="H1135" s="515"/>
      <c r="I1135" s="515"/>
      <c r="J1135" s="515"/>
      <c r="K1135" s="515"/>
      <c r="L1135" s="515"/>
      <c r="M1135" s="515"/>
      <c r="N1135" s="515"/>
      <c r="O1135" s="533"/>
      <c r="P1135" s="786"/>
      <c r="Q1135" s="787"/>
      <c r="R1135" s="787"/>
      <c r="S1135" s="787"/>
      <c r="T1135" s="786"/>
      <c r="U1135" s="787"/>
      <c r="V1135" s="787"/>
      <c r="W1135" s="787"/>
      <c r="X1135" s="786"/>
      <c r="Y1135" s="787"/>
      <c r="Z1135" s="787"/>
      <c r="AA1135" s="787"/>
      <c r="AB1135" s="786"/>
      <c r="AC1135" s="787"/>
      <c r="AD1135" s="787"/>
      <c r="AE1135" s="787"/>
      <c r="AF1135" s="786"/>
      <c r="AG1135" s="787"/>
      <c r="AH1135" s="787"/>
      <c r="AI1135" s="787"/>
      <c r="AJ1135" s="786"/>
      <c r="AK1135" s="787"/>
      <c r="AL1135" s="787"/>
      <c r="AM1135" s="787"/>
      <c r="AN1135" s="786"/>
      <c r="AO1135" s="787"/>
      <c r="AP1135" s="787"/>
      <c r="AQ1135" s="787"/>
      <c r="AR1135" s="786"/>
      <c r="AS1135" s="787"/>
      <c r="AT1135" s="787"/>
      <c r="AU1135" s="787"/>
      <c r="AV1135" s="786"/>
      <c r="AW1135" s="787"/>
      <c r="AX1135" s="787"/>
      <c r="AY1135" s="787"/>
      <c r="AZ1135" s="780"/>
      <c r="BA1135" s="780"/>
      <c r="BB1135" s="780"/>
      <c r="BC1135" s="780"/>
      <c r="BD1135" s="541"/>
      <c r="BE1135" s="541"/>
      <c r="BF1135" s="541"/>
      <c r="BG1135" s="541"/>
      <c r="BH1135" s="780"/>
      <c r="BI1135" s="780"/>
      <c r="BJ1135" s="780"/>
      <c r="BK1135" s="780"/>
      <c r="BL1135" s="780"/>
      <c r="BM1135" s="780"/>
    </row>
    <row r="1136" ht="12.75" customHeight="1">
      <c r="A1136" s="521"/>
      <c r="B1136" s="521"/>
      <c r="C1136" s="515"/>
      <c r="D1136" s="515"/>
      <c r="E1136" s="515"/>
      <c r="F1136" s="515"/>
      <c r="G1136" s="515"/>
      <c r="H1136" s="515"/>
      <c r="I1136" s="515"/>
      <c r="J1136" s="515"/>
      <c r="K1136" s="515"/>
      <c r="L1136" s="515"/>
      <c r="M1136" s="515"/>
      <c r="N1136" s="515"/>
      <c r="O1136" s="533"/>
      <c r="P1136" s="786"/>
      <c r="Q1136" s="787"/>
      <c r="R1136" s="787"/>
      <c r="S1136" s="787"/>
      <c r="T1136" s="786"/>
      <c r="U1136" s="787"/>
      <c r="V1136" s="787"/>
      <c r="W1136" s="787"/>
      <c r="X1136" s="786"/>
      <c r="Y1136" s="787"/>
      <c r="Z1136" s="787"/>
      <c r="AA1136" s="787"/>
      <c r="AB1136" s="786"/>
      <c r="AC1136" s="787"/>
      <c r="AD1136" s="787"/>
      <c r="AE1136" s="787"/>
      <c r="AF1136" s="786"/>
      <c r="AG1136" s="787"/>
      <c r="AH1136" s="787"/>
      <c r="AI1136" s="787"/>
      <c r="AJ1136" s="786"/>
      <c r="AK1136" s="787"/>
      <c r="AL1136" s="787"/>
      <c r="AM1136" s="787"/>
      <c r="AN1136" s="786"/>
      <c r="AO1136" s="787"/>
      <c r="AP1136" s="787"/>
      <c r="AQ1136" s="787"/>
      <c r="AR1136" s="786"/>
      <c r="AS1136" s="787"/>
      <c r="AT1136" s="787"/>
      <c r="AU1136" s="787"/>
      <c r="AV1136" s="786"/>
      <c r="AW1136" s="787"/>
      <c r="AX1136" s="787"/>
      <c r="AY1136" s="787"/>
      <c r="AZ1136" s="780"/>
      <c r="BA1136" s="780"/>
      <c r="BB1136" s="780"/>
      <c r="BC1136" s="780"/>
      <c r="BD1136" s="541"/>
      <c r="BE1136" s="541"/>
      <c r="BF1136" s="541"/>
      <c r="BG1136" s="541"/>
      <c r="BH1136" s="780"/>
      <c r="BI1136" s="780"/>
      <c r="BJ1136" s="780"/>
      <c r="BK1136" s="780"/>
      <c r="BL1136" s="780"/>
      <c r="BM1136" s="780"/>
    </row>
    <row r="1137" ht="12.75" customHeight="1">
      <c r="A1137" s="521"/>
      <c r="B1137" s="521"/>
      <c r="C1137" s="515"/>
      <c r="D1137" s="515"/>
      <c r="E1137" s="515"/>
      <c r="F1137" s="515"/>
      <c r="G1137" s="515"/>
      <c r="H1137" s="515"/>
      <c r="I1137" s="515"/>
      <c r="J1137" s="515"/>
      <c r="K1137" s="515"/>
      <c r="L1137" s="515"/>
      <c r="M1137" s="515"/>
      <c r="N1137" s="515"/>
      <c r="O1137" s="533"/>
      <c r="P1137" s="786"/>
      <c r="Q1137" s="787"/>
      <c r="R1137" s="787"/>
      <c r="S1137" s="787"/>
      <c r="T1137" s="786"/>
      <c r="U1137" s="787"/>
      <c r="V1137" s="787"/>
      <c r="W1137" s="787"/>
      <c r="X1137" s="786"/>
      <c r="Y1137" s="787"/>
      <c r="Z1137" s="787"/>
      <c r="AA1137" s="787"/>
      <c r="AB1137" s="786"/>
      <c r="AC1137" s="787"/>
      <c r="AD1137" s="787"/>
      <c r="AE1137" s="787"/>
      <c r="AF1137" s="786"/>
      <c r="AG1137" s="787"/>
      <c r="AH1137" s="787"/>
      <c r="AI1137" s="787"/>
      <c r="AJ1137" s="786"/>
      <c r="AK1137" s="787"/>
      <c r="AL1137" s="787"/>
      <c r="AM1137" s="787"/>
      <c r="AN1137" s="786"/>
      <c r="AO1137" s="787"/>
      <c r="AP1137" s="787"/>
      <c r="AQ1137" s="787"/>
      <c r="AR1137" s="786"/>
      <c r="AS1137" s="787"/>
      <c r="AT1137" s="787"/>
      <c r="AU1137" s="787"/>
      <c r="AV1137" s="786"/>
      <c r="AW1137" s="787"/>
      <c r="AX1137" s="787"/>
      <c r="AY1137" s="787"/>
      <c r="AZ1137" s="780"/>
      <c r="BA1137" s="780"/>
      <c r="BB1137" s="780"/>
      <c r="BC1137" s="780"/>
      <c r="BD1137" s="541"/>
      <c r="BE1137" s="541"/>
      <c r="BF1137" s="541"/>
      <c r="BG1137" s="541"/>
      <c r="BH1137" s="780"/>
      <c r="BI1137" s="780"/>
      <c r="BJ1137" s="780"/>
      <c r="BK1137" s="780"/>
      <c r="BL1137" s="780"/>
      <c r="BM1137" s="780"/>
    </row>
    <row r="1138" ht="12.75" customHeight="1">
      <c r="A1138" s="521"/>
      <c r="B1138" s="521"/>
      <c r="C1138" s="515"/>
      <c r="D1138" s="515"/>
      <c r="E1138" s="515"/>
      <c r="F1138" s="515"/>
      <c r="G1138" s="515"/>
      <c r="H1138" s="515"/>
      <c r="I1138" s="515"/>
      <c r="J1138" s="515"/>
      <c r="K1138" s="515"/>
      <c r="L1138" s="515"/>
      <c r="M1138" s="515"/>
      <c r="N1138" s="515"/>
      <c r="O1138" s="533"/>
      <c r="P1138" s="786"/>
      <c r="Q1138" s="787"/>
      <c r="R1138" s="787"/>
      <c r="S1138" s="787"/>
      <c r="T1138" s="786"/>
      <c r="U1138" s="787"/>
      <c r="V1138" s="787"/>
      <c r="W1138" s="787"/>
      <c r="X1138" s="786"/>
      <c r="Y1138" s="787"/>
      <c r="Z1138" s="787"/>
      <c r="AA1138" s="787"/>
      <c r="AB1138" s="786"/>
      <c r="AC1138" s="787"/>
      <c r="AD1138" s="787"/>
      <c r="AE1138" s="787"/>
      <c r="AF1138" s="786"/>
      <c r="AG1138" s="787"/>
      <c r="AH1138" s="787"/>
      <c r="AI1138" s="787"/>
      <c r="AJ1138" s="786"/>
      <c r="AK1138" s="787"/>
      <c r="AL1138" s="787"/>
      <c r="AM1138" s="787"/>
      <c r="AN1138" s="786"/>
      <c r="AO1138" s="787"/>
      <c r="AP1138" s="787"/>
      <c r="AQ1138" s="787"/>
      <c r="AR1138" s="786"/>
      <c r="AS1138" s="787"/>
      <c r="AT1138" s="787"/>
      <c r="AU1138" s="787"/>
      <c r="AV1138" s="786"/>
      <c r="AW1138" s="787"/>
      <c r="AX1138" s="787"/>
      <c r="AY1138" s="787"/>
      <c r="AZ1138" s="780"/>
      <c r="BA1138" s="780"/>
      <c r="BB1138" s="780"/>
      <c r="BC1138" s="780"/>
      <c r="BD1138" s="541"/>
      <c r="BE1138" s="541"/>
      <c r="BF1138" s="541"/>
      <c r="BG1138" s="541"/>
      <c r="BH1138" s="780"/>
      <c r="BI1138" s="780"/>
      <c r="BJ1138" s="780"/>
      <c r="BK1138" s="780"/>
      <c r="BL1138" s="780"/>
      <c r="BM1138" s="780"/>
    </row>
    <row r="1139" ht="12.75" customHeight="1">
      <c r="A1139" s="521"/>
      <c r="B1139" s="521"/>
      <c r="C1139" s="515"/>
      <c r="D1139" s="515"/>
      <c r="E1139" s="515"/>
      <c r="F1139" s="515"/>
      <c r="G1139" s="515"/>
      <c r="H1139" s="515"/>
      <c r="I1139" s="515"/>
      <c r="J1139" s="515"/>
      <c r="K1139" s="515"/>
      <c r="L1139" s="515"/>
      <c r="M1139" s="515"/>
      <c r="N1139" s="515"/>
      <c r="O1139" s="533"/>
      <c r="P1139" s="786"/>
      <c r="Q1139" s="787"/>
      <c r="R1139" s="787"/>
      <c r="S1139" s="787"/>
      <c r="T1139" s="786"/>
      <c r="U1139" s="787"/>
      <c r="V1139" s="787"/>
      <c r="W1139" s="787"/>
      <c r="X1139" s="786"/>
      <c r="Y1139" s="787"/>
      <c r="Z1139" s="787"/>
      <c r="AA1139" s="787"/>
      <c r="AB1139" s="786"/>
      <c r="AC1139" s="787"/>
      <c r="AD1139" s="787"/>
      <c r="AE1139" s="787"/>
      <c r="AF1139" s="786"/>
      <c r="AG1139" s="787"/>
      <c r="AH1139" s="787"/>
      <c r="AI1139" s="787"/>
      <c r="AJ1139" s="786"/>
      <c r="AK1139" s="787"/>
      <c r="AL1139" s="787"/>
      <c r="AM1139" s="787"/>
      <c r="AN1139" s="786"/>
      <c r="AO1139" s="787"/>
      <c r="AP1139" s="787"/>
      <c r="AQ1139" s="787"/>
      <c r="AR1139" s="786"/>
      <c r="AS1139" s="787"/>
      <c r="AT1139" s="787"/>
      <c r="AU1139" s="787"/>
      <c r="AV1139" s="786"/>
      <c r="AW1139" s="787"/>
      <c r="AX1139" s="787"/>
      <c r="AY1139" s="787"/>
      <c r="AZ1139" s="780"/>
      <c r="BA1139" s="780"/>
      <c r="BB1139" s="780"/>
      <c r="BC1139" s="780"/>
      <c r="BD1139" s="541"/>
      <c r="BE1139" s="541"/>
      <c r="BF1139" s="541"/>
      <c r="BG1139" s="541"/>
      <c r="BH1139" s="780"/>
      <c r="BI1139" s="780"/>
      <c r="BJ1139" s="780"/>
      <c r="BK1139" s="780"/>
      <c r="BL1139" s="780"/>
      <c r="BM1139" s="780"/>
    </row>
    <row r="1140" ht="12.75" customHeight="1">
      <c r="A1140" s="521"/>
      <c r="B1140" s="521"/>
      <c r="C1140" s="515"/>
      <c r="D1140" s="515"/>
      <c r="E1140" s="515"/>
      <c r="F1140" s="515"/>
      <c r="G1140" s="515"/>
      <c r="H1140" s="515"/>
      <c r="I1140" s="515"/>
      <c r="J1140" s="515"/>
      <c r="K1140" s="515"/>
      <c r="L1140" s="515"/>
      <c r="M1140" s="515"/>
      <c r="N1140" s="515"/>
      <c r="O1140" s="533"/>
      <c r="P1140" s="786"/>
      <c r="Q1140" s="787"/>
      <c r="R1140" s="787"/>
      <c r="S1140" s="787"/>
      <c r="T1140" s="786"/>
      <c r="U1140" s="787"/>
      <c r="V1140" s="787"/>
      <c r="W1140" s="787"/>
      <c r="X1140" s="786"/>
      <c r="Y1140" s="787"/>
      <c r="Z1140" s="787"/>
      <c r="AA1140" s="787"/>
      <c r="AB1140" s="786"/>
      <c r="AC1140" s="787"/>
      <c r="AD1140" s="787"/>
      <c r="AE1140" s="787"/>
      <c r="AF1140" s="786"/>
      <c r="AG1140" s="787"/>
      <c r="AH1140" s="787"/>
      <c r="AI1140" s="787"/>
      <c r="AJ1140" s="786"/>
      <c r="AK1140" s="787"/>
      <c r="AL1140" s="787"/>
      <c r="AM1140" s="787"/>
      <c r="AN1140" s="786"/>
      <c r="AO1140" s="787"/>
      <c r="AP1140" s="787"/>
      <c r="AQ1140" s="787"/>
      <c r="AR1140" s="786"/>
      <c r="AS1140" s="787"/>
      <c r="AT1140" s="787"/>
      <c r="AU1140" s="787"/>
      <c r="AV1140" s="786"/>
      <c r="AW1140" s="787"/>
      <c r="AX1140" s="787"/>
      <c r="AY1140" s="787"/>
      <c r="AZ1140" s="780"/>
      <c r="BA1140" s="780"/>
      <c r="BB1140" s="780"/>
      <c r="BC1140" s="780"/>
      <c r="BD1140" s="541"/>
      <c r="BE1140" s="541"/>
      <c r="BF1140" s="541"/>
      <c r="BG1140" s="541"/>
      <c r="BH1140" s="780"/>
      <c r="BI1140" s="780"/>
      <c r="BJ1140" s="780"/>
      <c r="BK1140" s="780"/>
      <c r="BL1140" s="780"/>
      <c r="BM1140" s="780"/>
    </row>
    <row r="1141" ht="12.75" customHeight="1">
      <c r="A1141" s="521"/>
      <c r="B1141" s="521"/>
      <c r="C1141" s="515"/>
      <c r="D1141" s="515"/>
      <c r="E1141" s="515"/>
      <c r="F1141" s="515"/>
      <c r="G1141" s="515"/>
      <c r="H1141" s="515"/>
      <c r="I1141" s="515"/>
      <c r="J1141" s="515"/>
      <c r="K1141" s="515"/>
      <c r="L1141" s="515"/>
      <c r="M1141" s="515"/>
      <c r="N1141" s="515"/>
      <c r="O1141" s="533"/>
      <c r="P1141" s="786"/>
      <c r="Q1141" s="787"/>
      <c r="R1141" s="787"/>
      <c r="S1141" s="787"/>
      <c r="T1141" s="786"/>
      <c r="U1141" s="787"/>
      <c r="V1141" s="787"/>
      <c r="W1141" s="787"/>
      <c r="X1141" s="786"/>
      <c r="Y1141" s="787"/>
      <c r="Z1141" s="787"/>
      <c r="AA1141" s="787"/>
      <c r="AB1141" s="786"/>
      <c r="AC1141" s="787"/>
      <c r="AD1141" s="787"/>
      <c r="AE1141" s="787"/>
      <c r="AF1141" s="786"/>
      <c r="AG1141" s="787"/>
      <c r="AH1141" s="787"/>
      <c r="AI1141" s="787"/>
      <c r="AJ1141" s="786"/>
      <c r="AK1141" s="787"/>
      <c r="AL1141" s="787"/>
      <c r="AM1141" s="787"/>
      <c r="AN1141" s="786"/>
      <c r="AO1141" s="787"/>
      <c r="AP1141" s="787"/>
      <c r="AQ1141" s="787"/>
      <c r="AR1141" s="786"/>
      <c r="AS1141" s="787"/>
      <c r="AT1141" s="787"/>
      <c r="AU1141" s="787"/>
      <c r="AV1141" s="786"/>
      <c r="AW1141" s="787"/>
      <c r="AX1141" s="787"/>
      <c r="AY1141" s="787"/>
      <c r="AZ1141" s="780"/>
      <c r="BA1141" s="780"/>
      <c r="BB1141" s="780"/>
      <c r="BC1141" s="780"/>
      <c r="BD1141" s="541"/>
      <c r="BE1141" s="541"/>
      <c r="BF1141" s="541"/>
      <c r="BG1141" s="541"/>
      <c r="BH1141" s="780"/>
      <c r="BI1141" s="780"/>
      <c r="BJ1141" s="780"/>
      <c r="BK1141" s="780"/>
      <c r="BL1141" s="780"/>
      <c r="BM1141" s="780"/>
    </row>
    <row r="1142" ht="12.75" customHeight="1">
      <c r="A1142" s="521"/>
      <c r="B1142" s="521"/>
      <c r="C1142" s="515"/>
      <c r="D1142" s="515"/>
      <c r="E1142" s="515"/>
      <c r="F1142" s="515"/>
      <c r="G1142" s="515"/>
      <c r="H1142" s="515"/>
      <c r="I1142" s="515"/>
      <c r="J1142" s="515"/>
      <c r="K1142" s="515"/>
      <c r="L1142" s="515"/>
      <c r="M1142" s="515"/>
      <c r="N1142" s="515"/>
      <c r="O1142" s="533"/>
      <c r="P1142" s="786"/>
      <c r="Q1142" s="787"/>
      <c r="R1142" s="787"/>
      <c r="S1142" s="787"/>
      <c r="T1142" s="786"/>
      <c r="U1142" s="787"/>
      <c r="V1142" s="787"/>
      <c r="W1142" s="787"/>
      <c r="X1142" s="786"/>
      <c r="Y1142" s="787"/>
      <c r="Z1142" s="787"/>
      <c r="AA1142" s="787"/>
      <c r="AB1142" s="786"/>
      <c r="AC1142" s="787"/>
      <c r="AD1142" s="787"/>
      <c r="AE1142" s="787"/>
      <c r="AF1142" s="786"/>
      <c r="AG1142" s="787"/>
      <c r="AH1142" s="787"/>
      <c r="AI1142" s="787"/>
      <c r="AJ1142" s="786"/>
      <c r="AK1142" s="787"/>
      <c r="AL1142" s="787"/>
      <c r="AM1142" s="787"/>
      <c r="AN1142" s="786"/>
      <c r="AO1142" s="787"/>
      <c r="AP1142" s="787"/>
      <c r="AQ1142" s="787"/>
      <c r="AR1142" s="786"/>
      <c r="AS1142" s="787"/>
      <c r="AT1142" s="787"/>
      <c r="AU1142" s="787"/>
      <c r="AV1142" s="786"/>
      <c r="AW1142" s="787"/>
      <c r="AX1142" s="787"/>
      <c r="AY1142" s="787"/>
      <c r="AZ1142" s="780"/>
      <c r="BA1142" s="780"/>
      <c r="BB1142" s="780"/>
      <c r="BC1142" s="780"/>
      <c r="BD1142" s="541"/>
      <c r="BE1142" s="541"/>
      <c r="BF1142" s="541"/>
      <c r="BG1142" s="541"/>
      <c r="BH1142" s="780"/>
      <c r="BI1142" s="780"/>
      <c r="BJ1142" s="780"/>
      <c r="BK1142" s="780"/>
      <c r="BL1142" s="780"/>
      <c r="BM1142" s="780"/>
    </row>
    <row r="1143" ht="12.75" customHeight="1">
      <c r="A1143" s="521"/>
      <c r="B1143" s="521"/>
      <c r="C1143" s="515"/>
      <c r="D1143" s="515"/>
      <c r="E1143" s="515"/>
      <c r="F1143" s="515"/>
      <c r="G1143" s="515"/>
      <c r="H1143" s="515"/>
      <c r="I1143" s="515"/>
      <c r="J1143" s="515"/>
      <c r="K1143" s="515"/>
      <c r="L1143" s="515"/>
      <c r="M1143" s="515"/>
      <c r="N1143" s="515"/>
      <c r="O1143" s="533"/>
      <c r="P1143" s="786"/>
      <c r="Q1143" s="787"/>
      <c r="R1143" s="787"/>
      <c r="S1143" s="787"/>
      <c r="T1143" s="786"/>
      <c r="U1143" s="787"/>
      <c r="V1143" s="787"/>
      <c r="W1143" s="787"/>
      <c r="X1143" s="786"/>
      <c r="Y1143" s="787"/>
      <c r="Z1143" s="787"/>
      <c r="AA1143" s="787"/>
      <c r="AB1143" s="786"/>
      <c r="AC1143" s="787"/>
      <c r="AD1143" s="787"/>
      <c r="AE1143" s="787"/>
      <c r="AF1143" s="786"/>
      <c r="AG1143" s="787"/>
      <c r="AH1143" s="787"/>
      <c r="AI1143" s="787"/>
      <c r="AJ1143" s="786"/>
      <c r="AK1143" s="787"/>
      <c r="AL1143" s="787"/>
      <c r="AM1143" s="787"/>
      <c r="AN1143" s="786"/>
      <c r="AO1143" s="787"/>
      <c r="AP1143" s="787"/>
      <c r="AQ1143" s="787"/>
      <c r="AR1143" s="786"/>
      <c r="AS1143" s="787"/>
      <c r="AT1143" s="787"/>
      <c r="AU1143" s="787"/>
      <c r="AV1143" s="786"/>
      <c r="AW1143" s="787"/>
      <c r="AX1143" s="787"/>
      <c r="AY1143" s="787"/>
      <c r="AZ1143" s="780"/>
      <c r="BA1143" s="780"/>
      <c r="BB1143" s="780"/>
      <c r="BC1143" s="780"/>
      <c r="BD1143" s="541"/>
      <c r="BE1143" s="541"/>
      <c r="BF1143" s="541"/>
      <c r="BG1143" s="541"/>
      <c r="BH1143" s="780"/>
      <c r="BI1143" s="780"/>
      <c r="BJ1143" s="780"/>
      <c r="BK1143" s="780"/>
      <c r="BL1143" s="780"/>
      <c r="BM1143" s="780"/>
    </row>
    <row r="1144" ht="12.75" customHeight="1">
      <c r="A1144" s="521"/>
      <c r="B1144" s="521"/>
      <c r="C1144" s="515"/>
      <c r="D1144" s="515"/>
      <c r="E1144" s="515"/>
      <c r="F1144" s="515"/>
      <c r="G1144" s="515"/>
      <c r="H1144" s="515"/>
      <c r="I1144" s="515"/>
      <c r="J1144" s="515"/>
      <c r="K1144" s="515"/>
      <c r="L1144" s="515"/>
      <c r="M1144" s="515"/>
      <c r="N1144" s="515"/>
      <c r="O1144" s="533"/>
      <c r="P1144" s="786"/>
      <c r="Q1144" s="787"/>
      <c r="R1144" s="787"/>
      <c r="S1144" s="787"/>
      <c r="T1144" s="786"/>
      <c r="U1144" s="787"/>
      <c r="V1144" s="787"/>
      <c r="W1144" s="787"/>
      <c r="X1144" s="786"/>
      <c r="Y1144" s="787"/>
      <c r="Z1144" s="787"/>
      <c r="AA1144" s="787"/>
      <c r="AB1144" s="786"/>
      <c r="AC1144" s="787"/>
      <c r="AD1144" s="787"/>
      <c r="AE1144" s="787"/>
      <c r="AF1144" s="786"/>
      <c r="AG1144" s="787"/>
      <c r="AH1144" s="787"/>
      <c r="AI1144" s="787"/>
      <c r="AJ1144" s="786"/>
      <c r="AK1144" s="787"/>
      <c r="AL1144" s="787"/>
      <c r="AM1144" s="787"/>
      <c r="AN1144" s="786"/>
      <c r="AO1144" s="787"/>
      <c r="AP1144" s="787"/>
      <c r="AQ1144" s="787"/>
      <c r="AR1144" s="786"/>
      <c r="AS1144" s="787"/>
      <c r="AT1144" s="787"/>
      <c r="AU1144" s="787"/>
      <c r="AV1144" s="786"/>
      <c r="AW1144" s="787"/>
      <c r="AX1144" s="787"/>
      <c r="AY1144" s="787"/>
      <c r="AZ1144" s="780"/>
      <c r="BA1144" s="780"/>
      <c r="BB1144" s="780"/>
      <c r="BC1144" s="780"/>
      <c r="BD1144" s="541"/>
      <c r="BE1144" s="541"/>
      <c r="BF1144" s="541"/>
      <c r="BG1144" s="541"/>
      <c r="BH1144" s="780"/>
      <c r="BI1144" s="780"/>
      <c r="BJ1144" s="780"/>
      <c r="BK1144" s="780"/>
      <c r="BL1144" s="780"/>
      <c r="BM1144" s="780"/>
    </row>
    <row r="1145" ht="12.75" customHeight="1">
      <c r="A1145" s="521"/>
      <c r="B1145" s="521"/>
      <c r="C1145" s="515"/>
      <c r="D1145" s="515"/>
      <c r="E1145" s="515"/>
      <c r="F1145" s="515"/>
      <c r="G1145" s="515"/>
      <c r="H1145" s="515"/>
      <c r="I1145" s="515"/>
      <c r="J1145" s="515"/>
      <c r="K1145" s="515"/>
      <c r="L1145" s="515"/>
      <c r="M1145" s="515"/>
      <c r="N1145" s="515"/>
      <c r="O1145" s="533"/>
      <c r="P1145" s="786"/>
      <c r="Q1145" s="787"/>
      <c r="R1145" s="787"/>
      <c r="S1145" s="787"/>
      <c r="T1145" s="786"/>
      <c r="U1145" s="787"/>
      <c r="V1145" s="787"/>
      <c r="W1145" s="787"/>
      <c r="X1145" s="786"/>
      <c r="Y1145" s="787"/>
      <c r="Z1145" s="787"/>
      <c r="AA1145" s="787"/>
      <c r="AB1145" s="786"/>
      <c r="AC1145" s="787"/>
      <c r="AD1145" s="787"/>
      <c r="AE1145" s="787"/>
      <c r="AF1145" s="786"/>
      <c r="AG1145" s="787"/>
      <c r="AH1145" s="787"/>
      <c r="AI1145" s="787"/>
      <c r="AJ1145" s="786"/>
      <c r="AK1145" s="787"/>
      <c r="AL1145" s="787"/>
      <c r="AM1145" s="787"/>
      <c r="AN1145" s="786"/>
      <c r="AO1145" s="787"/>
      <c r="AP1145" s="787"/>
      <c r="AQ1145" s="787"/>
      <c r="AR1145" s="786"/>
      <c r="AS1145" s="787"/>
      <c r="AT1145" s="787"/>
      <c r="AU1145" s="787"/>
      <c r="AV1145" s="786"/>
      <c r="AW1145" s="787"/>
      <c r="AX1145" s="787"/>
      <c r="AY1145" s="787"/>
      <c r="AZ1145" s="780"/>
      <c r="BA1145" s="780"/>
      <c r="BB1145" s="780"/>
      <c r="BC1145" s="780"/>
      <c r="BD1145" s="541"/>
      <c r="BE1145" s="541"/>
      <c r="BF1145" s="541"/>
      <c r="BG1145" s="541"/>
      <c r="BH1145" s="780"/>
      <c r="BI1145" s="780"/>
      <c r="BJ1145" s="780"/>
      <c r="BK1145" s="780"/>
      <c r="BL1145" s="780"/>
      <c r="BM1145" s="780"/>
    </row>
    <row r="1146" ht="12.75" customHeight="1">
      <c r="A1146" s="521"/>
      <c r="B1146" s="521"/>
      <c r="C1146" s="515"/>
      <c r="D1146" s="515"/>
      <c r="E1146" s="515"/>
      <c r="F1146" s="515"/>
      <c r="G1146" s="515"/>
      <c r="H1146" s="515"/>
      <c r="I1146" s="515"/>
      <c r="J1146" s="515"/>
      <c r="K1146" s="515"/>
      <c r="L1146" s="515"/>
      <c r="M1146" s="515"/>
      <c r="N1146" s="515"/>
      <c r="O1146" s="533"/>
      <c r="P1146" s="786"/>
      <c r="Q1146" s="787"/>
      <c r="R1146" s="787"/>
      <c r="S1146" s="787"/>
      <c r="T1146" s="786"/>
      <c r="U1146" s="787"/>
      <c r="V1146" s="787"/>
      <c r="W1146" s="787"/>
      <c r="X1146" s="786"/>
      <c r="Y1146" s="787"/>
      <c r="Z1146" s="787"/>
      <c r="AA1146" s="787"/>
      <c r="AB1146" s="786"/>
      <c r="AC1146" s="787"/>
      <c r="AD1146" s="787"/>
      <c r="AE1146" s="787"/>
      <c r="AF1146" s="786"/>
      <c r="AG1146" s="787"/>
      <c r="AH1146" s="787"/>
      <c r="AI1146" s="787"/>
      <c r="AJ1146" s="786"/>
      <c r="AK1146" s="787"/>
      <c r="AL1146" s="787"/>
      <c r="AM1146" s="787"/>
      <c r="AN1146" s="786"/>
      <c r="AO1146" s="787"/>
      <c r="AP1146" s="787"/>
      <c r="AQ1146" s="787"/>
      <c r="AR1146" s="786"/>
      <c r="AS1146" s="787"/>
      <c r="AT1146" s="787"/>
      <c r="AU1146" s="787"/>
      <c r="AV1146" s="786"/>
      <c r="AW1146" s="787"/>
      <c r="AX1146" s="787"/>
      <c r="AY1146" s="787"/>
      <c r="AZ1146" s="780"/>
      <c r="BA1146" s="780"/>
      <c r="BB1146" s="780"/>
      <c r="BC1146" s="780"/>
      <c r="BD1146" s="541"/>
      <c r="BE1146" s="541"/>
      <c r="BF1146" s="541"/>
      <c r="BG1146" s="541"/>
      <c r="BH1146" s="780"/>
      <c r="BI1146" s="780"/>
      <c r="BJ1146" s="780"/>
      <c r="BK1146" s="780"/>
      <c r="BL1146" s="780"/>
      <c r="BM1146" s="780"/>
    </row>
    <row r="1147" ht="12.75" customHeight="1">
      <c r="A1147" s="521"/>
      <c r="B1147" s="521"/>
      <c r="C1147" s="515"/>
      <c r="D1147" s="515"/>
      <c r="E1147" s="515"/>
      <c r="F1147" s="515"/>
      <c r="G1147" s="515"/>
      <c r="H1147" s="515"/>
      <c r="I1147" s="515"/>
      <c r="J1147" s="515"/>
      <c r="K1147" s="515"/>
      <c r="L1147" s="515"/>
      <c r="M1147" s="515"/>
      <c r="N1147" s="515"/>
      <c r="O1147" s="533"/>
      <c r="P1147" s="786"/>
      <c r="Q1147" s="787"/>
      <c r="R1147" s="787"/>
      <c r="S1147" s="787"/>
      <c r="T1147" s="786"/>
      <c r="U1147" s="787"/>
      <c r="V1147" s="787"/>
      <c r="W1147" s="787"/>
      <c r="X1147" s="786"/>
      <c r="Y1147" s="787"/>
      <c r="Z1147" s="787"/>
      <c r="AA1147" s="787"/>
      <c r="AB1147" s="786"/>
      <c r="AC1147" s="787"/>
      <c r="AD1147" s="787"/>
      <c r="AE1147" s="787"/>
      <c r="AF1147" s="786"/>
      <c r="AG1147" s="787"/>
      <c r="AH1147" s="787"/>
      <c r="AI1147" s="787"/>
      <c r="AJ1147" s="786"/>
      <c r="AK1147" s="787"/>
      <c r="AL1147" s="787"/>
      <c r="AM1147" s="787"/>
      <c r="AN1147" s="786"/>
      <c r="AO1147" s="787"/>
      <c r="AP1147" s="787"/>
      <c r="AQ1147" s="787"/>
      <c r="AR1147" s="786"/>
      <c r="AS1147" s="787"/>
      <c r="AT1147" s="787"/>
      <c r="AU1147" s="787"/>
      <c r="AV1147" s="786"/>
      <c r="AW1147" s="787"/>
      <c r="AX1147" s="787"/>
      <c r="AY1147" s="787"/>
      <c r="AZ1147" s="780"/>
      <c r="BA1147" s="780"/>
      <c r="BB1147" s="780"/>
      <c r="BC1147" s="780"/>
      <c r="BD1147" s="541"/>
      <c r="BE1147" s="541"/>
      <c r="BF1147" s="541"/>
      <c r="BG1147" s="541"/>
      <c r="BH1147" s="780"/>
      <c r="BI1147" s="780"/>
      <c r="BJ1147" s="780"/>
      <c r="BK1147" s="780"/>
      <c r="BL1147" s="780"/>
      <c r="BM1147" s="780"/>
    </row>
    <row r="1148" ht="12.75" customHeight="1">
      <c r="A1148" s="521"/>
      <c r="B1148" s="521"/>
      <c r="C1148" s="515"/>
      <c r="D1148" s="515"/>
      <c r="E1148" s="515"/>
      <c r="F1148" s="515"/>
      <c r="G1148" s="515"/>
      <c r="H1148" s="515"/>
      <c r="I1148" s="515"/>
      <c r="J1148" s="515"/>
      <c r="K1148" s="515"/>
      <c r="L1148" s="515"/>
      <c r="M1148" s="515"/>
      <c r="N1148" s="515"/>
      <c r="O1148" s="533"/>
      <c r="P1148" s="786"/>
      <c r="Q1148" s="787"/>
      <c r="R1148" s="787"/>
      <c r="S1148" s="787"/>
      <c r="T1148" s="786"/>
      <c r="U1148" s="787"/>
      <c r="V1148" s="787"/>
      <c r="W1148" s="787"/>
      <c r="X1148" s="786"/>
      <c r="Y1148" s="787"/>
      <c r="Z1148" s="787"/>
      <c r="AA1148" s="787"/>
      <c r="AB1148" s="786"/>
      <c r="AC1148" s="787"/>
      <c r="AD1148" s="787"/>
      <c r="AE1148" s="787"/>
      <c r="AF1148" s="786"/>
      <c r="AG1148" s="787"/>
      <c r="AH1148" s="787"/>
      <c r="AI1148" s="787"/>
      <c r="AJ1148" s="786"/>
      <c r="AK1148" s="787"/>
      <c r="AL1148" s="787"/>
      <c r="AM1148" s="787"/>
      <c r="AN1148" s="786"/>
      <c r="AO1148" s="787"/>
      <c r="AP1148" s="787"/>
      <c r="AQ1148" s="787"/>
      <c r="AR1148" s="786"/>
      <c r="AS1148" s="787"/>
      <c r="AT1148" s="787"/>
      <c r="AU1148" s="787"/>
      <c r="AV1148" s="786"/>
      <c r="AW1148" s="787"/>
      <c r="AX1148" s="787"/>
      <c r="AY1148" s="787"/>
      <c r="AZ1148" s="780"/>
      <c r="BA1148" s="780"/>
      <c r="BB1148" s="780"/>
      <c r="BC1148" s="780"/>
      <c r="BD1148" s="541"/>
      <c r="BE1148" s="541"/>
      <c r="BF1148" s="541"/>
      <c r="BG1148" s="541"/>
      <c r="BH1148" s="780"/>
      <c r="BI1148" s="780"/>
      <c r="BJ1148" s="780"/>
      <c r="BK1148" s="780"/>
      <c r="BL1148" s="780"/>
      <c r="BM1148" s="780"/>
    </row>
    <row r="1149" ht="12.75" customHeight="1">
      <c r="A1149" s="521"/>
      <c r="B1149" s="521"/>
      <c r="C1149" s="515"/>
      <c r="D1149" s="515"/>
      <c r="E1149" s="515"/>
      <c r="F1149" s="515"/>
      <c r="G1149" s="515"/>
      <c r="H1149" s="515"/>
      <c r="I1149" s="515"/>
      <c r="J1149" s="515"/>
      <c r="K1149" s="515"/>
      <c r="L1149" s="515"/>
      <c r="M1149" s="515"/>
      <c r="N1149" s="515"/>
      <c r="O1149" s="533"/>
      <c r="P1149" s="786"/>
      <c r="Q1149" s="787"/>
      <c r="R1149" s="787"/>
      <c r="S1149" s="787"/>
      <c r="T1149" s="786"/>
      <c r="U1149" s="787"/>
      <c r="V1149" s="787"/>
      <c r="W1149" s="787"/>
      <c r="X1149" s="786"/>
      <c r="Y1149" s="787"/>
      <c r="Z1149" s="787"/>
      <c r="AA1149" s="787"/>
      <c r="AB1149" s="786"/>
      <c r="AC1149" s="787"/>
      <c r="AD1149" s="787"/>
      <c r="AE1149" s="787"/>
      <c r="AF1149" s="786"/>
      <c r="AG1149" s="787"/>
      <c r="AH1149" s="787"/>
      <c r="AI1149" s="787"/>
      <c r="AJ1149" s="786"/>
      <c r="AK1149" s="787"/>
      <c r="AL1149" s="787"/>
      <c r="AM1149" s="787"/>
      <c r="AN1149" s="786"/>
      <c r="AO1149" s="787"/>
      <c r="AP1149" s="787"/>
      <c r="AQ1149" s="787"/>
      <c r="AR1149" s="786"/>
      <c r="AS1149" s="787"/>
      <c r="AT1149" s="787"/>
      <c r="AU1149" s="787"/>
      <c r="AV1149" s="786"/>
      <c r="AW1149" s="787"/>
      <c r="AX1149" s="787"/>
      <c r="AY1149" s="787"/>
      <c r="AZ1149" s="780"/>
      <c r="BA1149" s="780"/>
      <c r="BB1149" s="780"/>
      <c r="BC1149" s="780"/>
      <c r="BD1149" s="541"/>
      <c r="BE1149" s="541"/>
      <c r="BF1149" s="541"/>
      <c r="BG1149" s="541"/>
      <c r="BH1149" s="780"/>
      <c r="BI1149" s="780"/>
      <c r="BJ1149" s="780"/>
      <c r="BK1149" s="780"/>
      <c r="BL1149" s="780"/>
      <c r="BM1149" s="780"/>
    </row>
    <row r="1150" ht="12.75" customHeight="1">
      <c r="A1150" s="521"/>
      <c r="B1150" s="521"/>
      <c r="C1150" s="515"/>
      <c r="D1150" s="515"/>
      <c r="E1150" s="515"/>
      <c r="F1150" s="515"/>
      <c r="G1150" s="515"/>
      <c r="H1150" s="515"/>
      <c r="I1150" s="515"/>
      <c r="J1150" s="515"/>
      <c r="K1150" s="515"/>
      <c r="L1150" s="515"/>
      <c r="M1150" s="515"/>
      <c r="N1150" s="515"/>
      <c r="O1150" s="533"/>
      <c r="P1150" s="786"/>
      <c r="Q1150" s="787"/>
      <c r="R1150" s="787"/>
      <c r="S1150" s="787"/>
      <c r="T1150" s="786"/>
      <c r="U1150" s="787"/>
      <c r="V1150" s="787"/>
      <c r="W1150" s="787"/>
      <c r="X1150" s="786"/>
      <c r="Y1150" s="787"/>
      <c r="Z1150" s="787"/>
      <c r="AA1150" s="787"/>
      <c r="AB1150" s="786"/>
      <c r="AC1150" s="787"/>
      <c r="AD1150" s="787"/>
      <c r="AE1150" s="787"/>
      <c r="AF1150" s="786"/>
      <c r="AG1150" s="787"/>
      <c r="AH1150" s="787"/>
      <c r="AI1150" s="787"/>
      <c r="AJ1150" s="786"/>
      <c r="AK1150" s="787"/>
      <c r="AL1150" s="787"/>
      <c r="AM1150" s="787"/>
      <c r="AN1150" s="786"/>
      <c r="AO1150" s="787"/>
      <c r="AP1150" s="787"/>
      <c r="AQ1150" s="787"/>
      <c r="AR1150" s="786"/>
      <c r="AS1150" s="787"/>
      <c r="AT1150" s="787"/>
      <c r="AU1150" s="787"/>
      <c r="AV1150" s="786"/>
      <c r="AW1150" s="787"/>
      <c r="AX1150" s="787"/>
      <c r="AY1150" s="787"/>
      <c r="AZ1150" s="780"/>
      <c r="BA1150" s="780"/>
      <c r="BB1150" s="780"/>
      <c r="BC1150" s="780"/>
      <c r="BD1150" s="541"/>
      <c r="BE1150" s="541"/>
      <c r="BF1150" s="541"/>
      <c r="BG1150" s="541"/>
      <c r="BH1150" s="780"/>
      <c r="BI1150" s="780"/>
      <c r="BJ1150" s="780"/>
      <c r="BK1150" s="780"/>
      <c r="BL1150" s="780"/>
      <c r="BM1150" s="780"/>
    </row>
    <row r="1151" ht="12.75" customHeight="1">
      <c r="A1151" s="521"/>
      <c r="B1151" s="521"/>
      <c r="C1151" s="515"/>
      <c r="D1151" s="515"/>
      <c r="E1151" s="515"/>
      <c r="F1151" s="515"/>
      <c r="G1151" s="515"/>
      <c r="H1151" s="515"/>
      <c r="I1151" s="515"/>
      <c r="J1151" s="515"/>
      <c r="K1151" s="515"/>
      <c r="L1151" s="515"/>
      <c r="M1151" s="515"/>
      <c r="N1151" s="515"/>
      <c r="O1151" s="533"/>
      <c r="P1151" s="786"/>
      <c r="Q1151" s="787"/>
      <c r="R1151" s="787"/>
      <c r="S1151" s="787"/>
      <c r="T1151" s="786"/>
      <c r="U1151" s="787"/>
      <c r="V1151" s="787"/>
      <c r="W1151" s="787"/>
      <c r="X1151" s="786"/>
      <c r="Y1151" s="787"/>
      <c r="Z1151" s="787"/>
      <c r="AA1151" s="787"/>
      <c r="AB1151" s="786"/>
      <c r="AC1151" s="787"/>
      <c r="AD1151" s="787"/>
      <c r="AE1151" s="787"/>
      <c r="AF1151" s="786"/>
      <c r="AG1151" s="787"/>
      <c r="AH1151" s="787"/>
      <c r="AI1151" s="787"/>
      <c r="AJ1151" s="786"/>
      <c r="AK1151" s="787"/>
      <c r="AL1151" s="787"/>
      <c r="AM1151" s="787"/>
      <c r="AN1151" s="786"/>
      <c r="AO1151" s="787"/>
      <c r="AP1151" s="787"/>
      <c r="AQ1151" s="787"/>
      <c r="AR1151" s="786"/>
      <c r="AS1151" s="787"/>
      <c r="AT1151" s="787"/>
      <c r="AU1151" s="787"/>
      <c r="AV1151" s="786"/>
      <c r="AW1151" s="787"/>
      <c r="AX1151" s="787"/>
      <c r="AY1151" s="787"/>
      <c r="AZ1151" s="780"/>
      <c r="BA1151" s="780"/>
      <c r="BB1151" s="780"/>
      <c r="BC1151" s="780"/>
      <c r="BD1151" s="541"/>
      <c r="BE1151" s="541"/>
      <c r="BF1151" s="541"/>
      <c r="BG1151" s="541"/>
      <c r="BH1151" s="780"/>
      <c r="BI1151" s="780"/>
      <c r="BJ1151" s="780"/>
      <c r="BK1151" s="780"/>
      <c r="BL1151" s="780"/>
      <c r="BM1151" s="780"/>
    </row>
    <row r="1152" ht="12.75" customHeight="1">
      <c r="A1152" s="521"/>
      <c r="B1152" s="521"/>
      <c r="C1152" s="515"/>
      <c r="D1152" s="515"/>
      <c r="E1152" s="515"/>
      <c r="F1152" s="515"/>
      <c r="G1152" s="515"/>
      <c r="H1152" s="515"/>
      <c r="I1152" s="515"/>
      <c r="J1152" s="515"/>
      <c r="K1152" s="515"/>
      <c r="L1152" s="515"/>
      <c r="M1152" s="515"/>
      <c r="N1152" s="515"/>
      <c r="O1152" s="533"/>
      <c r="P1152" s="786"/>
      <c r="Q1152" s="787"/>
      <c r="R1152" s="787"/>
      <c r="S1152" s="787"/>
      <c r="T1152" s="786"/>
      <c r="U1152" s="787"/>
      <c r="V1152" s="787"/>
      <c r="W1152" s="787"/>
      <c r="X1152" s="786"/>
      <c r="Y1152" s="787"/>
      <c r="Z1152" s="787"/>
      <c r="AA1152" s="787"/>
      <c r="AB1152" s="786"/>
      <c r="AC1152" s="787"/>
      <c r="AD1152" s="787"/>
      <c r="AE1152" s="787"/>
      <c r="AF1152" s="786"/>
      <c r="AG1152" s="787"/>
      <c r="AH1152" s="787"/>
      <c r="AI1152" s="787"/>
      <c r="AJ1152" s="786"/>
      <c r="AK1152" s="787"/>
      <c r="AL1152" s="787"/>
      <c r="AM1152" s="787"/>
      <c r="AN1152" s="786"/>
      <c r="AO1152" s="787"/>
      <c r="AP1152" s="787"/>
      <c r="AQ1152" s="787"/>
      <c r="AR1152" s="786"/>
      <c r="AS1152" s="787"/>
      <c r="AT1152" s="787"/>
      <c r="AU1152" s="787"/>
      <c r="AV1152" s="786"/>
      <c r="AW1152" s="787"/>
      <c r="AX1152" s="787"/>
      <c r="AY1152" s="787"/>
      <c r="AZ1152" s="780"/>
      <c r="BA1152" s="780"/>
      <c r="BB1152" s="780"/>
      <c r="BC1152" s="780"/>
      <c r="BD1152" s="541"/>
      <c r="BE1152" s="541"/>
      <c r="BF1152" s="541"/>
      <c r="BG1152" s="541"/>
      <c r="BH1152" s="780"/>
      <c r="BI1152" s="780"/>
      <c r="BJ1152" s="780"/>
      <c r="BK1152" s="780"/>
      <c r="BL1152" s="780"/>
      <c r="BM1152" s="780"/>
    </row>
    <row r="1153" ht="12.75" customHeight="1">
      <c r="A1153" s="521"/>
      <c r="B1153" s="521"/>
      <c r="C1153" s="515"/>
      <c r="D1153" s="515"/>
      <c r="E1153" s="515"/>
      <c r="F1153" s="515"/>
      <c r="G1153" s="515"/>
      <c r="H1153" s="515"/>
      <c r="I1153" s="515"/>
      <c r="J1153" s="515"/>
      <c r="K1153" s="515"/>
      <c r="L1153" s="515"/>
      <c r="M1153" s="515"/>
      <c r="N1153" s="515"/>
      <c r="O1153" s="533"/>
      <c r="P1153" s="786"/>
      <c r="Q1153" s="787"/>
      <c r="R1153" s="787"/>
      <c r="S1153" s="787"/>
      <c r="T1153" s="786"/>
      <c r="U1153" s="787"/>
      <c r="V1153" s="787"/>
      <c r="W1153" s="787"/>
      <c r="X1153" s="786"/>
      <c r="Y1153" s="787"/>
      <c r="Z1153" s="787"/>
      <c r="AA1153" s="787"/>
      <c r="AB1153" s="786"/>
      <c r="AC1153" s="787"/>
      <c r="AD1153" s="787"/>
      <c r="AE1153" s="787"/>
      <c r="AF1153" s="786"/>
      <c r="AG1153" s="787"/>
      <c r="AH1153" s="787"/>
      <c r="AI1153" s="787"/>
      <c r="AJ1153" s="786"/>
      <c r="AK1153" s="787"/>
      <c r="AL1153" s="787"/>
      <c r="AM1153" s="787"/>
      <c r="AN1153" s="786"/>
      <c r="AO1153" s="787"/>
      <c r="AP1153" s="787"/>
      <c r="AQ1153" s="787"/>
      <c r="AR1153" s="786"/>
      <c r="AS1153" s="787"/>
      <c r="AT1153" s="787"/>
      <c r="AU1153" s="787"/>
      <c r="AV1153" s="786"/>
      <c r="AW1153" s="787"/>
      <c r="AX1153" s="787"/>
      <c r="AY1153" s="787"/>
      <c r="AZ1153" s="780"/>
      <c r="BA1153" s="780"/>
      <c r="BB1153" s="780"/>
      <c r="BC1153" s="780"/>
      <c r="BD1153" s="541"/>
      <c r="BE1153" s="541"/>
      <c r="BF1153" s="541"/>
      <c r="BG1153" s="541"/>
      <c r="BH1153" s="780"/>
      <c r="BI1153" s="780"/>
      <c r="BJ1153" s="780"/>
      <c r="BK1153" s="780"/>
      <c r="BL1153" s="780"/>
      <c r="BM1153" s="780"/>
    </row>
    <row r="1154" ht="12.75" customHeight="1">
      <c r="A1154" s="521"/>
      <c r="B1154" s="521"/>
      <c r="C1154" s="515"/>
      <c r="D1154" s="515"/>
      <c r="E1154" s="515"/>
      <c r="F1154" s="515"/>
      <c r="G1154" s="515"/>
      <c r="H1154" s="515"/>
      <c r="I1154" s="515"/>
      <c r="J1154" s="515"/>
      <c r="K1154" s="515"/>
      <c r="L1154" s="515"/>
      <c r="M1154" s="515"/>
      <c r="N1154" s="515"/>
      <c r="O1154" s="533"/>
      <c r="P1154" s="786"/>
      <c r="Q1154" s="787"/>
      <c r="R1154" s="787"/>
      <c r="S1154" s="787"/>
      <c r="T1154" s="786"/>
      <c r="U1154" s="787"/>
      <c r="V1154" s="787"/>
      <c r="W1154" s="787"/>
      <c r="X1154" s="786"/>
      <c r="Y1154" s="787"/>
      <c r="Z1154" s="787"/>
      <c r="AA1154" s="787"/>
      <c r="AB1154" s="786"/>
      <c r="AC1154" s="787"/>
      <c r="AD1154" s="787"/>
      <c r="AE1154" s="787"/>
      <c r="AF1154" s="786"/>
      <c r="AG1154" s="787"/>
      <c r="AH1154" s="787"/>
      <c r="AI1154" s="787"/>
      <c r="AJ1154" s="786"/>
      <c r="AK1154" s="787"/>
      <c r="AL1154" s="787"/>
      <c r="AM1154" s="787"/>
      <c r="AN1154" s="786"/>
      <c r="AO1154" s="787"/>
      <c r="AP1154" s="787"/>
      <c r="AQ1154" s="787"/>
      <c r="AR1154" s="786"/>
      <c r="AS1154" s="787"/>
      <c r="AT1154" s="787"/>
      <c r="AU1154" s="787"/>
      <c r="AV1154" s="786"/>
      <c r="AW1154" s="787"/>
      <c r="AX1154" s="787"/>
      <c r="AY1154" s="787"/>
      <c r="AZ1154" s="780"/>
      <c r="BA1154" s="780"/>
      <c r="BB1154" s="780"/>
      <c r="BC1154" s="780"/>
      <c r="BD1154" s="541"/>
      <c r="BE1154" s="541"/>
      <c r="BF1154" s="541"/>
      <c r="BG1154" s="541"/>
      <c r="BH1154" s="780"/>
      <c r="BI1154" s="780"/>
      <c r="BJ1154" s="780"/>
      <c r="BK1154" s="780"/>
      <c r="BL1154" s="780"/>
      <c r="BM1154" s="780"/>
    </row>
    <row r="1155" ht="12.75" customHeight="1">
      <c r="A1155" s="521"/>
      <c r="B1155" s="521"/>
      <c r="C1155" s="515"/>
      <c r="D1155" s="515"/>
      <c r="E1155" s="515"/>
      <c r="F1155" s="515"/>
      <c r="G1155" s="515"/>
      <c r="H1155" s="515"/>
      <c r="I1155" s="515"/>
      <c r="J1155" s="515"/>
      <c r="K1155" s="515"/>
      <c r="L1155" s="515"/>
      <c r="M1155" s="515"/>
      <c r="N1155" s="515"/>
      <c r="O1155" s="533"/>
      <c r="P1155" s="786"/>
      <c r="Q1155" s="787"/>
      <c r="R1155" s="787"/>
      <c r="S1155" s="787"/>
      <c r="T1155" s="786"/>
      <c r="U1155" s="787"/>
      <c r="V1155" s="787"/>
      <c r="W1155" s="787"/>
      <c r="X1155" s="786"/>
      <c r="Y1155" s="787"/>
      <c r="Z1155" s="787"/>
      <c r="AA1155" s="787"/>
      <c r="AB1155" s="786"/>
      <c r="AC1155" s="787"/>
      <c r="AD1155" s="787"/>
      <c r="AE1155" s="787"/>
      <c r="AF1155" s="786"/>
      <c r="AG1155" s="787"/>
      <c r="AH1155" s="787"/>
      <c r="AI1155" s="787"/>
      <c r="AJ1155" s="786"/>
      <c r="AK1155" s="787"/>
      <c r="AL1155" s="787"/>
      <c r="AM1155" s="787"/>
      <c r="AN1155" s="786"/>
      <c r="AO1155" s="787"/>
      <c r="AP1155" s="787"/>
      <c r="AQ1155" s="787"/>
      <c r="AR1155" s="786"/>
      <c r="AS1155" s="787"/>
      <c r="AT1155" s="787"/>
      <c r="AU1155" s="787"/>
      <c r="AV1155" s="786"/>
      <c r="AW1155" s="787"/>
      <c r="AX1155" s="787"/>
      <c r="AY1155" s="787"/>
      <c r="AZ1155" s="780"/>
      <c r="BA1155" s="780"/>
      <c r="BB1155" s="780"/>
      <c r="BC1155" s="780"/>
      <c r="BD1155" s="541"/>
      <c r="BE1155" s="541"/>
      <c r="BF1155" s="541"/>
      <c r="BG1155" s="541"/>
      <c r="BH1155" s="780"/>
      <c r="BI1155" s="780"/>
      <c r="BJ1155" s="780"/>
      <c r="BK1155" s="780"/>
      <c r="BL1155" s="780"/>
      <c r="BM1155" s="780"/>
    </row>
    <row r="1156" ht="12.75" customHeight="1">
      <c r="A1156" s="521"/>
      <c r="B1156" s="521"/>
      <c r="C1156" s="515"/>
      <c r="D1156" s="515"/>
      <c r="E1156" s="515"/>
      <c r="F1156" s="515"/>
      <c r="G1156" s="515"/>
      <c r="H1156" s="515"/>
      <c r="I1156" s="515"/>
      <c r="J1156" s="515"/>
      <c r="K1156" s="515"/>
      <c r="L1156" s="515"/>
      <c r="M1156" s="515"/>
      <c r="N1156" s="515"/>
      <c r="O1156" s="533"/>
      <c r="P1156" s="786"/>
      <c r="Q1156" s="787"/>
      <c r="R1156" s="787"/>
      <c r="S1156" s="787"/>
      <c r="T1156" s="786"/>
      <c r="U1156" s="787"/>
      <c r="V1156" s="787"/>
      <c r="W1156" s="787"/>
      <c r="X1156" s="786"/>
      <c r="Y1156" s="787"/>
      <c r="Z1156" s="787"/>
      <c r="AA1156" s="787"/>
      <c r="AB1156" s="786"/>
      <c r="AC1156" s="787"/>
      <c r="AD1156" s="787"/>
      <c r="AE1156" s="787"/>
      <c r="AF1156" s="786"/>
      <c r="AG1156" s="787"/>
      <c r="AH1156" s="787"/>
      <c r="AI1156" s="787"/>
      <c r="AJ1156" s="786"/>
      <c r="AK1156" s="787"/>
      <c r="AL1156" s="787"/>
      <c r="AM1156" s="787"/>
      <c r="AN1156" s="786"/>
      <c r="AO1156" s="787"/>
      <c r="AP1156" s="787"/>
      <c r="AQ1156" s="787"/>
      <c r="AR1156" s="786"/>
      <c r="AS1156" s="787"/>
      <c r="AT1156" s="787"/>
      <c r="AU1156" s="787"/>
      <c r="AV1156" s="786"/>
      <c r="AW1156" s="787"/>
      <c r="AX1156" s="787"/>
      <c r="AY1156" s="787"/>
      <c r="AZ1156" s="780"/>
      <c r="BA1156" s="780"/>
      <c r="BB1156" s="780"/>
      <c r="BC1156" s="780"/>
      <c r="BD1156" s="541"/>
      <c r="BE1156" s="541"/>
      <c r="BF1156" s="541"/>
      <c r="BG1156" s="541"/>
      <c r="BH1156" s="780"/>
      <c r="BI1156" s="780"/>
      <c r="BJ1156" s="780"/>
      <c r="BK1156" s="780"/>
      <c r="BL1156" s="780"/>
      <c r="BM1156" s="780"/>
    </row>
    <row r="1157" ht="12.75" customHeight="1">
      <c r="A1157" s="521"/>
      <c r="B1157" s="521"/>
      <c r="C1157" s="515"/>
      <c r="D1157" s="515"/>
      <c r="E1157" s="515"/>
      <c r="F1157" s="515"/>
      <c r="G1157" s="515"/>
      <c r="H1157" s="515"/>
      <c r="I1157" s="515"/>
      <c r="J1157" s="515"/>
      <c r="K1157" s="515"/>
      <c r="L1157" s="515"/>
      <c r="M1157" s="515"/>
      <c r="N1157" s="515"/>
      <c r="O1157" s="533"/>
      <c r="P1157" s="786"/>
      <c r="Q1157" s="787"/>
      <c r="R1157" s="787"/>
      <c r="S1157" s="787"/>
      <c r="T1157" s="786"/>
      <c r="U1157" s="787"/>
      <c r="V1157" s="787"/>
      <c r="W1157" s="787"/>
      <c r="X1157" s="786"/>
      <c r="Y1157" s="787"/>
      <c r="Z1157" s="787"/>
      <c r="AA1157" s="787"/>
      <c r="AB1157" s="786"/>
      <c r="AC1157" s="787"/>
      <c r="AD1157" s="787"/>
      <c r="AE1157" s="787"/>
      <c r="AF1157" s="786"/>
      <c r="AG1157" s="787"/>
      <c r="AH1157" s="787"/>
      <c r="AI1157" s="787"/>
      <c r="AJ1157" s="786"/>
      <c r="AK1157" s="787"/>
      <c r="AL1157" s="787"/>
      <c r="AM1157" s="787"/>
      <c r="AN1157" s="786"/>
      <c r="AO1157" s="787"/>
      <c r="AP1157" s="787"/>
      <c r="AQ1157" s="787"/>
      <c r="AR1157" s="786"/>
      <c r="AS1157" s="787"/>
      <c r="AT1157" s="787"/>
      <c r="AU1157" s="787"/>
      <c r="AV1157" s="786"/>
      <c r="AW1157" s="787"/>
      <c r="AX1157" s="787"/>
      <c r="AY1157" s="787"/>
      <c r="AZ1157" s="780"/>
      <c r="BA1157" s="780"/>
      <c r="BB1157" s="780"/>
      <c r="BC1157" s="780"/>
      <c r="BD1157" s="541"/>
      <c r="BE1157" s="541"/>
      <c r="BF1157" s="541"/>
      <c r="BG1157" s="541"/>
      <c r="BH1157" s="780"/>
      <c r="BI1157" s="780"/>
      <c r="BJ1157" s="780"/>
      <c r="BK1157" s="780"/>
      <c r="BL1157" s="780"/>
      <c r="BM1157" s="780"/>
    </row>
    <row r="1158" ht="12.75" customHeight="1">
      <c r="A1158" s="521"/>
      <c r="B1158" s="521"/>
      <c r="C1158" s="515"/>
      <c r="D1158" s="515"/>
      <c r="E1158" s="515"/>
      <c r="F1158" s="515"/>
      <c r="G1158" s="515"/>
      <c r="H1158" s="515"/>
      <c r="I1158" s="515"/>
      <c r="J1158" s="515"/>
      <c r="K1158" s="515"/>
      <c r="L1158" s="515"/>
      <c r="M1158" s="515"/>
      <c r="N1158" s="515"/>
      <c r="O1158" s="533"/>
      <c r="P1158" s="786"/>
      <c r="Q1158" s="787"/>
      <c r="R1158" s="787"/>
      <c r="S1158" s="787"/>
      <c r="T1158" s="786"/>
      <c r="U1158" s="787"/>
      <c r="V1158" s="787"/>
      <c r="W1158" s="787"/>
      <c r="X1158" s="786"/>
      <c r="Y1158" s="787"/>
      <c r="Z1158" s="787"/>
      <c r="AA1158" s="787"/>
      <c r="AB1158" s="786"/>
      <c r="AC1158" s="787"/>
      <c r="AD1158" s="787"/>
      <c r="AE1158" s="787"/>
      <c r="AF1158" s="786"/>
      <c r="AG1158" s="787"/>
      <c r="AH1158" s="787"/>
      <c r="AI1158" s="787"/>
      <c r="AJ1158" s="786"/>
      <c r="AK1158" s="787"/>
      <c r="AL1158" s="787"/>
      <c r="AM1158" s="787"/>
      <c r="AN1158" s="786"/>
      <c r="AO1158" s="787"/>
      <c r="AP1158" s="787"/>
      <c r="AQ1158" s="787"/>
      <c r="AR1158" s="786"/>
      <c r="AS1158" s="787"/>
      <c r="AT1158" s="787"/>
      <c r="AU1158" s="787"/>
      <c r="AV1158" s="786"/>
      <c r="AW1158" s="787"/>
      <c r="AX1158" s="787"/>
      <c r="AY1158" s="787"/>
      <c r="AZ1158" s="780"/>
      <c r="BA1158" s="780"/>
      <c r="BB1158" s="780"/>
      <c r="BC1158" s="780"/>
      <c r="BD1158" s="541"/>
      <c r="BE1158" s="541"/>
      <c r="BF1158" s="541"/>
      <c r="BG1158" s="541"/>
      <c r="BH1158" s="780"/>
      <c r="BI1158" s="780"/>
      <c r="BJ1158" s="780"/>
      <c r="BK1158" s="780"/>
      <c r="BL1158" s="780"/>
      <c r="BM1158" s="780"/>
    </row>
    <row r="1159" ht="12.75" customHeight="1">
      <c r="A1159" s="521"/>
      <c r="B1159" s="521"/>
      <c r="C1159" s="515"/>
      <c r="D1159" s="515"/>
      <c r="E1159" s="515"/>
      <c r="F1159" s="515"/>
      <c r="G1159" s="515"/>
      <c r="H1159" s="515"/>
      <c r="I1159" s="515"/>
      <c r="J1159" s="515"/>
      <c r="K1159" s="515"/>
      <c r="L1159" s="515"/>
      <c r="M1159" s="515"/>
      <c r="N1159" s="515"/>
      <c r="O1159" s="533"/>
      <c r="P1159" s="786"/>
      <c r="Q1159" s="787"/>
      <c r="R1159" s="787"/>
      <c r="S1159" s="787"/>
      <c r="T1159" s="786"/>
      <c r="U1159" s="787"/>
      <c r="V1159" s="787"/>
      <c r="W1159" s="787"/>
      <c r="X1159" s="786"/>
      <c r="Y1159" s="787"/>
      <c r="Z1159" s="787"/>
      <c r="AA1159" s="787"/>
      <c r="AB1159" s="786"/>
      <c r="AC1159" s="787"/>
      <c r="AD1159" s="787"/>
      <c r="AE1159" s="787"/>
      <c r="AF1159" s="786"/>
      <c r="AG1159" s="787"/>
      <c r="AH1159" s="787"/>
      <c r="AI1159" s="787"/>
      <c r="AJ1159" s="786"/>
      <c r="AK1159" s="787"/>
      <c r="AL1159" s="787"/>
      <c r="AM1159" s="787"/>
      <c r="AN1159" s="786"/>
      <c r="AO1159" s="787"/>
      <c r="AP1159" s="787"/>
      <c r="AQ1159" s="787"/>
      <c r="AR1159" s="786"/>
      <c r="AS1159" s="787"/>
      <c r="AT1159" s="787"/>
      <c r="AU1159" s="787"/>
      <c r="AV1159" s="786"/>
      <c r="AW1159" s="787"/>
      <c r="AX1159" s="787"/>
      <c r="AY1159" s="787"/>
      <c r="AZ1159" s="780"/>
      <c r="BA1159" s="780"/>
      <c r="BB1159" s="780"/>
      <c r="BC1159" s="780"/>
      <c r="BD1159" s="541"/>
      <c r="BE1159" s="541"/>
      <c r="BF1159" s="541"/>
      <c r="BG1159" s="541"/>
      <c r="BH1159" s="780"/>
      <c r="BI1159" s="780"/>
      <c r="BJ1159" s="780"/>
      <c r="BK1159" s="780"/>
      <c r="BL1159" s="780"/>
      <c r="BM1159" s="780"/>
    </row>
    <row r="1160" ht="12.75" customHeight="1">
      <c r="A1160" s="521"/>
      <c r="B1160" s="521"/>
      <c r="C1160" s="515"/>
      <c r="D1160" s="515"/>
      <c r="E1160" s="515"/>
      <c r="F1160" s="515"/>
      <c r="G1160" s="515"/>
      <c r="H1160" s="515"/>
      <c r="I1160" s="515"/>
      <c r="J1160" s="515"/>
      <c r="K1160" s="515"/>
      <c r="L1160" s="515"/>
      <c r="M1160" s="515"/>
      <c r="N1160" s="515"/>
      <c r="O1160" s="533"/>
      <c r="P1160" s="786"/>
      <c r="Q1160" s="787"/>
      <c r="R1160" s="787"/>
      <c r="S1160" s="787"/>
      <c r="T1160" s="786"/>
      <c r="U1160" s="787"/>
      <c r="V1160" s="787"/>
      <c r="W1160" s="787"/>
      <c r="X1160" s="786"/>
      <c r="Y1160" s="787"/>
      <c r="Z1160" s="787"/>
      <c r="AA1160" s="787"/>
      <c r="AB1160" s="786"/>
      <c r="AC1160" s="787"/>
      <c r="AD1160" s="787"/>
      <c r="AE1160" s="787"/>
      <c r="AF1160" s="786"/>
      <c r="AG1160" s="787"/>
      <c r="AH1160" s="787"/>
      <c r="AI1160" s="787"/>
      <c r="AJ1160" s="786"/>
      <c r="AK1160" s="787"/>
      <c r="AL1160" s="787"/>
      <c r="AM1160" s="787"/>
      <c r="AN1160" s="786"/>
      <c r="AO1160" s="787"/>
      <c r="AP1160" s="787"/>
      <c r="AQ1160" s="787"/>
      <c r="AR1160" s="786"/>
      <c r="AS1160" s="787"/>
      <c r="AT1160" s="787"/>
      <c r="AU1160" s="787"/>
      <c r="AV1160" s="786"/>
      <c r="AW1160" s="787"/>
      <c r="AX1160" s="787"/>
      <c r="AY1160" s="787"/>
      <c r="AZ1160" s="780"/>
      <c r="BA1160" s="780"/>
      <c r="BB1160" s="780"/>
      <c r="BC1160" s="780"/>
      <c r="BD1160" s="541"/>
      <c r="BE1160" s="541"/>
      <c r="BF1160" s="541"/>
      <c r="BG1160" s="541"/>
      <c r="BH1160" s="780"/>
      <c r="BI1160" s="780"/>
      <c r="BJ1160" s="780"/>
      <c r="BK1160" s="780"/>
      <c r="BL1160" s="780"/>
      <c r="BM1160" s="780"/>
    </row>
    <row r="1161" ht="12.75" customHeight="1">
      <c r="A1161" s="521"/>
      <c r="B1161" s="521"/>
      <c r="C1161" s="515"/>
      <c r="D1161" s="515"/>
      <c r="E1161" s="515"/>
      <c r="F1161" s="515"/>
      <c r="G1161" s="515"/>
      <c r="H1161" s="515"/>
      <c r="I1161" s="515"/>
      <c r="J1161" s="515"/>
      <c r="K1161" s="515"/>
      <c r="L1161" s="515"/>
      <c r="M1161" s="515"/>
      <c r="N1161" s="515"/>
      <c r="O1161" s="533"/>
      <c r="P1161" s="786"/>
      <c r="Q1161" s="787"/>
      <c r="R1161" s="787"/>
      <c r="S1161" s="787"/>
      <c r="T1161" s="786"/>
      <c r="U1161" s="787"/>
      <c r="V1161" s="787"/>
      <c r="W1161" s="787"/>
      <c r="X1161" s="786"/>
      <c r="Y1161" s="787"/>
      <c r="Z1161" s="787"/>
      <c r="AA1161" s="787"/>
      <c r="AB1161" s="786"/>
      <c r="AC1161" s="787"/>
      <c r="AD1161" s="787"/>
      <c r="AE1161" s="787"/>
      <c r="AF1161" s="786"/>
      <c r="AG1161" s="787"/>
      <c r="AH1161" s="787"/>
      <c r="AI1161" s="787"/>
      <c r="AJ1161" s="786"/>
      <c r="AK1161" s="787"/>
      <c r="AL1161" s="787"/>
      <c r="AM1161" s="787"/>
      <c r="AN1161" s="786"/>
      <c r="AO1161" s="787"/>
      <c r="AP1161" s="787"/>
      <c r="AQ1161" s="787"/>
      <c r="AR1161" s="786"/>
      <c r="AS1161" s="787"/>
      <c r="AT1161" s="787"/>
      <c r="AU1161" s="787"/>
      <c r="AV1161" s="786"/>
      <c r="AW1161" s="787"/>
      <c r="AX1161" s="787"/>
      <c r="AY1161" s="787"/>
      <c r="AZ1161" s="780"/>
      <c r="BA1161" s="780"/>
      <c r="BB1161" s="780"/>
      <c r="BC1161" s="780"/>
      <c r="BD1161" s="541"/>
      <c r="BE1161" s="541"/>
      <c r="BF1161" s="541"/>
      <c r="BG1161" s="541"/>
      <c r="BH1161" s="780"/>
      <c r="BI1161" s="780"/>
      <c r="BJ1161" s="780"/>
      <c r="BK1161" s="780"/>
      <c r="BL1161" s="780"/>
      <c r="BM1161" s="780"/>
    </row>
    <row r="1162" ht="12.75" customHeight="1">
      <c r="A1162" s="521"/>
      <c r="B1162" s="521"/>
      <c r="C1162" s="515"/>
      <c r="D1162" s="515"/>
      <c r="E1162" s="515"/>
      <c r="F1162" s="515"/>
      <c r="G1162" s="515"/>
      <c r="H1162" s="515"/>
      <c r="I1162" s="515"/>
      <c r="J1162" s="515"/>
      <c r="K1162" s="515"/>
      <c r="L1162" s="515"/>
      <c r="M1162" s="515"/>
      <c r="N1162" s="515"/>
      <c r="O1162" s="533"/>
      <c r="P1162" s="786"/>
      <c r="Q1162" s="787"/>
      <c r="R1162" s="787"/>
      <c r="S1162" s="787"/>
      <c r="T1162" s="786"/>
      <c r="U1162" s="787"/>
      <c r="V1162" s="787"/>
      <c r="W1162" s="787"/>
      <c r="X1162" s="786"/>
      <c r="Y1162" s="787"/>
      <c r="Z1162" s="787"/>
      <c r="AA1162" s="787"/>
      <c r="AB1162" s="786"/>
      <c r="AC1162" s="787"/>
      <c r="AD1162" s="787"/>
      <c r="AE1162" s="787"/>
      <c r="AF1162" s="786"/>
      <c r="AG1162" s="787"/>
      <c r="AH1162" s="787"/>
      <c r="AI1162" s="787"/>
      <c r="AJ1162" s="786"/>
      <c r="AK1162" s="787"/>
      <c r="AL1162" s="787"/>
      <c r="AM1162" s="787"/>
      <c r="AN1162" s="786"/>
      <c r="AO1162" s="787"/>
      <c r="AP1162" s="787"/>
      <c r="AQ1162" s="787"/>
      <c r="AR1162" s="786"/>
      <c r="AS1162" s="787"/>
      <c r="AT1162" s="787"/>
      <c r="AU1162" s="787"/>
      <c r="AV1162" s="786"/>
      <c r="AW1162" s="787"/>
      <c r="AX1162" s="787"/>
      <c r="AY1162" s="787"/>
      <c r="AZ1162" s="780"/>
      <c r="BA1162" s="780"/>
      <c r="BB1162" s="780"/>
      <c r="BC1162" s="780"/>
      <c r="BD1162" s="541"/>
      <c r="BE1162" s="541"/>
      <c r="BF1162" s="541"/>
      <c r="BG1162" s="541"/>
      <c r="BH1162" s="780"/>
      <c r="BI1162" s="780"/>
      <c r="BJ1162" s="780"/>
      <c r="BK1162" s="780"/>
      <c r="BL1162" s="780"/>
      <c r="BM1162" s="780"/>
    </row>
    <row r="1163" ht="12.75" customHeight="1">
      <c r="A1163" s="521"/>
      <c r="B1163" s="521"/>
      <c r="C1163" s="515"/>
      <c r="D1163" s="515"/>
      <c r="E1163" s="515"/>
      <c r="F1163" s="515"/>
      <c r="G1163" s="515"/>
      <c r="H1163" s="515"/>
      <c r="I1163" s="515"/>
      <c r="J1163" s="515"/>
      <c r="K1163" s="515"/>
      <c r="L1163" s="515"/>
      <c r="M1163" s="515"/>
      <c r="N1163" s="515"/>
      <c r="O1163" s="533"/>
      <c r="P1163" s="786"/>
      <c r="Q1163" s="787"/>
      <c r="R1163" s="787"/>
      <c r="S1163" s="787"/>
      <c r="T1163" s="786"/>
      <c r="U1163" s="787"/>
      <c r="V1163" s="787"/>
      <c r="W1163" s="787"/>
      <c r="X1163" s="786"/>
      <c r="Y1163" s="787"/>
      <c r="Z1163" s="787"/>
      <c r="AA1163" s="787"/>
      <c r="AB1163" s="786"/>
      <c r="AC1163" s="787"/>
      <c r="AD1163" s="787"/>
      <c r="AE1163" s="787"/>
      <c r="AF1163" s="786"/>
      <c r="AG1163" s="787"/>
      <c r="AH1163" s="787"/>
      <c r="AI1163" s="787"/>
      <c r="AJ1163" s="786"/>
      <c r="AK1163" s="787"/>
      <c r="AL1163" s="787"/>
      <c r="AM1163" s="787"/>
      <c r="AN1163" s="786"/>
      <c r="AO1163" s="787"/>
      <c r="AP1163" s="787"/>
      <c r="AQ1163" s="787"/>
      <c r="AR1163" s="786"/>
      <c r="AS1163" s="787"/>
      <c r="AT1163" s="787"/>
      <c r="AU1163" s="787"/>
      <c r="AV1163" s="786"/>
      <c r="AW1163" s="787"/>
      <c r="AX1163" s="787"/>
      <c r="AY1163" s="787"/>
      <c r="AZ1163" s="780"/>
      <c r="BA1163" s="780"/>
      <c r="BB1163" s="780"/>
      <c r="BC1163" s="780"/>
      <c r="BD1163" s="541"/>
      <c r="BE1163" s="541"/>
      <c r="BF1163" s="541"/>
      <c r="BG1163" s="541"/>
      <c r="BH1163" s="780"/>
      <c r="BI1163" s="780"/>
      <c r="BJ1163" s="780"/>
      <c r="BK1163" s="780"/>
      <c r="BL1163" s="780"/>
      <c r="BM1163" s="780"/>
    </row>
    <row r="1164" ht="12.75" customHeight="1">
      <c r="A1164" s="521"/>
      <c r="B1164" s="521"/>
      <c r="C1164" s="515"/>
      <c r="D1164" s="515"/>
      <c r="E1164" s="515"/>
      <c r="F1164" s="515"/>
      <c r="G1164" s="515"/>
      <c r="H1164" s="515"/>
      <c r="I1164" s="515"/>
      <c r="J1164" s="515"/>
      <c r="K1164" s="515"/>
      <c r="L1164" s="515"/>
      <c r="M1164" s="515"/>
      <c r="N1164" s="515"/>
      <c r="O1164" s="533"/>
      <c r="P1164" s="786"/>
      <c r="Q1164" s="787"/>
      <c r="R1164" s="787"/>
      <c r="S1164" s="787"/>
      <c r="T1164" s="786"/>
      <c r="U1164" s="787"/>
      <c r="V1164" s="787"/>
      <c r="W1164" s="787"/>
      <c r="X1164" s="786"/>
      <c r="Y1164" s="787"/>
      <c r="Z1164" s="787"/>
      <c r="AA1164" s="787"/>
      <c r="AB1164" s="786"/>
      <c r="AC1164" s="787"/>
      <c r="AD1164" s="787"/>
      <c r="AE1164" s="787"/>
      <c r="AF1164" s="786"/>
      <c r="AG1164" s="787"/>
      <c r="AH1164" s="787"/>
      <c r="AI1164" s="787"/>
      <c r="AJ1164" s="786"/>
      <c r="AK1164" s="787"/>
      <c r="AL1164" s="787"/>
      <c r="AM1164" s="787"/>
      <c r="AN1164" s="786"/>
      <c r="AO1164" s="787"/>
      <c r="AP1164" s="787"/>
      <c r="AQ1164" s="787"/>
      <c r="AR1164" s="786"/>
      <c r="AS1164" s="787"/>
      <c r="AT1164" s="787"/>
      <c r="AU1164" s="787"/>
      <c r="AV1164" s="786"/>
      <c r="AW1164" s="787"/>
      <c r="AX1164" s="787"/>
      <c r="AY1164" s="787"/>
      <c r="AZ1164" s="780"/>
      <c r="BA1164" s="780"/>
      <c r="BB1164" s="780"/>
      <c r="BC1164" s="780"/>
      <c r="BD1164" s="541"/>
      <c r="BE1164" s="541"/>
      <c r="BF1164" s="541"/>
      <c r="BG1164" s="541"/>
      <c r="BH1164" s="780"/>
      <c r="BI1164" s="780"/>
      <c r="BJ1164" s="780"/>
      <c r="BK1164" s="780"/>
      <c r="BL1164" s="780"/>
      <c r="BM1164" s="780"/>
    </row>
    <row r="1165" ht="12.75" customHeight="1">
      <c r="A1165" s="521"/>
      <c r="B1165" s="521"/>
      <c r="C1165" s="515"/>
      <c r="D1165" s="515"/>
      <c r="E1165" s="515"/>
      <c r="F1165" s="515"/>
      <c r="G1165" s="515"/>
      <c r="H1165" s="515"/>
      <c r="I1165" s="515"/>
      <c r="J1165" s="515"/>
      <c r="K1165" s="515"/>
      <c r="L1165" s="515"/>
      <c r="M1165" s="515"/>
      <c r="N1165" s="515"/>
      <c r="O1165" s="533"/>
      <c r="P1165" s="786"/>
      <c r="Q1165" s="787"/>
      <c r="R1165" s="787"/>
      <c r="S1165" s="787"/>
      <c r="T1165" s="786"/>
      <c r="U1165" s="787"/>
      <c r="V1165" s="787"/>
      <c r="W1165" s="787"/>
      <c r="X1165" s="786"/>
      <c r="Y1165" s="787"/>
      <c r="Z1165" s="787"/>
      <c r="AA1165" s="787"/>
      <c r="AB1165" s="786"/>
      <c r="AC1165" s="787"/>
      <c r="AD1165" s="787"/>
      <c r="AE1165" s="787"/>
      <c r="AF1165" s="786"/>
      <c r="AG1165" s="787"/>
      <c r="AH1165" s="787"/>
      <c r="AI1165" s="787"/>
      <c r="AJ1165" s="786"/>
      <c r="AK1165" s="787"/>
      <c r="AL1165" s="787"/>
      <c r="AM1165" s="787"/>
      <c r="AN1165" s="786"/>
      <c r="AO1165" s="787"/>
      <c r="AP1165" s="787"/>
      <c r="AQ1165" s="787"/>
      <c r="AR1165" s="786"/>
      <c r="AS1165" s="787"/>
      <c r="AT1165" s="787"/>
      <c r="AU1165" s="787"/>
      <c r="AV1165" s="786"/>
      <c r="AW1165" s="787"/>
      <c r="AX1165" s="787"/>
      <c r="AY1165" s="787"/>
      <c r="AZ1165" s="780"/>
      <c r="BA1165" s="780"/>
      <c r="BB1165" s="780"/>
      <c r="BC1165" s="780"/>
      <c r="BD1165" s="541"/>
      <c r="BE1165" s="541"/>
      <c r="BF1165" s="541"/>
      <c r="BG1165" s="541"/>
      <c r="BH1165" s="780"/>
      <c r="BI1165" s="780"/>
      <c r="BJ1165" s="780"/>
      <c r="BK1165" s="780"/>
      <c r="BL1165" s="780"/>
      <c r="BM1165" s="780"/>
    </row>
    <row r="1166" ht="12.75" customHeight="1">
      <c r="A1166" s="521"/>
      <c r="B1166" s="521"/>
      <c r="C1166" s="515"/>
      <c r="D1166" s="515"/>
      <c r="E1166" s="515"/>
      <c r="F1166" s="515"/>
      <c r="G1166" s="515"/>
      <c r="H1166" s="515"/>
      <c r="I1166" s="515"/>
      <c r="J1166" s="515"/>
      <c r="K1166" s="515"/>
      <c r="L1166" s="515"/>
      <c r="M1166" s="515"/>
      <c r="N1166" s="515"/>
      <c r="O1166" s="533"/>
      <c r="P1166" s="786"/>
      <c r="Q1166" s="787"/>
      <c r="R1166" s="787"/>
      <c r="S1166" s="787"/>
      <c r="T1166" s="786"/>
      <c r="U1166" s="787"/>
      <c r="V1166" s="787"/>
      <c r="W1166" s="787"/>
      <c r="X1166" s="786"/>
      <c r="Y1166" s="787"/>
      <c r="Z1166" s="787"/>
      <c r="AA1166" s="787"/>
      <c r="AB1166" s="786"/>
      <c r="AC1166" s="787"/>
      <c r="AD1166" s="787"/>
      <c r="AE1166" s="787"/>
      <c r="AF1166" s="786"/>
      <c r="AG1166" s="787"/>
      <c r="AH1166" s="787"/>
      <c r="AI1166" s="787"/>
      <c r="AJ1166" s="786"/>
      <c r="AK1166" s="787"/>
      <c r="AL1166" s="787"/>
      <c r="AM1166" s="787"/>
      <c r="AN1166" s="786"/>
      <c r="AO1166" s="787"/>
      <c r="AP1166" s="787"/>
      <c r="AQ1166" s="787"/>
      <c r="AR1166" s="786"/>
      <c r="AS1166" s="787"/>
      <c r="AT1166" s="787"/>
      <c r="AU1166" s="787"/>
      <c r="AV1166" s="786"/>
      <c r="AW1166" s="787"/>
      <c r="AX1166" s="787"/>
      <c r="AY1166" s="787"/>
      <c r="AZ1166" s="780"/>
      <c r="BA1166" s="780"/>
      <c r="BB1166" s="780"/>
      <c r="BC1166" s="780"/>
      <c r="BD1166" s="541"/>
      <c r="BE1166" s="541"/>
      <c r="BF1166" s="541"/>
      <c r="BG1166" s="541"/>
      <c r="BH1166" s="780"/>
      <c r="BI1166" s="780"/>
      <c r="BJ1166" s="780"/>
      <c r="BK1166" s="780"/>
      <c r="BL1166" s="780"/>
      <c r="BM1166" s="780"/>
    </row>
    <row r="1167" ht="12.75" customHeight="1">
      <c r="A1167" s="521"/>
      <c r="B1167" s="521"/>
      <c r="C1167" s="515"/>
      <c r="D1167" s="515"/>
      <c r="E1167" s="515"/>
      <c r="F1167" s="515"/>
      <c r="G1167" s="515"/>
      <c r="H1167" s="515"/>
      <c r="I1167" s="515"/>
      <c r="J1167" s="515"/>
      <c r="K1167" s="515"/>
      <c r="L1167" s="515"/>
      <c r="M1167" s="515"/>
      <c r="N1167" s="515"/>
      <c r="O1167" s="533"/>
      <c r="P1167" s="786"/>
      <c r="Q1167" s="787"/>
      <c r="R1167" s="787"/>
      <c r="S1167" s="787"/>
      <c r="T1167" s="786"/>
      <c r="U1167" s="787"/>
      <c r="V1167" s="787"/>
      <c r="W1167" s="787"/>
      <c r="X1167" s="786"/>
      <c r="Y1167" s="787"/>
      <c r="Z1167" s="787"/>
      <c r="AA1167" s="787"/>
      <c r="AB1167" s="786"/>
      <c r="AC1167" s="787"/>
      <c r="AD1167" s="787"/>
      <c r="AE1167" s="787"/>
      <c r="AF1167" s="786"/>
      <c r="AG1167" s="787"/>
      <c r="AH1167" s="787"/>
      <c r="AI1167" s="787"/>
      <c r="AJ1167" s="786"/>
      <c r="AK1167" s="787"/>
      <c r="AL1167" s="787"/>
      <c r="AM1167" s="787"/>
      <c r="AN1167" s="786"/>
      <c r="AO1167" s="787"/>
      <c r="AP1167" s="787"/>
      <c r="AQ1167" s="787"/>
      <c r="AR1167" s="786"/>
      <c r="AS1167" s="787"/>
      <c r="AT1167" s="787"/>
      <c r="AU1167" s="787"/>
      <c r="AV1167" s="786"/>
      <c r="AW1167" s="787"/>
      <c r="AX1167" s="787"/>
      <c r="AY1167" s="787"/>
      <c r="AZ1167" s="780"/>
      <c r="BA1167" s="780"/>
      <c r="BB1167" s="780"/>
      <c r="BC1167" s="780"/>
      <c r="BD1167" s="541"/>
      <c r="BE1167" s="541"/>
      <c r="BF1167" s="541"/>
      <c r="BG1167" s="541"/>
      <c r="BH1167" s="780"/>
      <c r="BI1167" s="780"/>
      <c r="BJ1167" s="780"/>
      <c r="BK1167" s="780"/>
      <c r="BL1167" s="780"/>
      <c r="BM1167" s="780"/>
    </row>
    <row r="1168" ht="12.75" customHeight="1">
      <c r="A1168" s="521"/>
      <c r="B1168" s="521"/>
      <c r="C1168" s="515"/>
      <c r="D1168" s="515"/>
      <c r="E1168" s="515"/>
      <c r="F1168" s="515"/>
      <c r="G1168" s="515"/>
      <c r="H1168" s="515"/>
      <c r="I1168" s="515"/>
      <c r="J1168" s="515"/>
      <c r="K1168" s="515"/>
      <c r="L1168" s="515"/>
      <c r="M1168" s="515"/>
      <c r="N1168" s="515"/>
      <c r="O1168" s="533"/>
      <c r="P1168" s="786"/>
      <c r="Q1168" s="787"/>
      <c r="R1168" s="787"/>
      <c r="S1168" s="787"/>
      <c r="T1168" s="786"/>
      <c r="U1168" s="787"/>
      <c r="V1168" s="787"/>
      <c r="W1168" s="787"/>
      <c r="X1168" s="786"/>
      <c r="Y1168" s="787"/>
      <c r="Z1168" s="787"/>
      <c r="AA1168" s="787"/>
      <c r="AB1168" s="786"/>
      <c r="AC1168" s="787"/>
      <c r="AD1168" s="787"/>
      <c r="AE1168" s="787"/>
      <c r="AF1168" s="786"/>
      <c r="AG1168" s="787"/>
      <c r="AH1168" s="787"/>
      <c r="AI1168" s="787"/>
      <c r="AJ1168" s="786"/>
      <c r="AK1168" s="787"/>
      <c r="AL1168" s="787"/>
      <c r="AM1168" s="787"/>
      <c r="AN1168" s="786"/>
      <c r="AO1168" s="787"/>
      <c r="AP1168" s="787"/>
      <c r="AQ1168" s="787"/>
      <c r="AR1168" s="786"/>
      <c r="AS1168" s="787"/>
      <c r="AT1168" s="787"/>
      <c r="AU1168" s="787"/>
      <c r="AV1168" s="786"/>
      <c r="AW1168" s="787"/>
      <c r="AX1168" s="787"/>
      <c r="AY1168" s="787"/>
      <c r="AZ1168" s="780"/>
      <c r="BA1168" s="780"/>
      <c r="BB1168" s="780"/>
      <c r="BC1168" s="780"/>
      <c r="BD1168" s="541"/>
      <c r="BE1168" s="541"/>
      <c r="BF1168" s="541"/>
      <c r="BG1168" s="541"/>
      <c r="BH1168" s="780"/>
      <c r="BI1168" s="780"/>
      <c r="BJ1168" s="780"/>
      <c r="BK1168" s="780"/>
      <c r="BL1168" s="780"/>
      <c r="BM1168" s="780"/>
    </row>
    <row r="1169" ht="12.75" customHeight="1">
      <c r="A1169" s="521"/>
      <c r="B1169" s="521"/>
      <c r="C1169" s="515"/>
      <c r="D1169" s="515"/>
      <c r="E1169" s="515"/>
      <c r="F1169" s="515"/>
      <c r="G1169" s="515"/>
      <c r="H1169" s="515"/>
      <c r="I1169" s="515"/>
      <c r="J1169" s="515"/>
      <c r="K1169" s="515"/>
      <c r="L1169" s="515"/>
      <c r="M1169" s="515"/>
      <c r="N1169" s="515"/>
      <c r="O1169" s="533"/>
      <c r="P1169" s="786"/>
      <c r="Q1169" s="787"/>
      <c r="R1169" s="787"/>
      <c r="S1169" s="787"/>
      <c r="T1169" s="786"/>
      <c r="U1169" s="787"/>
      <c r="V1169" s="787"/>
      <c r="W1169" s="787"/>
      <c r="X1169" s="786"/>
      <c r="Y1169" s="787"/>
      <c r="Z1169" s="787"/>
      <c r="AA1169" s="787"/>
      <c r="AB1169" s="786"/>
      <c r="AC1169" s="787"/>
      <c r="AD1169" s="787"/>
      <c r="AE1169" s="787"/>
      <c r="AF1169" s="786"/>
      <c r="AG1169" s="787"/>
      <c r="AH1169" s="787"/>
      <c r="AI1169" s="787"/>
      <c r="AJ1169" s="786"/>
      <c r="AK1169" s="787"/>
      <c r="AL1169" s="787"/>
      <c r="AM1169" s="787"/>
      <c r="AN1169" s="786"/>
      <c r="AO1169" s="787"/>
      <c r="AP1169" s="787"/>
      <c r="AQ1169" s="787"/>
      <c r="AR1169" s="786"/>
      <c r="AS1169" s="787"/>
      <c r="AT1169" s="787"/>
      <c r="AU1169" s="787"/>
      <c r="AV1169" s="786"/>
      <c r="AW1169" s="787"/>
      <c r="AX1169" s="787"/>
      <c r="AY1169" s="787"/>
      <c r="AZ1169" s="780"/>
      <c r="BA1169" s="780"/>
      <c r="BB1169" s="780"/>
      <c r="BC1169" s="780"/>
      <c r="BD1169" s="541"/>
      <c r="BE1169" s="541"/>
      <c r="BF1169" s="541"/>
      <c r="BG1169" s="541"/>
      <c r="BH1169" s="780"/>
      <c r="BI1169" s="780"/>
      <c r="BJ1169" s="780"/>
      <c r="BK1169" s="780"/>
      <c r="BL1169" s="780"/>
      <c r="BM1169" s="780"/>
    </row>
    <row r="1170" ht="12.75" customHeight="1">
      <c r="A1170" s="521"/>
      <c r="B1170" s="521"/>
      <c r="C1170" s="515"/>
      <c r="D1170" s="515"/>
      <c r="E1170" s="515"/>
      <c r="F1170" s="515"/>
      <c r="G1170" s="515"/>
      <c r="H1170" s="515"/>
      <c r="I1170" s="515"/>
      <c r="J1170" s="515"/>
      <c r="K1170" s="515"/>
      <c r="L1170" s="515"/>
      <c r="M1170" s="515"/>
      <c r="N1170" s="515"/>
      <c r="O1170" s="533"/>
      <c r="P1170" s="786"/>
      <c r="Q1170" s="787"/>
      <c r="R1170" s="787"/>
      <c r="S1170" s="787"/>
      <c r="T1170" s="786"/>
      <c r="U1170" s="787"/>
      <c r="V1170" s="787"/>
      <c r="W1170" s="787"/>
      <c r="X1170" s="786"/>
      <c r="Y1170" s="787"/>
      <c r="Z1170" s="787"/>
      <c r="AA1170" s="787"/>
      <c r="AB1170" s="786"/>
      <c r="AC1170" s="787"/>
      <c r="AD1170" s="787"/>
      <c r="AE1170" s="787"/>
      <c r="AF1170" s="786"/>
      <c r="AG1170" s="787"/>
      <c r="AH1170" s="787"/>
      <c r="AI1170" s="787"/>
      <c r="AJ1170" s="786"/>
      <c r="AK1170" s="787"/>
      <c r="AL1170" s="787"/>
      <c r="AM1170" s="787"/>
      <c r="AN1170" s="786"/>
      <c r="AO1170" s="787"/>
      <c r="AP1170" s="787"/>
      <c r="AQ1170" s="787"/>
      <c r="AR1170" s="786"/>
      <c r="AS1170" s="787"/>
      <c r="AT1170" s="787"/>
      <c r="AU1170" s="787"/>
      <c r="AV1170" s="786"/>
      <c r="AW1170" s="787"/>
      <c r="AX1170" s="787"/>
      <c r="AY1170" s="787"/>
      <c r="AZ1170" s="780"/>
      <c r="BA1170" s="780"/>
      <c r="BB1170" s="780"/>
      <c r="BC1170" s="780"/>
      <c r="BD1170" s="541"/>
      <c r="BE1170" s="541"/>
      <c r="BF1170" s="541"/>
      <c r="BG1170" s="541"/>
      <c r="BH1170" s="780"/>
      <c r="BI1170" s="780"/>
      <c r="BJ1170" s="780"/>
      <c r="BK1170" s="780"/>
      <c r="BL1170" s="780"/>
      <c r="BM1170" s="780"/>
    </row>
    <row r="1171" ht="12.75" customHeight="1">
      <c r="A1171" s="521"/>
      <c r="B1171" s="521"/>
      <c r="C1171" s="515"/>
      <c r="D1171" s="515"/>
      <c r="E1171" s="515"/>
      <c r="F1171" s="515"/>
      <c r="G1171" s="515"/>
      <c r="H1171" s="515"/>
      <c r="I1171" s="515"/>
      <c r="J1171" s="515"/>
      <c r="K1171" s="515"/>
      <c r="L1171" s="515"/>
      <c r="M1171" s="515"/>
      <c r="N1171" s="515"/>
      <c r="O1171" s="533"/>
      <c r="P1171" s="786"/>
      <c r="Q1171" s="787"/>
      <c r="R1171" s="787"/>
      <c r="S1171" s="787"/>
      <c r="T1171" s="786"/>
      <c r="U1171" s="787"/>
      <c r="V1171" s="787"/>
      <c r="W1171" s="787"/>
      <c r="X1171" s="786"/>
      <c r="Y1171" s="787"/>
      <c r="Z1171" s="787"/>
      <c r="AA1171" s="787"/>
      <c r="AB1171" s="786"/>
      <c r="AC1171" s="787"/>
      <c r="AD1171" s="787"/>
      <c r="AE1171" s="787"/>
      <c r="AF1171" s="786"/>
      <c r="AG1171" s="787"/>
      <c r="AH1171" s="787"/>
      <c r="AI1171" s="787"/>
      <c r="AJ1171" s="786"/>
      <c r="AK1171" s="787"/>
      <c r="AL1171" s="787"/>
      <c r="AM1171" s="787"/>
      <c r="AN1171" s="786"/>
      <c r="AO1171" s="787"/>
      <c r="AP1171" s="787"/>
      <c r="AQ1171" s="787"/>
      <c r="AR1171" s="786"/>
      <c r="AS1171" s="787"/>
      <c r="AT1171" s="787"/>
      <c r="AU1171" s="787"/>
      <c r="AV1171" s="786"/>
      <c r="AW1171" s="787"/>
      <c r="AX1171" s="787"/>
      <c r="AY1171" s="787"/>
      <c r="AZ1171" s="780"/>
      <c r="BA1171" s="780"/>
      <c r="BB1171" s="780"/>
      <c r="BC1171" s="780"/>
      <c r="BD1171" s="541"/>
      <c r="BE1171" s="541"/>
      <c r="BF1171" s="541"/>
      <c r="BG1171" s="541"/>
      <c r="BH1171" s="780"/>
      <c r="BI1171" s="780"/>
      <c r="BJ1171" s="780"/>
      <c r="BK1171" s="780"/>
      <c r="BL1171" s="780"/>
      <c r="BM1171" s="780"/>
    </row>
    <row r="1172" ht="12.75" customHeight="1">
      <c r="A1172" s="521"/>
      <c r="B1172" s="521"/>
      <c r="C1172" s="515"/>
      <c r="D1172" s="515"/>
      <c r="E1172" s="515"/>
      <c r="F1172" s="515"/>
      <c r="G1172" s="515"/>
      <c r="H1172" s="515"/>
      <c r="I1172" s="515"/>
      <c r="J1172" s="515"/>
      <c r="K1172" s="515"/>
      <c r="L1172" s="515"/>
      <c r="M1172" s="515"/>
      <c r="N1172" s="515"/>
      <c r="O1172" s="533"/>
      <c r="P1172" s="786"/>
      <c r="Q1172" s="787"/>
      <c r="R1172" s="787"/>
      <c r="S1172" s="787"/>
      <c r="T1172" s="786"/>
      <c r="U1172" s="787"/>
      <c r="V1172" s="787"/>
      <c r="W1172" s="787"/>
      <c r="X1172" s="786"/>
      <c r="Y1172" s="787"/>
      <c r="Z1172" s="787"/>
      <c r="AA1172" s="787"/>
      <c r="AB1172" s="786"/>
      <c r="AC1172" s="787"/>
      <c r="AD1172" s="787"/>
      <c r="AE1172" s="787"/>
      <c r="AF1172" s="786"/>
      <c r="AG1172" s="787"/>
      <c r="AH1172" s="787"/>
      <c r="AI1172" s="787"/>
      <c r="AJ1172" s="786"/>
      <c r="AK1172" s="787"/>
      <c r="AL1172" s="787"/>
      <c r="AM1172" s="787"/>
      <c r="AN1172" s="786"/>
      <c r="AO1172" s="787"/>
      <c r="AP1172" s="787"/>
      <c r="AQ1172" s="787"/>
      <c r="AR1172" s="786"/>
      <c r="AS1172" s="787"/>
      <c r="AT1172" s="787"/>
      <c r="AU1172" s="787"/>
      <c r="AV1172" s="786"/>
      <c r="AW1172" s="787"/>
      <c r="AX1172" s="787"/>
      <c r="AY1172" s="787"/>
      <c r="AZ1172" s="780"/>
      <c r="BA1172" s="780"/>
      <c r="BB1172" s="780"/>
      <c r="BC1172" s="780"/>
      <c r="BD1172" s="541"/>
      <c r="BE1172" s="541"/>
      <c r="BF1172" s="541"/>
      <c r="BG1172" s="541"/>
      <c r="BH1172" s="780"/>
      <c r="BI1172" s="780"/>
      <c r="BJ1172" s="780"/>
      <c r="BK1172" s="780"/>
      <c r="BL1172" s="780"/>
      <c r="BM1172" s="780"/>
    </row>
    <row r="1173" ht="12.75" customHeight="1">
      <c r="A1173" s="521"/>
      <c r="B1173" s="521"/>
      <c r="C1173" s="515"/>
      <c r="D1173" s="515"/>
      <c r="E1173" s="515"/>
      <c r="F1173" s="515"/>
      <c r="G1173" s="515"/>
      <c r="H1173" s="515"/>
      <c r="I1173" s="515"/>
      <c r="J1173" s="515"/>
      <c r="K1173" s="515"/>
      <c r="L1173" s="515"/>
      <c r="M1173" s="515"/>
      <c r="N1173" s="515"/>
      <c r="O1173" s="533"/>
      <c r="P1173" s="786"/>
      <c r="Q1173" s="787"/>
      <c r="R1173" s="787"/>
      <c r="S1173" s="787"/>
      <c r="T1173" s="786"/>
      <c r="U1173" s="787"/>
      <c r="V1173" s="787"/>
      <c r="W1173" s="787"/>
      <c r="X1173" s="786"/>
      <c r="Y1173" s="787"/>
      <c r="Z1173" s="787"/>
      <c r="AA1173" s="787"/>
      <c r="AB1173" s="786"/>
      <c r="AC1173" s="787"/>
      <c r="AD1173" s="787"/>
      <c r="AE1173" s="787"/>
      <c r="AF1173" s="786"/>
      <c r="AG1173" s="787"/>
      <c r="AH1173" s="787"/>
      <c r="AI1173" s="787"/>
      <c r="AJ1173" s="786"/>
      <c r="AK1173" s="787"/>
      <c r="AL1173" s="787"/>
      <c r="AM1173" s="787"/>
      <c r="AN1173" s="786"/>
      <c r="AO1173" s="787"/>
      <c r="AP1173" s="787"/>
      <c r="AQ1173" s="787"/>
      <c r="AR1173" s="786"/>
      <c r="AS1173" s="787"/>
      <c r="AT1173" s="787"/>
      <c r="AU1173" s="787"/>
      <c r="AV1173" s="786"/>
      <c r="AW1173" s="787"/>
      <c r="AX1173" s="787"/>
      <c r="AY1173" s="787"/>
      <c r="AZ1173" s="780"/>
      <c r="BA1173" s="780"/>
      <c r="BB1173" s="780"/>
      <c r="BC1173" s="780"/>
      <c r="BD1173" s="541"/>
      <c r="BE1173" s="541"/>
      <c r="BF1173" s="541"/>
      <c r="BG1173" s="541"/>
      <c r="BH1173" s="780"/>
      <c r="BI1173" s="780"/>
      <c r="BJ1173" s="780"/>
      <c r="BK1173" s="780"/>
      <c r="BL1173" s="780"/>
      <c r="BM1173" s="780"/>
    </row>
    <row r="1174" ht="12.75" customHeight="1">
      <c r="A1174" s="521"/>
      <c r="B1174" s="521"/>
      <c r="C1174" s="515"/>
      <c r="D1174" s="515"/>
      <c r="E1174" s="515"/>
      <c r="F1174" s="515"/>
      <c r="G1174" s="515"/>
      <c r="H1174" s="515"/>
      <c r="I1174" s="515"/>
      <c r="J1174" s="515"/>
      <c r="K1174" s="515"/>
      <c r="L1174" s="515"/>
      <c r="M1174" s="515"/>
      <c r="N1174" s="515"/>
      <c r="O1174" s="533"/>
      <c r="P1174" s="786"/>
      <c r="Q1174" s="787"/>
      <c r="R1174" s="787"/>
      <c r="S1174" s="787"/>
      <c r="T1174" s="786"/>
      <c r="U1174" s="787"/>
      <c r="V1174" s="787"/>
      <c r="W1174" s="787"/>
      <c r="X1174" s="786"/>
      <c r="Y1174" s="787"/>
      <c r="Z1174" s="787"/>
      <c r="AA1174" s="787"/>
      <c r="AB1174" s="786"/>
      <c r="AC1174" s="787"/>
      <c r="AD1174" s="787"/>
      <c r="AE1174" s="787"/>
      <c r="AF1174" s="786"/>
      <c r="AG1174" s="787"/>
      <c r="AH1174" s="787"/>
      <c r="AI1174" s="787"/>
      <c r="AJ1174" s="786"/>
      <c r="AK1174" s="787"/>
      <c r="AL1174" s="787"/>
      <c r="AM1174" s="787"/>
      <c r="AN1174" s="786"/>
      <c r="AO1174" s="787"/>
      <c r="AP1174" s="787"/>
      <c r="AQ1174" s="787"/>
      <c r="AR1174" s="786"/>
      <c r="AS1174" s="787"/>
      <c r="AT1174" s="787"/>
      <c r="AU1174" s="787"/>
      <c r="AV1174" s="786"/>
      <c r="AW1174" s="787"/>
      <c r="AX1174" s="787"/>
      <c r="AY1174" s="787"/>
      <c r="AZ1174" s="780"/>
      <c r="BA1174" s="780"/>
      <c r="BB1174" s="780"/>
      <c r="BC1174" s="780"/>
      <c r="BD1174" s="541"/>
      <c r="BE1174" s="541"/>
      <c r="BF1174" s="541"/>
      <c r="BG1174" s="541"/>
      <c r="BH1174" s="780"/>
      <c r="BI1174" s="780"/>
      <c r="BJ1174" s="780"/>
      <c r="BK1174" s="780"/>
      <c r="BL1174" s="780"/>
      <c r="BM1174" s="780"/>
    </row>
    <row r="1175" ht="12.75" customHeight="1">
      <c r="A1175" s="521"/>
      <c r="B1175" s="521"/>
      <c r="C1175" s="515"/>
      <c r="D1175" s="515"/>
      <c r="E1175" s="515"/>
      <c r="F1175" s="515"/>
      <c r="G1175" s="515"/>
      <c r="H1175" s="515"/>
      <c r="I1175" s="515"/>
      <c r="J1175" s="515"/>
      <c r="K1175" s="515"/>
      <c r="L1175" s="515"/>
      <c r="M1175" s="515"/>
      <c r="N1175" s="515"/>
      <c r="O1175" s="533"/>
      <c r="P1175" s="786"/>
      <c r="Q1175" s="787"/>
      <c r="R1175" s="787"/>
      <c r="S1175" s="787"/>
      <c r="T1175" s="786"/>
      <c r="U1175" s="787"/>
      <c r="V1175" s="787"/>
      <c r="W1175" s="787"/>
      <c r="X1175" s="786"/>
      <c r="Y1175" s="787"/>
      <c r="Z1175" s="787"/>
      <c r="AA1175" s="787"/>
      <c r="AB1175" s="786"/>
      <c r="AC1175" s="787"/>
      <c r="AD1175" s="787"/>
      <c r="AE1175" s="787"/>
      <c r="AF1175" s="786"/>
      <c r="AG1175" s="787"/>
      <c r="AH1175" s="787"/>
      <c r="AI1175" s="787"/>
      <c r="AJ1175" s="786"/>
      <c r="AK1175" s="787"/>
      <c r="AL1175" s="787"/>
      <c r="AM1175" s="787"/>
      <c r="AN1175" s="786"/>
      <c r="AO1175" s="787"/>
      <c r="AP1175" s="787"/>
      <c r="AQ1175" s="787"/>
      <c r="AR1175" s="786"/>
      <c r="AS1175" s="787"/>
      <c r="AT1175" s="787"/>
      <c r="AU1175" s="787"/>
      <c r="AV1175" s="786"/>
      <c r="AW1175" s="787"/>
      <c r="AX1175" s="787"/>
      <c r="AY1175" s="787"/>
      <c r="AZ1175" s="780"/>
      <c r="BA1175" s="780"/>
      <c r="BB1175" s="780"/>
      <c r="BC1175" s="780"/>
      <c r="BD1175" s="541"/>
      <c r="BE1175" s="541"/>
      <c r="BF1175" s="541"/>
      <c r="BG1175" s="541"/>
      <c r="BH1175" s="780"/>
      <c r="BI1175" s="780"/>
      <c r="BJ1175" s="780"/>
      <c r="BK1175" s="780"/>
      <c r="BL1175" s="780"/>
      <c r="BM1175" s="780"/>
    </row>
    <row r="1176" ht="12.75" customHeight="1">
      <c r="A1176" s="521"/>
      <c r="B1176" s="521"/>
      <c r="C1176" s="515"/>
      <c r="D1176" s="515"/>
      <c r="E1176" s="515"/>
      <c r="F1176" s="515"/>
      <c r="G1176" s="515"/>
      <c r="H1176" s="515"/>
      <c r="I1176" s="515"/>
      <c r="J1176" s="515"/>
      <c r="K1176" s="515"/>
      <c r="L1176" s="515"/>
      <c r="M1176" s="515"/>
      <c r="N1176" s="515"/>
      <c r="O1176" s="533"/>
      <c r="P1176" s="786"/>
      <c r="Q1176" s="787"/>
      <c r="R1176" s="787"/>
      <c r="S1176" s="787"/>
      <c r="T1176" s="786"/>
      <c r="U1176" s="787"/>
      <c r="V1176" s="787"/>
      <c r="W1176" s="787"/>
      <c r="X1176" s="786"/>
      <c r="Y1176" s="787"/>
      <c r="Z1176" s="787"/>
      <c r="AA1176" s="787"/>
      <c r="AB1176" s="786"/>
      <c r="AC1176" s="787"/>
      <c r="AD1176" s="787"/>
      <c r="AE1176" s="787"/>
      <c r="AF1176" s="786"/>
      <c r="AG1176" s="787"/>
      <c r="AH1176" s="787"/>
      <c r="AI1176" s="787"/>
      <c r="AJ1176" s="786"/>
      <c r="AK1176" s="787"/>
      <c r="AL1176" s="787"/>
      <c r="AM1176" s="787"/>
      <c r="AN1176" s="786"/>
      <c r="AO1176" s="787"/>
      <c r="AP1176" s="787"/>
      <c r="AQ1176" s="787"/>
      <c r="AR1176" s="786"/>
      <c r="AS1176" s="787"/>
      <c r="AT1176" s="787"/>
      <c r="AU1176" s="787"/>
      <c r="AV1176" s="786"/>
      <c r="AW1176" s="787"/>
      <c r="AX1176" s="787"/>
      <c r="AY1176" s="787"/>
      <c r="AZ1176" s="780"/>
      <c r="BA1176" s="780"/>
      <c r="BB1176" s="780"/>
      <c r="BC1176" s="780"/>
      <c r="BD1176" s="541"/>
      <c r="BE1176" s="541"/>
      <c r="BF1176" s="541"/>
      <c r="BG1176" s="541"/>
      <c r="BH1176" s="780"/>
      <c r="BI1176" s="780"/>
      <c r="BJ1176" s="780"/>
      <c r="BK1176" s="780"/>
      <c r="BL1176" s="780"/>
      <c r="BM1176" s="780"/>
    </row>
    <row r="1177" ht="12.75" customHeight="1">
      <c r="A1177" s="521"/>
      <c r="B1177" s="521"/>
      <c r="C1177" s="515"/>
      <c r="D1177" s="515"/>
      <c r="E1177" s="515"/>
      <c r="F1177" s="515"/>
      <c r="G1177" s="515"/>
      <c r="H1177" s="515"/>
      <c r="I1177" s="515"/>
      <c r="J1177" s="515"/>
      <c r="K1177" s="515"/>
      <c r="L1177" s="515"/>
      <c r="M1177" s="515"/>
      <c r="N1177" s="515"/>
      <c r="O1177" s="533"/>
      <c r="P1177" s="786"/>
      <c r="Q1177" s="787"/>
      <c r="R1177" s="787"/>
      <c r="S1177" s="787"/>
      <c r="T1177" s="786"/>
      <c r="U1177" s="787"/>
      <c r="V1177" s="787"/>
      <c r="W1177" s="787"/>
      <c r="X1177" s="786"/>
      <c r="Y1177" s="787"/>
      <c r="Z1177" s="787"/>
      <c r="AA1177" s="787"/>
      <c r="AB1177" s="786"/>
      <c r="AC1177" s="787"/>
      <c r="AD1177" s="787"/>
      <c r="AE1177" s="787"/>
      <c r="AF1177" s="786"/>
      <c r="AG1177" s="787"/>
      <c r="AH1177" s="787"/>
      <c r="AI1177" s="787"/>
      <c r="AJ1177" s="786"/>
      <c r="AK1177" s="787"/>
      <c r="AL1177" s="787"/>
      <c r="AM1177" s="787"/>
      <c r="AN1177" s="786"/>
      <c r="AO1177" s="787"/>
      <c r="AP1177" s="787"/>
      <c r="AQ1177" s="787"/>
      <c r="AR1177" s="786"/>
      <c r="AS1177" s="787"/>
      <c r="AT1177" s="787"/>
      <c r="AU1177" s="787"/>
      <c r="AV1177" s="786"/>
      <c r="AW1177" s="787"/>
      <c r="AX1177" s="787"/>
      <c r="AY1177" s="787"/>
      <c r="AZ1177" s="780"/>
      <c r="BA1177" s="780"/>
      <c r="BB1177" s="780"/>
      <c r="BC1177" s="780"/>
      <c r="BD1177" s="541"/>
      <c r="BE1177" s="541"/>
      <c r="BF1177" s="541"/>
      <c r="BG1177" s="541"/>
      <c r="BH1177" s="780"/>
      <c r="BI1177" s="780"/>
      <c r="BJ1177" s="780"/>
      <c r="BK1177" s="780"/>
      <c r="BL1177" s="780"/>
      <c r="BM1177" s="780"/>
    </row>
    <row r="1178" ht="12.75" customHeight="1">
      <c r="A1178" s="521"/>
      <c r="B1178" s="521"/>
      <c r="C1178" s="515"/>
      <c r="D1178" s="515"/>
      <c r="E1178" s="515"/>
      <c r="F1178" s="515"/>
      <c r="G1178" s="515"/>
      <c r="H1178" s="515"/>
      <c r="I1178" s="515"/>
      <c r="J1178" s="515"/>
      <c r="K1178" s="515"/>
      <c r="L1178" s="515"/>
      <c r="M1178" s="515"/>
      <c r="N1178" s="515"/>
      <c r="O1178" s="533"/>
      <c r="P1178" s="786"/>
      <c r="Q1178" s="787"/>
      <c r="R1178" s="787"/>
      <c r="S1178" s="787"/>
      <c r="T1178" s="786"/>
      <c r="U1178" s="787"/>
      <c r="V1178" s="787"/>
      <c r="W1178" s="787"/>
      <c r="X1178" s="786"/>
      <c r="Y1178" s="787"/>
      <c r="Z1178" s="787"/>
      <c r="AA1178" s="787"/>
      <c r="AB1178" s="786"/>
      <c r="AC1178" s="787"/>
      <c r="AD1178" s="787"/>
      <c r="AE1178" s="787"/>
      <c r="AF1178" s="786"/>
      <c r="AG1178" s="787"/>
      <c r="AH1178" s="787"/>
      <c r="AI1178" s="787"/>
      <c r="AJ1178" s="786"/>
      <c r="AK1178" s="787"/>
      <c r="AL1178" s="787"/>
      <c r="AM1178" s="787"/>
      <c r="AN1178" s="786"/>
      <c r="AO1178" s="787"/>
      <c r="AP1178" s="787"/>
      <c r="AQ1178" s="787"/>
      <c r="AR1178" s="786"/>
      <c r="AS1178" s="787"/>
      <c r="AT1178" s="787"/>
      <c r="AU1178" s="787"/>
      <c r="AV1178" s="786"/>
      <c r="AW1178" s="787"/>
      <c r="AX1178" s="787"/>
      <c r="AY1178" s="787"/>
      <c r="AZ1178" s="780"/>
      <c r="BA1178" s="780"/>
      <c r="BB1178" s="780"/>
      <c r="BC1178" s="780"/>
      <c r="BD1178" s="541"/>
      <c r="BE1178" s="541"/>
      <c r="BF1178" s="541"/>
      <c r="BG1178" s="541"/>
      <c r="BH1178" s="780"/>
      <c r="BI1178" s="780"/>
      <c r="BJ1178" s="780"/>
      <c r="BK1178" s="780"/>
      <c r="BL1178" s="780"/>
      <c r="BM1178" s="780"/>
    </row>
    <row r="1179" ht="12.75" customHeight="1">
      <c r="A1179" s="521"/>
      <c r="B1179" s="521"/>
      <c r="C1179" s="515"/>
      <c r="D1179" s="515"/>
      <c r="E1179" s="515"/>
      <c r="F1179" s="515"/>
      <c r="G1179" s="515"/>
      <c r="H1179" s="515"/>
      <c r="I1179" s="515"/>
      <c r="J1179" s="515"/>
      <c r="K1179" s="515"/>
      <c r="L1179" s="515"/>
      <c r="M1179" s="515"/>
      <c r="N1179" s="515"/>
      <c r="O1179" s="533"/>
      <c r="P1179" s="786"/>
      <c r="Q1179" s="787"/>
      <c r="R1179" s="787"/>
      <c r="S1179" s="787"/>
      <c r="T1179" s="786"/>
      <c r="U1179" s="787"/>
      <c r="V1179" s="787"/>
      <c r="W1179" s="787"/>
      <c r="X1179" s="786"/>
      <c r="Y1179" s="787"/>
      <c r="Z1179" s="787"/>
      <c r="AA1179" s="787"/>
      <c r="AB1179" s="786"/>
      <c r="AC1179" s="787"/>
      <c r="AD1179" s="787"/>
      <c r="AE1179" s="787"/>
      <c r="AF1179" s="786"/>
      <c r="AG1179" s="787"/>
      <c r="AH1179" s="787"/>
      <c r="AI1179" s="787"/>
      <c r="AJ1179" s="786"/>
      <c r="AK1179" s="787"/>
      <c r="AL1179" s="787"/>
      <c r="AM1179" s="787"/>
      <c r="AN1179" s="786"/>
      <c r="AO1179" s="787"/>
      <c r="AP1179" s="787"/>
      <c r="AQ1179" s="787"/>
      <c r="AR1179" s="786"/>
      <c r="AS1179" s="787"/>
      <c r="AT1179" s="787"/>
      <c r="AU1179" s="787"/>
      <c r="AV1179" s="786"/>
      <c r="AW1179" s="787"/>
      <c r="AX1179" s="787"/>
      <c r="AY1179" s="787"/>
      <c r="AZ1179" s="780"/>
      <c r="BA1179" s="780"/>
      <c r="BB1179" s="780"/>
      <c r="BC1179" s="780"/>
      <c r="BD1179" s="541"/>
      <c r="BE1179" s="541"/>
      <c r="BF1179" s="541"/>
      <c r="BG1179" s="541"/>
      <c r="BH1179" s="780"/>
      <c r="BI1179" s="780"/>
      <c r="BJ1179" s="780"/>
      <c r="BK1179" s="780"/>
      <c r="BL1179" s="780"/>
      <c r="BM1179" s="780"/>
    </row>
    <row r="1180" ht="12.75" customHeight="1">
      <c r="A1180" s="521"/>
      <c r="B1180" s="521"/>
      <c r="C1180" s="515"/>
      <c r="D1180" s="515"/>
      <c r="E1180" s="515"/>
      <c r="F1180" s="515"/>
      <c r="G1180" s="515"/>
      <c r="H1180" s="515"/>
      <c r="I1180" s="515"/>
      <c r="J1180" s="515"/>
      <c r="K1180" s="515"/>
      <c r="L1180" s="515"/>
      <c r="M1180" s="515"/>
      <c r="N1180" s="515"/>
      <c r="O1180" s="533"/>
      <c r="P1180" s="786"/>
      <c r="Q1180" s="787"/>
      <c r="R1180" s="787"/>
      <c r="S1180" s="787"/>
      <c r="T1180" s="786"/>
      <c r="U1180" s="787"/>
      <c r="V1180" s="787"/>
      <c r="W1180" s="787"/>
      <c r="X1180" s="786"/>
      <c r="Y1180" s="787"/>
      <c r="Z1180" s="787"/>
      <c r="AA1180" s="787"/>
      <c r="AB1180" s="786"/>
      <c r="AC1180" s="787"/>
      <c r="AD1180" s="787"/>
      <c r="AE1180" s="787"/>
      <c r="AF1180" s="786"/>
      <c r="AG1180" s="787"/>
      <c r="AH1180" s="787"/>
      <c r="AI1180" s="787"/>
      <c r="AJ1180" s="786"/>
      <c r="AK1180" s="787"/>
      <c r="AL1180" s="787"/>
      <c r="AM1180" s="787"/>
      <c r="AN1180" s="786"/>
      <c r="AO1180" s="787"/>
      <c r="AP1180" s="787"/>
      <c r="AQ1180" s="787"/>
      <c r="AR1180" s="786"/>
      <c r="AS1180" s="787"/>
      <c r="AT1180" s="787"/>
      <c r="AU1180" s="787"/>
      <c r="AV1180" s="786"/>
      <c r="AW1180" s="787"/>
      <c r="AX1180" s="787"/>
      <c r="AY1180" s="787"/>
      <c r="AZ1180" s="780"/>
      <c r="BA1180" s="780"/>
      <c r="BB1180" s="780"/>
      <c r="BC1180" s="780"/>
      <c r="BD1180" s="541"/>
      <c r="BE1180" s="541"/>
      <c r="BF1180" s="541"/>
      <c r="BG1180" s="541"/>
      <c r="BH1180" s="780"/>
      <c r="BI1180" s="780"/>
      <c r="BJ1180" s="780"/>
      <c r="BK1180" s="780"/>
      <c r="BL1180" s="780"/>
      <c r="BM1180" s="780"/>
    </row>
    <row r="1181" ht="12.75" customHeight="1">
      <c r="A1181" s="521"/>
      <c r="B1181" s="521"/>
      <c r="C1181" s="515"/>
      <c r="D1181" s="515"/>
      <c r="E1181" s="515"/>
      <c r="F1181" s="515"/>
      <c r="G1181" s="515"/>
      <c r="H1181" s="515"/>
      <c r="I1181" s="515"/>
      <c r="J1181" s="515"/>
      <c r="K1181" s="515"/>
      <c r="L1181" s="515"/>
      <c r="M1181" s="515"/>
      <c r="N1181" s="515"/>
      <c r="O1181" s="533"/>
      <c r="P1181" s="786"/>
      <c r="Q1181" s="787"/>
      <c r="R1181" s="787"/>
      <c r="S1181" s="787"/>
      <c r="T1181" s="786"/>
      <c r="U1181" s="787"/>
      <c r="V1181" s="787"/>
      <c r="W1181" s="787"/>
      <c r="X1181" s="786"/>
      <c r="Y1181" s="787"/>
      <c r="Z1181" s="787"/>
      <c r="AA1181" s="787"/>
      <c r="AB1181" s="786"/>
      <c r="AC1181" s="787"/>
      <c r="AD1181" s="787"/>
      <c r="AE1181" s="787"/>
      <c r="AF1181" s="786"/>
      <c r="AG1181" s="787"/>
      <c r="AH1181" s="787"/>
      <c r="AI1181" s="787"/>
      <c r="AJ1181" s="786"/>
      <c r="AK1181" s="787"/>
      <c r="AL1181" s="787"/>
      <c r="AM1181" s="787"/>
      <c r="AN1181" s="786"/>
      <c r="AO1181" s="787"/>
      <c r="AP1181" s="787"/>
      <c r="AQ1181" s="787"/>
      <c r="AR1181" s="786"/>
      <c r="AS1181" s="787"/>
      <c r="AT1181" s="787"/>
      <c r="AU1181" s="787"/>
      <c r="AV1181" s="786"/>
      <c r="AW1181" s="787"/>
      <c r="AX1181" s="787"/>
      <c r="AY1181" s="787"/>
      <c r="AZ1181" s="780"/>
      <c r="BA1181" s="780"/>
      <c r="BB1181" s="780"/>
      <c r="BC1181" s="780"/>
      <c r="BD1181" s="541"/>
      <c r="BE1181" s="541"/>
      <c r="BF1181" s="541"/>
      <c r="BG1181" s="541"/>
      <c r="BH1181" s="780"/>
      <c r="BI1181" s="780"/>
      <c r="BJ1181" s="780"/>
      <c r="BK1181" s="780"/>
      <c r="BL1181" s="780"/>
      <c r="BM1181" s="780"/>
    </row>
    <row r="1182" ht="12.75" customHeight="1">
      <c r="A1182" s="521"/>
      <c r="B1182" s="521"/>
      <c r="C1182" s="515"/>
      <c r="D1182" s="515"/>
      <c r="E1182" s="515"/>
      <c r="F1182" s="515"/>
      <c r="G1182" s="515"/>
      <c r="H1182" s="515"/>
      <c r="I1182" s="515"/>
      <c r="J1182" s="515"/>
      <c r="K1182" s="515"/>
      <c r="L1182" s="515"/>
      <c r="M1182" s="515"/>
      <c r="N1182" s="515"/>
      <c r="O1182" s="533"/>
      <c r="P1182" s="786"/>
      <c r="Q1182" s="787"/>
      <c r="R1182" s="787"/>
      <c r="S1182" s="787"/>
      <c r="T1182" s="786"/>
      <c r="U1182" s="787"/>
      <c r="V1182" s="787"/>
      <c r="W1182" s="787"/>
      <c r="X1182" s="786"/>
      <c r="Y1182" s="787"/>
      <c r="Z1182" s="787"/>
      <c r="AA1182" s="787"/>
      <c r="AB1182" s="786"/>
      <c r="AC1182" s="787"/>
      <c r="AD1182" s="787"/>
      <c r="AE1182" s="787"/>
      <c r="AF1182" s="786"/>
      <c r="AG1182" s="787"/>
      <c r="AH1182" s="787"/>
      <c r="AI1182" s="787"/>
      <c r="AJ1182" s="786"/>
      <c r="AK1182" s="787"/>
      <c r="AL1182" s="787"/>
      <c r="AM1182" s="787"/>
      <c r="AN1182" s="786"/>
      <c r="AO1182" s="787"/>
      <c r="AP1182" s="787"/>
      <c r="AQ1182" s="787"/>
      <c r="AR1182" s="786"/>
      <c r="AS1182" s="787"/>
      <c r="AT1182" s="787"/>
      <c r="AU1182" s="787"/>
      <c r="AV1182" s="786"/>
      <c r="AW1182" s="787"/>
      <c r="AX1182" s="787"/>
      <c r="AY1182" s="787"/>
      <c r="AZ1182" s="780"/>
      <c r="BA1182" s="780"/>
      <c r="BB1182" s="780"/>
      <c r="BC1182" s="780"/>
      <c r="BD1182" s="541"/>
      <c r="BE1182" s="541"/>
      <c r="BF1182" s="541"/>
      <c r="BG1182" s="541"/>
      <c r="BH1182" s="780"/>
      <c r="BI1182" s="780"/>
      <c r="BJ1182" s="780"/>
      <c r="BK1182" s="780"/>
      <c r="BL1182" s="780"/>
      <c r="BM1182" s="780"/>
    </row>
    <row r="1183" ht="12.75" customHeight="1">
      <c r="A1183" s="521"/>
      <c r="B1183" s="521"/>
      <c r="C1183" s="515"/>
      <c r="D1183" s="515"/>
      <c r="E1183" s="515"/>
      <c r="F1183" s="515"/>
      <c r="G1183" s="515"/>
      <c r="H1183" s="515"/>
      <c r="I1183" s="515"/>
      <c r="J1183" s="515"/>
      <c r="K1183" s="515"/>
      <c r="L1183" s="515"/>
      <c r="M1183" s="515"/>
      <c r="N1183" s="515"/>
      <c r="O1183" s="533"/>
      <c r="P1183" s="786"/>
      <c r="Q1183" s="787"/>
      <c r="R1183" s="787"/>
      <c r="S1183" s="787"/>
      <c r="T1183" s="786"/>
      <c r="U1183" s="787"/>
      <c r="V1183" s="787"/>
      <c r="W1183" s="787"/>
      <c r="X1183" s="786"/>
      <c r="Y1183" s="787"/>
      <c r="Z1183" s="787"/>
      <c r="AA1183" s="787"/>
      <c r="AB1183" s="786"/>
      <c r="AC1183" s="787"/>
      <c r="AD1183" s="787"/>
      <c r="AE1183" s="787"/>
      <c r="AF1183" s="786"/>
      <c r="AG1183" s="787"/>
      <c r="AH1183" s="787"/>
      <c r="AI1183" s="787"/>
      <c r="AJ1183" s="786"/>
      <c r="AK1183" s="787"/>
      <c r="AL1183" s="787"/>
      <c r="AM1183" s="787"/>
      <c r="AN1183" s="786"/>
      <c r="AO1183" s="787"/>
      <c r="AP1183" s="787"/>
      <c r="AQ1183" s="787"/>
      <c r="AR1183" s="786"/>
      <c r="AS1183" s="787"/>
      <c r="AT1183" s="787"/>
      <c r="AU1183" s="787"/>
      <c r="AV1183" s="786"/>
      <c r="AW1183" s="787"/>
      <c r="AX1183" s="787"/>
      <c r="AY1183" s="787"/>
      <c r="AZ1183" s="780"/>
      <c r="BA1183" s="780"/>
      <c r="BB1183" s="780"/>
      <c r="BC1183" s="780"/>
      <c r="BD1183" s="541"/>
      <c r="BE1183" s="541"/>
      <c r="BF1183" s="541"/>
      <c r="BG1183" s="541"/>
      <c r="BH1183" s="780"/>
      <c r="BI1183" s="780"/>
      <c r="BJ1183" s="780"/>
      <c r="BK1183" s="780"/>
      <c r="BL1183" s="780"/>
      <c r="BM1183" s="780"/>
    </row>
    <row r="1184" ht="12.75" customHeight="1">
      <c r="A1184" s="521"/>
      <c r="B1184" s="521"/>
      <c r="C1184" s="515"/>
      <c r="D1184" s="515"/>
      <c r="E1184" s="515"/>
      <c r="F1184" s="515"/>
      <c r="G1184" s="515"/>
      <c r="H1184" s="515"/>
      <c r="I1184" s="515"/>
      <c r="J1184" s="515"/>
      <c r="K1184" s="515"/>
      <c r="L1184" s="515"/>
      <c r="M1184" s="515"/>
      <c r="N1184" s="515"/>
      <c r="O1184" s="533"/>
      <c r="P1184" s="786"/>
      <c r="Q1184" s="787"/>
      <c r="R1184" s="787"/>
      <c r="S1184" s="787"/>
      <c r="T1184" s="786"/>
      <c r="U1184" s="787"/>
      <c r="V1184" s="787"/>
      <c r="W1184" s="787"/>
      <c r="X1184" s="786"/>
      <c r="Y1184" s="787"/>
      <c r="Z1184" s="787"/>
      <c r="AA1184" s="787"/>
      <c r="AB1184" s="786"/>
      <c r="AC1184" s="787"/>
      <c r="AD1184" s="787"/>
      <c r="AE1184" s="787"/>
      <c r="AF1184" s="786"/>
      <c r="AG1184" s="787"/>
      <c r="AH1184" s="787"/>
      <c r="AI1184" s="787"/>
      <c r="AJ1184" s="786"/>
      <c r="AK1184" s="787"/>
      <c r="AL1184" s="787"/>
      <c r="AM1184" s="787"/>
      <c r="AN1184" s="786"/>
      <c r="AO1184" s="787"/>
      <c r="AP1184" s="787"/>
      <c r="AQ1184" s="787"/>
      <c r="AR1184" s="786"/>
      <c r="AS1184" s="787"/>
      <c r="AT1184" s="787"/>
      <c r="AU1184" s="787"/>
      <c r="AV1184" s="786"/>
      <c r="AW1184" s="787"/>
      <c r="AX1184" s="787"/>
      <c r="AY1184" s="787"/>
      <c r="AZ1184" s="780"/>
      <c r="BA1184" s="780"/>
      <c r="BB1184" s="780"/>
      <c r="BC1184" s="780"/>
      <c r="BD1184" s="541"/>
      <c r="BE1184" s="541"/>
      <c r="BF1184" s="541"/>
      <c r="BG1184" s="541"/>
      <c r="BH1184" s="780"/>
      <c r="BI1184" s="780"/>
      <c r="BJ1184" s="780"/>
      <c r="BK1184" s="780"/>
      <c r="BL1184" s="780"/>
      <c r="BM1184" s="780"/>
    </row>
    <row r="1185" ht="12.75" customHeight="1">
      <c r="A1185" s="521"/>
      <c r="B1185" s="521"/>
      <c r="C1185" s="515"/>
      <c r="D1185" s="515"/>
      <c r="E1185" s="515"/>
      <c r="F1185" s="515"/>
      <c r="G1185" s="515"/>
      <c r="H1185" s="515"/>
      <c r="I1185" s="515"/>
      <c r="J1185" s="515"/>
      <c r="K1185" s="515"/>
      <c r="L1185" s="515"/>
      <c r="M1185" s="515"/>
      <c r="N1185" s="515"/>
      <c r="O1185" s="533"/>
      <c r="P1185" s="786"/>
      <c r="Q1185" s="787"/>
      <c r="R1185" s="787"/>
      <c r="S1185" s="787"/>
      <c r="T1185" s="786"/>
      <c r="U1185" s="787"/>
      <c r="V1185" s="787"/>
      <c r="W1185" s="787"/>
      <c r="X1185" s="786"/>
      <c r="Y1185" s="787"/>
      <c r="Z1185" s="787"/>
      <c r="AA1185" s="787"/>
      <c r="AB1185" s="786"/>
      <c r="AC1185" s="787"/>
      <c r="AD1185" s="787"/>
      <c r="AE1185" s="787"/>
      <c r="AF1185" s="786"/>
      <c r="AG1185" s="787"/>
      <c r="AH1185" s="787"/>
      <c r="AI1185" s="787"/>
      <c r="AJ1185" s="786"/>
      <c r="AK1185" s="787"/>
      <c r="AL1185" s="787"/>
      <c r="AM1185" s="787"/>
      <c r="AN1185" s="786"/>
      <c r="AO1185" s="787"/>
      <c r="AP1185" s="787"/>
      <c r="AQ1185" s="787"/>
      <c r="AR1185" s="786"/>
      <c r="AS1185" s="787"/>
      <c r="AT1185" s="787"/>
      <c r="AU1185" s="787"/>
      <c r="AV1185" s="786"/>
      <c r="AW1185" s="787"/>
      <c r="AX1185" s="787"/>
      <c r="AY1185" s="787"/>
      <c r="AZ1185" s="780"/>
      <c r="BA1185" s="780"/>
      <c r="BB1185" s="780"/>
      <c r="BC1185" s="780"/>
      <c r="BD1185" s="541"/>
      <c r="BE1185" s="541"/>
      <c r="BF1185" s="541"/>
      <c r="BG1185" s="541"/>
      <c r="BH1185" s="780"/>
      <c r="BI1185" s="780"/>
      <c r="BJ1185" s="780"/>
      <c r="BK1185" s="780"/>
      <c r="BL1185" s="780"/>
      <c r="BM1185" s="780"/>
    </row>
    <row r="1186" ht="12.75" customHeight="1">
      <c r="A1186" s="521"/>
      <c r="B1186" s="521"/>
      <c r="C1186" s="515"/>
      <c r="D1186" s="515"/>
      <c r="E1186" s="515"/>
      <c r="F1186" s="515"/>
      <c r="G1186" s="515"/>
      <c r="H1186" s="515"/>
      <c r="I1186" s="515"/>
      <c r="J1186" s="515"/>
      <c r="K1186" s="515"/>
      <c r="L1186" s="515"/>
      <c r="M1186" s="515"/>
      <c r="N1186" s="515"/>
      <c r="O1186" s="533"/>
      <c r="P1186" s="786"/>
      <c r="Q1186" s="787"/>
      <c r="R1186" s="787"/>
      <c r="S1186" s="787"/>
      <c r="T1186" s="786"/>
      <c r="U1186" s="787"/>
      <c r="V1186" s="787"/>
      <c r="W1186" s="787"/>
      <c r="X1186" s="786"/>
      <c r="Y1186" s="787"/>
      <c r="Z1186" s="787"/>
      <c r="AA1186" s="787"/>
      <c r="AB1186" s="786"/>
      <c r="AC1186" s="787"/>
      <c r="AD1186" s="787"/>
      <c r="AE1186" s="787"/>
      <c r="AF1186" s="786"/>
      <c r="AG1186" s="787"/>
      <c r="AH1186" s="787"/>
      <c r="AI1186" s="787"/>
      <c r="AJ1186" s="786"/>
      <c r="AK1186" s="787"/>
      <c r="AL1186" s="787"/>
      <c r="AM1186" s="787"/>
      <c r="AN1186" s="786"/>
      <c r="AO1186" s="787"/>
      <c r="AP1186" s="787"/>
      <c r="AQ1186" s="787"/>
      <c r="AR1186" s="786"/>
      <c r="AS1186" s="787"/>
      <c r="AT1186" s="787"/>
      <c r="AU1186" s="787"/>
      <c r="AV1186" s="786"/>
      <c r="AW1186" s="787"/>
      <c r="AX1186" s="787"/>
      <c r="AY1186" s="787"/>
      <c r="AZ1186" s="780"/>
      <c r="BA1186" s="780"/>
      <c r="BB1186" s="780"/>
      <c r="BC1186" s="780"/>
      <c r="BD1186" s="541"/>
      <c r="BE1186" s="541"/>
      <c r="BF1186" s="541"/>
      <c r="BG1186" s="541"/>
      <c r="BH1186" s="780"/>
      <c r="BI1186" s="780"/>
      <c r="BJ1186" s="780"/>
      <c r="BK1186" s="780"/>
      <c r="BL1186" s="780"/>
      <c r="BM1186" s="780"/>
    </row>
    <row r="1187" ht="12.75" customHeight="1">
      <c r="A1187" s="521"/>
      <c r="B1187" s="521"/>
      <c r="C1187" s="515"/>
      <c r="D1187" s="515"/>
      <c r="E1187" s="515"/>
      <c r="F1187" s="515"/>
      <c r="G1187" s="515"/>
      <c r="H1187" s="515"/>
      <c r="I1187" s="515"/>
      <c r="J1187" s="515"/>
      <c r="K1187" s="515"/>
      <c r="L1187" s="515"/>
      <c r="M1187" s="515"/>
      <c r="N1187" s="515"/>
      <c r="O1187" s="533"/>
      <c r="P1187" s="786"/>
      <c r="Q1187" s="787"/>
      <c r="R1187" s="787"/>
      <c r="S1187" s="787"/>
      <c r="T1187" s="786"/>
      <c r="U1187" s="787"/>
      <c r="V1187" s="787"/>
      <c r="W1187" s="787"/>
      <c r="X1187" s="786"/>
      <c r="Y1187" s="787"/>
      <c r="Z1187" s="787"/>
      <c r="AA1187" s="787"/>
      <c r="AB1187" s="786"/>
      <c r="AC1187" s="787"/>
      <c r="AD1187" s="787"/>
      <c r="AE1187" s="787"/>
      <c r="AF1187" s="786"/>
      <c r="AG1187" s="787"/>
      <c r="AH1187" s="787"/>
      <c r="AI1187" s="787"/>
      <c r="AJ1187" s="786"/>
      <c r="AK1187" s="787"/>
      <c r="AL1187" s="787"/>
      <c r="AM1187" s="787"/>
      <c r="AN1187" s="786"/>
      <c r="AO1187" s="787"/>
      <c r="AP1187" s="787"/>
      <c r="AQ1187" s="787"/>
      <c r="AR1187" s="786"/>
      <c r="AS1187" s="787"/>
      <c r="AT1187" s="787"/>
      <c r="AU1187" s="787"/>
      <c r="AV1187" s="786"/>
      <c r="AW1187" s="787"/>
      <c r="AX1187" s="787"/>
      <c r="AY1187" s="787"/>
      <c r="AZ1187" s="780"/>
      <c r="BA1187" s="780"/>
      <c r="BB1187" s="780"/>
      <c r="BC1187" s="780"/>
      <c r="BD1187" s="541"/>
      <c r="BE1187" s="541"/>
      <c r="BF1187" s="541"/>
      <c r="BG1187" s="541"/>
      <c r="BH1187" s="780"/>
      <c r="BI1187" s="780"/>
      <c r="BJ1187" s="780"/>
      <c r="BK1187" s="780"/>
      <c r="BL1187" s="780"/>
      <c r="BM1187" s="780"/>
    </row>
    <row r="1188" ht="12.75" customHeight="1">
      <c r="A1188" s="521"/>
      <c r="B1188" s="521"/>
      <c r="C1188" s="515"/>
      <c r="D1188" s="515"/>
      <c r="E1188" s="515"/>
      <c r="F1188" s="515"/>
      <c r="G1188" s="515"/>
      <c r="H1188" s="515"/>
      <c r="I1188" s="515"/>
      <c r="J1188" s="515"/>
      <c r="K1188" s="515"/>
      <c r="L1188" s="515"/>
      <c r="M1188" s="515"/>
      <c r="N1188" s="515"/>
      <c r="O1188" s="533"/>
      <c r="P1188" s="786"/>
      <c r="Q1188" s="787"/>
      <c r="R1188" s="787"/>
      <c r="S1188" s="787"/>
      <c r="T1188" s="786"/>
      <c r="U1188" s="787"/>
      <c r="V1188" s="787"/>
      <c r="W1188" s="787"/>
      <c r="X1188" s="786"/>
      <c r="Y1188" s="787"/>
      <c r="Z1188" s="787"/>
      <c r="AA1188" s="787"/>
      <c r="AB1188" s="786"/>
      <c r="AC1188" s="787"/>
      <c r="AD1188" s="787"/>
      <c r="AE1188" s="787"/>
      <c r="AF1188" s="786"/>
      <c r="AG1188" s="787"/>
      <c r="AH1188" s="787"/>
      <c r="AI1188" s="787"/>
      <c r="AJ1188" s="786"/>
      <c r="AK1188" s="787"/>
      <c r="AL1188" s="787"/>
      <c r="AM1188" s="787"/>
      <c r="AN1188" s="786"/>
      <c r="AO1188" s="787"/>
      <c r="AP1188" s="787"/>
      <c r="AQ1188" s="787"/>
      <c r="AR1188" s="786"/>
      <c r="AS1188" s="787"/>
      <c r="AT1188" s="787"/>
      <c r="AU1188" s="787"/>
      <c r="AV1188" s="786"/>
      <c r="AW1188" s="787"/>
      <c r="AX1188" s="787"/>
      <c r="AY1188" s="787"/>
      <c r="AZ1188" s="780"/>
      <c r="BA1188" s="780"/>
      <c r="BB1188" s="780"/>
      <c r="BC1188" s="780"/>
      <c r="BD1188" s="541"/>
      <c r="BE1188" s="541"/>
      <c r="BF1188" s="541"/>
      <c r="BG1188" s="541"/>
      <c r="BH1188" s="780"/>
      <c r="BI1188" s="780"/>
      <c r="BJ1188" s="780"/>
      <c r="BK1188" s="780"/>
      <c r="BL1188" s="780"/>
      <c r="BM1188" s="780"/>
    </row>
    <row r="1189" ht="12.75" customHeight="1">
      <c r="A1189" s="521"/>
      <c r="B1189" s="521"/>
      <c r="C1189" s="515"/>
      <c r="D1189" s="515"/>
      <c r="E1189" s="515"/>
      <c r="F1189" s="515"/>
      <c r="G1189" s="515"/>
      <c r="H1189" s="515"/>
      <c r="I1189" s="515"/>
      <c r="J1189" s="515"/>
      <c r="K1189" s="515"/>
      <c r="L1189" s="515"/>
      <c r="M1189" s="515"/>
      <c r="N1189" s="515"/>
      <c r="O1189" s="533"/>
      <c r="P1189" s="786"/>
      <c r="Q1189" s="787"/>
      <c r="R1189" s="787"/>
      <c r="S1189" s="787"/>
      <c r="T1189" s="786"/>
      <c r="U1189" s="787"/>
      <c r="V1189" s="787"/>
      <c r="W1189" s="787"/>
      <c r="X1189" s="786"/>
      <c r="Y1189" s="787"/>
      <c r="Z1189" s="787"/>
      <c r="AA1189" s="787"/>
      <c r="AB1189" s="786"/>
      <c r="AC1189" s="787"/>
      <c r="AD1189" s="787"/>
      <c r="AE1189" s="787"/>
      <c r="AF1189" s="786"/>
      <c r="AG1189" s="787"/>
      <c r="AH1189" s="787"/>
      <c r="AI1189" s="787"/>
      <c r="AJ1189" s="786"/>
      <c r="AK1189" s="787"/>
      <c r="AL1189" s="787"/>
      <c r="AM1189" s="787"/>
      <c r="AN1189" s="786"/>
      <c r="AO1189" s="787"/>
      <c r="AP1189" s="787"/>
      <c r="AQ1189" s="787"/>
      <c r="AR1189" s="786"/>
      <c r="AS1189" s="787"/>
      <c r="AT1189" s="787"/>
      <c r="AU1189" s="787"/>
      <c r="AV1189" s="786"/>
      <c r="AW1189" s="787"/>
      <c r="AX1189" s="787"/>
      <c r="AY1189" s="787"/>
      <c r="AZ1189" s="780"/>
      <c r="BA1189" s="780"/>
      <c r="BB1189" s="780"/>
      <c r="BC1189" s="780"/>
      <c r="BD1189" s="541"/>
      <c r="BE1189" s="541"/>
      <c r="BF1189" s="541"/>
      <c r="BG1189" s="541"/>
      <c r="BH1189" s="780"/>
      <c r="BI1189" s="780"/>
      <c r="BJ1189" s="780"/>
      <c r="BK1189" s="780"/>
      <c r="BL1189" s="780"/>
      <c r="BM1189" s="780"/>
    </row>
    <row r="1190" ht="12.75" customHeight="1">
      <c r="A1190" s="521"/>
      <c r="B1190" s="521"/>
      <c r="C1190" s="515"/>
      <c r="D1190" s="515"/>
      <c r="E1190" s="515"/>
      <c r="F1190" s="515"/>
      <c r="G1190" s="515"/>
      <c r="H1190" s="515"/>
      <c r="I1190" s="515"/>
      <c r="J1190" s="515"/>
      <c r="K1190" s="515"/>
      <c r="L1190" s="515"/>
      <c r="M1190" s="515"/>
      <c r="N1190" s="515"/>
      <c r="O1190" s="533"/>
      <c r="P1190" s="786"/>
      <c r="Q1190" s="787"/>
      <c r="R1190" s="787"/>
      <c r="S1190" s="787"/>
      <c r="T1190" s="786"/>
      <c r="U1190" s="787"/>
      <c r="V1190" s="787"/>
      <c r="W1190" s="787"/>
      <c r="X1190" s="786"/>
      <c r="Y1190" s="787"/>
      <c r="Z1190" s="787"/>
      <c r="AA1190" s="787"/>
      <c r="AB1190" s="786"/>
      <c r="AC1190" s="787"/>
      <c r="AD1190" s="787"/>
      <c r="AE1190" s="787"/>
      <c r="AF1190" s="786"/>
      <c r="AG1190" s="787"/>
      <c r="AH1190" s="787"/>
      <c r="AI1190" s="787"/>
      <c r="AJ1190" s="786"/>
      <c r="AK1190" s="787"/>
      <c r="AL1190" s="787"/>
      <c r="AM1190" s="787"/>
      <c r="AN1190" s="786"/>
      <c r="AO1190" s="787"/>
      <c r="AP1190" s="787"/>
      <c r="AQ1190" s="787"/>
      <c r="AR1190" s="786"/>
      <c r="AS1190" s="787"/>
      <c r="AT1190" s="787"/>
      <c r="AU1190" s="787"/>
      <c r="AV1190" s="786"/>
      <c r="AW1190" s="787"/>
      <c r="AX1190" s="787"/>
      <c r="AY1190" s="787"/>
      <c r="AZ1190" s="780"/>
      <c r="BA1190" s="780"/>
      <c r="BB1190" s="780"/>
      <c r="BC1190" s="780"/>
      <c r="BD1190" s="541"/>
      <c r="BE1190" s="541"/>
      <c r="BF1190" s="541"/>
      <c r="BG1190" s="541"/>
      <c r="BH1190" s="780"/>
      <c r="BI1190" s="780"/>
      <c r="BJ1190" s="780"/>
      <c r="BK1190" s="780"/>
      <c r="BL1190" s="780"/>
      <c r="BM1190" s="780"/>
    </row>
    <row r="1191" ht="12.75" customHeight="1">
      <c r="A1191" s="521"/>
      <c r="B1191" s="521"/>
      <c r="C1191" s="515"/>
      <c r="D1191" s="515"/>
      <c r="E1191" s="515"/>
      <c r="F1191" s="515"/>
      <c r="G1191" s="515"/>
      <c r="H1191" s="515"/>
      <c r="I1191" s="515"/>
      <c r="J1191" s="515"/>
      <c r="K1191" s="515"/>
      <c r="L1191" s="515"/>
      <c r="M1191" s="515"/>
      <c r="N1191" s="515"/>
      <c r="O1191" s="533"/>
      <c r="P1191" s="786"/>
      <c r="Q1191" s="787"/>
      <c r="R1191" s="787"/>
      <c r="S1191" s="787"/>
      <c r="T1191" s="786"/>
      <c r="U1191" s="787"/>
      <c r="V1191" s="787"/>
      <c r="W1191" s="787"/>
      <c r="X1191" s="786"/>
      <c r="Y1191" s="787"/>
      <c r="Z1191" s="787"/>
      <c r="AA1191" s="787"/>
      <c r="AB1191" s="786"/>
      <c r="AC1191" s="787"/>
      <c r="AD1191" s="787"/>
      <c r="AE1191" s="787"/>
      <c r="AF1191" s="786"/>
      <c r="AG1191" s="787"/>
      <c r="AH1191" s="787"/>
      <c r="AI1191" s="787"/>
      <c r="AJ1191" s="786"/>
      <c r="AK1191" s="787"/>
      <c r="AL1191" s="787"/>
      <c r="AM1191" s="787"/>
      <c r="AN1191" s="786"/>
      <c r="AO1191" s="787"/>
      <c r="AP1191" s="787"/>
      <c r="AQ1191" s="787"/>
      <c r="AR1191" s="786"/>
      <c r="AS1191" s="787"/>
      <c r="AT1191" s="787"/>
      <c r="AU1191" s="787"/>
      <c r="AV1191" s="786"/>
      <c r="AW1191" s="787"/>
      <c r="AX1191" s="787"/>
      <c r="AY1191" s="787"/>
      <c r="AZ1191" s="780"/>
      <c r="BA1191" s="780"/>
      <c r="BB1191" s="780"/>
      <c r="BC1191" s="780"/>
      <c r="BD1191" s="541"/>
      <c r="BE1191" s="541"/>
      <c r="BF1191" s="541"/>
      <c r="BG1191" s="541"/>
      <c r="BH1191" s="780"/>
      <c r="BI1191" s="780"/>
      <c r="BJ1191" s="780"/>
      <c r="BK1191" s="780"/>
      <c r="BL1191" s="780"/>
      <c r="BM1191" s="780"/>
    </row>
    <row r="1192" ht="12.75" customHeight="1">
      <c r="A1192" s="521"/>
      <c r="B1192" s="521"/>
      <c r="C1192" s="515"/>
      <c r="D1192" s="515"/>
      <c r="E1192" s="515"/>
      <c r="F1192" s="515"/>
      <c r="G1192" s="515"/>
      <c r="H1192" s="515"/>
      <c r="I1192" s="515"/>
      <c r="J1192" s="515"/>
      <c r="K1192" s="515"/>
      <c r="L1192" s="515"/>
      <c r="M1192" s="515"/>
      <c r="N1192" s="515"/>
      <c r="O1192" s="533"/>
      <c r="P1192" s="786"/>
      <c r="Q1192" s="787"/>
      <c r="R1192" s="787"/>
      <c r="S1192" s="787"/>
      <c r="T1192" s="786"/>
      <c r="U1192" s="787"/>
      <c r="V1192" s="787"/>
      <c r="W1192" s="787"/>
      <c r="X1192" s="786"/>
      <c r="Y1192" s="787"/>
      <c r="Z1192" s="787"/>
      <c r="AA1192" s="787"/>
      <c r="AB1192" s="786"/>
      <c r="AC1192" s="787"/>
      <c r="AD1192" s="787"/>
      <c r="AE1192" s="787"/>
      <c r="AF1192" s="786"/>
      <c r="AG1192" s="787"/>
      <c r="AH1192" s="787"/>
      <c r="AI1192" s="787"/>
      <c r="AJ1192" s="786"/>
      <c r="AK1192" s="787"/>
      <c r="AL1192" s="787"/>
      <c r="AM1192" s="787"/>
      <c r="AN1192" s="786"/>
      <c r="AO1192" s="787"/>
      <c r="AP1192" s="787"/>
      <c r="AQ1192" s="787"/>
      <c r="AR1192" s="786"/>
      <c r="AS1192" s="787"/>
      <c r="AT1192" s="787"/>
      <c r="AU1192" s="787"/>
      <c r="AV1192" s="786"/>
      <c r="AW1192" s="787"/>
      <c r="AX1192" s="787"/>
      <c r="AY1192" s="787"/>
      <c r="AZ1192" s="780"/>
      <c r="BA1192" s="780"/>
      <c r="BB1192" s="780"/>
      <c r="BC1192" s="780"/>
      <c r="BD1192" s="541"/>
      <c r="BE1192" s="541"/>
      <c r="BF1192" s="541"/>
      <c r="BG1192" s="541"/>
      <c r="BH1192" s="780"/>
      <c r="BI1192" s="780"/>
      <c r="BJ1192" s="780"/>
      <c r="BK1192" s="780"/>
      <c r="BL1192" s="780"/>
      <c r="BM1192" s="780"/>
    </row>
    <row r="1193" ht="12.75" customHeight="1">
      <c r="A1193" s="521"/>
      <c r="B1193" s="521"/>
      <c r="C1193" s="515"/>
      <c r="D1193" s="515"/>
      <c r="E1193" s="515"/>
      <c r="F1193" s="515"/>
      <c r="G1193" s="515"/>
      <c r="H1193" s="515"/>
      <c r="I1193" s="515"/>
      <c r="J1193" s="515"/>
      <c r="K1193" s="515"/>
      <c r="L1193" s="515"/>
      <c r="M1193" s="515"/>
      <c r="N1193" s="515"/>
      <c r="O1193" s="533"/>
      <c r="P1193" s="786"/>
      <c r="Q1193" s="787"/>
      <c r="R1193" s="787"/>
      <c r="S1193" s="787"/>
      <c r="T1193" s="786"/>
      <c r="U1193" s="787"/>
      <c r="V1193" s="787"/>
      <c r="W1193" s="787"/>
      <c r="X1193" s="786"/>
      <c r="Y1193" s="787"/>
      <c r="Z1193" s="787"/>
      <c r="AA1193" s="787"/>
      <c r="AB1193" s="786"/>
      <c r="AC1193" s="787"/>
      <c r="AD1193" s="787"/>
      <c r="AE1193" s="787"/>
      <c r="AF1193" s="786"/>
      <c r="AG1193" s="787"/>
      <c r="AH1193" s="787"/>
      <c r="AI1193" s="787"/>
      <c r="AJ1193" s="786"/>
      <c r="AK1193" s="787"/>
      <c r="AL1193" s="787"/>
      <c r="AM1193" s="787"/>
      <c r="AN1193" s="786"/>
      <c r="AO1193" s="787"/>
      <c r="AP1193" s="787"/>
      <c r="AQ1193" s="787"/>
      <c r="AR1193" s="786"/>
      <c r="AS1193" s="787"/>
      <c r="AT1193" s="787"/>
      <c r="AU1193" s="787"/>
      <c r="AV1193" s="786"/>
      <c r="AW1193" s="787"/>
      <c r="AX1193" s="787"/>
      <c r="AY1193" s="787"/>
      <c r="AZ1193" s="780"/>
      <c r="BA1193" s="780"/>
      <c r="BB1193" s="780"/>
      <c r="BC1193" s="780"/>
      <c r="BD1193" s="541"/>
      <c r="BE1193" s="541"/>
      <c r="BF1193" s="541"/>
      <c r="BG1193" s="541"/>
      <c r="BH1193" s="780"/>
      <c r="BI1193" s="780"/>
      <c r="BJ1193" s="780"/>
      <c r="BK1193" s="780"/>
      <c r="BL1193" s="780"/>
      <c r="BM1193" s="780"/>
    </row>
    <row r="1194" ht="12.75" customHeight="1">
      <c r="A1194" s="521"/>
      <c r="B1194" s="521"/>
      <c r="C1194" s="515"/>
      <c r="D1194" s="515"/>
      <c r="E1194" s="515"/>
      <c r="F1194" s="515"/>
      <c r="G1194" s="515"/>
      <c r="H1194" s="515"/>
      <c r="I1194" s="515"/>
      <c r="J1194" s="515"/>
      <c r="K1194" s="515"/>
      <c r="L1194" s="515"/>
      <c r="M1194" s="515"/>
      <c r="N1194" s="515"/>
      <c r="O1194" s="533"/>
      <c r="P1194" s="786"/>
      <c r="Q1194" s="787"/>
      <c r="R1194" s="787"/>
      <c r="S1194" s="787"/>
      <c r="T1194" s="786"/>
      <c r="U1194" s="787"/>
      <c r="V1194" s="787"/>
      <c r="W1194" s="787"/>
      <c r="X1194" s="786"/>
      <c r="Y1194" s="787"/>
      <c r="Z1194" s="787"/>
      <c r="AA1194" s="787"/>
      <c r="AB1194" s="786"/>
      <c r="AC1194" s="787"/>
      <c r="AD1194" s="787"/>
      <c r="AE1194" s="787"/>
      <c r="AF1194" s="786"/>
      <c r="AG1194" s="787"/>
      <c r="AH1194" s="787"/>
      <c r="AI1194" s="787"/>
      <c r="AJ1194" s="786"/>
      <c r="AK1194" s="787"/>
      <c r="AL1194" s="787"/>
      <c r="AM1194" s="787"/>
      <c r="AN1194" s="786"/>
      <c r="AO1194" s="787"/>
      <c r="AP1194" s="787"/>
      <c r="AQ1194" s="787"/>
      <c r="AR1194" s="786"/>
      <c r="AS1194" s="787"/>
      <c r="AT1194" s="787"/>
      <c r="AU1194" s="787"/>
      <c r="AV1194" s="786"/>
      <c r="AW1194" s="787"/>
      <c r="AX1194" s="787"/>
      <c r="AY1194" s="787"/>
      <c r="AZ1194" s="780"/>
      <c r="BA1194" s="780"/>
      <c r="BB1194" s="780"/>
      <c r="BC1194" s="780"/>
      <c r="BD1194" s="541"/>
      <c r="BE1194" s="541"/>
      <c r="BF1194" s="541"/>
      <c r="BG1194" s="541"/>
      <c r="BH1194" s="780"/>
      <c r="BI1194" s="780"/>
      <c r="BJ1194" s="780"/>
      <c r="BK1194" s="780"/>
      <c r="BL1194" s="780"/>
      <c r="BM1194" s="780"/>
    </row>
    <row r="1195" ht="12.75" customHeight="1">
      <c r="A1195" s="521"/>
      <c r="B1195" s="521"/>
      <c r="C1195" s="515"/>
      <c r="D1195" s="515"/>
      <c r="E1195" s="515"/>
      <c r="F1195" s="515"/>
      <c r="G1195" s="515"/>
      <c r="H1195" s="515"/>
      <c r="I1195" s="515"/>
      <c r="J1195" s="515"/>
      <c r="K1195" s="515"/>
      <c r="L1195" s="515"/>
      <c r="M1195" s="515"/>
      <c r="N1195" s="515"/>
      <c r="O1195" s="533"/>
      <c r="P1195" s="786"/>
      <c r="Q1195" s="787"/>
      <c r="R1195" s="787"/>
      <c r="S1195" s="787"/>
      <c r="T1195" s="786"/>
      <c r="U1195" s="787"/>
      <c r="V1195" s="787"/>
      <c r="W1195" s="787"/>
      <c r="X1195" s="786"/>
      <c r="Y1195" s="787"/>
      <c r="Z1195" s="787"/>
      <c r="AA1195" s="787"/>
      <c r="AB1195" s="786"/>
      <c r="AC1195" s="787"/>
      <c r="AD1195" s="787"/>
      <c r="AE1195" s="787"/>
      <c r="AF1195" s="786"/>
      <c r="AG1195" s="787"/>
      <c r="AH1195" s="787"/>
      <c r="AI1195" s="787"/>
      <c r="AJ1195" s="786"/>
      <c r="AK1195" s="787"/>
      <c r="AL1195" s="787"/>
      <c r="AM1195" s="787"/>
      <c r="AN1195" s="786"/>
      <c r="AO1195" s="787"/>
      <c r="AP1195" s="787"/>
      <c r="AQ1195" s="787"/>
      <c r="AR1195" s="786"/>
      <c r="AS1195" s="787"/>
      <c r="AT1195" s="787"/>
      <c r="AU1195" s="787"/>
      <c r="AV1195" s="786"/>
      <c r="AW1195" s="787"/>
      <c r="AX1195" s="787"/>
      <c r="AY1195" s="787"/>
      <c r="AZ1195" s="780"/>
      <c r="BA1195" s="780"/>
      <c r="BB1195" s="780"/>
      <c r="BC1195" s="780"/>
      <c r="BD1195" s="541"/>
      <c r="BE1195" s="541"/>
      <c r="BF1195" s="541"/>
      <c r="BG1195" s="541"/>
      <c r="BH1195" s="780"/>
      <c r="BI1195" s="780"/>
      <c r="BJ1195" s="780"/>
      <c r="BK1195" s="780"/>
      <c r="BL1195" s="780"/>
      <c r="BM1195" s="780"/>
    </row>
    <row r="1196" ht="12.75" customHeight="1">
      <c r="A1196" s="521"/>
      <c r="B1196" s="521"/>
      <c r="C1196" s="515"/>
      <c r="D1196" s="515"/>
      <c r="E1196" s="515"/>
      <c r="F1196" s="515"/>
      <c r="G1196" s="515"/>
      <c r="H1196" s="515"/>
      <c r="I1196" s="515"/>
      <c r="J1196" s="515"/>
      <c r="K1196" s="515"/>
      <c r="L1196" s="515"/>
      <c r="M1196" s="515"/>
      <c r="N1196" s="515"/>
      <c r="O1196" s="533"/>
      <c r="P1196" s="786"/>
      <c r="Q1196" s="787"/>
      <c r="R1196" s="787"/>
      <c r="S1196" s="787"/>
      <c r="T1196" s="786"/>
      <c r="U1196" s="787"/>
      <c r="V1196" s="787"/>
      <c r="W1196" s="787"/>
      <c r="X1196" s="786"/>
      <c r="Y1196" s="787"/>
      <c r="Z1196" s="787"/>
      <c r="AA1196" s="787"/>
      <c r="AB1196" s="786"/>
      <c r="AC1196" s="787"/>
      <c r="AD1196" s="787"/>
      <c r="AE1196" s="787"/>
      <c r="AF1196" s="786"/>
      <c r="AG1196" s="787"/>
      <c r="AH1196" s="787"/>
      <c r="AI1196" s="787"/>
      <c r="AJ1196" s="786"/>
      <c r="AK1196" s="787"/>
      <c r="AL1196" s="787"/>
      <c r="AM1196" s="787"/>
      <c r="AN1196" s="786"/>
      <c r="AO1196" s="787"/>
      <c r="AP1196" s="787"/>
      <c r="AQ1196" s="787"/>
      <c r="AR1196" s="786"/>
      <c r="AS1196" s="787"/>
      <c r="AT1196" s="787"/>
      <c r="AU1196" s="787"/>
      <c r="AV1196" s="786"/>
      <c r="AW1196" s="787"/>
      <c r="AX1196" s="787"/>
      <c r="AY1196" s="787"/>
      <c r="AZ1196" s="780"/>
      <c r="BA1196" s="780"/>
      <c r="BB1196" s="780"/>
      <c r="BC1196" s="780"/>
      <c r="BD1196" s="541"/>
      <c r="BE1196" s="541"/>
      <c r="BF1196" s="541"/>
      <c r="BG1196" s="541"/>
      <c r="BH1196" s="780"/>
      <c r="BI1196" s="780"/>
      <c r="BJ1196" s="780"/>
      <c r="BK1196" s="780"/>
      <c r="BL1196" s="780"/>
      <c r="BM1196" s="780"/>
    </row>
    <row r="1197" ht="12.75" customHeight="1">
      <c r="A1197" s="521"/>
      <c r="B1197" s="521"/>
      <c r="C1197" s="515"/>
      <c r="D1197" s="515"/>
      <c r="E1197" s="515"/>
      <c r="F1197" s="515"/>
      <c r="G1197" s="515"/>
      <c r="H1197" s="515"/>
      <c r="I1197" s="515"/>
      <c r="J1197" s="515"/>
      <c r="K1197" s="515"/>
      <c r="L1197" s="515"/>
      <c r="M1197" s="515"/>
      <c r="N1197" s="515"/>
      <c r="O1197" s="533"/>
      <c r="P1197" s="786"/>
      <c r="Q1197" s="787"/>
      <c r="R1197" s="787"/>
      <c r="S1197" s="787"/>
      <c r="T1197" s="786"/>
      <c r="U1197" s="787"/>
      <c r="V1197" s="787"/>
      <c r="W1197" s="787"/>
      <c r="X1197" s="786"/>
      <c r="Y1197" s="787"/>
      <c r="Z1197" s="787"/>
      <c r="AA1197" s="787"/>
      <c r="AB1197" s="786"/>
      <c r="AC1197" s="787"/>
      <c r="AD1197" s="787"/>
      <c r="AE1197" s="787"/>
      <c r="AF1197" s="786"/>
      <c r="AG1197" s="787"/>
      <c r="AH1197" s="787"/>
      <c r="AI1197" s="787"/>
      <c r="AJ1197" s="786"/>
      <c r="AK1197" s="787"/>
      <c r="AL1197" s="787"/>
      <c r="AM1197" s="787"/>
      <c r="AN1197" s="786"/>
      <c r="AO1197" s="787"/>
      <c r="AP1197" s="787"/>
      <c r="AQ1197" s="787"/>
      <c r="AR1197" s="786"/>
      <c r="AS1197" s="787"/>
      <c r="AT1197" s="787"/>
      <c r="AU1197" s="787"/>
      <c r="AV1197" s="786"/>
      <c r="AW1197" s="787"/>
      <c r="AX1197" s="787"/>
      <c r="AY1197" s="787"/>
      <c r="AZ1197" s="780"/>
      <c r="BA1197" s="780"/>
      <c r="BB1197" s="780"/>
      <c r="BC1197" s="780"/>
      <c r="BD1197" s="541"/>
      <c r="BE1197" s="541"/>
      <c r="BF1197" s="541"/>
      <c r="BG1197" s="541"/>
      <c r="BH1197" s="780"/>
      <c r="BI1197" s="780"/>
      <c r="BJ1197" s="780"/>
      <c r="BK1197" s="780"/>
      <c r="BL1197" s="780"/>
      <c r="BM1197" s="780"/>
    </row>
    <row r="1198" ht="12.75" customHeight="1">
      <c r="A1198" s="521"/>
      <c r="B1198" s="521"/>
      <c r="C1198" s="515"/>
      <c r="D1198" s="515"/>
      <c r="E1198" s="515"/>
      <c r="F1198" s="515"/>
      <c r="G1198" s="515"/>
      <c r="H1198" s="515"/>
      <c r="I1198" s="515"/>
      <c r="J1198" s="515"/>
      <c r="K1198" s="515"/>
      <c r="L1198" s="515"/>
      <c r="M1198" s="515"/>
      <c r="N1198" s="515"/>
      <c r="O1198" s="533"/>
      <c r="P1198" s="786"/>
      <c r="Q1198" s="787"/>
      <c r="R1198" s="787"/>
      <c r="S1198" s="787"/>
      <c r="T1198" s="786"/>
      <c r="U1198" s="787"/>
      <c r="V1198" s="787"/>
      <c r="W1198" s="787"/>
      <c r="X1198" s="786"/>
      <c r="Y1198" s="787"/>
      <c r="Z1198" s="787"/>
      <c r="AA1198" s="787"/>
      <c r="AB1198" s="786"/>
      <c r="AC1198" s="787"/>
      <c r="AD1198" s="787"/>
      <c r="AE1198" s="787"/>
      <c r="AF1198" s="786"/>
      <c r="AG1198" s="787"/>
      <c r="AH1198" s="787"/>
      <c r="AI1198" s="787"/>
      <c r="AJ1198" s="786"/>
      <c r="AK1198" s="787"/>
      <c r="AL1198" s="787"/>
      <c r="AM1198" s="787"/>
      <c r="AN1198" s="786"/>
      <c r="AO1198" s="787"/>
      <c r="AP1198" s="787"/>
      <c r="AQ1198" s="787"/>
      <c r="AR1198" s="786"/>
      <c r="AS1198" s="787"/>
      <c r="AT1198" s="787"/>
      <c r="AU1198" s="787"/>
      <c r="AV1198" s="786"/>
      <c r="AW1198" s="787"/>
      <c r="AX1198" s="787"/>
      <c r="AY1198" s="787"/>
      <c r="AZ1198" s="780"/>
      <c r="BA1198" s="780"/>
      <c r="BB1198" s="780"/>
      <c r="BC1198" s="780"/>
      <c r="BD1198" s="541"/>
      <c r="BE1198" s="541"/>
      <c r="BF1198" s="541"/>
      <c r="BG1198" s="541"/>
      <c r="BH1198" s="780"/>
      <c r="BI1198" s="780"/>
      <c r="BJ1198" s="780"/>
      <c r="BK1198" s="780"/>
      <c r="BL1198" s="780"/>
      <c r="BM1198" s="780"/>
    </row>
    <row r="1199" ht="12.75" customHeight="1">
      <c r="A1199" s="521"/>
      <c r="B1199" s="521"/>
      <c r="C1199" s="515"/>
      <c r="D1199" s="515"/>
      <c r="E1199" s="515"/>
      <c r="F1199" s="515"/>
      <c r="G1199" s="515"/>
      <c r="H1199" s="515"/>
      <c r="I1199" s="515"/>
      <c r="J1199" s="515"/>
      <c r="K1199" s="515"/>
      <c r="L1199" s="515"/>
      <c r="M1199" s="515"/>
      <c r="N1199" s="515"/>
      <c r="O1199" s="533"/>
      <c r="P1199" s="786"/>
      <c r="Q1199" s="787"/>
      <c r="R1199" s="787"/>
      <c r="S1199" s="787"/>
      <c r="T1199" s="786"/>
      <c r="U1199" s="787"/>
      <c r="V1199" s="787"/>
      <c r="W1199" s="787"/>
      <c r="X1199" s="786"/>
      <c r="Y1199" s="787"/>
      <c r="Z1199" s="787"/>
      <c r="AA1199" s="787"/>
      <c r="AB1199" s="786"/>
      <c r="AC1199" s="787"/>
      <c r="AD1199" s="787"/>
      <c r="AE1199" s="787"/>
      <c r="AF1199" s="786"/>
      <c r="AG1199" s="787"/>
      <c r="AH1199" s="787"/>
      <c r="AI1199" s="787"/>
      <c r="AJ1199" s="786"/>
      <c r="AK1199" s="787"/>
      <c r="AL1199" s="787"/>
      <c r="AM1199" s="787"/>
      <c r="AN1199" s="786"/>
      <c r="AO1199" s="787"/>
      <c r="AP1199" s="787"/>
      <c r="AQ1199" s="787"/>
      <c r="AR1199" s="786"/>
      <c r="AS1199" s="787"/>
      <c r="AT1199" s="787"/>
      <c r="AU1199" s="787"/>
      <c r="AV1199" s="786"/>
      <c r="AW1199" s="787"/>
      <c r="AX1199" s="787"/>
      <c r="AY1199" s="787"/>
      <c r="AZ1199" s="780"/>
      <c r="BA1199" s="780"/>
      <c r="BB1199" s="780"/>
      <c r="BC1199" s="780"/>
      <c r="BD1199" s="541"/>
      <c r="BE1199" s="541"/>
      <c r="BF1199" s="541"/>
      <c r="BG1199" s="541"/>
      <c r="BH1199" s="780"/>
      <c r="BI1199" s="780"/>
      <c r="BJ1199" s="780"/>
      <c r="BK1199" s="780"/>
      <c r="BL1199" s="780"/>
      <c r="BM1199" s="780"/>
    </row>
    <row r="1200" ht="12.75" customHeight="1">
      <c r="A1200" s="521"/>
      <c r="B1200" s="521"/>
      <c r="C1200" s="515"/>
      <c r="D1200" s="515"/>
      <c r="E1200" s="515"/>
      <c r="F1200" s="515"/>
      <c r="G1200" s="515"/>
      <c r="H1200" s="515"/>
      <c r="I1200" s="515"/>
      <c r="J1200" s="515"/>
      <c r="K1200" s="515"/>
      <c r="L1200" s="515"/>
      <c r="M1200" s="515"/>
      <c r="N1200" s="515"/>
      <c r="O1200" s="533"/>
      <c r="P1200" s="786"/>
      <c r="Q1200" s="787"/>
      <c r="R1200" s="787"/>
      <c r="S1200" s="787"/>
      <c r="T1200" s="786"/>
      <c r="U1200" s="787"/>
      <c r="V1200" s="787"/>
      <c r="W1200" s="787"/>
      <c r="X1200" s="786"/>
      <c r="Y1200" s="787"/>
      <c r="Z1200" s="787"/>
      <c r="AA1200" s="787"/>
      <c r="AB1200" s="786"/>
      <c r="AC1200" s="787"/>
      <c r="AD1200" s="787"/>
      <c r="AE1200" s="787"/>
      <c r="AF1200" s="786"/>
      <c r="AG1200" s="787"/>
      <c r="AH1200" s="787"/>
      <c r="AI1200" s="787"/>
      <c r="AJ1200" s="786"/>
      <c r="AK1200" s="787"/>
      <c r="AL1200" s="787"/>
      <c r="AM1200" s="787"/>
      <c r="AN1200" s="786"/>
      <c r="AO1200" s="787"/>
      <c r="AP1200" s="787"/>
      <c r="AQ1200" s="787"/>
      <c r="AR1200" s="786"/>
      <c r="AS1200" s="787"/>
      <c r="AT1200" s="787"/>
      <c r="AU1200" s="787"/>
      <c r="AV1200" s="786"/>
      <c r="AW1200" s="787"/>
      <c r="AX1200" s="787"/>
      <c r="AY1200" s="787"/>
      <c r="AZ1200" s="780"/>
      <c r="BA1200" s="780"/>
      <c r="BB1200" s="780"/>
      <c r="BC1200" s="780"/>
      <c r="BD1200" s="541"/>
      <c r="BE1200" s="541"/>
      <c r="BF1200" s="541"/>
      <c r="BG1200" s="541"/>
      <c r="BH1200" s="780"/>
      <c r="BI1200" s="780"/>
      <c r="BJ1200" s="780"/>
      <c r="BK1200" s="780"/>
      <c r="BL1200" s="780"/>
      <c r="BM1200" s="780"/>
    </row>
    <row r="1201" ht="12.75" customHeight="1">
      <c r="A1201" s="521"/>
      <c r="B1201" s="521"/>
      <c r="C1201" s="515"/>
      <c r="D1201" s="515"/>
      <c r="E1201" s="515"/>
      <c r="F1201" s="515"/>
      <c r="G1201" s="515"/>
      <c r="H1201" s="515"/>
      <c r="I1201" s="515"/>
      <c r="J1201" s="515"/>
      <c r="K1201" s="515"/>
      <c r="L1201" s="515"/>
      <c r="M1201" s="515"/>
      <c r="N1201" s="515"/>
      <c r="O1201" s="533"/>
      <c r="P1201" s="786"/>
      <c r="Q1201" s="787"/>
      <c r="R1201" s="787"/>
      <c r="S1201" s="787"/>
      <c r="T1201" s="786"/>
      <c r="U1201" s="787"/>
      <c r="V1201" s="787"/>
      <c r="W1201" s="787"/>
      <c r="X1201" s="786"/>
      <c r="Y1201" s="787"/>
      <c r="Z1201" s="787"/>
      <c r="AA1201" s="787"/>
      <c r="AB1201" s="786"/>
      <c r="AC1201" s="787"/>
      <c r="AD1201" s="787"/>
      <c r="AE1201" s="787"/>
      <c r="AF1201" s="786"/>
      <c r="AG1201" s="787"/>
      <c r="AH1201" s="787"/>
      <c r="AI1201" s="787"/>
      <c r="AJ1201" s="786"/>
      <c r="AK1201" s="787"/>
      <c r="AL1201" s="787"/>
      <c r="AM1201" s="787"/>
      <c r="AN1201" s="786"/>
      <c r="AO1201" s="787"/>
      <c r="AP1201" s="787"/>
      <c r="AQ1201" s="787"/>
      <c r="AR1201" s="786"/>
      <c r="AS1201" s="787"/>
      <c r="AT1201" s="787"/>
      <c r="AU1201" s="787"/>
      <c r="AV1201" s="786"/>
      <c r="AW1201" s="787"/>
      <c r="AX1201" s="787"/>
      <c r="AY1201" s="787"/>
      <c r="AZ1201" s="780"/>
      <c r="BA1201" s="780"/>
      <c r="BB1201" s="780"/>
      <c r="BC1201" s="780"/>
      <c r="BD1201" s="541"/>
      <c r="BE1201" s="541"/>
      <c r="BF1201" s="541"/>
      <c r="BG1201" s="541"/>
      <c r="BH1201" s="780"/>
      <c r="BI1201" s="780"/>
      <c r="BJ1201" s="780"/>
      <c r="BK1201" s="780"/>
      <c r="BL1201" s="780"/>
      <c r="BM1201" s="780"/>
    </row>
    <row r="1202" ht="12.75" customHeight="1">
      <c r="A1202" s="521"/>
      <c r="B1202" s="521"/>
      <c r="C1202" s="515"/>
      <c r="D1202" s="515"/>
      <c r="E1202" s="515"/>
      <c r="F1202" s="515"/>
      <c r="G1202" s="515"/>
      <c r="H1202" s="515"/>
      <c r="I1202" s="515"/>
      <c r="J1202" s="515"/>
      <c r="K1202" s="515"/>
      <c r="L1202" s="515"/>
      <c r="M1202" s="515"/>
      <c r="N1202" s="515"/>
      <c r="O1202" s="533"/>
      <c r="P1202" s="786"/>
      <c r="Q1202" s="787"/>
      <c r="R1202" s="787"/>
      <c r="S1202" s="787"/>
      <c r="T1202" s="786"/>
      <c r="U1202" s="787"/>
      <c r="V1202" s="787"/>
      <c r="W1202" s="787"/>
      <c r="X1202" s="786"/>
      <c r="Y1202" s="787"/>
      <c r="Z1202" s="787"/>
      <c r="AA1202" s="787"/>
      <c r="AB1202" s="786"/>
      <c r="AC1202" s="787"/>
      <c r="AD1202" s="787"/>
      <c r="AE1202" s="787"/>
      <c r="AF1202" s="786"/>
      <c r="AG1202" s="787"/>
      <c r="AH1202" s="787"/>
      <c r="AI1202" s="787"/>
      <c r="AJ1202" s="786"/>
      <c r="AK1202" s="787"/>
      <c r="AL1202" s="787"/>
      <c r="AM1202" s="787"/>
      <c r="AN1202" s="786"/>
      <c r="AO1202" s="787"/>
      <c r="AP1202" s="787"/>
      <c r="AQ1202" s="787"/>
      <c r="AR1202" s="786"/>
      <c r="AS1202" s="787"/>
      <c r="AT1202" s="787"/>
      <c r="AU1202" s="787"/>
      <c r="AV1202" s="786"/>
      <c r="AW1202" s="787"/>
      <c r="AX1202" s="787"/>
      <c r="AY1202" s="787"/>
      <c r="AZ1202" s="780"/>
      <c r="BA1202" s="780"/>
      <c r="BB1202" s="780"/>
      <c r="BC1202" s="780"/>
      <c r="BD1202" s="541"/>
      <c r="BE1202" s="541"/>
      <c r="BF1202" s="541"/>
      <c r="BG1202" s="541"/>
      <c r="BH1202" s="780"/>
      <c r="BI1202" s="780"/>
      <c r="BJ1202" s="780"/>
      <c r="BK1202" s="780"/>
      <c r="BL1202" s="780"/>
      <c r="BM1202" s="780"/>
    </row>
    <row r="1203" ht="12.75" customHeight="1">
      <c r="A1203" s="521"/>
      <c r="B1203" s="521"/>
      <c r="C1203" s="515"/>
      <c r="D1203" s="515"/>
      <c r="E1203" s="515"/>
      <c r="F1203" s="515"/>
      <c r="G1203" s="515"/>
      <c r="H1203" s="515"/>
      <c r="I1203" s="515"/>
      <c r="J1203" s="515"/>
      <c r="K1203" s="515"/>
      <c r="L1203" s="515"/>
      <c r="M1203" s="515"/>
      <c r="N1203" s="515"/>
      <c r="O1203" s="533"/>
      <c r="P1203" s="786"/>
      <c r="Q1203" s="787"/>
      <c r="R1203" s="787"/>
      <c r="S1203" s="787"/>
      <c r="T1203" s="786"/>
      <c r="U1203" s="787"/>
      <c r="V1203" s="787"/>
      <c r="W1203" s="787"/>
      <c r="X1203" s="786"/>
      <c r="Y1203" s="787"/>
      <c r="Z1203" s="787"/>
      <c r="AA1203" s="787"/>
      <c r="AB1203" s="786"/>
      <c r="AC1203" s="787"/>
      <c r="AD1203" s="787"/>
      <c r="AE1203" s="787"/>
      <c r="AF1203" s="786"/>
      <c r="AG1203" s="787"/>
      <c r="AH1203" s="787"/>
      <c r="AI1203" s="787"/>
      <c r="AJ1203" s="786"/>
      <c r="AK1203" s="787"/>
      <c r="AL1203" s="787"/>
      <c r="AM1203" s="787"/>
      <c r="AN1203" s="786"/>
      <c r="AO1203" s="787"/>
      <c r="AP1203" s="787"/>
      <c r="AQ1203" s="787"/>
      <c r="AR1203" s="786"/>
      <c r="AS1203" s="787"/>
      <c r="AT1203" s="787"/>
      <c r="AU1203" s="787"/>
      <c r="AV1203" s="786"/>
      <c r="AW1203" s="787"/>
      <c r="AX1203" s="787"/>
      <c r="AY1203" s="787"/>
      <c r="AZ1203" s="780"/>
      <c r="BA1203" s="780"/>
      <c r="BB1203" s="780"/>
      <c r="BC1203" s="780"/>
      <c r="BD1203" s="541"/>
      <c r="BE1203" s="541"/>
      <c r="BF1203" s="541"/>
      <c r="BG1203" s="541"/>
      <c r="BH1203" s="780"/>
      <c r="BI1203" s="780"/>
      <c r="BJ1203" s="780"/>
      <c r="BK1203" s="780"/>
      <c r="BL1203" s="780"/>
      <c r="BM1203" s="780"/>
    </row>
    <row r="1204" ht="12.75" customHeight="1">
      <c r="A1204" s="521"/>
      <c r="B1204" s="521"/>
      <c r="C1204" s="515"/>
      <c r="D1204" s="515"/>
      <c r="E1204" s="515"/>
      <c r="F1204" s="515"/>
      <c r="G1204" s="515"/>
      <c r="H1204" s="515"/>
      <c r="I1204" s="515"/>
      <c r="J1204" s="515"/>
      <c r="K1204" s="515"/>
      <c r="L1204" s="515"/>
      <c r="M1204" s="515"/>
      <c r="N1204" s="515"/>
      <c r="O1204" s="533"/>
      <c r="P1204" s="786"/>
      <c r="Q1204" s="787"/>
      <c r="R1204" s="787"/>
      <c r="S1204" s="787"/>
      <c r="T1204" s="786"/>
      <c r="U1204" s="787"/>
      <c r="V1204" s="787"/>
      <c r="W1204" s="787"/>
      <c r="X1204" s="786"/>
      <c r="Y1204" s="787"/>
      <c r="Z1204" s="787"/>
      <c r="AA1204" s="787"/>
      <c r="AB1204" s="786"/>
      <c r="AC1204" s="787"/>
      <c r="AD1204" s="787"/>
      <c r="AE1204" s="787"/>
      <c r="AF1204" s="786"/>
      <c r="AG1204" s="787"/>
      <c r="AH1204" s="787"/>
      <c r="AI1204" s="787"/>
      <c r="AJ1204" s="786"/>
      <c r="AK1204" s="787"/>
      <c r="AL1204" s="787"/>
      <c r="AM1204" s="787"/>
      <c r="AN1204" s="786"/>
      <c r="AO1204" s="787"/>
      <c r="AP1204" s="787"/>
      <c r="AQ1204" s="787"/>
      <c r="AR1204" s="786"/>
      <c r="AS1204" s="787"/>
      <c r="AT1204" s="787"/>
      <c r="AU1204" s="787"/>
      <c r="AV1204" s="786"/>
      <c r="AW1204" s="787"/>
      <c r="AX1204" s="787"/>
      <c r="AY1204" s="787"/>
      <c r="AZ1204" s="780"/>
      <c r="BA1204" s="780"/>
      <c r="BB1204" s="780"/>
      <c r="BC1204" s="780"/>
      <c r="BD1204" s="541"/>
      <c r="BE1204" s="541"/>
      <c r="BF1204" s="541"/>
      <c r="BG1204" s="541"/>
      <c r="BH1204" s="780"/>
      <c r="BI1204" s="780"/>
      <c r="BJ1204" s="780"/>
      <c r="BK1204" s="780"/>
      <c r="BL1204" s="780"/>
      <c r="BM1204" s="780"/>
    </row>
    <row r="1205" ht="12.75" customHeight="1">
      <c r="A1205" s="521"/>
      <c r="B1205" s="521"/>
      <c r="C1205" s="515"/>
      <c r="D1205" s="515"/>
      <c r="E1205" s="515"/>
      <c r="F1205" s="515"/>
      <c r="G1205" s="515"/>
      <c r="H1205" s="515"/>
      <c r="I1205" s="515"/>
      <c r="J1205" s="515"/>
      <c r="K1205" s="515"/>
      <c r="L1205" s="515"/>
      <c r="M1205" s="515"/>
      <c r="N1205" s="515"/>
      <c r="O1205" s="533"/>
      <c r="P1205" s="786"/>
      <c r="Q1205" s="787"/>
      <c r="R1205" s="787"/>
      <c r="S1205" s="787"/>
      <c r="T1205" s="786"/>
      <c r="U1205" s="787"/>
      <c r="V1205" s="787"/>
      <c r="W1205" s="787"/>
      <c r="X1205" s="786"/>
      <c r="Y1205" s="787"/>
      <c r="Z1205" s="787"/>
      <c r="AA1205" s="787"/>
      <c r="AB1205" s="786"/>
      <c r="AC1205" s="787"/>
      <c r="AD1205" s="787"/>
      <c r="AE1205" s="787"/>
      <c r="AF1205" s="786"/>
      <c r="AG1205" s="787"/>
      <c r="AH1205" s="787"/>
      <c r="AI1205" s="787"/>
      <c r="AJ1205" s="786"/>
      <c r="AK1205" s="787"/>
      <c r="AL1205" s="787"/>
      <c r="AM1205" s="787"/>
      <c r="AN1205" s="786"/>
      <c r="AO1205" s="787"/>
      <c r="AP1205" s="787"/>
      <c r="AQ1205" s="787"/>
      <c r="AR1205" s="786"/>
      <c r="AS1205" s="787"/>
      <c r="AT1205" s="787"/>
      <c r="AU1205" s="787"/>
      <c r="AV1205" s="786"/>
      <c r="AW1205" s="787"/>
      <c r="AX1205" s="787"/>
      <c r="AY1205" s="787"/>
      <c r="AZ1205" s="780"/>
      <c r="BA1205" s="780"/>
      <c r="BB1205" s="780"/>
      <c r="BC1205" s="780"/>
      <c r="BD1205" s="541"/>
      <c r="BE1205" s="541"/>
      <c r="BF1205" s="541"/>
      <c r="BG1205" s="541"/>
      <c r="BH1205" s="780"/>
      <c r="BI1205" s="780"/>
      <c r="BJ1205" s="780"/>
      <c r="BK1205" s="780"/>
      <c r="BL1205" s="780"/>
      <c r="BM1205" s="780"/>
    </row>
    <row r="1206" ht="12.75" customHeight="1">
      <c r="A1206" s="521"/>
      <c r="B1206" s="521"/>
      <c r="C1206" s="515"/>
      <c r="D1206" s="515"/>
      <c r="E1206" s="515"/>
      <c r="F1206" s="515"/>
      <c r="G1206" s="515"/>
      <c r="H1206" s="515"/>
      <c r="I1206" s="515"/>
      <c r="J1206" s="515"/>
      <c r="K1206" s="515"/>
      <c r="L1206" s="515"/>
      <c r="M1206" s="515"/>
      <c r="N1206" s="515"/>
      <c r="O1206" s="533"/>
      <c r="P1206" s="786"/>
      <c r="Q1206" s="787"/>
      <c r="R1206" s="787"/>
      <c r="S1206" s="787"/>
      <c r="T1206" s="786"/>
      <c r="U1206" s="787"/>
      <c r="V1206" s="787"/>
      <c r="W1206" s="787"/>
      <c r="X1206" s="786"/>
      <c r="Y1206" s="787"/>
      <c r="Z1206" s="787"/>
      <c r="AA1206" s="787"/>
      <c r="AB1206" s="786"/>
      <c r="AC1206" s="787"/>
      <c r="AD1206" s="787"/>
      <c r="AE1206" s="787"/>
      <c r="AF1206" s="786"/>
      <c r="AG1206" s="787"/>
      <c r="AH1206" s="787"/>
      <c r="AI1206" s="787"/>
      <c r="AJ1206" s="786"/>
      <c r="AK1206" s="787"/>
      <c r="AL1206" s="787"/>
      <c r="AM1206" s="787"/>
      <c r="AN1206" s="786"/>
      <c r="AO1206" s="787"/>
      <c r="AP1206" s="787"/>
      <c r="AQ1206" s="787"/>
      <c r="AR1206" s="786"/>
      <c r="AS1206" s="787"/>
      <c r="AT1206" s="787"/>
      <c r="AU1206" s="787"/>
      <c r="AV1206" s="786"/>
      <c r="AW1206" s="787"/>
      <c r="AX1206" s="787"/>
      <c r="AY1206" s="787"/>
      <c r="AZ1206" s="780"/>
      <c r="BA1206" s="780"/>
      <c r="BB1206" s="780"/>
      <c r="BC1206" s="780"/>
      <c r="BD1206" s="541"/>
      <c r="BE1206" s="541"/>
      <c r="BF1206" s="541"/>
      <c r="BG1206" s="541"/>
      <c r="BH1206" s="780"/>
      <c r="BI1206" s="780"/>
      <c r="BJ1206" s="780"/>
      <c r="BK1206" s="780"/>
      <c r="BL1206" s="780"/>
      <c r="BM1206" s="780"/>
    </row>
    <row r="1207" ht="12.75" customHeight="1">
      <c r="A1207" s="521"/>
      <c r="B1207" s="521"/>
      <c r="C1207" s="515"/>
      <c r="D1207" s="515"/>
      <c r="E1207" s="515"/>
      <c r="F1207" s="515"/>
      <c r="G1207" s="515"/>
      <c r="H1207" s="515"/>
      <c r="I1207" s="515"/>
      <c r="J1207" s="515"/>
      <c r="K1207" s="515"/>
      <c r="L1207" s="515"/>
      <c r="M1207" s="515"/>
      <c r="N1207" s="515"/>
      <c r="O1207" s="533"/>
      <c r="P1207" s="786"/>
      <c r="Q1207" s="787"/>
      <c r="R1207" s="787"/>
      <c r="S1207" s="787"/>
      <c r="T1207" s="786"/>
      <c r="U1207" s="787"/>
      <c r="V1207" s="787"/>
      <c r="W1207" s="787"/>
      <c r="X1207" s="786"/>
      <c r="Y1207" s="787"/>
      <c r="Z1207" s="787"/>
      <c r="AA1207" s="787"/>
      <c r="AB1207" s="786"/>
      <c r="AC1207" s="787"/>
      <c r="AD1207" s="787"/>
      <c r="AE1207" s="787"/>
      <c r="AF1207" s="786"/>
      <c r="AG1207" s="787"/>
      <c r="AH1207" s="787"/>
      <c r="AI1207" s="787"/>
      <c r="AJ1207" s="786"/>
      <c r="AK1207" s="787"/>
      <c r="AL1207" s="787"/>
      <c r="AM1207" s="787"/>
      <c r="AN1207" s="786"/>
      <c r="AO1207" s="787"/>
      <c r="AP1207" s="787"/>
      <c r="AQ1207" s="787"/>
      <c r="AR1207" s="786"/>
      <c r="AS1207" s="787"/>
      <c r="AT1207" s="787"/>
      <c r="AU1207" s="787"/>
      <c r="AV1207" s="786"/>
      <c r="AW1207" s="787"/>
      <c r="AX1207" s="787"/>
      <c r="AY1207" s="787"/>
      <c r="AZ1207" s="780"/>
      <c r="BA1207" s="780"/>
      <c r="BB1207" s="780"/>
      <c r="BC1207" s="780"/>
      <c r="BD1207" s="541"/>
      <c r="BE1207" s="541"/>
      <c r="BF1207" s="541"/>
      <c r="BG1207" s="541"/>
      <c r="BH1207" s="780"/>
      <c r="BI1207" s="780"/>
      <c r="BJ1207" s="780"/>
      <c r="BK1207" s="780"/>
      <c r="BL1207" s="780"/>
      <c r="BM1207" s="780"/>
    </row>
    <row r="1208" ht="12.75" customHeight="1">
      <c r="A1208" s="521"/>
      <c r="B1208" s="521"/>
      <c r="C1208" s="515"/>
      <c r="D1208" s="515"/>
      <c r="E1208" s="515"/>
      <c r="F1208" s="515"/>
      <c r="G1208" s="515"/>
      <c r="H1208" s="515"/>
      <c r="I1208" s="515"/>
      <c r="J1208" s="515"/>
      <c r="K1208" s="515"/>
      <c r="L1208" s="515"/>
      <c r="M1208" s="515"/>
      <c r="N1208" s="515"/>
      <c r="O1208" s="533"/>
      <c r="P1208" s="786"/>
      <c r="Q1208" s="787"/>
      <c r="R1208" s="787"/>
      <c r="S1208" s="787"/>
      <c r="T1208" s="786"/>
      <c r="U1208" s="787"/>
      <c r="V1208" s="787"/>
      <c r="W1208" s="787"/>
      <c r="X1208" s="786"/>
      <c r="Y1208" s="787"/>
      <c r="Z1208" s="787"/>
      <c r="AA1208" s="787"/>
      <c r="AB1208" s="786"/>
      <c r="AC1208" s="787"/>
      <c r="AD1208" s="787"/>
      <c r="AE1208" s="787"/>
      <c r="AF1208" s="786"/>
      <c r="AG1208" s="787"/>
      <c r="AH1208" s="787"/>
      <c r="AI1208" s="787"/>
      <c r="AJ1208" s="786"/>
      <c r="AK1208" s="787"/>
      <c r="AL1208" s="787"/>
      <c r="AM1208" s="787"/>
      <c r="AN1208" s="786"/>
      <c r="AO1208" s="787"/>
      <c r="AP1208" s="787"/>
      <c r="AQ1208" s="787"/>
      <c r="AR1208" s="786"/>
      <c r="AS1208" s="787"/>
      <c r="AT1208" s="787"/>
      <c r="AU1208" s="787"/>
      <c r="AV1208" s="786"/>
      <c r="AW1208" s="787"/>
      <c r="AX1208" s="787"/>
      <c r="AY1208" s="787"/>
      <c r="AZ1208" s="780"/>
      <c r="BA1208" s="780"/>
      <c r="BB1208" s="780"/>
      <c r="BC1208" s="780"/>
      <c r="BD1208" s="541"/>
      <c r="BE1208" s="541"/>
      <c r="BF1208" s="541"/>
      <c r="BG1208" s="541"/>
      <c r="BH1208" s="780"/>
      <c r="BI1208" s="780"/>
      <c r="BJ1208" s="780"/>
      <c r="BK1208" s="780"/>
      <c r="BL1208" s="780"/>
      <c r="BM1208" s="780"/>
    </row>
    <row r="1209" ht="12.75" customHeight="1">
      <c r="A1209" s="521"/>
      <c r="B1209" s="521"/>
      <c r="C1209" s="515"/>
      <c r="D1209" s="515"/>
      <c r="E1209" s="515"/>
      <c r="F1209" s="515"/>
      <c r="G1209" s="515"/>
      <c r="H1209" s="515"/>
      <c r="I1209" s="515"/>
      <c r="J1209" s="515"/>
      <c r="K1209" s="515"/>
      <c r="L1209" s="515"/>
      <c r="M1209" s="515"/>
      <c r="N1209" s="515"/>
      <c r="O1209" s="533"/>
      <c r="P1209" s="786"/>
      <c r="Q1209" s="787"/>
      <c r="R1209" s="787"/>
      <c r="S1209" s="787"/>
      <c r="T1209" s="786"/>
      <c r="U1209" s="787"/>
      <c r="V1209" s="787"/>
      <c r="W1209" s="787"/>
      <c r="X1209" s="786"/>
      <c r="Y1209" s="787"/>
      <c r="Z1209" s="787"/>
      <c r="AA1209" s="787"/>
      <c r="AB1209" s="786"/>
      <c r="AC1209" s="787"/>
      <c r="AD1209" s="787"/>
      <c r="AE1209" s="787"/>
      <c r="AF1209" s="786"/>
      <c r="AG1209" s="787"/>
      <c r="AH1209" s="787"/>
      <c r="AI1209" s="787"/>
      <c r="AJ1209" s="786"/>
      <c r="AK1209" s="787"/>
      <c r="AL1209" s="787"/>
      <c r="AM1209" s="787"/>
      <c r="AN1209" s="786"/>
      <c r="AO1209" s="787"/>
      <c r="AP1209" s="787"/>
      <c r="AQ1209" s="787"/>
      <c r="AR1209" s="786"/>
      <c r="AS1209" s="787"/>
      <c r="AT1209" s="787"/>
      <c r="AU1209" s="787"/>
      <c r="AV1209" s="786"/>
      <c r="AW1209" s="787"/>
      <c r="AX1209" s="787"/>
      <c r="AY1209" s="787"/>
      <c r="AZ1209" s="780"/>
      <c r="BA1209" s="780"/>
      <c r="BB1209" s="780"/>
      <c r="BC1209" s="780"/>
      <c r="BD1209" s="541"/>
      <c r="BE1209" s="541"/>
      <c r="BF1209" s="541"/>
      <c r="BG1209" s="541"/>
      <c r="BH1209" s="780"/>
      <c r="BI1209" s="780"/>
      <c r="BJ1209" s="780"/>
      <c r="BK1209" s="780"/>
      <c r="BL1209" s="780"/>
      <c r="BM1209" s="780"/>
    </row>
    <row r="1210" ht="12.75" customHeight="1">
      <c r="A1210" s="521"/>
      <c r="B1210" s="521"/>
      <c r="C1210" s="515"/>
      <c r="D1210" s="515"/>
      <c r="E1210" s="515"/>
      <c r="F1210" s="515"/>
      <c r="G1210" s="515"/>
      <c r="H1210" s="515"/>
      <c r="I1210" s="515"/>
      <c r="J1210" s="515"/>
      <c r="K1210" s="515"/>
      <c r="L1210" s="515"/>
      <c r="M1210" s="515"/>
      <c r="N1210" s="515"/>
      <c r="O1210" s="533"/>
      <c r="P1210" s="786"/>
      <c r="Q1210" s="787"/>
      <c r="R1210" s="787"/>
      <c r="S1210" s="787"/>
      <c r="T1210" s="786"/>
      <c r="U1210" s="787"/>
      <c r="V1210" s="787"/>
      <c r="W1210" s="787"/>
      <c r="X1210" s="786"/>
      <c r="Y1210" s="787"/>
      <c r="Z1210" s="787"/>
      <c r="AA1210" s="787"/>
      <c r="AB1210" s="786"/>
      <c r="AC1210" s="787"/>
      <c r="AD1210" s="787"/>
      <c r="AE1210" s="787"/>
      <c r="AF1210" s="786"/>
      <c r="AG1210" s="787"/>
      <c r="AH1210" s="787"/>
      <c r="AI1210" s="787"/>
      <c r="AJ1210" s="786"/>
      <c r="AK1210" s="787"/>
      <c r="AL1210" s="787"/>
      <c r="AM1210" s="787"/>
      <c r="AN1210" s="786"/>
      <c r="AO1210" s="787"/>
      <c r="AP1210" s="787"/>
      <c r="AQ1210" s="787"/>
      <c r="AR1210" s="786"/>
      <c r="AS1210" s="787"/>
      <c r="AT1210" s="787"/>
      <c r="AU1210" s="787"/>
      <c r="AV1210" s="786"/>
      <c r="AW1210" s="787"/>
      <c r="AX1210" s="787"/>
      <c r="AY1210" s="787"/>
      <c r="AZ1210" s="780"/>
      <c r="BA1210" s="780"/>
      <c r="BB1210" s="780"/>
      <c r="BC1210" s="780"/>
      <c r="BD1210" s="541"/>
      <c r="BE1210" s="541"/>
      <c r="BF1210" s="541"/>
      <c r="BG1210" s="541"/>
      <c r="BH1210" s="780"/>
      <c r="BI1210" s="780"/>
      <c r="BJ1210" s="780"/>
      <c r="BK1210" s="780"/>
      <c r="BL1210" s="780"/>
      <c r="BM1210" s="780"/>
    </row>
    <row r="1211" ht="12.75" customHeight="1">
      <c r="A1211" s="521"/>
      <c r="B1211" s="521"/>
      <c r="C1211" s="515"/>
      <c r="D1211" s="515"/>
      <c r="E1211" s="515"/>
      <c r="F1211" s="515"/>
      <c r="G1211" s="515"/>
      <c r="H1211" s="515"/>
      <c r="I1211" s="515"/>
      <c r="J1211" s="515"/>
      <c r="K1211" s="515"/>
      <c r="L1211" s="515"/>
      <c r="M1211" s="515"/>
      <c r="N1211" s="515"/>
      <c r="O1211" s="533"/>
      <c r="P1211" s="786"/>
      <c r="Q1211" s="787"/>
      <c r="R1211" s="787"/>
      <c r="S1211" s="787"/>
      <c r="T1211" s="786"/>
      <c r="U1211" s="787"/>
      <c r="V1211" s="787"/>
      <c r="W1211" s="787"/>
      <c r="X1211" s="786"/>
      <c r="Y1211" s="787"/>
      <c r="Z1211" s="787"/>
      <c r="AA1211" s="787"/>
      <c r="AB1211" s="786"/>
      <c r="AC1211" s="787"/>
      <c r="AD1211" s="787"/>
      <c r="AE1211" s="787"/>
      <c r="AF1211" s="786"/>
      <c r="AG1211" s="787"/>
      <c r="AH1211" s="787"/>
      <c r="AI1211" s="787"/>
      <c r="AJ1211" s="786"/>
      <c r="AK1211" s="787"/>
      <c r="AL1211" s="787"/>
      <c r="AM1211" s="787"/>
      <c r="AN1211" s="786"/>
      <c r="AO1211" s="787"/>
      <c r="AP1211" s="787"/>
      <c r="AQ1211" s="787"/>
      <c r="AR1211" s="786"/>
      <c r="AS1211" s="787"/>
      <c r="AT1211" s="787"/>
      <c r="AU1211" s="787"/>
      <c r="AV1211" s="786"/>
      <c r="AW1211" s="787"/>
      <c r="AX1211" s="787"/>
      <c r="AY1211" s="787"/>
      <c r="AZ1211" s="780"/>
      <c r="BA1211" s="780"/>
      <c r="BB1211" s="780"/>
      <c r="BC1211" s="780"/>
      <c r="BD1211" s="541"/>
      <c r="BE1211" s="541"/>
      <c r="BF1211" s="541"/>
      <c r="BG1211" s="541"/>
      <c r="BH1211" s="780"/>
      <c r="BI1211" s="780"/>
      <c r="BJ1211" s="780"/>
      <c r="BK1211" s="780"/>
      <c r="BL1211" s="780"/>
      <c r="BM1211" s="780"/>
    </row>
    <row r="1212" ht="12.75" customHeight="1">
      <c r="A1212" s="521"/>
      <c r="B1212" s="521"/>
      <c r="C1212" s="515"/>
      <c r="D1212" s="515"/>
      <c r="E1212" s="515"/>
      <c r="F1212" s="515"/>
      <c r="G1212" s="515"/>
      <c r="H1212" s="515"/>
      <c r="I1212" s="515"/>
      <c r="J1212" s="515"/>
      <c r="K1212" s="515"/>
      <c r="L1212" s="515"/>
      <c r="M1212" s="515"/>
      <c r="N1212" s="515"/>
      <c r="O1212" s="533"/>
      <c r="P1212" s="786"/>
      <c r="Q1212" s="787"/>
      <c r="R1212" s="787"/>
      <c r="S1212" s="787"/>
      <c r="T1212" s="786"/>
      <c r="U1212" s="787"/>
      <c r="V1212" s="787"/>
      <c r="W1212" s="787"/>
      <c r="X1212" s="786"/>
      <c r="Y1212" s="787"/>
      <c r="Z1212" s="787"/>
      <c r="AA1212" s="787"/>
      <c r="AB1212" s="786"/>
      <c r="AC1212" s="787"/>
      <c r="AD1212" s="787"/>
      <c r="AE1212" s="787"/>
      <c r="AF1212" s="786"/>
      <c r="AG1212" s="787"/>
      <c r="AH1212" s="787"/>
      <c r="AI1212" s="787"/>
      <c r="AJ1212" s="786"/>
      <c r="AK1212" s="787"/>
      <c r="AL1212" s="787"/>
      <c r="AM1212" s="787"/>
      <c r="AN1212" s="786"/>
      <c r="AO1212" s="787"/>
      <c r="AP1212" s="787"/>
      <c r="AQ1212" s="787"/>
      <c r="AR1212" s="786"/>
      <c r="AS1212" s="787"/>
      <c r="AT1212" s="787"/>
      <c r="AU1212" s="787"/>
      <c r="AV1212" s="786"/>
      <c r="AW1212" s="787"/>
      <c r="AX1212" s="787"/>
      <c r="AY1212" s="787"/>
      <c r="AZ1212" s="780"/>
      <c r="BA1212" s="780"/>
      <c r="BB1212" s="780"/>
      <c r="BC1212" s="780"/>
      <c r="BD1212" s="541"/>
      <c r="BE1212" s="541"/>
      <c r="BF1212" s="541"/>
      <c r="BG1212" s="541"/>
      <c r="BH1212" s="780"/>
      <c r="BI1212" s="780"/>
      <c r="BJ1212" s="780"/>
      <c r="BK1212" s="780"/>
      <c r="BL1212" s="780"/>
      <c r="BM1212" s="780"/>
    </row>
    <row r="1213" ht="12.75" customHeight="1">
      <c r="A1213" s="521"/>
      <c r="B1213" s="521"/>
      <c r="C1213" s="515"/>
      <c r="D1213" s="515"/>
      <c r="E1213" s="515"/>
      <c r="F1213" s="515"/>
      <c r="G1213" s="515"/>
      <c r="H1213" s="515"/>
      <c r="I1213" s="515"/>
      <c r="J1213" s="515"/>
      <c r="K1213" s="515"/>
      <c r="L1213" s="515"/>
      <c r="M1213" s="515"/>
      <c r="N1213" s="515"/>
      <c r="O1213" s="533"/>
      <c r="P1213" s="786"/>
      <c r="Q1213" s="787"/>
      <c r="R1213" s="787"/>
      <c r="S1213" s="787"/>
      <c r="T1213" s="786"/>
      <c r="U1213" s="787"/>
      <c r="V1213" s="787"/>
      <c r="W1213" s="787"/>
      <c r="X1213" s="786"/>
      <c r="Y1213" s="787"/>
      <c r="Z1213" s="787"/>
      <c r="AA1213" s="787"/>
      <c r="AB1213" s="786"/>
      <c r="AC1213" s="787"/>
      <c r="AD1213" s="787"/>
      <c r="AE1213" s="787"/>
      <c r="AF1213" s="786"/>
      <c r="AG1213" s="787"/>
      <c r="AH1213" s="787"/>
      <c r="AI1213" s="787"/>
      <c r="AJ1213" s="786"/>
      <c r="AK1213" s="787"/>
      <c r="AL1213" s="787"/>
      <c r="AM1213" s="787"/>
      <c r="AN1213" s="786"/>
      <c r="AO1213" s="787"/>
      <c r="AP1213" s="787"/>
      <c r="AQ1213" s="787"/>
      <c r="AR1213" s="786"/>
      <c r="AS1213" s="787"/>
      <c r="AT1213" s="787"/>
      <c r="AU1213" s="787"/>
      <c r="AV1213" s="786"/>
      <c r="AW1213" s="787"/>
      <c r="AX1213" s="787"/>
      <c r="AY1213" s="787"/>
      <c r="AZ1213" s="780"/>
      <c r="BA1213" s="780"/>
      <c r="BB1213" s="780"/>
      <c r="BC1213" s="780"/>
      <c r="BD1213" s="541"/>
      <c r="BE1213" s="541"/>
      <c r="BF1213" s="541"/>
      <c r="BG1213" s="541"/>
      <c r="BH1213" s="780"/>
      <c r="BI1213" s="780"/>
      <c r="BJ1213" s="780"/>
      <c r="BK1213" s="780"/>
      <c r="BL1213" s="780"/>
      <c r="BM1213" s="780"/>
    </row>
    <row r="1214" ht="12.75" customHeight="1">
      <c r="A1214" s="521"/>
      <c r="B1214" s="521"/>
      <c r="C1214" s="515"/>
      <c r="D1214" s="515"/>
      <c r="E1214" s="515"/>
      <c r="F1214" s="515"/>
      <c r="G1214" s="515"/>
      <c r="H1214" s="515"/>
      <c r="I1214" s="515"/>
      <c r="J1214" s="515"/>
      <c r="K1214" s="515"/>
      <c r="L1214" s="515"/>
      <c r="M1214" s="515"/>
      <c r="N1214" s="515"/>
      <c r="O1214" s="533"/>
      <c r="P1214" s="786"/>
      <c r="Q1214" s="787"/>
      <c r="R1214" s="787"/>
      <c r="S1214" s="787"/>
      <c r="T1214" s="786"/>
      <c r="U1214" s="787"/>
      <c r="V1214" s="787"/>
      <c r="W1214" s="787"/>
      <c r="X1214" s="786"/>
      <c r="Y1214" s="787"/>
      <c r="Z1214" s="787"/>
      <c r="AA1214" s="787"/>
      <c r="AB1214" s="786"/>
      <c r="AC1214" s="787"/>
      <c r="AD1214" s="787"/>
      <c r="AE1214" s="787"/>
      <c r="AF1214" s="786"/>
      <c r="AG1214" s="787"/>
      <c r="AH1214" s="787"/>
      <c r="AI1214" s="787"/>
      <c r="AJ1214" s="786"/>
      <c r="AK1214" s="787"/>
      <c r="AL1214" s="787"/>
      <c r="AM1214" s="787"/>
      <c r="AN1214" s="786"/>
      <c r="AO1214" s="787"/>
      <c r="AP1214" s="787"/>
      <c r="AQ1214" s="787"/>
      <c r="AR1214" s="786"/>
      <c r="AS1214" s="787"/>
      <c r="AT1214" s="787"/>
      <c r="AU1214" s="787"/>
      <c r="AV1214" s="786"/>
      <c r="AW1214" s="787"/>
      <c r="AX1214" s="787"/>
      <c r="AY1214" s="787"/>
      <c r="AZ1214" s="780"/>
      <c r="BA1214" s="780"/>
      <c r="BB1214" s="780"/>
      <c r="BC1214" s="780"/>
      <c r="BD1214" s="541"/>
      <c r="BE1214" s="541"/>
      <c r="BF1214" s="541"/>
      <c r="BG1214" s="541"/>
      <c r="BH1214" s="780"/>
      <c r="BI1214" s="780"/>
      <c r="BJ1214" s="780"/>
      <c r="BK1214" s="780"/>
      <c r="BL1214" s="780"/>
      <c r="BM1214" s="780"/>
    </row>
    <row r="1215" ht="12.75" customHeight="1">
      <c r="A1215" s="521"/>
      <c r="B1215" s="521"/>
      <c r="C1215" s="515"/>
      <c r="D1215" s="515"/>
      <c r="E1215" s="515"/>
      <c r="F1215" s="515"/>
      <c r="G1215" s="515"/>
      <c r="H1215" s="515"/>
      <c r="I1215" s="515"/>
      <c r="J1215" s="515"/>
      <c r="K1215" s="515"/>
      <c r="L1215" s="515"/>
      <c r="M1215" s="515"/>
      <c r="N1215" s="515"/>
      <c r="O1215" s="533"/>
      <c r="P1215" s="786"/>
      <c r="Q1215" s="787"/>
      <c r="R1215" s="787"/>
      <c r="S1215" s="787"/>
      <c r="T1215" s="786"/>
      <c r="U1215" s="787"/>
      <c r="V1215" s="787"/>
      <c r="W1215" s="787"/>
      <c r="X1215" s="786"/>
      <c r="Y1215" s="787"/>
      <c r="Z1215" s="787"/>
      <c r="AA1215" s="787"/>
      <c r="AB1215" s="786"/>
      <c r="AC1215" s="787"/>
      <c r="AD1215" s="787"/>
      <c r="AE1215" s="787"/>
      <c r="AF1215" s="786"/>
      <c r="AG1215" s="787"/>
      <c r="AH1215" s="787"/>
      <c r="AI1215" s="787"/>
      <c r="AJ1215" s="786"/>
      <c r="AK1215" s="787"/>
      <c r="AL1215" s="787"/>
      <c r="AM1215" s="787"/>
      <c r="AN1215" s="786"/>
      <c r="AO1215" s="787"/>
      <c r="AP1215" s="787"/>
      <c r="AQ1215" s="787"/>
      <c r="AR1215" s="786"/>
      <c r="AS1215" s="787"/>
      <c r="AT1215" s="787"/>
      <c r="AU1215" s="787"/>
      <c r="AV1215" s="786"/>
      <c r="AW1215" s="787"/>
      <c r="AX1215" s="787"/>
      <c r="AY1215" s="787"/>
      <c r="AZ1215" s="780"/>
      <c r="BA1215" s="780"/>
      <c r="BB1215" s="780"/>
      <c r="BC1215" s="780"/>
      <c r="BD1215" s="541"/>
      <c r="BE1215" s="541"/>
      <c r="BF1215" s="541"/>
      <c r="BG1215" s="541"/>
      <c r="BH1215" s="780"/>
      <c r="BI1215" s="780"/>
      <c r="BJ1215" s="780"/>
      <c r="BK1215" s="780"/>
      <c r="BL1215" s="780"/>
      <c r="BM1215" s="780"/>
    </row>
    <row r="1216" ht="12.75" customHeight="1">
      <c r="A1216" s="521"/>
      <c r="B1216" s="521"/>
      <c r="C1216" s="515"/>
      <c r="D1216" s="515"/>
      <c r="E1216" s="515"/>
      <c r="F1216" s="515"/>
      <c r="G1216" s="515"/>
      <c r="H1216" s="515"/>
      <c r="I1216" s="515"/>
      <c r="J1216" s="515"/>
      <c r="K1216" s="515"/>
      <c r="L1216" s="515"/>
      <c r="M1216" s="515"/>
      <c r="N1216" s="515"/>
      <c r="O1216" s="533"/>
      <c r="P1216" s="786"/>
      <c r="Q1216" s="787"/>
      <c r="R1216" s="787"/>
      <c r="S1216" s="787"/>
      <c r="T1216" s="786"/>
      <c r="U1216" s="787"/>
      <c r="V1216" s="787"/>
      <c r="W1216" s="787"/>
      <c r="X1216" s="786"/>
      <c r="Y1216" s="787"/>
      <c r="Z1216" s="787"/>
      <c r="AA1216" s="787"/>
      <c r="AB1216" s="786"/>
      <c r="AC1216" s="787"/>
      <c r="AD1216" s="787"/>
      <c r="AE1216" s="787"/>
      <c r="AF1216" s="786"/>
      <c r="AG1216" s="787"/>
      <c r="AH1216" s="787"/>
      <c r="AI1216" s="787"/>
      <c r="AJ1216" s="786"/>
      <c r="AK1216" s="787"/>
      <c r="AL1216" s="787"/>
      <c r="AM1216" s="787"/>
      <c r="AN1216" s="786"/>
      <c r="AO1216" s="787"/>
      <c r="AP1216" s="787"/>
      <c r="AQ1216" s="787"/>
      <c r="AR1216" s="786"/>
      <c r="AS1216" s="787"/>
      <c r="AT1216" s="787"/>
      <c r="AU1216" s="787"/>
      <c r="AV1216" s="786"/>
      <c r="AW1216" s="787"/>
      <c r="AX1216" s="787"/>
      <c r="AY1216" s="787"/>
      <c r="AZ1216" s="780"/>
      <c r="BA1216" s="780"/>
      <c r="BB1216" s="780"/>
      <c r="BC1216" s="780"/>
      <c r="BD1216" s="541"/>
      <c r="BE1216" s="541"/>
      <c r="BF1216" s="541"/>
      <c r="BG1216" s="541"/>
      <c r="BH1216" s="780"/>
      <c r="BI1216" s="780"/>
      <c r="BJ1216" s="780"/>
      <c r="BK1216" s="780"/>
      <c r="BL1216" s="780"/>
      <c r="BM1216" s="780"/>
    </row>
    <row r="1217" ht="12.75" customHeight="1">
      <c r="A1217" s="521"/>
      <c r="B1217" s="521"/>
      <c r="C1217" s="515"/>
      <c r="D1217" s="515"/>
      <c r="E1217" s="515"/>
      <c r="F1217" s="515"/>
      <c r="G1217" s="515"/>
      <c r="H1217" s="515"/>
      <c r="I1217" s="515"/>
      <c r="J1217" s="515"/>
      <c r="K1217" s="515"/>
      <c r="L1217" s="515"/>
      <c r="M1217" s="515"/>
      <c r="N1217" s="515"/>
      <c r="O1217" s="533"/>
      <c r="P1217" s="786"/>
      <c r="Q1217" s="787"/>
      <c r="R1217" s="787"/>
      <c r="S1217" s="787"/>
      <c r="T1217" s="786"/>
      <c r="U1217" s="787"/>
      <c r="V1217" s="787"/>
      <c r="W1217" s="787"/>
      <c r="X1217" s="786"/>
      <c r="Y1217" s="787"/>
      <c r="Z1217" s="787"/>
      <c r="AA1217" s="787"/>
      <c r="AB1217" s="786"/>
      <c r="AC1217" s="787"/>
      <c r="AD1217" s="787"/>
      <c r="AE1217" s="787"/>
      <c r="AF1217" s="786"/>
      <c r="AG1217" s="787"/>
      <c r="AH1217" s="787"/>
      <c r="AI1217" s="787"/>
      <c r="AJ1217" s="786"/>
      <c r="AK1217" s="787"/>
      <c r="AL1217" s="787"/>
      <c r="AM1217" s="787"/>
      <c r="AN1217" s="786"/>
      <c r="AO1217" s="787"/>
      <c r="AP1217" s="787"/>
      <c r="AQ1217" s="787"/>
      <c r="AR1217" s="786"/>
      <c r="AS1217" s="787"/>
      <c r="AT1217" s="787"/>
      <c r="AU1217" s="787"/>
      <c r="AV1217" s="786"/>
      <c r="AW1217" s="787"/>
      <c r="AX1217" s="787"/>
      <c r="AY1217" s="787"/>
      <c r="AZ1217" s="780"/>
      <c r="BA1217" s="780"/>
      <c r="BB1217" s="780"/>
      <c r="BC1217" s="780"/>
      <c r="BD1217" s="541"/>
      <c r="BE1217" s="541"/>
      <c r="BF1217" s="541"/>
      <c r="BG1217" s="541"/>
      <c r="BH1217" s="780"/>
      <c r="BI1217" s="780"/>
      <c r="BJ1217" s="780"/>
      <c r="BK1217" s="780"/>
      <c r="BL1217" s="780"/>
      <c r="BM1217" s="780"/>
    </row>
    <row r="1218" ht="12.75" customHeight="1">
      <c r="A1218" s="521"/>
      <c r="B1218" s="521"/>
      <c r="C1218" s="515"/>
      <c r="D1218" s="515"/>
      <c r="E1218" s="515"/>
      <c r="F1218" s="515"/>
      <c r="G1218" s="515"/>
      <c r="H1218" s="515"/>
      <c r="I1218" s="515"/>
      <c r="J1218" s="515"/>
      <c r="K1218" s="515"/>
      <c r="L1218" s="515"/>
      <c r="M1218" s="515"/>
      <c r="N1218" s="515"/>
      <c r="O1218" s="533"/>
      <c r="P1218" s="786"/>
      <c r="Q1218" s="787"/>
      <c r="R1218" s="787"/>
      <c r="S1218" s="787"/>
      <c r="T1218" s="786"/>
      <c r="U1218" s="787"/>
      <c r="V1218" s="787"/>
      <c r="W1218" s="787"/>
      <c r="X1218" s="786"/>
      <c r="Y1218" s="787"/>
      <c r="Z1218" s="787"/>
      <c r="AA1218" s="787"/>
      <c r="AB1218" s="786"/>
      <c r="AC1218" s="787"/>
      <c r="AD1218" s="787"/>
      <c r="AE1218" s="787"/>
      <c r="AF1218" s="786"/>
      <c r="AG1218" s="787"/>
      <c r="AH1218" s="787"/>
      <c r="AI1218" s="787"/>
      <c r="AJ1218" s="786"/>
      <c r="AK1218" s="787"/>
      <c r="AL1218" s="787"/>
      <c r="AM1218" s="787"/>
      <c r="AN1218" s="786"/>
      <c r="AO1218" s="787"/>
      <c r="AP1218" s="787"/>
      <c r="AQ1218" s="787"/>
      <c r="AR1218" s="786"/>
      <c r="AS1218" s="787"/>
      <c r="AT1218" s="787"/>
      <c r="AU1218" s="787"/>
      <c r="AV1218" s="786"/>
      <c r="AW1218" s="787"/>
      <c r="AX1218" s="787"/>
      <c r="AY1218" s="787"/>
      <c r="AZ1218" s="780"/>
      <c r="BA1218" s="780"/>
      <c r="BB1218" s="780"/>
      <c r="BC1218" s="780"/>
      <c r="BD1218" s="541"/>
      <c r="BE1218" s="541"/>
      <c r="BF1218" s="541"/>
      <c r="BG1218" s="541"/>
      <c r="BH1218" s="780"/>
      <c r="BI1218" s="780"/>
      <c r="BJ1218" s="780"/>
      <c r="BK1218" s="780"/>
      <c r="BL1218" s="780"/>
      <c r="BM1218" s="780"/>
    </row>
    <row r="1219" ht="12.75" customHeight="1">
      <c r="A1219" s="521"/>
      <c r="B1219" s="521"/>
      <c r="C1219" s="515"/>
      <c r="D1219" s="515"/>
      <c r="E1219" s="515"/>
      <c r="F1219" s="515"/>
      <c r="G1219" s="515"/>
      <c r="H1219" s="515"/>
      <c r="I1219" s="515"/>
      <c r="J1219" s="515"/>
      <c r="K1219" s="515"/>
      <c r="L1219" s="515"/>
      <c r="M1219" s="515"/>
      <c r="N1219" s="515"/>
      <c r="O1219" s="533"/>
      <c r="P1219" s="786"/>
      <c r="Q1219" s="787"/>
      <c r="R1219" s="787"/>
      <c r="S1219" s="787"/>
      <c r="T1219" s="786"/>
      <c r="U1219" s="787"/>
      <c r="V1219" s="787"/>
      <c r="W1219" s="787"/>
      <c r="X1219" s="786"/>
      <c r="Y1219" s="787"/>
      <c r="Z1219" s="787"/>
      <c r="AA1219" s="787"/>
      <c r="AB1219" s="786"/>
      <c r="AC1219" s="787"/>
      <c r="AD1219" s="787"/>
      <c r="AE1219" s="787"/>
      <c r="AF1219" s="786"/>
      <c r="AG1219" s="787"/>
      <c r="AH1219" s="787"/>
      <c r="AI1219" s="787"/>
      <c r="AJ1219" s="786"/>
      <c r="AK1219" s="787"/>
      <c r="AL1219" s="787"/>
      <c r="AM1219" s="787"/>
      <c r="AN1219" s="786"/>
      <c r="AO1219" s="787"/>
      <c r="AP1219" s="787"/>
      <c r="AQ1219" s="787"/>
      <c r="AR1219" s="786"/>
      <c r="AS1219" s="787"/>
      <c r="AT1219" s="787"/>
      <c r="AU1219" s="787"/>
      <c r="AV1219" s="786"/>
      <c r="AW1219" s="787"/>
      <c r="AX1219" s="787"/>
      <c r="AY1219" s="787"/>
      <c r="AZ1219" s="780"/>
      <c r="BA1219" s="780"/>
      <c r="BB1219" s="780"/>
      <c r="BC1219" s="780"/>
      <c r="BD1219" s="541"/>
      <c r="BE1219" s="541"/>
      <c r="BF1219" s="541"/>
      <c r="BG1219" s="541"/>
      <c r="BH1219" s="780"/>
      <c r="BI1219" s="780"/>
      <c r="BJ1219" s="780"/>
      <c r="BK1219" s="780"/>
      <c r="BL1219" s="780"/>
      <c r="BM1219" s="780"/>
    </row>
    <row r="1220" ht="12.75" customHeight="1">
      <c r="A1220" s="521"/>
      <c r="B1220" s="521"/>
      <c r="C1220" s="515"/>
      <c r="D1220" s="515"/>
      <c r="E1220" s="515"/>
      <c r="F1220" s="515"/>
      <c r="G1220" s="515"/>
      <c r="H1220" s="515"/>
      <c r="I1220" s="515"/>
      <c r="J1220" s="515"/>
      <c r="K1220" s="515"/>
      <c r="L1220" s="515"/>
      <c r="M1220" s="515"/>
      <c r="N1220" s="515"/>
      <c r="O1220" s="533"/>
      <c r="P1220" s="786"/>
      <c r="Q1220" s="787"/>
      <c r="R1220" s="787"/>
      <c r="S1220" s="787"/>
      <c r="T1220" s="786"/>
      <c r="U1220" s="787"/>
      <c r="V1220" s="787"/>
      <c r="W1220" s="787"/>
      <c r="X1220" s="786"/>
      <c r="Y1220" s="787"/>
      <c r="Z1220" s="787"/>
      <c r="AA1220" s="787"/>
      <c r="AB1220" s="786"/>
      <c r="AC1220" s="787"/>
      <c r="AD1220" s="787"/>
      <c r="AE1220" s="787"/>
      <c r="AF1220" s="786"/>
      <c r="AG1220" s="787"/>
      <c r="AH1220" s="787"/>
      <c r="AI1220" s="787"/>
      <c r="AJ1220" s="786"/>
      <c r="AK1220" s="787"/>
      <c r="AL1220" s="787"/>
      <c r="AM1220" s="787"/>
      <c r="AN1220" s="786"/>
      <c r="AO1220" s="787"/>
      <c r="AP1220" s="787"/>
      <c r="AQ1220" s="787"/>
      <c r="AR1220" s="786"/>
      <c r="AS1220" s="787"/>
      <c r="AT1220" s="787"/>
      <c r="AU1220" s="787"/>
      <c r="AV1220" s="786"/>
      <c r="AW1220" s="787"/>
      <c r="AX1220" s="787"/>
      <c r="AY1220" s="787"/>
      <c r="AZ1220" s="780"/>
      <c r="BA1220" s="780"/>
      <c r="BB1220" s="780"/>
      <c r="BC1220" s="780"/>
      <c r="BD1220" s="541"/>
      <c r="BE1220" s="541"/>
      <c r="BF1220" s="541"/>
      <c r="BG1220" s="541"/>
      <c r="BH1220" s="780"/>
      <c r="BI1220" s="780"/>
      <c r="BJ1220" s="780"/>
      <c r="BK1220" s="780"/>
      <c r="BL1220" s="780"/>
      <c r="BM1220" s="780"/>
    </row>
    <row r="1221" ht="12.75" customHeight="1">
      <c r="A1221" s="521"/>
      <c r="B1221" s="521"/>
      <c r="C1221" s="515"/>
      <c r="D1221" s="515"/>
      <c r="E1221" s="515"/>
      <c r="F1221" s="515"/>
      <c r="G1221" s="515"/>
      <c r="H1221" s="515"/>
      <c r="I1221" s="515"/>
      <c r="J1221" s="515"/>
      <c r="K1221" s="515"/>
      <c r="L1221" s="515"/>
      <c r="M1221" s="515"/>
      <c r="N1221" s="515"/>
      <c r="O1221" s="533"/>
      <c r="P1221" s="786"/>
      <c r="Q1221" s="787"/>
      <c r="R1221" s="787"/>
      <c r="S1221" s="787"/>
      <c r="T1221" s="786"/>
      <c r="U1221" s="787"/>
      <c r="V1221" s="787"/>
      <c r="W1221" s="787"/>
      <c r="X1221" s="786"/>
      <c r="Y1221" s="787"/>
      <c r="Z1221" s="787"/>
      <c r="AA1221" s="787"/>
      <c r="AB1221" s="786"/>
      <c r="AC1221" s="787"/>
      <c r="AD1221" s="787"/>
      <c r="AE1221" s="787"/>
      <c r="AF1221" s="786"/>
      <c r="AG1221" s="787"/>
      <c r="AH1221" s="787"/>
      <c r="AI1221" s="787"/>
      <c r="AJ1221" s="786"/>
      <c r="AK1221" s="787"/>
      <c r="AL1221" s="787"/>
      <c r="AM1221" s="787"/>
      <c r="AN1221" s="786"/>
      <c r="AO1221" s="787"/>
      <c r="AP1221" s="787"/>
      <c r="AQ1221" s="787"/>
      <c r="AR1221" s="786"/>
      <c r="AS1221" s="787"/>
      <c r="AT1221" s="787"/>
      <c r="AU1221" s="787"/>
      <c r="AV1221" s="786"/>
      <c r="AW1221" s="787"/>
      <c r="AX1221" s="787"/>
      <c r="AY1221" s="787"/>
      <c r="AZ1221" s="780"/>
      <c r="BA1221" s="780"/>
      <c r="BB1221" s="780"/>
      <c r="BC1221" s="780"/>
      <c r="BD1221" s="541"/>
      <c r="BE1221" s="541"/>
      <c r="BF1221" s="541"/>
      <c r="BG1221" s="541"/>
      <c r="BH1221" s="780"/>
      <c r="BI1221" s="780"/>
      <c r="BJ1221" s="780"/>
      <c r="BK1221" s="780"/>
      <c r="BL1221" s="780"/>
      <c r="BM1221" s="780"/>
    </row>
    <row r="1222" ht="12.75" customHeight="1">
      <c r="A1222" s="521"/>
      <c r="B1222" s="521"/>
      <c r="C1222" s="515"/>
      <c r="D1222" s="515"/>
      <c r="E1222" s="515"/>
      <c r="F1222" s="515"/>
      <c r="G1222" s="515"/>
      <c r="H1222" s="515"/>
      <c r="I1222" s="515"/>
      <c r="J1222" s="515"/>
      <c r="K1222" s="515"/>
      <c r="L1222" s="515"/>
      <c r="M1222" s="515"/>
      <c r="N1222" s="515"/>
      <c r="O1222" s="533"/>
      <c r="P1222" s="786"/>
      <c r="Q1222" s="787"/>
      <c r="R1222" s="787"/>
      <c r="S1222" s="787"/>
      <c r="T1222" s="786"/>
      <c r="U1222" s="787"/>
      <c r="V1222" s="787"/>
      <c r="W1222" s="787"/>
      <c r="X1222" s="786"/>
      <c r="Y1222" s="787"/>
      <c r="Z1222" s="787"/>
      <c r="AA1222" s="787"/>
      <c r="AB1222" s="786"/>
      <c r="AC1222" s="787"/>
      <c r="AD1222" s="787"/>
      <c r="AE1222" s="787"/>
      <c r="AF1222" s="786"/>
      <c r="AG1222" s="787"/>
      <c r="AH1222" s="787"/>
      <c r="AI1222" s="787"/>
      <c r="AJ1222" s="786"/>
      <c r="AK1222" s="787"/>
      <c r="AL1222" s="787"/>
      <c r="AM1222" s="787"/>
      <c r="AN1222" s="786"/>
      <c r="AO1222" s="787"/>
      <c r="AP1222" s="787"/>
      <c r="AQ1222" s="787"/>
      <c r="AR1222" s="786"/>
      <c r="AS1222" s="787"/>
      <c r="AT1222" s="787"/>
      <c r="AU1222" s="787"/>
      <c r="AV1222" s="786"/>
      <c r="AW1222" s="787"/>
      <c r="AX1222" s="787"/>
      <c r="AY1222" s="787"/>
      <c r="AZ1222" s="780"/>
      <c r="BA1222" s="780"/>
      <c r="BB1222" s="780"/>
      <c r="BC1222" s="780"/>
      <c r="BD1222" s="541"/>
      <c r="BE1222" s="541"/>
      <c r="BF1222" s="541"/>
      <c r="BG1222" s="541"/>
      <c r="BH1222" s="780"/>
      <c r="BI1222" s="780"/>
      <c r="BJ1222" s="780"/>
      <c r="BK1222" s="780"/>
      <c r="BL1222" s="780"/>
      <c r="BM1222" s="780"/>
    </row>
    <row r="1223" ht="12.75" customHeight="1">
      <c r="A1223" s="521"/>
      <c r="B1223" s="521"/>
      <c r="C1223" s="515"/>
      <c r="D1223" s="515"/>
      <c r="E1223" s="515"/>
      <c r="F1223" s="515"/>
      <c r="G1223" s="515"/>
      <c r="H1223" s="515"/>
      <c r="I1223" s="515"/>
      <c r="J1223" s="515"/>
      <c r="K1223" s="515"/>
      <c r="L1223" s="515"/>
      <c r="M1223" s="515"/>
      <c r="N1223" s="515"/>
      <c r="O1223" s="533"/>
      <c r="P1223" s="786"/>
      <c r="Q1223" s="787"/>
      <c r="R1223" s="787"/>
      <c r="S1223" s="787"/>
      <c r="T1223" s="786"/>
      <c r="U1223" s="787"/>
      <c r="V1223" s="787"/>
      <c r="W1223" s="787"/>
      <c r="X1223" s="786"/>
      <c r="Y1223" s="787"/>
      <c r="Z1223" s="787"/>
      <c r="AA1223" s="787"/>
      <c r="AB1223" s="786"/>
      <c r="AC1223" s="787"/>
      <c r="AD1223" s="787"/>
      <c r="AE1223" s="787"/>
      <c r="AF1223" s="786"/>
      <c r="AG1223" s="787"/>
      <c r="AH1223" s="787"/>
      <c r="AI1223" s="787"/>
      <c r="AJ1223" s="786"/>
      <c r="AK1223" s="787"/>
      <c r="AL1223" s="787"/>
      <c r="AM1223" s="787"/>
      <c r="AN1223" s="786"/>
      <c r="AO1223" s="787"/>
      <c r="AP1223" s="787"/>
      <c r="AQ1223" s="787"/>
      <c r="AR1223" s="786"/>
      <c r="AS1223" s="787"/>
      <c r="AT1223" s="787"/>
      <c r="AU1223" s="787"/>
      <c r="AV1223" s="786"/>
      <c r="AW1223" s="787"/>
      <c r="AX1223" s="787"/>
      <c r="AY1223" s="787"/>
      <c r="AZ1223" s="780"/>
      <c r="BA1223" s="780"/>
      <c r="BB1223" s="780"/>
      <c r="BC1223" s="780"/>
      <c r="BD1223" s="541"/>
      <c r="BE1223" s="541"/>
      <c r="BF1223" s="541"/>
      <c r="BG1223" s="541"/>
      <c r="BH1223" s="780"/>
      <c r="BI1223" s="780"/>
      <c r="BJ1223" s="780"/>
      <c r="BK1223" s="780"/>
      <c r="BL1223" s="780"/>
      <c r="BM1223" s="780"/>
    </row>
    <row r="1224" ht="12.75" customHeight="1">
      <c r="A1224" s="521"/>
      <c r="B1224" s="521"/>
      <c r="C1224" s="515"/>
      <c r="D1224" s="515"/>
      <c r="E1224" s="515"/>
      <c r="F1224" s="515"/>
      <c r="G1224" s="515"/>
      <c r="H1224" s="515"/>
      <c r="I1224" s="515"/>
      <c r="J1224" s="515"/>
      <c r="K1224" s="515"/>
      <c r="L1224" s="515"/>
      <c r="M1224" s="515"/>
      <c r="N1224" s="515"/>
      <c r="O1224" s="533"/>
      <c r="P1224" s="786"/>
      <c r="Q1224" s="787"/>
      <c r="R1224" s="787"/>
      <c r="S1224" s="787"/>
      <c r="T1224" s="786"/>
      <c r="U1224" s="787"/>
      <c r="V1224" s="787"/>
      <c r="W1224" s="787"/>
      <c r="X1224" s="786"/>
      <c r="Y1224" s="787"/>
      <c r="Z1224" s="787"/>
      <c r="AA1224" s="787"/>
      <c r="AB1224" s="786"/>
      <c r="AC1224" s="787"/>
      <c r="AD1224" s="787"/>
      <c r="AE1224" s="787"/>
      <c r="AF1224" s="786"/>
      <c r="AG1224" s="787"/>
      <c r="AH1224" s="787"/>
      <c r="AI1224" s="787"/>
      <c r="AJ1224" s="786"/>
      <c r="AK1224" s="787"/>
      <c r="AL1224" s="787"/>
      <c r="AM1224" s="787"/>
      <c r="AN1224" s="786"/>
      <c r="AO1224" s="787"/>
      <c r="AP1224" s="787"/>
      <c r="AQ1224" s="787"/>
      <c r="AR1224" s="786"/>
      <c r="AS1224" s="787"/>
      <c r="AT1224" s="787"/>
      <c r="AU1224" s="787"/>
      <c r="AV1224" s="786"/>
      <c r="AW1224" s="787"/>
      <c r="AX1224" s="787"/>
      <c r="AY1224" s="787"/>
      <c r="AZ1224" s="780"/>
      <c r="BA1224" s="780"/>
      <c r="BB1224" s="780"/>
      <c r="BC1224" s="780"/>
      <c r="BD1224" s="541"/>
      <c r="BE1224" s="541"/>
      <c r="BF1224" s="541"/>
      <c r="BG1224" s="541"/>
      <c r="BH1224" s="780"/>
      <c r="BI1224" s="780"/>
      <c r="BJ1224" s="780"/>
      <c r="BK1224" s="780"/>
      <c r="BL1224" s="780"/>
      <c r="BM1224" s="780"/>
    </row>
    <row r="1225" ht="12.75" customHeight="1">
      <c r="A1225" s="521"/>
      <c r="B1225" s="521"/>
      <c r="C1225" s="515"/>
      <c r="D1225" s="515"/>
      <c r="E1225" s="515"/>
      <c r="F1225" s="515"/>
      <c r="G1225" s="515"/>
      <c r="H1225" s="515"/>
      <c r="I1225" s="515"/>
      <c r="J1225" s="515"/>
      <c r="K1225" s="515"/>
      <c r="L1225" s="515"/>
      <c r="M1225" s="515"/>
      <c r="N1225" s="515"/>
      <c r="O1225" s="533"/>
      <c r="P1225" s="786"/>
      <c r="Q1225" s="787"/>
      <c r="R1225" s="787"/>
      <c r="S1225" s="787"/>
      <c r="T1225" s="786"/>
      <c r="U1225" s="787"/>
      <c r="V1225" s="787"/>
      <c r="W1225" s="787"/>
      <c r="X1225" s="786"/>
      <c r="Y1225" s="787"/>
      <c r="Z1225" s="787"/>
      <c r="AA1225" s="787"/>
      <c r="AB1225" s="786"/>
      <c r="AC1225" s="787"/>
      <c r="AD1225" s="787"/>
      <c r="AE1225" s="787"/>
      <c r="AF1225" s="786"/>
      <c r="AG1225" s="787"/>
      <c r="AH1225" s="787"/>
      <c r="AI1225" s="787"/>
      <c r="AJ1225" s="786"/>
      <c r="AK1225" s="787"/>
      <c r="AL1225" s="787"/>
      <c r="AM1225" s="787"/>
      <c r="AN1225" s="786"/>
      <c r="AO1225" s="787"/>
      <c r="AP1225" s="787"/>
      <c r="AQ1225" s="787"/>
      <c r="AR1225" s="786"/>
      <c r="AS1225" s="787"/>
      <c r="AT1225" s="787"/>
      <c r="AU1225" s="787"/>
      <c r="AV1225" s="786"/>
      <c r="AW1225" s="787"/>
      <c r="AX1225" s="787"/>
      <c r="AY1225" s="787"/>
      <c r="AZ1225" s="780"/>
      <c r="BA1225" s="780"/>
      <c r="BB1225" s="780"/>
      <c r="BC1225" s="780"/>
      <c r="BD1225" s="541"/>
      <c r="BE1225" s="541"/>
      <c r="BF1225" s="541"/>
      <c r="BG1225" s="541"/>
      <c r="BH1225" s="780"/>
      <c r="BI1225" s="780"/>
      <c r="BJ1225" s="780"/>
      <c r="BK1225" s="780"/>
      <c r="BL1225" s="780"/>
      <c r="BM1225" s="780"/>
    </row>
    <row r="1226" ht="12.75" customHeight="1">
      <c r="A1226" s="521"/>
      <c r="B1226" s="521"/>
      <c r="C1226" s="515"/>
      <c r="D1226" s="515"/>
      <c r="E1226" s="515"/>
      <c r="F1226" s="515"/>
      <c r="G1226" s="515"/>
      <c r="H1226" s="515"/>
      <c r="I1226" s="515"/>
      <c r="J1226" s="515"/>
      <c r="K1226" s="515"/>
      <c r="L1226" s="515"/>
      <c r="M1226" s="515"/>
      <c r="N1226" s="515"/>
      <c r="O1226" s="533"/>
      <c r="P1226" s="786"/>
      <c r="Q1226" s="787"/>
      <c r="R1226" s="787"/>
      <c r="S1226" s="787"/>
      <c r="T1226" s="786"/>
      <c r="U1226" s="787"/>
      <c r="V1226" s="787"/>
      <c r="W1226" s="787"/>
      <c r="X1226" s="786"/>
      <c r="Y1226" s="787"/>
      <c r="Z1226" s="787"/>
      <c r="AA1226" s="787"/>
      <c r="AB1226" s="786"/>
      <c r="AC1226" s="787"/>
      <c r="AD1226" s="787"/>
      <c r="AE1226" s="787"/>
      <c r="AF1226" s="786"/>
      <c r="AG1226" s="787"/>
      <c r="AH1226" s="787"/>
      <c r="AI1226" s="787"/>
      <c r="AJ1226" s="786"/>
      <c r="AK1226" s="787"/>
      <c r="AL1226" s="787"/>
      <c r="AM1226" s="787"/>
      <c r="AN1226" s="786"/>
      <c r="AO1226" s="787"/>
      <c r="AP1226" s="787"/>
      <c r="AQ1226" s="787"/>
      <c r="AR1226" s="786"/>
      <c r="AS1226" s="787"/>
      <c r="AT1226" s="787"/>
      <c r="AU1226" s="787"/>
      <c r="AV1226" s="786"/>
      <c r="AW1226" s="787"/>
      <c r="AX1226" s="787"/>
      <c r="AY1226" s="787"/>
      <c r="AZ1226" s="780"/>
      <c r="BA1226" s="780"/>
      <c r="BB1226" s="780"/>
      <c r="BC1226" s="780"/>
      <c r="BD1226" s="541"/>
      <c r="BE1226" s="541"/>
      <c r="BF1226" s="541"/>
      <c r="BG1226" s="541"/>
      <c r="BH1226" s="780"/>
      <c r="BI1226" s="780"/>
      <c r="BJ1226" s="780"/>
      <c r="BK1226" s="780"/>
      <c r="BL1226" s="780"/>
      <c r="BM1226" s="780"/>
    </row>
    <row r="1227" ht="12.75" customHeight="1">
      <c r="A1227" s="521"/>
      <c r="B1227" s="521"/>
      <c r="C1227" s="515"/>
      <c r="D1227" s="515"/>
      <c r="E1227" s="515"/>
      <c r="F1227" s="515"/>
      <c r="G1227" s="515"/>
      <c r="H1227" s="515"/>
      <c r="I1227" s="515"/>
      <c r="J1227" s="515"/>
      <c r="K1227" s="515"/>
      <c r="L1227" s="515"/>
      <c r="M1227" s="515"/>
      <c r="N1227" s="515"/>
      <c r="O1227" s="533"/>
      <c r="P1227" s="786"/>
      <c r="Q1227" s="787"/>
      <c r="R1227" s="787"/>
      <c r="S1227" s="787"/>
      <c r="T1227" s="786"/>
      <c r="U1227" s="787"/>
      <c r="V1227" s="787"/>
      <c r="W1227" s="787"/>
      <c r="X1227" s="786"/>
      <c r="Y1227" s="787"/>
      <c r="Z1227" s="787"/>
      <c r="AA1227" s="787"/>
      <c r="AB1227" s="786"/>
      <c r="AC1227" s="787"/>
      <c r="AD1227" s="787"/>
      <c r="AE1227" s="787"/>
      <c r="AF1227" s="786"/>
      <c r="AG1227" s="787"/>
      <c r="AH1227" s="787"/>
      <c r="AI1227" s="787"/>
      <c r="AJ1227" s="786"/>
      <c r="AK1227" s="787"/>
      <c r="AL1227" s="787"/>
      <c r="AM1227" s="787"/>
      <c r="AN1227" s="786"/>
      <c r="AO1227" s="787"/>
      <c r="AP1227" s="787"/>
      <c r="AQ1227" s="787"/>
      <c r="AR1227" s="786"/>
      <c r="AS1227" s="787"/>
      <c r="AT1227" s="787"/>
      <c r="AU1227" s="787"/>
      <c r="AV1227" s="786"/>
      <c r="AW1227" s="787"/>
      <c r="AX1227" s="787"/>
      <c r="AY1227" s="787"/>
      <c r="AZ1227" s="780"/>
      <c r="BA1227" s="780"/>
      <c r="BB1227" s="780"/>
      <c r="BC1227" s="780"/>
      <c r="BD1227" s="541"/>
      <c r="BE1227" s="541"/>
      <c r="BF1227" s="541"/>
      <c r="BG1227" s="541"/>
      <c r="BH1227" s="780"/>
      <c r="BI1227" s="780"/>
      <c r="BJ1227" s="780"/>
      <c r="BK1227" s="780"/>
      <c r="BL1227" s="780"/>
      <c r="BM1227" s="780"/>
    </row>
    <row r="1228" ht="12.75" customHeight="1">
      <c r="A1228" s="521"/>
      <c r="B1228" s="521"/>
      <c r="C1228" s="515"/>
      <c r="D1228" s="515"/>
      <c r="E1228" s="515"/>
      <c r="F1228" s="515"/>
      <c r="G1228" s="515"/>
      <c r="H1228" s="515"/>
      <c r="I1228" s="515"/>
      <c r="J1228" s="515"/>
      <c r="K1228" s="515"/>
      <c r="L1228" s="515"/>
      <c r="M1228" s="515"/>
      <c r="N1228" s="515"/>
      <c r="O1228" s="533"/>
      <c r="P1228" s="786"/>
      <c r="Q1228" s="787"/>
      <c r="R1228" s="787"/>
      <c r="S1228" s="787"/>
      <c r="T1228" s="786"/>
      <c r="U1228" s="787"/>
      <c r="V1228" s="787"/>
      <c r="W1228" s="787"/>
      <c r="X1228" s="786"/>
      <c r="Y1228" s="787"/>
      <c r="Z1228" s="787"/>
      <c r="AA1228" s="787"/>
      <c r="AB1228" s="786"/>
      <c r="AC1228" s="787"/>
      <c r="AD1228" s="787"/>
      <c r="AE1228" s="787"/>
      <c r="AF1228" s="786"/>
      <c r="AG1228" s="787"/>
      <c r="AH1228" s="787"/>
      <c r="AI1228" s="787"/>
      <c r="AJ1228" s="786"/>
      <c r="AK1228" s="787"/>
      <c r="AL1228" s="787"/>
      <c r="AM1228" s="787"/>
      <c r="AN1228" s="786"/>
      <c r="AO1228" s="787"/>
      <c r="AP1228" s="787"/>
      <c r="AQ1228" s="787"/>
      <c r="AR1228" s="786"/>
      <c r="AS1228" s="787"/>
      <c r="AT1228" s="787"/>
      <c r="AU1228" s="787"/>
      <c r="AV1228" s="786"/>
      <c r="AW1228" s="787"/>
      <c r="AX1228" s="787"/>
      <c r="AY1228" s="787"/>
      <c r="AZ1228" s="780"/>
      <c r="BA1228" s="780"/>
      <c r="BB1228" s="780"/>
      <c r="BC1228" s="780"/>
      <c r="BD1228" s="541"/>
      <c r="BE1228" s="541"/>
      <c r="BF1228" s="541"/>
      <c r="BG1228" s="541"/>
      <c r="BH1228" s="780"/>
      <c r="BI1228" s="780"/>
      <c r="BJ1228" s="780"/>
      <c r="BK1228" s="780"/>
      <c r="BL1228" s="780"/>
      <c r="BM1228" s="780"/>
    </row>
    <row r="1229" ht="12.75" customHeight="1">
      <c r="A1229" s="521"/>
      <c r="B1229" s="521"/>
      <c r="C1229" s="515"/>
      <c r="D1229" s="515"/>
      <c r="E1229" s="515"/>
      <c r="F1229" s="515"/>
      <c r="G1229" s="515"/>
      <c r="H1229" s="515"/>
      <c r="I1229" s="515"/>
      <c r="J1229" s="515"/>
      <c r="K1229" s="515"/>
      <c r="L1229" s="515"/>
      <c r="M1229" s="515"/>
      <c r="N1229" s="515"/>
      <c r="O1229" s="533"/>
      <c r="P1229" s="786"/>
      <c r="Q1229" s="787"/>
      <c r="R1229" s="787"/>
      <c r="S1229" s="787"/>
      <c r="T1229" s="786"/>
      <c r="U1229" s="787"/>
      <c r="V1229" s="787"/>
      <c r="W1229" s="787"/>
      <c r="X1229" s="786"/>
      <c r="Y1229" s="787"/>
      <c r="Z1229" s="787"/>
      <c r="AA1229" s="787"/>
      <c r="AB1229" s="786"/>
      <c r="AC1229" s="787"/>
      <c r="AD1229" s="787"/>
      <c r="AE1229" s="787"/>
      <c r="AF1229" s="786"/>
      <c r="AG1229" s="787"/>
      <c r="AH1229" s="787"/>
      <c r="AI1229" s="787"/>
      <c r="AJ1229" s="786"/>
      <c r="AK1229" s="787"/>
      <c r="AL1229" s="787"/>
      <c r="AM1229" s="787"/>
      <c r="AN1229" s="786"/>
      <c r="AO1229" s="787"/>
      <c r="AP1229" s="787"/>
      <c r="AQ1229" s="787"/>
      <c r="AR1229" s="786"/>
      <c r="AS1229" s="787"/>
      <c r="AT1229" s="787"/>
      <c r="AU1229" s="787"/>
      <c r="AV1229" s="786"/>
      <c r="AW1229" s="787"/>
      <c r="AX1229" s="787"/>
      <c r="AY1229" s="787"/>
      <c r="AZ1229" s="780"/>
      <c r="BA1229" s="780"/>
      <c r="BB1229" s="780"/>
      <c r="BC1229" s="780"/>
      <c r="BD1229" s="541"/>
      <c r="BE1229" s="541"/>
      <c r="BF1229" s="541"/>
      <c r="BG1229" s="541"/>
      <c r="BH1229" s="780"/>
      <c r="BI1229" s="780"/>
      <c r="BJ1229" s="780"/>
      <c r="BK1229" s="780"/>
      <c r="BL1229" s="780"/>
      <c r="BM1229" s="780"/>
    </row>
    <row r="1230" ht="12.75" customHeight="1">
      <c r="A1230" s="521"/>
      <c r="B1230" s="521"/>
      <c r="C1230" s="515"/>
      <c r="D1230" s="515"/>
      <c r="E1230" s="515"/>
      <c r="F1230" s="515"/>
      <c r="G1230" s="515"/>
      <c r="H1230" s="515"/>
      <c r="I1230" s="515"/>
      <c r="J1230" s="515"/>
      <c r="K1230" s="515"/>
      <c r="L1230" s="515"/>
      <c r="M1230" s="515"/>
      <c r="N1230" s="515"/>
      <c r="O1230" s="533"/>
      <c r="P1230" s="786"/>
      <c r="Q1230" s="787"/>
      <c r="R1230" s="787"/>
      <c r="S1230" s="787"/>
      <c r="T1230" s="786"/>
      <c r="U1230" s="787"/>
      <c r="V1230" s="787"/>
      <c r="W1230" s="787"/>
      <c r="X1230" s="786"/>
      <c r="Y1230" s="787"/>
      <c r="Z1230" s="787"/>
      <c r="AA1230" s="787"/>
      <c r="AB1230" s="786"/>
      <c r="AC1230" s="787"/>
      <c r="AD1230" s="787"/>
      <c r="AE1230" s="787"/>
      <c r="AF1230" s="786"/>
      <c r="AG1230" s="787"/>
      <c r="AH1230" s="787"/>
      <c r="AI1230" s="787"/>
      <c r="AJ1230" s="786"/>
      <c r="AK1230" s="787"/>
      <c r="AL1230" s="787"/>
      <c r="AM1230" s="787"/>
      <c r="AN1230" s="786"/>
      <c r="AO1230" s="787"/>
      <c r="AP1230" s="787"/>
      <c r="AQ1230" s="787"/>
      <c r="AR1230" s="786"/>
      <c r="AS1230" s="787"/>
      <c r="AT1230" s="787"/>
      <c r="AU1230" s="787"/>
      <c r="AV1230" s="786"/>
      <c r="AW1230" s="787"/>
      <c r="AX1230" s="787"/>
      <c r="AY1230" s="787"/>
      <c r="AZ1230" s="780"/>
      <c r="BA1230" s="780"/>
      <c r="BB1230" s="780"/>
      <c r="BC1230" s="780"/>
      <c r="BD1230" s="541"/>
      <c r="BE1230" s="541"/>
      <c r="BF1230" s="541"/>
      <c r="BG1230" s="541"/>
      <c r="BH1230" s="780"/>
      <c r="BI1230" s="780"/>
      <c r="BJ1230" s="780"/>
      <c r="BK1230" s="780"/>
      <c r="BL1230" s="780"/>
      <c r="BM1230" s="780"/>
    </row>
    <row r="1231" ht="12.75" customHeight="1">
      <c r="A1231" s="521"/>
      <c r="B1231" s="521"/>
      <c r="C1231" s="515"/>
      <c r="D1231" s="515"/>
      <c r="E1231" s="515"/>
      <c r="F1231" s="515"/>
      <c r="G1231" s="515"/>
      <c r="H1231" s="515"/>
      <c r="I1231" s="515"/>
      <c r="J1231" s="515"/>
      <c r="K1231" s="515"/>
      <c r="L1231" s="515"/>
      <c r="M1231" s="515"/>
      <c r="N1231" s="515"/>
      <c r="O1231" s="533"/>
      <c r="P1231" s="786"/>
      <c r="Q1231" s="787"/>
      <c r="R1231" s="787"/>
      <c r="S1231" s="787"/>
      <c r="T1231" s="786"/>
      <c r="U1231" s="787"/>
      <c r="V1231" s="787"/>
      <c r="W1231" s="787"/>
      <c r="X1231" s="786"/>
      <c r="Y1231" s="787"/>
      <c r="Z1231" s="787"/>
      <c r="AA1231" s="787"/>
      <c r="AB1231" s="786"/>
      <c r="AC1231" s="787"/>
      <c r="AD1231" s="787"/>
      <c r="AE1231" s="787"/>
      <c r="AF1231" s="786"/>
      <c r="AG1231" s="787"/>
      <c r="AH1231" s="787"/>
      <c r="AI1231" s="787"/>
      <c r="AJ1231" s="786"/>
      <c r="AK1231" s="787"/>
      <c r="AL1231" s="787"/>
      <c r="AM1231" s="787"/>
      <c r="AN1231" s="786"/>
      <c r="AO1231" s="787"/>
      <c r="AP1231" s="787"/>
      <c r="AQ1231" s="787"/>
      <c r="AR1231" s="786"/>
      <c r="AS1231" s="787"/>
      <c r="AT1231" s="787"/>
      <c r="AU1231" s="787"/>
      <c r="AV1231" s="786"/>
      <c r="AW1231" s="787"/>
      <c r="AX1231" s="787"/>
      <c r="AY1231" s="787"/>
      <c r="AZ1231" s="780"/>
      <c r="BA1231" s="780"/>
      <c r="BB1231" s="780"/>
      <c r="BC1231" s="780"/>
      <c r="BD1231" s="541"/>
      <c r="BE1231" s="541"/>
      <c r="BF1231" s="541"/>
      <c r="BG1231" s="541"/>
      <c r="BH1231" s="780"/>
      <c r="BI1231" s="780"/>
      <c r="BJ1231" s="780"/>
      <c r="BK1231" s="780"/>
      <c r="BL1231" s="780"/>
      <c r="BM1231" s="780"/>
    </row>
    <row r="1232" ht="12.75" customHeight="1">
      <c r="A1232" s="521"/>
      <c r="B1232" s="521"/>
      <c r="C1232" s="515"/>
      <c r="D1232" s="515"/>
      <c r="E1232" s="515"/>
      <c r="F1232" s="515"/>
      <c r="G1232" s="515"/>
      <c r="H1232" s="515"/>
      <c r="I1232" s="515"/>
      <c r="J1232" s="515"/>
      <c r="K1232" s="515"/>
      <c r="L1232" s="515"/>
      <c r="M1232" s="515"/>
      <c r="N1232" s="515"/>
      <c r="O1232" s="533"/>
      <c r="P1232" s="786"/>
      <c r="Q1232" s="787"/>
      <c r="R1232" s="787"/>
      <c r="S1232" s="787"/>
      <c r="T1232" s="786"/>
      <c r="U1232" s="787"/>
      <c r="V1232" s="787"/>
      <c r="W1232" s="787"/>
      <c r="X1232" s="786"/>
      <c r="Y1232" s="787"/>
      <c r="Z1232" s="787"/>
      <c r="AA1232" s="787"/>
      <c r="AB1232" s="786"/>
      <c r="AC1232" s="787"/>
      <c r="AD1232" s="787"/>
      <c r="AE1232" s="787"/>
      <c r="AF1232" s="786"/>
      <c r="AG1232" s="787"/>
      <c r="AH1232" s="787"/>
      <c r="AI1232" s="787"/>
      <c r="AJ1232" s="786"/>
      <c r="AK1232" s="787"/>
      <c r="AL1232" s="787"/>
      <c r="AM1232" s="787"/>
      <c r="AN1232" s="786"/>
      <c r="AO1232" s="787"/>
      <c r="AP1232" s="787"/>
      <c r="AQ1232" s="787"/>
      <c r="AR1232" s="786"/>
      <c r="AS1232" s="787"/>
      <c r="AT1232" s="787"/>
      <c r="AU1232" s="787"/>
      <c r="AV1232" s="786"/>
      <c r="AW1232" s="787"/>
      <c r="AX1232" s="787"/>
      <c r="AY1232" s="787"/>
      <c r="AZ1232" s="780"/>
      <c r="BA1232" s="780"/>
      <c r="BB1232" s="780"/>
      <c r="BC1232" s="780"/>
      <c r="BD1232" s="541"/>
      <c r="BE1232" s="541"/>
      <c r="BF1232" s="541"/>
      <c r="BG1232" s="541"/>
      <c r="BH1232" s="780"/>
      <c r="BI1232" s="780"/>
      <c r="BJ1232" s="780"/>
      <c r="BK1232" s="780"/>
      <c r="BL1232" s="780"/>
      <c r="BM1232" s="780"/>
    </row>
    <row r="1233" ht="12.75" customHeight="1">
      <c r="A1233" s="521"/>
      <c r="B1233" s="521"/>
      <c r="C1233" s="515"/>
      <c r="D1233" s="515"/>
      <c r="E1233" s="515"/>
      <c r="F1233" s="515"/>
      <c r="G1233" s="515"/>
      <c r="H1233" s="515"/>
      <c r="I1233" s="515"/>
      <c r="J1233" s="515"/>
      <c r="K1233" s="515"/>
      <c r="L1233" s="515"/>
      <c r="M1233" s="515"/>
      <c r="N1233" s="515"/>
      <c r="O1233" s="533"/>
      <c r="P1233" s="786"/>
      <c r="Q1233" s="787"/>
      <c r="R1233" s="787"/>
      <c r="S1233" s="787"/>
      <c r="T1233" s="786"/>
      <c r="U1233" s="787"/>
      <c r="V1233" s="787"/>
      <c r="W1233" s="787"/>
      <c r="X1233" s="786"/>
      <c r="Y1233" s="787"/>
      <c r="Z1233" s="787"/>
      <c r="AA1233" s="787"/>
      <c r="AB1233" s="786"/>
      <c r="AC1233" s="787"/>
      <c r="AD1233" s="787"/>
      <c r="AE1233" s="787"/>
      <c r="AF1233" s="786"/>
      <c r="AG1233" s="787"/>
      <c r="AH1233" s="787"/>
      <c r="AI1233" s="787"/>
      <c r="AJ1233" s="786"/>
      <c r="AK1233" s="787"/>
      <c r="AL1233" s="787"/>
      <c r="AM1233" s="787"/>
      <c r="AN1233" s="786"/>
      <c r="AO1233" s="787"/>
      <c r="AP1233" s="787"/>
      <c r="AQ1233" s="787"/>
      <c r="AR1233" s="786"/>
      <c r="AS1233" s="787"/>
      <c r="AT1233" s="787"/>
      <c r="AU1233" s="787"/>
      <c r="AV1233" s="786"/>
      <c r="AW1233" s="787"/>
      <c r="AX1233" s="787"/>
      <c r="AY1233" s="787"/>
      <c r="AZ1233" s="780"/>
      <c r="BA1233" s="780"/>
      <c r="BB1233" s="780"/>
      <c r="BC1233" s="780"/>
      <c r="BD1233" s="541"/>
      <c r="BE1233" s="541"/>
      <c r="BF1233" s="541"/>
      <c r="BG1233" s="541"/>
      <c r="BH1233" s="780"/>
      <c r="BI1233" s="780"/>
      <c r="BJ1233" s="780"/>
      <c r="BK1233" s="780"/>
      <c r="BL1233" s="780"/>
      <c r="BM1233" s="780"/>
    </row>
    <row r="1234" ht="12.75" customHeight="1">
      <c r="A1234" s="521"/>
      <c r="B1234" s="521"/>
      <c r="C1234" s="515"/>
      <c r="D1234" s="515"/>
      <c r="E1234" s="515"/>
      <c r="F1234" s="515"/>
      <c r="G1234" s="515"/>
      <c r="H1234" s="515"/>
      <c r="I1234" s="515"/>
      <c r="J1234" s="515"/>
      <c r="K1234" s="515"/>
      <c r="L1234" s="515"/>
      <c r="M1234" s="515"/>
      <c r="N1234" s="515"/>
      <c r="O1234" s="533"/>
      <c r="P1234" s="786"/>
      <c r="Q1234" s="787"/>
      <c r="R1234" s="787"/>
      <c r="S1234" s="787"/>
      <c r="T1234" s="786"/>
      <c r="U1234" s="787"/>
      <c r="V1234" s="787"/>
      <c r="W1234" s="787"/>
      <c r="X1234" s="786"/>
      <c r="Y1234" s="787"/>
      <c r="Z1234" s="787"/>
      <c r="AA1234" s="787"/>
      <c r="AB1234" s="786"/>
      <c r="AC1234" s="787"/>
      <c r="AD1234" s="787"/>
      <c r="AE1234" s="787"/>
      <c r="AF1234" s="786"/>
      <c r="AG1234" s="787"/>
      <c r="AH1234" s="787"/>
      <c r="AI1234" s="787"/>
      <c r="AJ1234" s="786"/>
      <c r="AK1234" s="787"/>
      <c r="AL1234" s="787"/>
      <c r="AM1234" s="787"/>
      <c r="AN1234" s="786"/>
      <c r="AO1234" s="787"/>
      <c r="AP1234" s="787"/>
      <c r="AQ1234" s="787"/>
      <c r="AR1234" s="786"/>
      <c r="AS1234" s="787"/>
      <c r="AT1234" s="787"/>
      <c r="AU1234" s="787"/>
      <c r="AV1234" s="786"/>
      <c r="AW1234" s="787"/>
      <c r="AX1234" s="787"/>
      <c r="AY1234" s="787"/>
      <c r="AZ1234" s="780"/>
      <c r="BA1234" s="780"/>
      <c r="BB1234" s="780"/>
      <c r="BC1234" s="780"/>
      <c r="BD1234" s="541"/>
      <c r="BE1234" s="541"/>
      <c r="BF1234" s="541"/>
      <c r="BG1234" s="541"/>
      <c r="BH1234" s="780"/>
      <c r="BI1234" s="780"/>
      <c r="BJ1234" s="780"/>
      <c r="BK1234" s="780"/>
      <c r="BL1234" s="780"/>
      <c r="BM1234" s="780"/>
    </row>
    <row r="1235" ht="12.75" customHeight="1">
      <c r="A1235" s="521"/>
      <c r="B1235" s="521"/>
      <c r="C1235" s="515"/>
      <c r="D1235" s="515"/>
      <c r="E1235" s="515"/>
      <c r="F1235" s="515"/>
      <c r="G1235" s="515"/>
      <c r="H1235" s="515"/>
      <c r="I1235" s="515"/>
      <c r="J1235" s="515"/>
      <c r="K1235" s="515"/>
      <c r="L1235" s="515"/>
      <c r="M1235" s="515"/>
      <c r="N1235" s="515"/>
      <c r="O1235" s="533"/>
      <c r="P1235" s="786"/>
      <c r="Q1235" s="787"/>
      <c r="R1235" s="787"/>
      <c r="S1235" s="787"/>
      <c r="T1235" s="786"/>
      <c r="U1235" s="787"/>
      <c r="V1235" s="787"/>
      <c r="W1235" s="787"/>
      <c r="X1235" s="786"/>
      <c r="Y1235" s="787"/>
      <c r="Z1235" s="787"/>
      <c r="AA1235" s="787"/>
      <c r="AB1235" s="786"/>
      <c r="AC1235" s="787"/>
      <c r="AD1235" s="787"/>
      <c r="AE1235" s="787"/>
      <c r="AF1235" s="786"/>
      <c r="AG1235" s="787"/>
      <c r="AH1235" s="787"/>
      <c r="AI1235" s="787"/>
      <c r="AJ1235" s="786"/>
      <c r="AK1235" s="787"/>
      <c r="AL1235" s="787"/>
      <c r="AM1235" s="787"/>
      <c r="AN1235" s="786"/>
      <c r="AO1235" s="787"/>
      <c r="AP1235" s="787"/>
      <c r="AQ1235" s="787"/>
      <c r="AR1235" s="786"/>
      <c r="AS1235" s="787"/>
      <c r="AT1235" s="787"/>
      <c r="AU1235" s="787"/>
      <c r="AV1235" s="786"/>
      <c r="AW1235" s="787"/>
      <c r="AX1235" s="787"/>
      <c r="AY1235" s="787"/>
      <c r="AZ1235" s="780"/>
      <c r="BA1235" s="780"/>
      <c r="BB1235" s="780"/>
      <c r="BC1235" s="780"/>
      <c r="BD1235" s="541"/>
      <c r="BE1235" s="541"/>
      <c r="BF1235" s="541"/>
      <c r="BG1235" s="541"/>
      <c r="BH1235" s="780"/>
      <c r="BI1235" s="780"/>
      <c r="BJ1235" s="780"/>
      <c r="BK1235" s="780"/>
      <c r="BL1235" s="780"/>
      <c r="BM1235" s="780"/>
    </row>
    <row r="1236" ht="12.75" customHeight="1">
      <c r="A1236" s="521"/>
      <c r="B1236" s="521"/>
      <c r="C1236" s="515"/>
      <c r="D1236" s="515"/>
      <c r="E1236" s="515"/>
      <c r="F1236" s="515"/>
      <c r="G1236" s="515"/>
      <c r="H1236" s="515"/>
      <c r="I1236" s="515"/>
      <c r="J1236" s="515"/>
      <c r="K1236" s="515"/>
      <c r="L1236" s="515"/>
      <c r="M1236" s="515"/>
      <c r="N1236" s="515"/>
      <c r="O1236" s="533"/>
      <c r="P1236" s="786"/>
      <c r="Q1236" s="787"/>
      <c r="R1236" s="787"/>
      <c r="S1236" s="787"/>
      <c r="T1236" s="786"/>
      <c r="U1236" s="787"/>
      <c r="V1236" s="787"/>
      <c r="W1236" s="787"/>
      <c r="X1236" s="786"/>
      <c r="Y1236" s="787"/>
      <c r="Z1236" s="787"/>
      <c r="AA1236" s="787"/>
      <c r="AB1236" s="786"/>
      <c r="AC1236" s="787"/>
      <c r="AD1236" s="787"/>
      <c r="AE1236" s="787"/>
      <c r="AF1236" s="786"/>
      <c r="AG1236" s="787"/>
      <c r="AH1236" s="787"/>
      <c r="AI1236" s="787"/>
      <c r="AJ1236" s="786"/>
      <c r="AK1236" s="787"/>
      <c r="AL1236" s="787"/>
      <c r="AM1236" s="787"/>
      <c r="AN1236" s="786"/>
      <c r="AO1236" s="787"/>
      <c r="AP1236" s="787"/>
      <c r="AQ1236" s="787"/>
      <c r="AR1236" s="786"/>
      <c r="AS1236" s="787"/>
      <c r="AT1236" s="787"/>
      <c r="AU1236" s="787"/>
      <c r="AV1236" s="786"/>
      <c r="AW1236" s="787"/>
      <c r="AX1236" s="787"/>
      <c r="AY1236" s="787"/>
      <c r="AZ1236" s="780"/>
      <c r="BA1236" s="780"/>
      <c r="BB1236" s="780"/>
      <c r="BC1236" s="780"/>
      <c r="BD1236" s="541"/>
      <c r="BE1236" s="541"/>
      <c r="BF1236" s="541"/>
      <c r="BG1236" s="541"/>
      <c r="BH1236" s="780"/>
      <c r="BI1236" s="780"/>
      <c r="BJ1236" s="780"/>
      <c r="BK1236" s="780"/>
      <c r="BL1236" s="780"/>
      <c r="BM1236" s="780"/>
    </row>
    <row r="1237" ht="12.75" customHeight="1">
      <c r="A1237" s="521"/>
      <c r="B1237" s="521"/>
      <c r="C1237" s="515"/>
      <c r="D1237" s="515"/>
      <c r="E1237" s="515"/>
      <c r="F1237" s="515"/>
      <c r="G1237" s="515"/>
      <c r="H1237" s="515"/>
      <c r="I1237" s="515"/>
      <c r="J1237" s="515"/>
      <c r="K1237" s="515"/>
      <c r="L1237" s="515"/>
      <c r="M1237" s="515"/>
      <c r="N1237" s="515"/>
      <c r="O1237" s="533"/>
      <c r="P1237" s="786"/>
      <c r="Q1237" s="787"/>
      <c r="R1237" s="787"/>
      <c r="S1237" s="787"/>
      <c r="T1237" s="786"/>
      <c r="U1237" s="787"/>
      <c r="V1237" s="787"/>
      <c r="W1237" s="787"/>
      <c r="X1237" s="786"/>
      <c r="Y1237" s="787"/>
      <c r="Z1237" s="787"/>
      <c r="AA1237" s="787"/>
      <c r="AB1237" s="786"/>
      <c r="AC1237" s="787"/>
      <c r="AD1237" s="787"/>
      <c r="AE1237" s="787"/>
      <c r="AF1237" s="786"/>
      <c r="AG1237" s="787"/>
      <c r="AH1237" s="787"/>
      <c r="AI1237" s="787"/>
      <c r="AJ1237" s="786"/>
      <c r="AK1237" s="787"/>
      <c r="AL1237" s="787"/>
      <c r="AM1237" s="787"/>
      <c r="AN1237" s="786"/>
      <c r="AO1237" s="787"/>
      <c r="AP1237" s="787"/>
      <c r="AQ1237" s="787"/>
      <c r="AR1237" s="786"/>
      <c r="AS1237" s="787"/>
      <c r="AT1237" s="787"/>
      <c r="AU1237" s="787"/>
      <c r="AV1237" s="786"/>
      <c r="AW1237" s="787"/>
      <c r="AX1237" s="787"/>
      <c r="AY1237" s="787"/>
      <c r="AZ1237" s="780"/>
      <c r="BA1237" s="780"/>
      <c r="BB1237" s="780"/>
      <c r="BC1237" s="780"/>
      <c r="BD1237" s="541"/>
      <c r="BE1237" s="541"/>
      <c r="BF1237" s="541"/>
      <c r="BG1237" s="541"/>
      <c r="BH1237" s="780"/>
      <c r="BI1237" s="780"/>
      <c r="BJ1237" s="780"/>
      <c r="BK1237" s="780"/>
      <c r="BL1237" s="780"/>
      <c r="BM1237" s="780"/>
    </row>
    <row r="1238" ht="12.75" customHeight="1">
      <c r="A1238" s="521"/>
      <c r="B1238" s="521"/>
      <c r="C1238" s="515"/>
      <c r="D1238" s="515"/>
      <c r="E1238" s="515"/>
      <c r="F1238" s="515"/>
      <c r="G1238" s="515"/>
      <c r="H1238" s="515"/>
      <c r="I1238" s="515"/>
      <c r="J1238" s="515"/>
      <c r="K1238" s="515"/>
      <c r="L1238" s="515"/>
      <c r="M1238" s="515"/>
      <c r="N1238" s="515"/>
      <c r="O1238" s="533"/>
      <c r="P1238" s="786"/>
      <c r="Q1238" s="787"/>
      <c r="R1238" s="787"/>
      <c r="S1238" s="787"/>
      <c r="T1238" s="786"/>
      <c r="U1238" s="787"/>
      <c r="V1238" s="787"/>
      <c r="W1238" s="787"/>
      <c r="X1238" s="786"/>
      <c r="Y1238" s="787"/>
      <c r="Z1238" s="787"/>
      <c r="AA1238" s="787"/>
      <c r="AB1238" s="786"/>
      <c r="AC1238" s="787"/>
      <c r="AD1238" s="787"/>
      <c r="AE1238" s="787"/>
      <c r="AF1238" s="786"/>
      <c r="AG1238" s="787"/>
      <c r="AH1238" s="787"/>
      <c r="AI1238" s="787"/>
      <c r="AJ1238" s="786"/>
      <c r="AK1238" s="787"/>
      <c r="AL1238" s="787"/>
      <c r="AM1238" s="787"/>
      <c r="AN1238" s="786"/>
      <c r="AO1238" s="787"/>
      <c r="AP1238" s="787"/>
      <c r="AQ1238" s="787"/>
      <c r="AR1238" s="786"/>
      <c r="AS1238" s="787"/>
      <c r="AT1238" s="787"/>
      <c r="AU1238" s="787"/>
      <c r="AV1238" s="786"/>
      <c r="AW1238" s="787"/>
      <c r="AX1238" s="787"/>
      <c r="AY1238" s="787"/>
      <c r="AZ1238" s="780"/>
      <c r="BA1238" s="780"/>
      <c r="BB1238" s="780"/>
      <c r="BC1238" s="780"/>
      <c r="BD1238" s="541"/>
      <c r="BE1238" s="541"/>
      <c r="BF1238" s="541"/>
      <c r="BG1238" s="541"/>
      <c r="BH1238" s="780"/>
      <c r="BI1238" s="780"/>
      <c r="BJ1238" s="780"/>
      <c r="BK1238" s="780"/>
      <c r="BL1238" s="780"/>
      <c r="BM1238" s="780"/>
    </row>
    <row r="1239" ht="12.75" customHeight="1">
      <c r="A1239" s="521"/>
      <c r="B1239" s="521"/>
      <c r="C1239" s="515"/>
      <c r="D1239" s="515"/>
      <c r="E1239" s="515"/>
      <c r="F1239" s="515"/>
      <c r="G1239" s="515"/>
      <c r="H1239" s="515"/>
      <c r="I1239" s="515"/>
      <c r="J1239" s="515"/>
      <c r="K1239" s="515"/>
      <c r="L1239" s="515"/>
      <c r="M1239" s="515"/>
      <c r="N1239" s="515"/>
      <c r="O1239" s="533"/>
      <c r="P1239" s="786"/>
      <c r="Q1239" s="787"/>
      <c r="R1239" s="787"/>
      <c r="S1239" s="787"/>
      <c r="T1239" s="786"/>
      <c r="U1239" s="787"/>
      <c r="V1239" s="787"/>
      <c r="W1239" s="787"/>
      <c r="X1239" s="786"/>
      <c r="Y1239" s="787"/>
      <c r="Z1239" s="787"/>
      <c r="AA1239" s="787"/>
      <c r="AB1239" s="786"/>
      <c r="AC1239" s="787"/>
      <c r="AD1239" s="787"/>
      <c r="AE1239" s="787"/>
      <c r="AF1239" s="786"/>
      <c r="AG1239" s="787"/>
      <c r="AH1239" s="787"/>
      <c r="AI1239" s="787"/>
      <c r="AJ1239" s="786"/>
      <c r="AK1239" s="787"/>
      <c r="AL1239" s="787"/>
      <c r="AM1239" s="787"/>
      <c r="AN1239" s="786"/>
      <c r="AO1239" s="787"/>
      <c r="AP1239" s="787"/>
      <c r="AQ1239" s="787"/>
      <c r="AR1239" s="786"/>
      <c r="AS1239" s="787"/>
      <c r="AT1239" s="787"/>
      <c r="AU1239" s="787"/>
      <c r="AV1239" s="786"/>
      <c r="AW1239" s="787"/>
      <c r="AX1239" s="787"/>
      <c r="AY1239" s="787"/>
      <c r="AZ1239" s="780"/>
      <c r="BA1239" s="780"/>
      <c r="BB1239" s="780"/>
      <c r="BC1239" s="780"/>
      <c r="BD1239" s="541"/>
      <c r="BE1239" s="541"/>
      <c r="BF1239" s="541"/>
      <c r="BG1239" s="541"/>
      <c r="BH1239" s="780"/>
      <c r="BI1239" s="780"/>
      <c r="BJ1239" s="780"/>
      <c r="BK1239" s="780"/>
      <c r="BL1239" s="780"/>
      <c r="BM1239" s="780"/>
    </row>
    <row r="1240" ht="12.75" customHeight="1">
      <c r="A1240" s="521"/>
      <c r="B1240" s="521"/>
      <c r="C1240" s="515"/>
      <c r="D1240" s="515"/>
      <c r="E1240" s="515"/>
      <c r="F1240" s="515"/>
      <c r="G1240" s="515"/>
      <c r="H1240" s="515"/>
      <c r="I1240" s="515"/>
      <c r="J1240" s="515"/>
      <c r="K1240" s="515"/>
      <c r="L1240" s="515"/>
      <c r="M1240" s="515"/>
      <c r="N1240" s="515"/>
      <c r="O1240" s="533"/>
      <c r="P1240" s="786"/>
      <c r="Q1240" s="787"/>
      <c r="R1240" s="787"/>
      <c r="S1240" s="787"/>
      <c r="T1240" s="786"/>
      <c r="U1240" s="787"/>
      <c r="V1240" s="787"/>
      <c r="W1240" s="787"/>
      <c r="X1240" s="786"/>
      <c r="Y1240" s="787"/>
      <c r="Z1240" s="787"/>
      <c r="AA1240" s="787"/>
      <c r="AB1240" s="786"/>
      <c r="AC1240" s="787"/>
      <c r="AD1240" s="787"/>
      <c r="AE1240" s="787"/>
      <c r="AF1240" s="786"/>
      <c r="AG1240" s="787"/>
      <c r="AH1240" s="787"/>
      <c r="AI1240" s="787"/>
      <c r="AJ1240" s="786"/>
      <c r="AK1240" s="787"/>
      <c r="AL1240" s="787"/>
      <c r="AM1240" s="787"/>
      <c r="AN1240" s="786"/>
      <c r="AO1240" s="787"/>
      <c r="AP1240" s="787"/>
      <c r="AQ1240" s="787"/>
      <c r="AR1240" s="786"/>
      <c r="AS1240" s="787"/>
      <c r="AT1240" s="787"/>
      <c r="AU1240" s="787"/>
      <c r="AV1240" s="786"/>
      <c r="AW1240" s="787"/>
      <c r="AX1240" s="787"/>
      <c r="AY1240" s="787"/>
      <c r="AZ1240" s="780"/>
      <c r="BA1240" s="780"/>
      <c r="BB1240" s="780"/>
      <c r="BC1240" s="780"/>
      <c r="BD1240" s="541"/>
      <c r="BE1240" s="541"/>
      <c r="BF1240" s="541"/>
      <c r="BG1240" s="541"/>
      <c r="BH1240" s="780"/>
      <c r="BI1240" s="780"/>
      <c r="BJ1240" s="780"/>
      <c r="BK1240" s="780"/>
      <c r="BL1240" s="780"/>
      <c r="BM1240" s="780"/>
    </row>
    <row r="1241" ht="12.75" customHeight="1">
      <c r="A1241" s="521"/>
      <c r="B1241" s="521"/>
      <c r="C1241" s="515"/>
      <c r="D1241" s="515"/>
      <c r="E1241" s="515"/>
      <c r="F1241" s="515"/>
      <c r="G1241" s="515"/>
      <c r="H1241" s="515"/>
      <c r="I1241" s="515"/>
      <c r="J1241" s="515"/>
      <c r="K1241" s="515"/>
      <c r="L1241" s="515"/>
      <c r="M1241" s="515"/>
      <c r="N1241" s="515"/>
      <c r="O1241" s="533"/>
      <c r="P1241" s="786"/>
      <c r="Q1241" s="787"/>
      <c r="R1241" s="787"/>
      <c r="S1241" s="787"/>
      <c r="T1241" s="786"/>
      <c r="U1241" s="787"/>
      <c r="V1241" s="787"/>
      <c r="W1241" s="787"/>
      <c r="X1241" s="786"/>
      <c r="Y1241" s="787"/>
      <c r="Z1241" s="787"/>
      <c r="AA1241" s="787"/>
      <c r="AB1241" s="786"/>
      <c r="AC1241" s="787"/>
      <c r="AD1241" s="787"/>
      <c r="AE1241" s="787"/>
      <c r="AF1241" s="786"/>
      <c r="AG1241" s="787"/>
      <c r="AH1241" s="787"/>
      <c r="AI1241" s="787"/>
      <c r="AJ1241" s="786"/>
      <c r="AK1241" s="787"/>
      <c r="AL1241" s="787"/>
      <c r="AM1241" s="787"/>
      <c r="AN1241" s="786"/>
      <c r="AO1241" s="787"/>
      <c r="AP1241" s="787"/>
      <c r="AQ1241" s="787"/>
      <c r="AR1241" s="786"/>
      <c r="AS1241" s="787"/>
      <c r="AT1241" s="787"/>
      <c r="AU1241" s="787"/>
      <c r="AV1241" s="786"/>
      <c r="AW1241" s="787"/>
      <c r="AX1241" s="787"/>
      <c r="AY1241" s="787"/>
      <c r="AZ1241" s="780"/>
      <c r="BA1241" s="780"/>
      <c r="BB1241" s="780"/>
      <c r="BC1241" s="780"/>
      <c r="BD1241" s="541"/>
      <c r="BE1241" s="541"/>
      <c r="BF1241" s="541"/>
      <c r="BG1241" s="541"/>
      <c r="BH1241" s="780"/>
      <c r="BI1241" s="780"/>
      <c r="BJ1241" s="780"/>
      <c r="BK1241" s="780"/>
      <c r="BL1241" s="780"/>
      <c r="BM1241" s="780"/>
    </row>
    <row r="1242" ht="12.75" customHeight="1">
      <c r="A1242" s="521"/>
      <c r="B1242" s="521"/>
      <c r="C1242" s="515"/>
      <c r="D1242" s="515"/>
      <c r="E1242" s="515"/>
      <c r="F1242" s="515"/>
      <c r="G1242" s="515"/>
      <c r="H1242" s="515"/>
      <c r="I1242" s="515"/>
      <c r="J1242" s="515"/>
      <c r="K1242" s="515"/>
      <c r="L1242" s="515"/>
      <c r="M1242" s="515"/>
      <c r="N1242" s="515"/>
      <c r="O1242" s="533"/>
      <c r="P1242" s="786"/>
      <c r="Q1242" s="787"/>
      <c r="R1242" s="787"/>
      <c r="S1242" s="787"/>
      <c r="T1242" s="786"/>
      <c r="U1242" s="787"/>
      <c r="V1242" s="787"/>
      <c r="W1242" s="787"/>
      <c r="X1242" s="786"/>
      <c r="Y1242" s="787"/>
      <c r="Z1242" s="787"/>
      <c r="AA1242" s="787"/>
      <c r="AB1242" s="786"/>
      <c r="AC1242" s="787"/>
      <c r="AD1242" s="787"/>
      <c r="AE1242" s="787"/>
      <c r="AF1242" s="786"/>
      <c r="AG1242" s="787"/>
      <c r="AH1242" s="787"/>
      <c r="AI1242" s="787"/>
      <c r="AJ1242" s="786"/>
      <c r="AK1242" s="787"/>
      <c r="AL1242" s="787"/>
      <c r="AM1242" s="787"/>
      <c r="AN1242" s="786"/>
      <c r="AO1242" s="787"/>
      <c r="AP1242" s="787"/>
      <c r="AQ1242" s="787"/>
      <c r="AR1242" s="786"/>
      <c r="AS1242" s="787"/>
      <c r="AT1242" s="787"/>
      <c r="AU1242" s="787"/>
      <c r="AV1242" s="786"/>
      <c r="AW1242" s="787"/>
      <c r="AX1242" s="787"/>
      <c r="AY1242" s="787"/>
      <c r="AZ1242" s="780"/>
      <c r="BA1242" s="780"/>
      <c r="BB1242" s="780"/>
      <c r="BC1242" s="780"/>
      <c r="BD1242" s="541"/>
      <c r="BE1242" s="541"/>
      <c r="BF1242" s="541"/>
      <c r="BG1242" s="541"/>
      <c r="BH1242" s="780"/>
      <c r="BI1242" s="780"/>
      <c r="BJ1242" s="780"/>
      <c r="BK1242" s="780"/>
      <c r="BL1242" s="780"/>
      <c r="BM1242" s="780"/>
    </row>
    <row r="1243" ht="12.75" customHeight="1">
      <c r="A1243" s="521"/>
      <c r="B1243" s="521"/>
      <c r="C1243" s="515"/>
      <c r="D1243" s="515"/>
      <c r="E1243" s="515"/>
      <c r="F1243" s="515"/>
      <c r="G1243" s="515"/>
      <c r="H1243" s="515"/>
      <c r="I1243" s="515"/>
      <c r="J1243" s="515"/>
      <c r="K1243" s="515"/>
      <c r="L1243" s="515"/>
      <c r="M1243" s="515"/>
      <c r="N1243" s="515"/>
      <c r="O1243" s="533"/>
      <c r="P1243" s="786"/>
      <c r="Q1243" s="787"/>
      <c r="R1243" s="787"/>
      <c r="S1243" s="787"/>
      <c r="T1243" s="786"/>
      <c r="U1243" s="787"/>
      <c r="V1243" s="787"/>
      <c r="W1243" s="787"/>
      <c r="X1243" s="786"/>
      <c r="Y1243" s="787"/>
      <c r="Z1243" s="787"/>
      <c r="AA1243" s="787"/>
      <c r="AB1243" s="786"/>
      <c r="AC1243" s="787"/>
      <c r="AD1243" s="787"/>
      <c r="AE1243" s="787"/>
      <c r="AF1243" s="786"/>
      <c r="AG1243" s="787"/>
      <c r="AH1243" s="787"/>
      <c r="AI1243" s="787"/>
      <c r="AJ1243" s="786"/>
      <c r="AK1243" s="787"/>
      <c r="AL1243" s="787"/>
      <c r="AM1243" s="787"/>
      <c r="AN1243" s="786"/>
      <c r="AO1243" s="787"/>
      <c r="AP1243" s="787"/>
      <c r="AQ1243" s="787"/>
      <c r="AR1243" s="786"/>
      <c r="AS1243" s="787"/>
      <c r="AT1243" s="787"/>
      <c r="AU1243" s="787"/>
      <c r="AV1243" s="786"/>
      <c r="AW1243" s="787"/>
      <c r="AX1243" s="787"/>
      <c r="AY1243" s="787"/>
      <c r="AZ1243" s="780"/>
      <c r="BA1243" s="780"/>
      <c r="BB1243" s="780"/>
      <c r="BC1243" s="780"/>
      <c r="BD1243" s="541"/>
      <c r="BE1243" s="541"/>
      <c r="BF1243" s="541"/>
      <c r="BG1243" s="541"/>
      <c r="BH1243" s="780"/>
      <c r="BI1243" s="780"/>
      <c r="BJ1243" s="780"/>
      <c r="BK1243" s="780"/>
      <c r="BL1243" s="780"/>
      <c r="BM1243" s="780"/>
    </row>
    <row r="1244" ht="12.75" customHeight="1">
      <c r="A1244" s="521"/>
      <c r="B1244" s="521"/>
      <c r="C1244" s="515"/>
      <c r="D1244" s="515"/>
      <c r="E1244" s="515"/>
      <c r="F1244" s="515"/>
      <c r="G1244" s="515"/>
      <c r="H1244" s="515"/>
      <c r="I1244" s="515"/>
      <c r="J1244" s="515"/>
      <c r="K1244" s="515"/>
      <c r="L1244" s="515"/>
      <c r="M1244" s="515"/>
      <c r="N1244" s="515"/>
      <c r="O1244" s="533"/>
      <c r="P1244" s="786"/>
      <c r="Q1244" s="787"/>
      <c r="R1244" s="787"/>
      <c r="S1244" s="787"/>
      <c r="T1244" s="786"/>
      <c r="U1244" s="787"/>
      <c r="V1244" s="787"/>
      <c r="W1244" s="787"/>
      <c r="X1244" s="786"/>
      <c r="Y1244" s="787"/>
      <c r="Z1244" s="787"/>
      <c r="AA1244" s="787"/>
      <c r="AB1244" s="786"/>
      <c r="AC1244" s="787"/>
      <c r="AD1244" s="787"/>
      <c r="AE1244" s="787"/>
      <c r="AF1244" s="786"/>
      <c r="AG1244" s="787"/>
      <c r="AH1244" s="787"/>
      <c r="AI1244" s="787"/>
      <c r="AJ1244" s="786"/>
      <c r="AK1244" s="787"/>
      <c r="AL1244" s="787"/>
      <c r="AM1244" s="787"/>
      <c r="AN1244" s="786"/>
      <c r="AO1244" s="787"/>
      <c r="AP1244" s="787"/>
      <c r="AQ1244" s="787"/>
      <c r="AR1244" s="786"/>
      <c r="AS1244" s="787"/>
      <c r="AT1244" s="787"/>
      <c r="AU1244" s="787"/>
      <c r="AV1244" s="786"/>
      <c r="AW1244" s="787"/>
      <c r="AX1244" s="787"/>
      <c r="AY1244" s="787"/>
      <c r="AZ1244" s="780"/>
      <c r="BA1244" s="780"/>
      <c r="BB1244" s="780"/>
      <c r="BC1244" s="780"/>
      <c r="BD1244" s="541"/>
      <c r="BE1244" s="541"/>
      <c r="BF1244" s="541"/>
      <c r="BG1244" s="541"/>
      <c r="BH1244" s="780"/>
      <c r="BI1244" s="780"/>
      <c r="BJ1244" s="780"/>
      <c r="BK1244" s="780"/>
      <c r="BL1244" s="780"/>
      <c r="BM1244" s="780"/>
    </row>
    <row r="1245" ht="12.75" customHeight="1">
      <c r="A1245" s="521"/>
      <c r="B1245" s="521"/>
      <c r="C1245" s="515"/>
      <c r="D1245" s="515"/>
      <c r="E1245" s="515"/>
      <c r="F1245" s="515"/>
      <c r="G1245" s="515"/>
      <c r="H1245" s="515"/>
      <c r="I1245" s="515"/>
      <c r="J1245" s="515"/>
      <c r="K1245" s="515"/>
      <c r="L1245" s="515"/>
      <c r="M1245" s="515"/>
      <c r="N1245" s="515"/>
      <c r="O1245" s="533"/>
      <c r="P1245" s="786"/>
      <c r="Q1245" s="787"/>
      <c r="R1245" s="787"/>
      <c r="S1245" s="787"/>
      <c r="T1245" s="786"/>
      <c r="U1245" s="787"/>
      <c r="V1245" s="787"/>
      <c r="W1245" s="787"/>
      <c r="X1245" s="786"/>
      <c r="Y1245" s="787"/>
      <c r="Z1245" s="787"/>
      <c r="AA1245" s="787"/>
      <c r="AB1245" s="786"/>
      <c r="AC1245" s="787"/>
      <c r="AD1245" s="787"/>
      <c r="AE1245" s="787"/>
      <c r="AF1245" s="786"/>
      <c r="AG1245" s="787"/>
      <c r="AH1245" s="787"/>
      <c r="AI1245" s="787"/>
      <c r="AJ1245" s="786"/>
      <c r="AK1245" s="787"/>
      <c r="AL1245" s="787"/>
      <c r="AM1245" s="787"/>
      <c r="AN1245" s="786"/>
      <c r="AO1245" s="787"/>
      <c r="AP1245" s="787"/>
      <c r="AQ1245" s="787"/>
      <c r="AR1245" s="786"/>
      <c r="AS1245" s="787"/>
      <c r="AT1245" s="787"/>
      <c r="AU1245" s="787"/>
      <c r="AV1245" s="786"/>
      <c r="AW1245" s="787"/>
      <c r="AX1245" s="787"/>
      <c r="AY1245" s="787"/>
      <c r="AZ1245" s="780"/>
      <c r="BA1245" s="780"/>
      <c r="BB1245" s="780"/>
      <c r="BC1245" s="780"/>
      <c r="BD1245" s="541"/>
      <c r="BE1245" s="541"/>
      <c r="BF1245" s="541"/>
      <c r="BG1245" s="541"/>
      <c r="BH1245" s="780"/>
      <c r="BI1245" s="780"/>
      <c r="BJ1245" s="780"/>
      <c r="BK1245" s="780"/>
      <c r="BL1245" s="780"/>
      <c r="BM1245" s="780"/>
    </row>
    <row r="1246" ht="12.75" customHeight="1">
      <c r="A1246" s="521"/>
      <c r="B1246" s="521"/>
      <c r="C1246" s="515"/>
      <c r="D1246" s="515"/>
      <c r="E1246" s="515"/>
      <c r="F1246" s="515"/>
      <c r="G1246" s="515"/>
      <c r="H1246" s="515"/>
      <c r="I1246" s="515"/>
      <c r="J1246" s="515"/>
      <c r="K1246" s="515"/>
      <c r="L1246" s="515"/>
      <c r="M1246" s="515"/>
      <c r="N1246" s="515"/>
      <c r="O1246" s="533"/>
      <c r="P1246" s="786"/>
      <c r="Q1246" s="787"/>
      <c r="R1246" s="787"/>
      <c r="S1246" s="787"/>
      <c r="T1246" s="786"/>
      <c r="U1246" s="787"/>
      <c r="V1246" s="787"/>
      <c r="W1246" s="787"/>
      <c r="X1246" s="786"/>
      <c r="Y1246" s="787"/>
      <c r="Z1246" s="787"/>
      <c r="AA1246" s="787"/>
      <c r="AB1246" s="786"/>
      <c r="AC1246" s="787"/>
      <c r="AD1246" s="787"/>
      <c r="AE1246" s="787"/>
      <c r="AF1246" s="786"/>
      <c r="AG1246" s="787"/>
      <c r="AH1246" s="787"/>
      <c r="AI1246" s="787"/>
      <c r="AJ1246" s="786"/>
      <c r="AK1246" s="787"/>
      <c r="AL1246" s="787"/>
      <c r="AM1246" s="787"/>
      <c r="AN1246" s="786"/>
      <c r="AO1246" s="787"/>
      <c r="AP1246" s="787"/>
      <c r="AQ1246" s="787"/>
      <c r="AR1246" s="786"/>
      <c r="AS1246" s="787"/>
      <c r="AT1246" s="787"/>
      <c r="AU1246" s="787"/>
      <c r="AV1246" s="786"/>
      <c r="AW1246" s="787"/>
      <c r="AX1246" s="787"/>
      <c r="AY1246" s="787"/>
      <c r="AZ1246" s="780"/>
      <c r="BA1246" s="780"/>
      <c r="BB1246" s="780"/>
      <c r="BC1246" s="780"/>
      <c r="BD1246" s="541"/>
      <c r="BE1246" s="541"/>
      <c r="BF1246" s="541"/>
      <c r="BG1246" s="541"/>
      <c r="BH1246" s="780"/>
      <c r="BI1246" s="780"/>
      <c r="BJ1246" s="780"/>
      <c r="BK1246" s="780"/>
      <c r="BL1246" s="780"/>
      <c r="BM1246" s="780"/>
    </row>
    <row r="1247" ht="12.75" customHeight="1">
      <c r="A1247" s="521"/>
      <c r="B1247" s="521"/>
      <c r="C1247" s="515"/>
      <c r="D1247" s="515"/>
      <c r="E1247" s="515"/>
      <c r="F1247" s="515"/>
      <c r="G1247" s="515"/>
      <c r="H1247" s="515"/>
      <c r="I1247" s="515"/>
      <c r="J1247" s="515"/>
      <c r="K1247" s="515"/>
      <c r="L1247" s="515"/>
      <c r="M1247" s="515"/>
      <c r="N1247" s="515"/>
      <c r="O1247" s="533"/>
      <c r="P1247" s="786"/>
      <c r="Q1247" s="787"/>
      <c r="R1247" s="787"/>
      <c r="S1247" s="787"/>
      <c r="T1247" s="786"/>
      <c r="U1247" s="787"/>
      <c r="V1247" s="787"/>
      <c r="W1247" s="787"/>
      <c r="X1247" s="786"/>
      <c r="Y1247" s="787"/>
      <c r="Z1247" s="787"/>
      <c r="AA1247" s="787"/>
      <c r="AB1247" s="786"/>
      <c r="AC1247" s="787"/>
      <c r="AD1247" s="787"/>
      <c r="AE1247" s="787"/>
      <c r="AF1247" s="786"/>
      <c r="AG1247" s="787"/>
      <c r="AH1247" s="787"/>
      <c r="AI1247" s="787"/>
      <c r="AJ1247" s="786"/>
      <c r="AK1247" s="787"/>
      <c r="AL1247" s="787"/>
      <c r="AM1247" s="787"/>
      <c r="AN1247" s="786"/>
      <c r="AO1247" s="787"/>
      <c r="AP1247" s="787"/>
      <c r="AQ1247" s="787"/>
      <c r="AR1247" s="786"/>
      <c r="AS1247" s="787"/>
      <c r="AT1247" s="787"/>
      <c r="AU1247" s="787"/>
      <c r="AV1247" s="786"/>
      <c r="AW1247" s="787"/>
      <c r="AX1247" s="787"/>
      <c r="AY1247" s="787"/>
      <c r="AZ1247" s="780"/>
      <c r="BA1247" s="780"/>
      <c r="BB1247" s="780"/>
      <c r="BC1247" s="780"/>
      <c r="BD1247" s="541"/>
      <c r="BE1247" s="541"/>
      <c r="BF1247" s="541"/>
      <c r="BG1247" s="541"/>
      <c r="BH1247" s="780"/>
      <c r="BI1247" s="780"/>
      <c r="BJ1247" s="780"/>
      <c r="BK1247" s="780"/>
      <c r="BL1247" s="780"/>
      <c r="BM1247" s="780"/>
    </row>
    <row r="1248" ht="12.75" customHeight="1">
      <c r="A1248" s="521"/>
      <c r="B1248" s="521"/>
      <c r="C1248" s="515"/>
      <c r="D1248" s="515"/>
      <c r="E1248" s="515"/>
      <c r="F1248" s="515"/>
      <c r="G1248" s="515"/>
      <c r="H1248" s="515"/>
      <c r="I1248" s="515"/>
      <c r="J1248" s="515"/>
      <c r="K1248" s="515"/>
      <c r="L1248" s="515"/>
      <c r="M1248" s="515"/>
      <c r="N1248" s="515"/>
      <c r="O1248" s="533"/>
      <c r="P1248" s="786"/>
      <c r="Q1248" s="787"/>
      <c r="R1248" s="787"/>
      <c r="S1248" s="787"/>
      <c r="T1248" s="786"/>
      <c r="U1248" s="787"/>
      <c r="V1248" s="787"/>
      <c r="W1248" s="787"/>
      <c r="X1248" s="786"/>
      <c r="Y1248" s="787"/>
      <c r="Z1248" s="787"/>
      <c r="AA1248" s="787"/>
      <c r="AB1248" s="786"/>
      <c r="AC1248" s="787"/>
      <c r="AD1248" s="787"/>
      <c r="AE1248" s="787"/>
      <c r="AF1248" s="786"/>
      <c r="AG1248" s="787"/>
      <c r="AH1248" s="787"/>
      <c r="AI1248" s="787"/>
      <c r="AJ1248" s="786"/>
      <c r="AK1248" s="787"/>
      <c r="AL1248" s="787"/>
      <c r="AM1248" s="787"/>
      <c r="AN1248" s="786"/>
      <c r="AO1248" s="787"/>
      <c r="AP1248" s="787"/>
      <c r="AQ1248" s="787"/>
      <c r="AR1248" s="786"/>
      <c r="AS1248" s="787"/>
      <c r="AT1248" s="787"/>
      <c r="AU1248" s="787"/>
      <c r="AV1248" s="786"/>
      <c r="AW1248" s="787"/>
      <c r="AX1248" s="787"/>
      <c r="AY1248" s="787"/>
      <c r="AZ1248" s="780"/>
      <c r="BA1248" s="780"/>
      <c r="BB1248" s="780"/>
      <c r="BC1248" s="780"/>
      <c r="BD1248" s="541"/>
      <c r="BE1248" s="541"/>
      <c r="BF1248" s="541"/>
      <c r="BG1248" s="541"/>
      <c r="BH1248" s="780"/>
      <c r="BI1248" s="780"/>
      <c r="BJ1248" s="780"/>
      <c r="BK1248" s="780"/>
      <c r="BL1248" s="780"/>
      <c r="BM1248" s="780"/>
    </row>
    <row r="1249" ht="12.75" customHeight="1">
      <c r="A1249" s="521"/>
      <c r="B1249" s="521"/>
      <c r="C1249" s="515"/>
      <c r="D1249" s="515"/>
      <c r="E1249" s="515"/>
      <c r="F1249" s="515"/>
      <c r="G1249" s="515"/>
      <c r="H1249" s="515"/>
      <c r="I1249" s="515"/>
      <c r="J1249" s="515"/>
      <c r="K1249" s="515"/>
      <c r="L1249" s="515"/>
      <c r="M1249" s="515"/>
      <c r="N1249" s="515"/>
      <c r="O1249" s="533"/>
      <c r="P1249" s="786"/>
      <c r="Q1249" s="787"/>
      <c r="R1249" s="787"/>
      <c r="S1249" s="787"/>
      <c r="T1249" s="786"/>
      <c r="U1249" s="787"/>
      <c r="V1249" s="787"/>
      <c r="W1249" s="787"/>
      <c r="X1249" s="786"/>
      <c r="Y1249" s="787"/>
      <c r="Z1249" s="787"/>
      <c r="AA1249" s="787"/>
      <c r="AB1249" s="786"/>
      <c r="AC1249" s="787"/>
      <c r="AD1249" s="787"/>
      <c r="AE1249" s="787"/>
      <c r="AF1249" s="786"/>
      <c r="AG1249" s="787"/>
      <c r="AH1249" s="787"/>
      <c r="AI1249" s="787"/>
      <c r="AJ1249" s="786"/>
      <c r="AK1249" s="787"/>
      <c r="AL1249" s="787"/>
      <c r="AM1249" s="787"/>
      <c r="AN1249" s="786"/>
      <c r="AO1249" s="787"/>
      <c r="AP1249" s="787"/>
      <c r="AQ1249" s="787"/>
      <c r="AR1249" s="786"/>
      <c r="AS1249" s="787"/>
      <c r="AT1249" s="787"/>
      <c r="AU1249" s="787"/>
      <c r="AV1249" s="786"/>
      <c r="AW1249" s="787"/>
      <c r="AX1249" s="787"/>
      <c r="AY1249" s="787"/>
      <c r="AZ1249" s="780"/>
      <c r="BA1249" s="780"/>
      <c r="BB1249" s="780"/>
      <c r="BC1249" s="780"/>
      <c r="BD1249" s="541"/>
      <c r="BE1249" s="541"/>
      <c r="BF1249" s="541"/>
      <c r="BG1249" s="541"/>
      <c r="BH1249" s="780"/>
      <c r="BI1249" s="780"/>
      <c r="BJ1249" s="780"/>
      <c r="BK1249" s="780"/>
      <c r="BL1249" s="780"/>
      <c r="BM1249" s="780"/>
    </row>
    <row r="1250" ht="12.75" customHeight="1">
      <c r="A1250" s="521"/>
      <c r="B1250" s="521"/>
      <c r="C1250" s="515"/>
      <c r="D1250" s="515"/>
      <c r="E1250" s="515"/>
      <c r="F1250" s="515"/>
      <c r="G1250" s="515"/>
      <c r="H1250" s="515"/>
      <c r="I1250" s="515"/>
      <c r="J1250" s="515"/>
      <c r="K1250" s="515"/>
      <c r="L1250" s="515"/>
      <c r="M1250" s="515"/>
      <c r="N1250" s="515"/>
      <c r="O1250" s="533"/>
      <c r="P1250" s="786"/>
      <c r="Q1250" s="787"/>
      <c r="R1250" s="787"/>
      <c r="S1250" s="787"/>
      <c r="T1250" s="786"/>
      <c r="U1250" s="787"/>
      <c r="V1250" s="787"/>
      <c r="W1250" s="787"/>
      <c r="X1250" s="786"/>
      <c r="Y1250" s="787"/>
      <c r="Z1250" s="787"/>
      <c r="AA1250" s="787"/>
      <c r="AB1250" s="786"/>
      <c r="AC1250" s="787"/>
      <c r="AD1250" s="787"/>
      <c r="AE1250" s="787"/>
      <c r="AF1250" s="786"/>
      <c r="AG1250" s="787"/>
      <c r="AH1250" s="787"/>
      <c r="AI1250" s="787"/>
      <c r="AJ1250" s="786"/>
      <c r="AK1250" s="787"/>
      <c r="AL1250" s="787"/>
      <c r="AM1250" s="787"/>
      <c r="AN1250" s="786"/>
      <c r="AO1250" s="787"/>
      <c r="AP1250" s="787"/>
      <c r="AQ1250" s="787"/>
      <c r="AR1250" s="786"/>
      <c r="AS1250" s="787"/>
      <c r="AT1250" s="787"/>
      <c r="AU1250" s="787"/>
      <c r="AV1250" s="786"/>
      <c r="AW1250" s="787"/>
      <c r="AX1250" s="787"/>
      <c r="AY1250" s="787"/>
      <c r="AZ1250" s="780"/>
      <c r="BA1250" s="780"/>
      <c r="BB1250" s="780"/>
      <c r="BC1250" s="780"/>
      <c r="BD1250" s="541"/>
      <c r="BE1250" s="541"/>
      <c r="BF1250" s="541"/>
      <c r="BG1250" s="541"/>
      <c r="BH1250" s="780"/>
      <c r="BI1250" s="780"/>
      <c r="BJ1250" s="780"/>
      <c r="BK1250" s="780"/>
      <c r="BL1250" s="780"/>
      <c r="BM1250" s="780"/>
    </row>
    <row r="1251" ht="12.75" customHeight="1">
      <c r="A1251" s="521"/>
      <c r="B1251" s="521"/>
      <c r="C1251" s="515"/>
      <c r="D1251" s="515"/>
      <c r="E1251" s="515"/>
      <c r="F1251" s="515"/>
      <c r="G1251" s="515"/>
      <c r="H1251" s="515"/>
      <c r="I1251" s="515"/>
      <c r="J1251" s="515"/>
      <c r="K1251" s="515"/>
      <c r="L1251" s="515"/>
      <c r="M1251" s="515"/>
      <c r="N1251" s="515"/>
      <c r="O1251" s="533"/>
      <c r="P1251" s="786"/>
      <c r="Q1251" s="787"/>
      <c r="R1251" s="787"/>
      <c r="S1251" s="787"/>
      <c r="T1251" s="786"/>
      <c r="U1251" s="787"/>
      <c r="V1251" s="787"/>
      <c r="W1251" s="787"/>
      <c r="X1251" s="786"/>
      <c r="Y1251" s="787"/>
      <c r="Z1251" s="787"/>
      <c r="AA1251" s="787"/>
      <c r="AB1251" s="786"/>
      <c r="AC1251" s="787"/>
      <c r="AD1251" s="787"/>
      <c r="AE1251" s="787"/>
      <c r="AF1251" s="786"/>
      <c r="AG1251" s="787"/>
      <c r="AH1251" s="787"/>
      <c r="AI1251" s="787"/>
      <c r="AJ1251" s="786"/>
      <c r="AK1251" s="787"/>
      <c r="AL1251" s="787"/>
      <c r="AM1251" s="787"/>
      <c r="AN1251" s="786"/>
      <c r="AO1251" s="787"/>
      <c r="AP1251" s="787"/>
      <c r="AQ1251" s="787"/>
      <c r="AR1251" s="786"/>
      <c r="AS1251" s="787"/>
      <c r="AT1251" s="787"/>
      <c r="AU1251" s="787"/>
      <c r="AV1251" s="786"/>
      <c r="AW1251" s="787"/>
      <c r="AX1251" s="787"/>
      <c r="AY1251" s="787"/>
      <c r="AZ1251" s="780"/>
      <c r="BA1251" s="780"/>
      <c r="BB1251" s="780"/>
      <c r="BC1251" s="780"/>
      <c r="BD1251" s="541"/>
      <c r="BE1251" s="541"/>
      <c r="BF1251" s="541"/>
      <c r="BG1251" s="541"/>
      <c r="BH1251" s="780"/>
      <c r="BI1251" s="780"/>
      <c r="BJ1251" s="780"/>
      <c r="BK1251" s="780"/>
      <c r="BL1251" s="780"/>
      <c r="BM1251" s="780"/>
    </row>
    <row r="1252" ht="12.75" customHeight="1">
      <c r="A1252" s="521"/>
      <c r="B1252" s="521"/>
      <c r="C1252" s="515"/>
      <c r="D1252" s="515"/>
      <c r="E1252" s="515"/>
      <c r="F1252" s="515"/>
      <c r="G1252" s="515"/>
      <c r="H1252" s="515"/>
      <c r="I1252" s="515"/>
      <c r="J1252" s="515"/>
      <c r="K1252" s="515"/>
      <c r="L1252" s="515"/>
      <c r="M1252" s="515"/>
      <c r="N1252" s="515"/>
      <c r="O1252" s="533"/>
      <c r="P1252" s="786"/>
      <c r="Q1252" s="787"/>
      <c r="R1252" s="787"/>
      <c r="S1252" s="787"/>
      <c r="T1252" s="786"/>
      <c r="U1252" s="787"/>
      <c r="V1252" s="787"/>
      <c r="W1252" s="787"/>
      <c r="X1252" s="786"/>
      <c r="Y1252" s="787"/>
      <c r="Z1252" s="787"/>
      <c r="AA1252" s="787"/>
      <c r="AB1252" s="786"/>
      <c r="AC1252" s="787"/>
      <c r="AD1252" s="787"/>
      <c r="AE1252" s="787"/>
      <c r="AF1252" s="786"/>
      <c r="AG1252" s="787"/>
      <c r="AH1252" s="787"/>
      <c r="AI1252" s="787"/>
      <c r="AJ1252" s="786"/>
      <c r="AK1252" s="787"/>
      <c r="AL1252" s="787"/>
      <c r="AM1252" s="787"/>
      <c r="AN1252" s="786"/>
      <c r="AO1252" s="787"/>
      <c r="AP1252" s="787"/>
      <c r="AQ1252" s="787"/>
      <c r="AR1252" s="786"/>
      <c r="AS1252" s="787"/>
      <c r="AT1252" s="787"/>
      <c r="AU1252" s="787"/>
      <c r="AV1252" s="786"/>
      <c r="AW1252" s="787"/>
      <c r="AX1252" s="787"/>
      <c r="AY1252" s="787"/>
      <c r="AZ1252" s="780"/>
      <c r="BA1252" s="780"/>
      <c r="BB1252" s="780"/>
      <c r="BC1252" s="780"/>
      <c r="BD1252" s="541"/>
      <c r="BE1252" s="541"/>
      <c r="BF1252" s="541"/>
      <c r="BG1252" s="541"/>
      <c r="BH1252" s="780"/>
      <c r="BI1252" s="780"/>
      <c r="BJ1252" s="780"/>
      <c r="BK1252" s="780"/>
      <c r="BL1252" s="780"/>
      <c r="BM1252" s="780"/>
    </row>
    <row r="1253" ht="12.75" customHeight="1">
      <c r="A1253" s="521"/>
      <c r="B1253" s="521"/>
      <c r="C1253" s="515"/>
      <c r="D1253" s="515"/>
      <c r="E1253" s="515"/>
      <c r="F1253" s="515"/>
      <c r="G1253" s="515"/>
      <c r="H1253" s="515"/>
      <c r="I1253" s="515"/>
      <c r="J1253" s="515"/>
      <c r="K1253" s="515"/>
      <c r="L1253" s="515"/>
      <c r="M1253" s="515"/>
      <c r="N1253" s="515"/>
      <c r="O1253" s="533"/>
      <c r="P1253" s="786"/>
      <c r="Q1253" s="787"/>
      <c r="R1253" s="787"/>
      <c r="S1253" s="787"/>
      <c r="T1253" s="786"/>
      <c r="U1253" s="787"/>
      <c r="V1253" s="787"/>
      <c r="W1253" s="787"/>
      <c r="X1253" s="786"/>
      <c r="Y1253" s="787"/>
      <c r="Z1253" s="787"/>
      <c r="AA1253" s="787"/>
      <c r="AB1253" s="786"/>
      <c r="AC1253" s="787"/>
      <c r="AD1253" s="787"/>
      <c r="AE1253" s="787"/>
      <c r="AF1253" s="786"/>
      <c r="AG1253" s="787"/>
      <c r="AH1253" s="787"/>
      <c r="AI1253" s="787"/>
      <c r="AJ1253" s="786"/>
      <c r="AK1253" s="787"/>
      <c r="AL1253" s="787"/>
      <c r="AM1253" s="787"/>
      <c r="AN1253" s="786"/>
      <c r="AO1253" s="787"/>
      <c r="AP1253" s="787"/>
      <c r="AQ1253" s="787"/>
      <c r="AR1253" s="786"/>
      <c r="AS1253" s="787"/>
      <c r="AT1253" s="787"/>
      <c r="AU1253" s="787"/>
      <c r="AV1253" s="786"/>
      <c r="AW1253" s="787"/>
      <c r="AX1253" s="787"/>
      <c r="AY1253" s="787"/>
      <c r="AZ1253" s="780"/>
      <c r="BA1253" s="780"/>
      <c r="BB1253" s="780"/>
      <c r="BC1253" s="780"/>
      <c r="BD1253" s="541"/>
      <c r="BE1253" s="541"/>
      <c r="BF1253" s="541"/>
      <c r="BG1253" s="541"/>
      <c r="BH1253" s="780"/>
      <c r="BI1253" s="780"/>
      <c r="BJ1253" s="780"/>
      <c r="BK1253" s="780"/>
      <c r="BL1253" s="780"/>
      <c r="BM1253" s="780"/>
    </row>
    <row r="1254" ht="12.75" customHeight="1">
      <c r="A1254" s="521"/>
      <c r="B1254" s="521"/>
      <c r="C1254" s="515"/>
      <c r="D1254" s="515"/>
      <c r="E1254" s="515"/>
      <c r="F1254" s="515"/>
      <c r="G1254" s="515"/>
      <c r="H1254" s="515"/>
      <c r="I1254" s="515"/>
      <c r="J1254" s="515"/>
      <c r="K1254" s="515"/>
      <c r="L1254" s="515"/>
      <c r="M1254" s="515"/>
      <c r="N1254" s="515"/>
      <c r="O1254" s="533"/>
      <c r="P1254" s="786"/>
      <c r="Q1254" s="787"/>
      <c r="R1254" s="787"/>
      <c r="S1254" s="787"/>
      <c r="T1254" s="786"/>
      <c r="U1254" s="787"/>
      <c r="V1254" s="787"/>
      <c r="W1254" s="787"/>
      <c r="X1254" s="786"/>
      <c r="Y1254" s="787"/>
      <c r="Z1254" s="787"/>
      <c r="AA1254" s="787"/>
      <c r="AB1254" s="786"/>
      <c r="AC1254" s="787"/>
      <c r="AD1254" s="787"/>
      <c r="AE1254" s="787"/>
      <c r="AF1254" s="786"/>
      <c r="AG1254" s="787"/>
      <c r="AH1254" s="787"/>
      <c r="AI1254" s="787"/>
      <c r="AJ1254" s="786"/>
      <c r="AK1254" s="787"/>
      <c r="AL1254" s="787"/>
      <c r="AM1254" s="787"/>
      <c r="AN1254" s="786"/>
      <c r="AO1254" s="787"/>
      <c r="AP1254" s="787"/>
      <c r="AQ1254" s="787"/>
      <c r="AR1254" s="786"/>
      <c r="AS1254" s="787"/>
      <c r="AT1254" s="787"/>
      <c r="AU1254" s="787"/>
      <c r="AV1254" s="786"/>
      <c r="AW1254" s="787"/>
      <c r="AX1254" s="787"/>
      <c r="AY1254" s="787"/>
      <c r="AZ1254" s="780"/>
      <c r="BA1254" s="780"/>
      <c r="BB1254" s="780"/>
      <c r="BC1254" s="780"/>
      <c r="BD1254" s="541"/>
      <c r="BE1254" s="541"/>
      <c r="BF1254" s="541"/>
      <c r="BG1254" s="541"/>
      <c r="BH1254" s="780"/>
      <c r="BI1254" s="780"/>
      <c r="BJ1254" s="780"/>
      <c r="BK1254" s="780"/>
      <c r="BL1254" s="780"/>
      <c r="BM1254" s="780"/>
    </row>
    <row r="1255" ht="12.75" customHeight="1">
      <c r="A1255" s="521"/>
      <c r="B1255" s="521"/>
      <c r="C1255" s="515"/>
      <c r="D1255" s="515"/>
      <c r="E1255" s="515"/>
      <c r="F1255" s="515"/>
      <c r="G1255" s="515"/>
      <c r="H1255" s="515"/>
      <c r="I1255" s="515"/>
      <c r="J1255" s="515"/>
      <c r="K1255" s="515"/>
      <c r="L1255" s="515"/>
      <c r="M1255" s="515"/>
      <c r="N1255" s="515"/>
      <c r="O1255" s="533"/>
      <c r="P1255" s="786"/>
      <c r="Q1255" s="787"/>
      <c r="R1255" s="787"/>
      <c r="S1255" s="787"/>
      <c r="T1255" s="786"/>
      <c r="U1255" s="787"/>
      <c r="V1255" s="787"/>
      <c r="W1255" s="787"/>
      <c r="X1255" s="786"/>
      <c r="Y1255" s="787"/>
      <c r="Z1255" s="787"/>
      <c r="AA1255" s="787"/>
      <c r="AB1255" s="786"/>
      <c r="AC1255" s="787"/>
      <c r="AD1255" s="787"/>
      <c r="AE1255" s="787"/>
      <c r="AF1255" s="786"/>
      <c r="AG1255" s="787"/>
      <c r="AH1255" s="787"/>
      <c r="AI1255" s="787"/>
      <c r="AJ1255" s="786"/>
      <c r="AK1255" s="787"/>
      <c r="AL1255" s="787"/>
      <c r="AM1255" s="787"/>
      <c r="AN1255" s="786"/>
      <c r="AO1255" s="787"/>
      <c r="AP1255" s="787"/>
      <c r="AQ1255" s="787"/>
      <c r="AR1255" s="786"/>
      <c r="AS1255" s="787"/>
      <c r="AT1255" s="787"/>
      <c r="AU1255" s="787"/>
      <c r="AV1255" s="786"/>
      <c r="AW1255" s="787"/>
      <c r="AX1255" s="787"/>
      <c r="AY1255" s="787"/>
      <c r="AZ1255" s="780"/>
      <c r="BA1255" s="780"/>
      <c r="BB1255" s="780"/>
      <c r="BC1255" s="780"/>
      <c r="BD1255" s="541"/>
      <c r="BE1255" s="541"/>
      <c r="BF1255" s="541"/>
      <c r="BG1255" s="541"/>
      <c r="BH1255" s="780"/>
      <c r="BI1255" s="780"/>
      <c r="BJ1255" s="780"/>
      <c r="BK1255" s="780"/>
      <c r="BL1255" s="780"/>
      <c r="BM1255" s="780"/>
    </row>
    <row r="1256" ht="12.75" customHeight="1">
      <c r="A1256" s="521"/>
      <c r="B1256" s="521"/>
      <c r="C1256" s="515"/>
      <c r="D1256" s="515"/>
      <c r="E1256" s="515"/>
      <c r="F1256" s="515"/>
      <c r="G1256" s="515"/>
      <c r="H1256" s="515"/>
      <c r="I1256" s="515"/>
      <c r="J1256" s="515"/>
      <c r="K1256" s="515"/>
      <c r="L1256" s="515"/>
      <c r="M1256" s="515"/>
      <c r="N1256" s="515"/>
      <c r="O1256" s="533"/>
      <c r="P1256" s="786"/>
      <c r="Q1256" s="787"/>
      <c r="R1256" s="787"/>
      <c r="S1256" s="787"/>
      <c r="T1256" s="786"/>
      <c r="U1256" s="787"/>
      <c r="V1256" s="787"/>
      <c r="W1256" s="787"/>
      <c r="X1256" s="786"/>
      <c r="Y1256" s="787"/>
      <c r="Z1256" s="787"/>
      <c r="AA1256" s="787"/>
      <c r="AB1256" s="786"/>
      <c r="AC1256" s="787"/>
      <c r="AD1256" s="787"/>
      <c r="AE1256" s="787"/>
      <c r="AF1256" s="786"/>
      <c r="AG1256" s="787"/>
      <c r="AH1256" s="787"/>
      <c r="AI1256" s="787"/>
      <c r="AJ1256" s="786"/>
      <c r="AK1256" s="787"/>
      <c r="AL1256" s="787"/>
      <c r="AM1256" s="787"/>
      <c r="AN1256" s="786"/>
      <c r="AO1256" s="787"/>
      <c r="AP1256" s="787"/>
      <c r="AQ1256" s="787"/>
      <c r="AR1256" s="786"/>
      <c r="AS1256" s="787"/>
      <c r="AT1256" s="787"/>
      <c r="AU1256" s="787"/>
      <c r="AV1256" s="786"/>
      <c r="AW1256" s="787"/>
      <c r="AX1256" s="787"/>
      <c r="AY1256" s="787"/>
      <c r="AZ1256" s="780"/>
      <c r="BA1256" s="780"/>
      <c r="BB1256" s="780"/>
      <c r="BC1256" s="780"/>
      <c r="BD1256" s="541"/>
      <c r="BE1256" s="541"/>
      <c r="BF1256" s="541"/>
      <c r="BG1256" s="541"/>
      <c r="BH1256" s="780"/>
      <c r="BI1256" s="780"/>
      <c r="BJ1256" s="780"/>
      <c r="BK1256" s="780"/>
      <c r="BL1256" s="780"/>
      <c r="BM1256" s="780"/>
    </row>
    <row r="1257" ht="12.75" customHeight="1">
      <c r="A1257" s="521"/>
      <c r="B1257" s="521"/>
      <c r="C1257" s="515"/>
      <c r="D1257" s="515"/>
      <c r="E1257" s="515"/>
      <c r="F1257" s="515"/>
      <c r="G1257" s="515"/>
      <c r="H1257" s="515"/>
      <c r="I1257" s="515"/>
      <c r="J1257" s="515"/>
      <c r="K1257" s="515"/>
      <c r="L1257" s="515"/>
      <c r="M1257" s="515"/>
      <c r="N1257" s="515"/>
      <c r="O1257" s="533"/>
      <c r="P1257" s="786"/>
      <c r="Q1257" s="787"/>
      <c r="R1257" s="787"/>
      <c r="S1257" s="787"/>
      <c r="T1257" s="786"/>
      <c r="U1257" s="787"/>
      <c r="V1257" s="787"/>
      <c r="W1257" s="787"/>
      <c r="X1257" s="786"/>
      <c r="Y1257" s="787"/>
      <c r="Z1257" s="787"/>
      <c r="AA1257" s="787"/>
      <c r="AB1257" s="786"/>
      <c r="AC1257" s="787"/>
      <c r="AD1257" s="787"/>
      <c r="AE1257" s="787"/>
      <c r="AF1257" s="786"/>
      <c r="AG1257" s="787"/>
      <c r="AH1257" s="787"/>
      <c r="AI1257" s="787"/>
      <c r="AJ1257" s="786"/>
      <c r="AK1257" s="787"/>
      <c r="AL1257" s="787"/>
      <c r="AM1257" s="787"/>
      <c r="AN1257" s="786"/>
      <c r="AO1257" s="787"/>
      <c r="AP1257" s="787"/>
      <c r="AQ1257" s="787"/>
      <c r="AR1257" s="786"/>
      <c r="AS1257" s="787"/>
      <c r="AT1257" s="787"/>
      <c r="AU1257" s="787"/>
      <c r="AV1257" s="786"/>
      <c r="AW1257" s="787"/>
      <c r="AX1257" s="787"/>
      <c r="AY1257" s="787"/>
      <c r="AZ1257" s="780"/>
      <c r="BA1257" s="780"/>
      <c r="BB1257" s="780"/>
      <c r="BC1257" s="780"/>
      <c r="BD1257" s="541"/>
      <c r="BE1257" s="541"/>
      <c r="BF1257" s="541"/>
      <c r="BG1257" s="541"/>
      <c r="BH1257" s="780"/>
      <c r="BI1257" s="780"/>
      <c r="BJ1257" s="780"/>
      <c r="BK1257" s="780"/>
      <c r="BL1257" s="780"/>
      <c r="BM1257" s="780"/>
    </row>
    <row r="1258" ht="12.75" customHeight="1">
      <c r="A1258" s="521"/>
      <c r="B1258" s="521"/>
      <c r="C1258" s="515"/>
      <c r="D1258" s="515"/>
      <c r="E1258" s="515"/>
      <c r="F1258" s="515"/>
      <c r="G1258" s="515"/>
      <c r="H1258" s="515"/>
      <c r="I1258" s="515"/>
      <c r="J1258" s="515"/>
      <c r="K1258" s="515"/>
      <c r="L1258" s="515"/>
      <c r="M1258" s="515"/>
      <c r="N1258" s="515"/>
      <c r="O1258" s="533"/>
      <c r="P1258" s="786"/>
      <c r="Q1258" s="787"/>
      <c r="R1258" s="787"/>
      <c r="S1258" s="787"/>
      <c r="T1258" s="786"/>
      <c r="U1258" s="787"/>
      <c r="V1258" s="787"/>
      <c r="W1258" s="787"/>
      <c r="X1258" s="786"/>
      <c r="Y1258" s="787"/>
      <c r="Z1258" s="787"/>
      <c r="AA1258" s="787"/>
      <c r="AB1258" s="786"/>
      <c r="AC1258" s="787"/>
      <c r="AD1258" s="787"/>
      <c r="AE1258" s="787"/>
      <c r="AF1258" s="786"/>
      <c r="AG1258" s="787"/>
      <c r="AH1258" s="787"/>
      <c r="AI1258" s="787"/>
      <c r="AJ1258" s="786"/>
      <c r="AK1258" s="787"/>
      <c r="AL1258" s="787"/>
      <c r="AM1258" s="787"/>
      <c r="AN1258" s="786"/>
      <c r="AO1258" s="787"/>
      <c r="AP1258" s="787"/>
      <c r="AQ1258" s="787"/>
      <c r="AR1258" s="786"/>
      <c r="AS1258" s="787"/>
      <c r="AT1258" s="787"/>
      <c r="AU1258" s="787"/>
      <c r="AV1258" s="786"/>
      <c r="AW1258" s="787"/>
      <c r="AX1258" s="787"/>
      <c r="AY1258" s="787"/>
      <c r="AZ1258" s="780"/>
      <c r="BA1258" s="780"/>
      <c r="BB1258" s="780"/>
      <c r="BC1258" s="780"/>
      <c r="BD1258" s="541"/>
      <c r="BE1258" s="541"/>
      <c r="BF1258" s="541"/>
      <c r="BG1258" s="541"/>
      <c r="BH1258" s="780"/>
      <c r="BI1258" s="780"/>
      <c r="BJ1258" s="780"/>
      <c r="BK1258" s="780"/>
      <c r="BL1258" s="780"/>
      <c r="BM1258" s="780"/>
    </row>
    <row r="1259" ht="12.75" customHeight="1">
      <c r="A1259" s="521"/>
      <c r="B1259" s="521"/>
      <c r="C1259" s="515"/>
      <c r="D1259" s="515"/>
      <c r="E1259" s="515"/>
      <c r="F1259" s="515"/>
      <c r="G1259" s="515"/>
      <c r="H1259" s="515"/>
      <c r="I1259" s="515"/>
      <c r="J1259" s="515"/>
      <c r="K1259" s="515"/>
      <c r="L1259" s="515"/>
      <c r="M1259" s="515"/>
      <c r="N1259" s="515"/>
      <c r="O1259" s="533"/>
      <c r="P1259" s="786"/>
      <c r="Q1259" s="787"/>
      <c r="R1259" s="787"/>
      <c r="S1259" s="787"/>
      <c r="T1259" s="786"/>
      <c r="U1259" s="787"/>
      <c r="V1259" s="787"/>
      <c r="W1259" s="787"/>
      <c r="X1259" s="786"/>
      <c r="Y1259" s="787"/>
      <c r="Z1259" s="787"/>
      <c r="AA1259" s="787"/>
      <c r="AB1259" s="786"/>
      <c r="AC1259" s="787"/>
      <c r="AD1259" s="787"/>
      <c r="AE1259" s="787"/>
      <c r="AF1259" s="786"/>
      <c r="AG1259" s="787"/>
      <c r="AH1259" s="787"/>
      <c r="AI1259" s="787"/>
      <c r="AJ1259" s="786"/>
      <c r="AK1259" s="787"/>
      <c r="AL1259" s="787"/>
      <c r="AM1259" s="787"/>
      <c r="AN1259" s="786"/>
      <c r="AO1259" s="787"/>
      <c r="AP1259" s="787"/>
      <c r="AQ1259" s="787"/>
      <c r="AR1259" s="786"/>
      <c r="AS1259" s="787"/>
      <c r="AT1259" s="787"/>
      <c r="AU1259" s="787"/>
      <c r="AV1259" s="786"/>
      <c r="AW1259" s="787"/>
      <c r="AX1259" s="787"/>
      <c r="AY1259" s="787"/>
      <c r="AZ1259" s="780"/>
      <c r="BA1259" s="780"/>
      <c r="BB1259" s="780"/>
      <c r="BC1259" s="780"/>
      <c r="BD1259" s="541"/>
      <c r="BE1259" s="541"/>
      <c r="BF1259" s="541"/>
      <c r="BG1259" s="541"/>
      <c r="BH1259" s="780"/>
      <c r="BI1259" s="780"/>
      <c r="BJ1259" s="780"/>
      <c r="BK1259" s="780"/>
      <c r="BL1259" s="780"/>
      <c r="BM1259" s="780"/>
    </row>
    <row r="1260" ht="12.75" customHeight="1">
      <c r="A1260" s="521"/>
      <c r="B1260" s="521"/>
      <c r="C1260" s="515"/>
      <c r="D1260" s="515"/>
      <c r="E1260" s="515"/>
      <c r="F1260" s="515"/>
      <c r="G1260" s="515"/>
      <c r="H1260" s="515"/>
      <c r="I1260" s="515"/>
      <c r="J1260" s="515"/>
      <c r="K1260" s="515"/>
      <c r="L1260" s="515"/>
      <c r="M1260" s="515"/>
      <c r="N1260" s="515"/>
      <c r="O1260" s="533"/>
      <c r="P1260" s="786"/>
      <c r="Q1260" s="787"/>
      <c r="R1260" s="787"/>
      <c r="S1260" s="787"/>
      <c r="T1260" s="786"/>
      <c r="U1260" s="787"/>
      <c r="V1260" s="787"/>
      <c r="W1260" s="787"/>
      <c r="X1260" s="786"/>
      <c r="Y1260" s="787"/>
      <c r="Z1260" s="787"/>
      <c r="AA1260" s="787"/>
      <c r="AB1260" s="786"/>
      <c r="AC1260" s="787"/>
      <c r="AD1260" s="787"/>
      <c r="AE1260" s="787"/>
      <c r="AF1260" s="786"/>
      <c r="AG1260" s="787"/>
      <c r="AH1260" s="787"/>
      <c r="AI1260" s="787"/>
      <c r="AJ1260" s="786"/>
      <c r="AK1260" s="787"/>
      <c r="AL1260" s="787"/>
      <c r="AM1260" s="787"/>
      <c r="AN1260" s="786"/>
      <c r="AO1260" s="787"/>
      <c r="AP1260" s="787"/>
      <c r="AQ1260" s="787"/>
      <c r="AR1260" s="786"/>
      <c r="AS1260" s="787"/>
      <c r="AT1260" s="787"/>
      <c r="AU1260" s="787"/>
      <c r="AV1260" s="786"/>
      <c r="AW1260" s="787"/>
      <c r="AX1260" s="787"/>
      <c r="AY1260" s="787"/>
      <c r="AZ1260" s="780"/>
      <c r="BA1260" s="780"/>
      <c r="BB1260" s="780"/>
      <c r="BC1260" s="780"/>
      <c r="BD1260" s="541"/>
      <c r="BE1260" s="541"/>
      <c r="BF1260" s="541"/>
      <c r="BG1260" s="541"/>
      <c r="BH1260" s="780"/>
      <c r="BI1260" s="780"/>
      <c r="BJ1260" s="780"/>
      <c r="BK1260" s="780"/>
      <c r="BL1260" s="780"/>
      <c r="BM1260" s="780"/>
    </row>
    <row r="1261" ht="12.75" customHeight="1">
      <c r="A1261" s="521"/>
      <c r="B1261" s="521"/>
      <c r="C1261" s="515"/>
      <c r="D1261" s="515"/>
      <c r="E1261" s="515"/>
      <c r="F1261" s="515"/>
      <c r="G1261" s="515"/>
      <c r="H1261" s="515"/>
      <c r="I1261" s="515"/>
      <c r="J1261" s="515"/>
      <c r="K1261" s="515"/>
      <c r="L1261" s="515"/>
      <c r="M1261" s="515"/>
      <c r="N1261" s="515"/>
      <c r="O1261" s="533"/>
      <c r="P1261" s="786"/>
      <c r="Q1261" s="787"/>
      <c r="R1261" s="787"/>
      <c r="S1261" s="787"/>
      <c r="T1261" s="786"/>
      <c r="U1261" s="787"/>
      <c r="V1261" s="787"/>
      <c r="W1261" s="787"/>
      <c r="X1261" s="786"/>
      <c r="Y1261" s="787"/>
      <c r="Z1261" s="787"/>
      <c r="AA1261" s="787"/>
      <c r="AB1261" s="786"/>
      <c r="AC1261" s="787"/>
      <c r="AD1261" s="787"/>
      <c r="AE1261" s="787"/>
      <c r="AF1261" s="786"/>
      <c r="AG1261" s="787"/>
      <c r="AH1261" s="787"/>
      <c r="AI1261" s="787"/>
      <c r="AJ1261" s="786"/>
      <c r="AK1261" s="787"/>
      <c r="AL1261" s="787"/>
      <c r="AM1261" s="787"/>
      <c r="AN1261" s="786"/>
      <c r="AO1261" s="787"/>
      <c r="AP1261" s="787"/>
      <c r="AQ1261" s="787"/>
      <c r="AR1261" s="786"/>
      <c r="AS1261" s="787"/>
      <c r="AT1261" s="787"/>
      <c r="AU1261" s="787"/>
      <c r="AV1261" s="786"/>
      <c r="AW1261" s="787"/>
      <c r="AX1261" s="787"/>
      <c r="AY1261" s="787"/>
      <c r="AZ1261" s="780"/>
      <c r="BA1261" s="780"/>
      <c r="BB1261" s="780"/>
      <c r="BC1261" s="780"/>
      <c r="BD1261" s="541"/>
      <c r="BE1261" s="541"/>
      <c r="BF1261" s="541"/>
      <c r="BG1261" s="541"/>
      <c r="BH1261" s="780"/>
      <c r="BI1261" s="780"/>
      <c r="BJ1261" s="780"/>
      <c r="BK1261" s="780"/>
      <c r="BL1261" s="780"/>
      <c r="BM1261" s="780"/>
    </row>
    <row r="1262" ht="12.75" customHeight="1">
      <c r="A1262" s="521"/>
      <c r="B1262" s="521"/>
      <c r="C1262" s="515"/>
      <c r="D1262" s="515"/>
      <c r="E1262" s="515"/>
      <c r="F1262" s="515"/>
      <c r="G1262" s="515"/>
      <c r="H1262" s="515"/>
      <c r="I1262" s="515"/>
      <c r="J1262" s="515"/>
      <c r="K1262" s="515"/>
      <c r="L1262" s="515"/>
      <c r="M1262" s="515"/>
      <c r="N1262" s="515"/>
      <c r="O1262" s="533"/>
      <c r="P1262" s="786"/>
      <c r="Q1262" s="787"/>
      <c r="R1262" s="787"/>
      <c r="S1262" s="787"/>
      <c r="T1262" s="786"/>
      <c r="U1262" s="787"/>
      <c r="V1262" s="787"/>
      <c r="W1262" s="787"/>
      <c r="X1262" s="786"/>
      <c r="Y1262" s="787"/>
      <c r="Z1262" s="787"/>
      <c r="AA1262" s="787"/>
      <c r="AB1262" s="786"/>
      <c r="AC1262" s="787"/>
      <c r="AD1262" s="787"/>
      <c r="AE1262" s="787"/>
      <c r="AF1262" s="786"/>
      <c r="AG1262" s="787"/>
      <c r="AH1262" s="787"/>
      <c r="AI1262" s="787"/>
      <c r="AJ1262" s="786"/>
      <c r="AK1262" s="787"/>
      <c r="AL1262" s="787"/>
      <c r="AM1262" s="787"/>
      <c r="AN1262" s="786"/>
      <c r="AO1262" s="787"/>
      <c r="AP1262" s="787"/>
      <c r="AQ1262" s="787"/>
      <c r="AR1262" s="786"/>
      <c r="AS1262" s="787"/>
      <c r="AT1262" s="787"/>
      <c r="AU1262" s="787"/>
      <c r="AV1262" s="786"/>
      <c r="AW1262" s="787"/>
      <c r="AX1262" s="787"/>
      <c r="AY1262" s="787"/>
      <c r="AZ1262" s="780"/>
      <c r="BA1262" s="780"/>
      <c r="BB1262" s="780"/>
      <c r="BC1262" s="780"/>
      <c r="BD1262" s="541"/>
      <c r="BE1262" s="541"/>
      <c r="BF1262" s="541"/>
      <c r="BG1262" s="541"/>
      <c r="BH1262" s="780"/>
      <c r="BI1262" s="780"/>
      <c r="BJ1262" s="780"/>
      <c r="BK1262" s="780"/>
      <c r="BL1262" s="780"/>
      <c r="BM1262" s="780"/>
    </row>
    <row r="1263" ht="12.75" customHeight="1">
      <c r="A1263" s="521"/>
      <c r="B1263" s="521"/>
      <c r="C1263" s="515"/>
      <c r="D1263" s="515"/>
      <c r="E1263" s="515"/>
      <c r="F1263" s="515"/>
      <c r="G1263" s="515"/>
      <c r="H1263" s="515"/>
      <c r="I1263" s="515"/>
      <c r="J1263" s="515"/>
      <c r="K1263" s="515"/>
      <c r="L1263" s="515"/>
      <c r="M1263" s="515"/>
      <c r="N1263" s="515"/>
      <c r="O1263" s="533"/>
      <c r="P1263" s="786"/>
      <c r="Q1263" s="787"/>
      <c r="R1263" s="787"/>
      <c r="S1263" s="787"/>
      <c r="T1263" s="786"/>
      <c r="U1263" s="787"/>
      <c r="V1263" s="787"/>
      <c r="W1263" s="787"/>
      <c r="X1263" s="786"/>
      <c r="Y1263" s="787"/>
      <c r="Z1263" s="787"/>
      <c r="AA1263" s="787"/>
      <c r="AB1263" s="786"/>
      <c r="AC1263" s="787"/>
      <c r="AD1263" s="787"/>
      <c r="AE1263" s="787"/>
      <c r="AF1263" s="786"/>
      <c r="AG1263" s="787"/>
      <c r="AH1263" s="787"/>
      <c r="AI1263" s="787"/>
      <c r="AJ1263" s="786"/>
      <c r="AK1263" s="787"/>
      <c r="AL1263" s="787"/>
      <c r="AM1263" s="787"/>
      <c r="AN1263" s="786"/>
      <c r="AO1263" s="787"/>
      <c r="AP1263" s="787"/>
      <c r="AQ1263" s="787"/>
      <c r="AR1263" s="786"/>
      <c r="AS1263" s="787"/>
      <c r="AT1263" s="787"/>
      <c r="AU1263" s="787"/>
      <c r="AV1263" s="786"/>
      <c r="AW1263" s="787"/>
      <c r="AX1263" s="787"/>
      <c r="AY1263" s="787"/>
      <c r="AZ1263" s="780"/>
      <c r="BA1263" s="780"/>
      <c r="BB1263" s="780"/>
      <c r="BC1263" s="780"/>
      <c r="BD1263" s="541"/>
      <c r="BE1263" s="541"/>
      <c r="BF1263" s="541"/>
      <c r="BG1263" s="541"/>
      <c r="BH1263" s="780"/>
      <c r="BI1263" s="780"/>
      <c r="BJ1263" s="780"/>
      <c r="BK1263" s="780"/>
      <c r="BL1263" s="780"/>
      <c r="BM1263" s="780"/>
    </row>
    <row r="1264" ht="12.75" customHeight="1">
      <c r="A1264" s="521"/>
      <c r="B1264" s="521"/>
      <c r="C1264" s="515"/>
      <c r="D1264" s="515"/>
      <c r="E1264" s="515"/>
      <c r="F1264" s="515"/>
      <c r="G1264" s="515"/>
      <c r="H1264" s="515"/>
      <c r="I1264" s="515"/>
      <c r="J1264" s="515"/>
      <c r="K1264" s="515"/>
      <c r="L1264" s="515"/>
      <c r="M1264" s="515"/>
      <c r="N1264" s="515"/>
      <c r="O1264" s="533"/>
      <c r="P1264" s="786"/>
      <c r="Q1264" s="787"/>
      <c r="R1264" s="787"/>
      <c r="S1264" s="787"/>
      <c r="T1264" s="786"/>
      <c r="U1264" s="787"/>
      <c r="V1264" s="787"/>
      <c r="W1264" s="787"/>
      <c r="X1264" s="786"/>
      <c r="Y1264" s="787"/>
      <c r="Z1264" s="787"/>
      <c r="AA1264" s="787"/>
      <c r="AB1264" s="786"/>
      <c r="AC1264" s="787"/>
      <c r="AD1264" s="787"/>
      <c r="AE1264" s="787"/>
      <c r="AF1264" s="786"/>
      <c r="AG1264" s="787"/>
      <c r="AH1264" s="787"/>
      <c r="AI1264" s="787"/>
      <c r="AJ1264" s="786"/>
      <c r="AK1264" s="787"/>
      <c r="AL1264" s="787"/>
      <c r="AM1264" s="787"/>
      <c r="AN1264" s="786"/>
      <c r="AO1264" s="787"/>
      <c r="AP1264" s="787"/>
      <c r="AQ1264" s="787"/>
      <c r="AR1264" s="786"/>
      <c r="AS1264" s="787"/>
      <c r="AT1264" s="787"/>
      <c r="AU1264" s="787"/>
      <c r="AV1264" s="786"/>
      <c r="AW1264" s="787"/>
      <c r="AX1264" s="787"/>
      <c r="AY1264" s="787"/>
      <c r="AZ1264" s="780"/>
      <c r="BA1264" s="780"/>
      <c r="BB1264" s="780"/>
      <c r="BC1264" s="780"/>
      <c r="BD1264" s="541"/>
      <c r="BE1264" s="541"/>
      <c r="BF1264" s="541"/>
      <c r="BG1264" s="541"/>
      <c r="BH1264" s="780"/>
      <c r="BI1264" s="780"/>
      <c r="BJ1264" s="780"/>
      <c r="BK1264" s="780"/>
      <c r="BL1264" s="780"/>
      <c r="BM1264" s="780"/>
    </row>
    <row r="1265" ht="12.75" customHeight="1">
      <c r="A1265" s="521"/>
      <c r="B1265" s="521"/>
      <c r="C1265" s="515"/>
      <c r="D1265" s="515"/>
      <c r="E1265" s="515"/>
      <c r="F1265" s="515"/>
      <c r="G1265" s="515"/>
      <c r="H1265" s="515"/>
      <c r="I1265" s="515"/>
      <c r="J1265" s="515"/>
      <c r="K1265" s="515"/>
      <c r="L1265" s="515"/>
      <c r="M1265" s="515"/>
      <c r="N1265" s="515"/>
      <c r="O1265" s="533"/>
      <c r="P1265" s="786"/>
      <c r="Q1265" s="787"/>
      <c r="R1265" s="787"/>
      <c r="S1265" s="787"/>
      <c r="T1265" s="786"/>
      <c r="U1265" s="787"/>
      <c r="V1265" s="787"/>
      <c r="W1265" s="787"/>
      <c r="X1265" s="786"/>
      <c r="Y1265" s="787"/>
      <c r="Z1265" s="787"/>
      <c r="AA1265" s="787"/>
      <c r="AB1265" s="786"/>
      <c r="AC1265" s="787"/>
      <c r="AD1265" s="787"/>
      <c r="AE1265" s="787"/>
      <c r="AF1265" s="786"/>
      <c r="AG1265" s="787"/>
      <c r="AH1265" s="787"/>
      <c r="AI1265" s="787"/>
      <c r="AJ1265" s="786"/>
      <c r="AK1265" s="787"/>
      <c r="AL1265" s="787"/>
      <c r="AM1265" s="787"/>
      <c r="AN1265" s="786"/>
      <c r="AO1265" s="787"/>
      <c r="AP1265" s="787"/>
      <c r="AQ1265" s="787"/>
      <c r="AR1265" s="786"/>
      <c r="AS1265" s="787"/>
      <c r="AT1265" s="787"/>
      <c r="AU1265" s="787"/>
      <c r="AV1265" s="786"/>
      <c r="AW1265" s="787"/>
      <c r="AX1265" s="787"/>
      <c r="AY1265" s="787"/>
      <c r="AZ1265" s="780"/>
      <c r="BA1265" s="780"/>
      <c r="BB1265" s="780"/>
      <c r="BC1265" s="780"/>
      <c r="BD1265" s="541"/>
      <c r="BE1265" s="541"/>
      <c r="BF1265" s="541"/>
      <c r="BG1265" s="541"/>
      <c r="BH1265" s="780"/>
      <c r="BI1265" s="780"/>
      <c r="BJ1265" s="780"/>
      <c r="BK1265" s="780"/>
      <c r="BL1265" s="780"/>
      <c r="BM1265" s="780"/>
    </row>
    <row r="1266" ht="12.75" customHeight="1">
      <c r="A1266" s="521"/>
      <c r="B1266" s="521"/>
      <c r="C1266" s="515"/>
      <c r="D1266" s="515"/>
      <c r="E1266" s="515"/>
      <c r="F1266" s="515"/>
      <c r="G1266" s="515"/>
      <c r="H1266" s="515"/>
      <c r="I1266" s="515"/>
      <c r="J1266" s="515"/>
      <c r="K1266" s="515"/>
      <c r="L1266" s="515"/>
      <c r="M1266" s="515"/>
      <c r="N1266" s="515"/>
      <c r="O1266" s="533"/>
      <c r="P1266" s="786"/>
      <c r="Q1266" s="787"/>
      <c r="R1266" s="787"/>
      <c r="S1266" s="787"/>
      <c r="T1266" s="786"/>
      <c r="U1266" s="787"/>
      <c r="V1266" s="787"/>
      <c r="W1266" s="787"/>
      <c r="X1266" s="786"/>
      <c r="Y1266" s="787"/>
      <c r="Z1266" s="787"/>
      <c r="AA1266" s="787"/>
      <c r="AB1266" s="786"/>
      <c r="AC1266" s="787"/>
      <c r="AD1266" s="787"/>
      <c r="AE1266" s="787"/>
      <c r="AF1266" s="786"/>
      <c r="AG1266" s="787"/>
      <c r="AH1266" s="787"/>
      <c r="AI1266" s="787"/>
      <c r="AJ1266" s="786"/>
      <c r="AK1266" s="787"/>
      <c r="AL1266" s="787"/>
      <c r="AM1266" s="787"/>
      <c r="AN1266" s="786"/>
      <c r="AO1266" s="787"/>
      <c r="AP1266" s="787"/>
      <c r="AQ1266" s="787"/>
      <c r="AR1266" s="786"/>
      <c r="AS1266" s="787"/>
      <c r="AT1266" s="787"/>
      <c r="AU1266" s="787"/>
      <c r="AV1266" s="786"/>
      <c r="AW1266" s="787"/>
      <c r="AX1266" s="787"/>
      <c r="AY1266" s="787"/>
      <c r="AZ1266" s="780"/>
      <c r="BA1266" s="780"/>
      <c r="BB1266" s="780"/>
      <c r="BC1266" s="780"/>
      <c r="BD1266" s="541"/>
      <c r="BE1266" s="541"/>
      <c r="BF1266" s="541"/>
      <c r="BG1266" s="541"/>
      <c r="BH1266" s="780"/>
      <c r="BI1266" s="780"/>
      <c r="BJ1266" s="780"/>
      <c r="BK1266" s="780"/>
      <c r="BL1266" s="780"/>
      <c r="BM1266" s="780"/>
    </row>
    <row r="1267" ht="12.75" customHeight="1">
      <c r="A1267" s="521"/>
      <c r="B1267" s="521"/>
      <c r="C1267" s="515"/>
      <c r="D1267" s="515"/>
      <c r="E1267" s="515"/>
      <c r="F1267" s="515"/>
      <c r="G1267" s="515"/>
      <c r="H1267" s="515"/>
      <c r="I1267" s="515"/>
      <c r="J1267" s="515"/>
      <c r="K1267" s="515"/>
      <c r="L1267" s="515"/>
      <c r="M1267" s="515"/>
      <c r="N1267" s="515"/>
      <c r="O1267" s="533"/>
      <c r="P1267" s="786"/>
      <c r="Q1267" s="787"/>
      <c r="R1267" s="787"/>
      <c r="S1267" s="787"/>
      <c r="T1267" s="786"/>
      <c r="U1267" s="787"/>
      <c r="V1267" s="787"/>
      <c r="W1267" s="787"/>
      <c r="X1267" s="786"/>
      <c r="Y1267" s="787"/>
      <c r="Z1267" s="787"/>
      <c r="AA1267" s="787"/>
      <c r="AB1267" s="786"/>
      <c r="AC1267" s="787"/>
      <c r="AD1267" s="787"/>
      <c r="AE1267" s="787"/>
      <c r="AF1267" s="786"/>
      <c r="AG1267" s="787"/>
      <c r="AH1267" s="787"/>
      <c r="AI1267" s="787"/>
      <c r="AJ1267" s="786"/>
      <c r="AK1267" s="787"/>
      <c r="AL1267" s="787"/>
      <c r="AM1267" s="787"/>
      <c r="AN1267" s="786"/>
      <c r="AO1267" s="787"/>
      <c r="AP1267" s="787"/>
      <c r="AQ1267" s="787"/>
      <c r="AR1267" s="786"/>
      <c r="AS1267" s="787"/>
      <c r="AT1267" s="787"/>
      <c r="AU1267" s="787"/>
      <c r="AV1267" s="786"/>
      <c r="AW1267" s="787"/>
      <c r="AX1267" s="787"/>
      <c r="AY1267" s="787"/>
      <c r="AZ1267" s="780"/>
      <c r="BA1267" s="780"/>
      <c r="BB1267" s="780"/>
      <c r="BC1267" s="780"/>
      <c r="BD1267" s="541"/>
      <c r="BE1267" s="541"/>
      <c r="BF1267" s="541"/>
      <c r="BG1267" s="541"/>
      <c r="BH1267" s="780"/>
      <c r="BI1267" s="780"/>
      <c r="BJ1267" s="780"/>
      <c r="BK1267" s="780"/>
      <c r="BL1267" s="780"/>
      <c r="BM1267" s="780"/>
    </row>
    <row r="1268" ht="12.75" customHeight="1">
      <c r="A1268" s="521"/>
      <c r="B1268" s="521"/>
      <c r="C1268" s="515"/>
      <c r="D1268" s="515"/>
      <c r="E1268" s="515"/>
      <c r="F1268" s="515"/>
      <c r="G1268" s="515"/>
      <c r="H1268" s="515"/>
      <c r="I1268" s="515"/>
      <c r="J1268" s="515"/>
      <c r="K1268" s="515"/>
      <c r="L1268" s="515"/>
      <c r="M1268" s="515"/>
      <c r="N1268" s="515"/>
      <c r="O1268" s="533"/>
      <c r="P1268" s="786"/>
      <c r="Q1268" s="787"/>
      <c r="R1268" s="787"/>
      <c r="S1268" s="787"/>
      <c r="T1268" s="786"/>
      <c r="U1268" s="787"/>
      <c r="V1268" s="787"/>
      <c r="W1268" s="787"/>
      <c r="X1268" s="786"/>
      <c r="Y1268" s="787"/>
      <c r="Z1268" s="787"/>
      <c r="AA1268" s="787"/>
      <c r="AB1268" s="786"/>
      <c r="AC1268" s="787"/>
      <c r="AD1268" s="787"/>
      <c r="AE1268" s="787"/>
      <c r="AF1268" s="786"/>
      <c r="AG1268" s="787"/>
      <c r="AH1268" s="787"/>
      <c r="AI1268" s="787"/>
      <c r="AJ1268" s="786"/>
      <c r="AK1268" s="787"/>
      <c r="AL1268" s="787"/>
      <c r="AM1268" s="787"/>
      <c r="AN1268" s="786"/>
      <c r="AO1268" s="787"/>
      <c r="AP1268" s="787"/>
      <c r="AQ1268" s="787"/>
      <c r="AR1268" s="786"/>
      <c r="AS1268" s="787"/>
      <c r="AT1268" s="787"/>
      <c r="AU1268" s="787"/>
      <c r="AV1268" s="786"/>
      <c r="AW1268" s="787"/>
      <c r="AX1268" s="787"/>
      <c r="AY1268" s="787"/>
      <c r="AZ1268" s="780"/>
      <c r="BA1268" s="780"/>
      <c r="BB1268" s="780"/>
      <c r="BC1268" s="780"/>
      <c r="BD1268" s="541"/>
      <c r="BE1268" s="541"/>
      <c r="BF1268" s="541"/>
      <c r="BG1268" s="541"/>
      <c r="BH1268" s="780"/>
      <c r="BI1268" s="780"/>
      <c r="BJ1268" s="780"/>
      <c r="BK1268" s="780"/>
      <c r="BL1268" s="780"/>
      <c r="BM1268" s="780"/>
    </row>
    <row r="1269" ht="12.75" customHeight="1">
      <c r="A1269" s="521"/>
      <c r="B1269" s="521"/>
      <c r="C1269" s="515"/>
      <c r="D1269" s="515"/>
      <c r="E1269" s="515"/>
      <c r="F1269" s="515"/>
      <c r="G1269" s="515"/>
      <c r="H1269" s="515"/>
      <c r="I1269" s="515"/>
      <c r="J1269" s="515"/>
      <c r="K1269" s="515"/>
      <c r="L1269" s="515"/>
      <c r="M1269" s="515"/>
      <c r="N1269" s="515"/>
      <c r="O1269" s="533"/>
      <c r="P1269" s="786"/>
      <c r="Q1269" s="787"/>
      <c r="R1269" s="787"/>
      <c r="S1269" s="787"/>
      <c r="T1269" s="786"/>
      <c r="U1269" s="787"/>
      <c r="V1269" s="787"/>
      <c r="W1269" s="787"/>
      <c r="X1269" s="786"/>
      <c r="Y1269" s="787"/>
      <c r="Z1269" s="787"/>
      <c r="AA1269" s="787"/>
      <c r="AB1269" s="786"/>
      <c r="AC1269" s="787"/>
      <c r="AD1269" s="787"/>
      <c r="AE1269" s="787"/>
      <c r="AF1269" s="786"/>
      <c r="AG1269" s="787"/>
      <c r="AH1269" s="787"/>
      <c r="AI1269" s="787"/>
      <c r="AJ1269" s="786"/>
      <c r="AK1269" s="787"/>
      <c r="AL1269" s="787"/>
      <c r="AM1269" s="787"/>
      <c r="AN1269" s="786"/>
      <c r="AO1269" s="787"/>
      <c r="AP1269" s="787"/>
      <c r="AQ1269" s="787"/>
      <c r="AR1269" s="786"/>
      <c r="AS1269" s="787"/>
      <c r="AT1269" s="787"/>
      <c r="AU1269" s="787"/>
      <c r="AV1269" s="786"/>
      <c r="AW1269" s="787"/>
      <c r="AX1269" s="787"/>
      <c r="AY1269" s="787"/>
      <c r="AZ1269" s="780"/>
      <c r="BA1269" s="780"/>
      <c r="BB1269" s="780"/>
      <c r="BC1269" s="780"/>
      <c r="BD1269" s="541"/>
      <c r="BE1269" s="541"/>
      <c r="BF1269" s="541"/>
      <c r="BG1269" s="541"/>
      <c r="BH1269" s="780"/>
      <c r="BI1269" s="780"/>
      <c r="BJ1269" s="780"/>
      <c r="BK1269" s="780"/>
      <c r="BL1269" s="780"/>
      <c r="BM1269" s="780"/>
    </row>
    <row r="1270" ht="12.75" customHeight="1">
      <c r="A1270" s="521"/>
      <c r="B1270" s="521"/>
      <c r="C1270" s="515"/>
      <c r="D1270" s="515"/>
      <c r="E1270" s="515"/>
      <c r="F1270" s="515"/>
      <c r="G1270" s="515"/>
      <c r="H1270" s="515"/>
      <c r="I1270" s="515"/>
      <c r="J1270" s="515"/>
      <c r="K1270" s="515"/>
      <c r="L1270" s="515"/>
      <c r="M1270" s="515"/>
      <c r="N1270" s="515"/>
      <c r="O1270" s="533"/>
      <c r="P1270" s="786"/>
      <c r="Q1270" s="787"/>
      <c r="R1270" s="787"/>
      <c r="S1270" s="787"/>
      <c r="T1270" s="786"/>
      <c r="U1270" s="787"/>
      <c r="V1270" s="787"/>
      <c r="W1270" s="787"/>
      <c r="X1270" s="786"/>
      <c r="Y1270" s="787"/>
      <c r="Z1270" s="787"/>
      <c r="AA1270" s="787"/>
      <c r="AB1270" s="786"/>
      <c r="AC1270" s="787"/>
      <c r="AD1270" s="787"/>
      <c r="AE1270" s="787"/>
      <c r="AF1270" s="786"/>
      <c r="AG1270" s="787"/>
      <c r="AH1270" s="787"/>
      <c r="AI1270" s="787"/>
      <c r="AJ1270" s="786"/>
      <c r="AK1270" s="787"/>
      <c r="AL1270" s="787"/>
      <c r="AM1270" s="787"/>
      <c r="AN1270" s="786"/>
      <c r="AO1270" s="787"/>
      <c r="AP1270" s="787"/>
      <c r="AQ1270" s="787"/>
      <c r="AR1270" s="786"/>
      <c r="AS1270" s="787"/>
      <c r="AT1270" s="787"/>
      <c r="AU1270" s="787"/>
      <c r="AV1270" s="786"/>
      <c r="AW1270" s="787"/>
      <c r="AX1270" s="787"/>
      <c r="AY1270" s="787"/>
      <c r="AZ1270" s="780"/>
      <c r="BA1270" s="780"/>
      <c r="BB1270" s="780"/>
      <c r="BC1270" s="780"/>
      <c r="BD1270" s="541"/>
      <c r="BE1270" s="541"/>
      <c r="BF1270" s="541"/>
      <c r="BG1270" s="541"/>
      <c r="BH1270" s="780"/>
      <c r="BI1270" s="780"/>
      <c r="BJ1270" s="780"/>
      <c r="BK1270" s="780"/>
      <c r="BL1270" s="780"/>
      <c r="BM1270" s="780"/>
    </row>
    <row r="1271" ht="12.75" customHeight="1">
      <c r="A1271" s="521"/>
      <c r="B1271" s="521"/>
      <c r="C1271" s="515"/>
      <c r="D1271" s="515"/>
      <c r="E1271" s="515"/>
      <c r="F1271" s="515"/>
      <c r="G1271" s="515"/>
      <c r="H1271" s="515"/>
      <c r="I1271" s="515"/>
      <c r="J1271" s="515"/>
      <c r="K1271" s="515"/>
      <c r="L1271" s="515"/>
      <c r="M1271" s="515"/>
      <c r="N1271" s="515"/>
      <c r="O1271" s="533"/>
      <c r="P1271" s="786"/>
      <c r="Q1271" s="787"/>
      <c r="R1271" s="787"/>
      <c r="S1271" s="787"/>
      <c r="T1271" s="786"/>
      <c r="U1271" s="787"/>
      <c r="V1271" s="787"/>
      <c r="W1271" s="787"/>
      <c r="X1271" s="786"/>
      <c r="Y1271" s="787"/>
      <c r="Z1271" s="787"/>
      <c r="AA1271" s="787"/>
      <c r="AB1271" s="786"/>
      <c r="AC1271" s="787"/>
      <c r="AD1271" s="787"/>
      <c r="AE1271" s="787"/>
      <c r="AF1271" s="786"/>
      <c r="AG1271" s="787"/>
      <c r="AH1271" s="787"/>
      <c r="AI1271" s="787"/>
      <c r="AJ1271" s="786"/>
      <c r="AK1271" s="787"/>
      <c r="AL1271" s="787"/>
      <c r="AM1271" s="787"/>
      <c r="AN1271" s="786"/>
      <c r="AO1271" s="787"/>
      <c r="AP1271" s="787"/>
      <c r="AQ1271" s="787"/>
      <c r="AR1271" s="786"/>
      <c r="AS1271" s="787"/>
      <c r="AT1271" s="787"/>
      <c r="AU1271" s="787"/>
      <c r="AV1271" s="786"/>
      <c r="AW1271" s="787"/>
      <c r="AX1271" s="787"/>
      <c r="AY1271" s="787"/>
      <c r="AZ1271" s="780"/>
      <c r="BA1271" s="780"/>
      <c r="BB1271" s="780"/>
      <c r="BC1271" s="780"/>
      <c r="BD1271" s="541"/>
      <c r="BE1271" s="541"/>
      <c r="BF1271" s="541"/>
      <c r="BG1271" s="541"/>
      <c r="BH1271" s="780"/>
      <c r="BI1271" s="780"/>
      <c r="BJ1271" s="780"/>
      <c r="BK1271" s="780"/>
      <c r="BL1271" s="780"/>
      <c r="BM1271" s="780"/>
    </row>
    <row r="1272" ht="12.75" customHeight="1">
      <c r="A1272" s="521"/>
      <c r="B1272" s="521"/>
      <c r="C1272" s="515"/>
      <c r="D1272" s="515"/>
      <c r="E1272" s="515"/>
      <c r="F1272" s="515"/>
      <c r="G1272" s="515"/>
      <c r="H1272" s="515"/>
      <c r="I1272" s="515"/>
      <c r="J1272" s="515"/>
      <c r="K1272" s="515"/>
      <c r="L1272" s="515"/>
      <c r="M1272" s="515"/>
      <c r="N1272" s="515"/>
      <c r="O1272" s="533"/>
      <c r="P1272" s="786"/>
      <c r="Q1272" s="787"/>
      <c r="R1272" s="787"/>
      <c r="S1272" s="787"/>
      <c r="T1272" s="786"/>
      <c r="U1272" s="787"/>
      <c r="V1272" s="787"/>
      <c r="W1272" s="787"/>
      <c r="X1272" s="786"/>
      <c r="Y1272" s="787"/>
      <c r="Z1272" s="787"/>
      <c r="AA1272" s="787"/>
      <c r="AB1272" s="786"/>
      <c r="AC1272" s="787"/>
      <c r="AD1272" s="787"/>
      <c r="AE1272" s="787"/>
      <c r="AF1272" s="786"/>
      <c r="AG1272" s="787"/>
      <c r="AH1272" s="787"/>
      <c r="AI1272" s="787"/>
      <c r="AJ1272" s="786"/>
      <c r="AK1272" s="787"/>
      <c r="AL1272" s="787"/>
      <c r="AM1272" s="787"/>
      <c r="AN1272" s="786"/>
      <c r="AO1272" s="787"/>
      <c r="AP1272" s="787"/>
      <c r="AQ1272" s="787"/>
      <c r="AR1272" s="786"/>
      <c r="AS1272" s="787"/>
      <c r="AT1272" s="787"/>
      <c r="AU1272" s="787"/>
      <c r="AV1272" s="786"/>
      <c r="AW1272" s="787"/>
      <c r="AX1272" s="787"/>
      <c r="AY1272" s="787"/>
      <c r="AZ1272" s="780"/>
      <c r="BA1272" s="780"/>
      <c r="BB1272" s="780"/>
      <c r="BC1272" s="780"/>
      <c r="BD1272" s="541"/>
      <c r="BE1272" s="541"/>
      <c r="BF1272" s="541"/>
      <c r="BG1272" s="541"/>
      <c r="BH1272" s="780"/>
      <c r="BI1272" s="780"/>
      <c r="BJ1272" s="780"/>
      <c r="BK1272" s="780"/>
      <c r="BL1272" s="780"/>
      <c r="BM1272" s="780"/>
    </row>
    <row r="1273" ht="12.75" customHeight="1">
      <c r="A1273" s="521"/>
      <c r="B1273" s="521"/>
      <c r="C1273" s="515"/>
      <c r="D1273" s="515"/>
      <c r="E1273" s="515"/>
      <c r="F1273" s="515"/>
      <c r="G1273" s="515"/>
      <c r="H1273" s="515"/>
      <c r="I1273" s="515"/>
      <c r="J1273" s="515"/>
      <c r="K1273" s="515"/>
      <c r="L1273" s="515"/>
      <c r="M1273" s="515"/>
      <c r="N1273" s="515"/>
      <c r="O1273" s="533"/>
      <c r="P1273" s="786"/>
      <c r="Q1273" s="787"/>
      <c r="R1273" s="787"/>
      <c r="S1273" s="787"/>
      <c r="T1273" s="786"/>
      <c r="U1273" s="787"/>
      <c r="V1273" s="787"/>
      <c r="W1273" s="787"/>
      <c r="X1273" s="786"/>
      <c r="Y1273" s="787"/>
      <c r="Z1273" s="787"/>
      <c r="AA1273" s="787"/>
      <c r="AB1273" s="786"/>
      <c r="AC1273" s="787"/>
      <c r="AD1273" s="787"/>
      <c r="AE1273" s="787"/>
      <c r="AF1273" s="786"/>
      <c r="AG1273" s="787"/>
      <c r="AH1273" s="787"/>
      <c r="AI1273" s="787"/>
      <c r="AJ1273" s="786"/>
      <c r="AK1273" s="787"/>
      <c r="AL1273" s="787"/>
      <c r="AM1273" s="787"/>
      <c r="AN1273" s="786"/>
      <c r="AO1273" s="787"/>
      <c r="AP1273" s="787"/>
      <c r="AQ1273" s="787"/>
      <c r="AR1273" s="786"/>
      <c r="AS1273" s="787"/>
      <c r="AT1273" s="787"/>
      <c r="AU1273" s="787"/>
      <c r="AV1273" s="786"/>
      <c r="AW1273" s="787"/>
      <c r="AX1273" s="787"/>
      <c r="AY1273" s="787"/>
      <c r="AZ1273" s="780"/>
      <c r="BA1273" s="780"/>
      <c r="BB1273" s="780"/>
      <c r="BC1273" s="780"/>
      <c r="BD1273" s="541"/>
      <c r="BE1273" s="541"/>
      <c r="BF1273" s="541"/>
      <c r="BG1273" s="541"/>
      <c r="BH1273" s="780"/>
      <c r="BI1273" s="780"/>
      <c r="BJ1273" s="780"/>
      <c r="BK1273" s="780"/>
      <c r="BL1273" s="780"/>
      <c r="BM1273" s="780"/>
    </row>
    <row r="1274" ht="12.75" customHeight="1">
      <c r="A1274" s="521"/>
      <c r="B1274" s="521"/>
      <c r="C1274" s="515"/>
      <c r="D1274" s="515"/>
      <c r="E1274" s="515"/>
      <c r="F1274" s="515"/>
      <c r="G1274" s="515"/>
      <c r="H1274" s="515"/>
      <c r="I1274" s="515"/>
      <c r="J1274" s="515"/>
      <c r="K1274" s="515"/>
      <c r="L1274" s="515"/>
      <c r="M1274" s="515"/>
      <c r="N1274" s="515"/>
      <c r="O1274" s="533"/>
      <c r="P1274" s="786"/>
      <c r="Q1274" s="787"/>
      <c r="R1274" s="787"/>
      <c r="S1274" s="787"/>
      <c r="T1274" s="786"/>
      <c r="U1274" s="787"/>
      <c r="V1274" s="787"/>
      <c r="W1274" s="787"/>
      <c r="X1274" s="786"/>
      <c r="Y1274" s="787"/>
      <c r="Z1274" s="787"/>
      <c r="AA1274" s="787"/>
      <c r="AB1274" s="786"/>
      <c r="AC1274" s="787"/>
      <c r="AD1274" s="787"/>
      <c r="AE1274" s="787"/>
      <c r="AF1274" s="786"/>
      <c r="AG1274" s="787"/>
      <c r="AH1274" s="787"/>
      <c r="AI1274" s="787"/>
      <c r="AJ1274" s="786"/>
      <c r="AK1274" s="787"/>
      <c r="AL1274" s="787"/>
      <c r="AM1274" s="787"/>
      <c r="AN1274" s="786"/>
      <c r="AO1274" s="787"/>
      <c r="AP1274" s="787"/>
      <c r="AQ1274" s="787"/>
      <c r="AR1274" s="786"/>
      <c r="AS1274" s="787"/>
      <c r="AT1274" s="787"/>
      <c r="AU1274" s="787"/>
      <c r="AV1274" s="786"/>
      <c r="AW1274" s="787"/>
      <c r="AX1274" s="787"/>
      <c r="AY1274" s="787"/>
      <c r="AZ1274" s="780"/>
      <c r="BA1274" s="780"/>
      <c r="BB1274" s="780"/>
      <c r="BC1274" s="780"/>
      <c r="BD1274" s="541"/>
      <c r="BE1274" s="541"/>
      <c r="BF1274" s="541"/>
      <c r="BG1274" s="541"/>
      <c r="BH1274" s="780"/>
      <c r="BI1274" s="780"/>
      <c r="BJ1274" s="780"/>
      <c r="BK1274" s="780"/>
      <c r="BL1274" s="780"/>
      <c r="BM1274" s="780"/>
    </row>
    <row r="1275" ht="12.75" customHeight="1">
      <c r="A1275" s="521"/>
      <c r="B1275" s="521"/>
      <c r="C1275" s="515"/>
      <c r="D1275" s="515"/>
      <c r="E1275" s="515"/>
      <c r="F1275" s="515"/>
      <c r="G1275" s="515"/>
      <c r="H1275" s="515"/>
      <c r="I1275" s="515"/>
      <c r="J1275" s="515"/>
      <c r="K1275" s="515"/>
      <c r="L1275" s="515"/>
      <c r="M1275" s="515"/>
      <c r="N1275" s="515"/>
      <c r="O1275" s="533"/>
      <c r="P1275" s="786"/>
      <c r="Q1275" s="787"/>
      <c r="R1275" s="787"/>
      <c r="S1275" s="787"/>
      <c r="T1275" s="786"/>
      <c r="U1275" s="787"/>
      <c r="V1275" s="787"/>
      <c r="W1275" s="787"/>
      <c r="X1275" s="786"/>
      <c r="Y1275" s="787"/>
      <c r="Z1275" s="787"/>
      <c r="AA1275" s="787"/>
      <c r="AB1275" s="786"/>
      <c r="AC1275" s="787"/>
      <c r="AD1275" s="787"/>
      <c r="AE1275" s="787"/>
      <c r="AF1275" s="786"/>
      <c r="AG1275" s="787"/>
      <c r="AH1275" s="787"/>
      <c r="AI1275" s="787"/>
      <c r="AJ1275" s="786"/>
      <c r="AK1275" s="787"/>
      <c r="AL1275" s="787"/>
      <c r="AM1275" s="787"/>
      <c r="AN1275" s="786"/>
      <c r="AO1275" s="787"/>
      <c r="AP1275" s="787"/>
      <c r="AQ1275" s="787"/>
      <c r="AR1275" s="786"/>
      <c r="AS1275" s="787"/>
      <c r="AT1275" s="787"/>
      <c r="AU1275" s="787"/>
      <c r="AV1275" s="786"/>
      <c r="AW1275" s="787"/>
      <c r="AX1275" s="787"/>
      <c r="AY1275" s="787"/>
      <c r="AZ1275" s="780"/>
      <c r="BA1275" s="780"/>
      <c r="BB1275" s="780"/>
      <c r="BC1275" s="780"/>
      <c r="BD1275" s="541"/>
      <c r="BE1275" s="541"/>
      <c r="BF1275" s="541"/>
      <c r="BG1275" s="541"/>
      <c r="BH1275" s="780"/>
      <c r="BI1275" s="780"/>
      <c r="BJ1275" s="780"/>
      <c r="BK1275" s="780"/>
      <c r="BL1275" s="780"/>
      <c r="BM1275" s="780"/>
    </row>
    <row r="1276" ht="12.75" customHeight="1">
      <c r="A1276" s="521"/>
      <c r="B1276" s="521"/>
      <c r="C1276" s="515"/>
      <c r="D1276" s="515"/>
      <c r="E1276" s="515"/>
      <c r="F1276" s="515"/>
      <c r="G1276" s="515"/>
      <c r="H1276" s="515"/>
      <c r="I1276" s="515"/>
      <c r="J1276" s="515"/>
      <c r="K1276" s="515"/>
      <c r="L1276" s="515"/>
      <c r="M1276" s="515"/>
      <c r="N1276" s="515"/>
      <c r="O1276" s="533"/>
      <c r="P1276" s="786"/>
      <c r="Q1276" s="787"/>
      <c r="R1276" s="787"/>
      <c r="S1276" s="787"/>
      <c r="T1276" s="786"/>
      <c r="U1276" s="787"/>
      <c r="V1276" s="787"/>
      <c r="W1276" s="787"/>
      <c r="X1276" s="786"/>
      <c r="Y1276" s="787"/>
      <c r="Z1276" s="787"/>
      <c r="AA1276" s="787"/>
      <c r="AB1276" s="786"/>
      <c r="AC1276" s="787"/>
      <c r="AD1276" s="787"/>
      <c r="AE1276" s="787"/>
      <c r="AF1276" s="786"/>
      <c r="AG1276" s="787"/>
      <c r="AH1276" s="787"/>
      <c r="AI1276" s="787"/>
      <c r="AJ1276" s="786"/>
      <c r="AK1276" s="787"/>
      <c r="AL1276" s="787"/>
      <c r="AM1276" s="787"/>
      <c r="AN1276" s="786"/>
      <c r="AO1276" s="787"/>
      <c r="AP1276" s="787"/>
      <c r="AQ1276" s="787"/>
      <c r="AR1276" s="786"/>
      <c r="AS1276" s="787"/>
      <c r="AT1276" s="787"/>
      <c r="AU1276" s="787"/>
      <c r="AV1276" s="786"/>
      <c r="AW1276" s="787"/>
      <c r="AX1276" s="787"/>
      <c r="AY1276" s="787"/>
      <c r="AZ1276" s="780"/>
      <c r="BA1276" s="780"/>
      <c r="BB1276" s="780"/>
      <c r="BC1276" s="780"/>
      <c r="BD1276" s="541"/>
      <c r="BE1276" s="541"/>
      <c r="BF1276" s="541"/>
      <c r="BG1276" s="541"/>
      <c r="BH1276" s="780"/>
      <c r="BI1276" s="780"/>
      <c r="BJ1276" s="780"/>
      <c r="BK1276" s="780"/>
      <c r="BL1276" s="780"/>
      <c r="BM1276" s="780"/>
    </row>
    <row r="1277" ht="12.75" customHeight="1">
      <c r="A1277" s="521"/>
      <c r="B1277" s="521"/>
      <c r="C1277" s="515"/>
      <c r="D1277" s="515"/>
      <c r="E1277" s="515"/>
      <c r="F1277" s="515"/>
      <c r="G1277" s="515"/>
      <c r="H1277" s="515"/>
      <c r="I1277" s="515"/>
      <c r="J1277" s="515"/>
      <c r="K1277" s="515"/>
      <c r="L1277" s="515"/>
      <c r="M1277" s="515"/>
      <c r="N1277" s="515"/>
      <c r="O1277" s="533"/>
      <c r="P1277" s="786"/>
      <c r="Q1277" s="787"/>
      <c r="R1277" s="787"/>
      <c r="S1277" s="787"/>
      <c r="T1277" s="786"/>
      <c r="U1277" s="787"/>
      <c r="V1277" s="787"/>
      <c r="W1277" s="787"/>
      <c r="X1277" s="786"/>
      <c r="Y1277" s="787"/>
      <c r="Z1277" s="787"/>
      <c r="AA1277" s="787"/>
      <c r="AB1277" s="786"/>
      <c r="AC1277" s="787"/>
      <c r="AD1277" s="787"/>
      <c r="AE1277" s="787"/>
      <c r="AF1277" s="786"/>
      <c r="AG1277" s="787"/>
      <c r="AH1277" s="787"/>
      <c r="AI1277" s="787"/>
      <c r="AJ1277" s="786"/>
      <c r="AK1277" s="787"/>
      <c r="AL1277" s="787"/>
      <c r="AM1277" s="787"/>
      <c r="AN1277" s="786"/>
      <c r="AO1277" s="787"/>
      <c r="AP1277" s="787"/>
      <c r="AQ1277" s="787"/>
      <c r="AR1277" s="786"/>
      <c r="AS1277" s="787"/>
      <c r="AT1277" s="787"/>
      <c r="AU1277" s="787"/>
      <c r="AV1277" s="786"/>
      <c r="AW1277" s="787"/>
      <c r="AX1277" s="787"/>
      <c r="AY1277" s="787"/>
      <c r="AZ1277" s="780"/>
      <c r="BA1277" s="780"/>
      <c r="BB1277" s="780"/>
      <c r="BC1277" s="780"/>
      <c r="BD1277" s="541"/>
      <c r="BE1277" s="541"/>
      <c r="BF1277" s="541"/>
      <c r="BG1277" s="541"/>
      <c r="BH1277" s="780"/>
      <c r="BI1277" s="780"/>
      <c r="BJ1277" s="780"/>
      <c r="BK1277" s="780"/>
      <c r="BL1277" s="780"/>
      <c r="BM1277" s="780"/>
    </row>
    <row r="1278" ht="12.75" customHeight="1">
      <c r="A1278" s="521"/>
      <c r="B1278" s="521"/>
      <c r="C1278" s="515"/>
      <c r="D1278" s="515"/>
      <c r="E1278" s="515"/>
      <c r="F1278" s="515"/>
      <c r="G1278" s="515"/>
      <c r="H1278" s="515"/>
      <c r="I1278" s="515"/>
      <c r="J1278" s="515"/>
      <c r="K1278" s="515"/>
      <c r="L1278" s="515"/>
      <c r="M1278" s="515"/>
      <c r="N1278" s="515"/>
      <c r="O1278" s="533"/>
      <c r="P1278" s="786"/>
      <c r="Q1278" s="787"/>
      <c r="R1278" s="787"/>
      <c r="S1278" s="787"/>
      <c r="T1278" s="786"/>
      <c r="U1278" s="787"/>
      <c r="V1278" s="787"/>
      <c r="W1278" s="787"/>
      <c r="X1278" s="786"/>
      <c r="Y1278" s="787"/>
      <c r="Z1278" s="787"/>
      <c r="AA1278" s="787"/>
      <c r="AB1278" s="786"/>
      <c r="AC1278" s="787"/>
      <c r="AD1278" s="787"/>
      <c r="AE1278" s="787"/>
      <c r="AF1278" s="786"/>
      <c r="AG1278" s="787"/>
      <c r="AH1278" s="787"/>
      <c r="AI1278" s="787"/>
      <c r="AJ1278" s="786"/>
      <c r="AK1278" s="787"/>
      <c r="AL1278" s="787"/>
      <c r="AM1278" s="787"/>
      <c r="AN1278" s="786"/>
      <c r="AO1278" s="787"/>
      <c r="AP1278" s="787"/>
      <c r="AQ1278" s="787"/>
      <c r="AR1278" s="786"/>
      <c r="AS1278" s="787"/>
      <c r="AT1278" s="787"/>
      <c r="AU1278" s="787"/>
      <c r="AV1278" s="786"/>
      <c r="AW1278" s="787"/>
      <c r="AX1278" s="787"/>
      <c r="AY1278" s="787"/>
      <c r="AZ1278" s="780"/>
      <c r="BA1278" s="780"/>
      <c r="BB1278" s="780"/>
      <c r="BC1278" s="780"/>
      <c r="BD1278" s="541"/>
      <c r="BE1278" s="541"/>
      <c r="BF1278" s="541"/>
      <c r="BG1278" s="541"/>
      <c r="BH1278" s="780"/>
      <c r="BI1278" s="780"/>
      <c r="BJ1278" s="780"/>
      <c r="BK1278" s="780"/>
      <c r="BL1278" s="780"/>
      <c r="BM1278" s="780"/>
    </row>
  </sheetData>
  <mergeCells count="1394">
    <mergeCell ref="AR265:AU265"/>
    <mergeCell ref="AV265:AY265"/>
    <mergeCell ref="AZ265:BC265"/>
    <mergeCell ref="BD265:BG265"/>
    <mergeCell ref="BH265:BK265"/>
    <mergeCell ref="P265:S265"/>
    <mergeCell ref="T265:W265"/>
    <mergeCell ref="X265:AA265"/>
    <mergeCell ref="AB265:AE265"/>
    <mergeCell ref="AF265:AI265"/>
    <mergeCell ref="AJ265:AM265"/>
    <mergeCell ref="AN265:AQ265"/>
    <mergeCell ref="AR266:AU266"/>
    <mergeCell ref="AV266:AY266"/>
    <mergeCell ref="AZ266:BC266"/>
    <mergeCell ref="BD266:BG266"/>
    <mergeCell ref="BH266:BK266"/>
    <mergeCell ref="AZ271:BC271"/>
    <mergeCell ref="BD271:BG271"/>
    <mergeCell ref="BH271:BK271"/>
    <mergeCell ref="P266:S266"/>
    <mergeCell ref="T266:W266"/>
    <mergeCell ref="X266:AA266"/>
    <mergeCell ref="AB266:AE266"/>
    <mergeCell ref="AF266:AI266"/>
    <mergeCell ref="AJ266:AM266"/>
    <mergeCell ref="AN266:AQ266"/>
    <mergeCell ref="X249:AA249"/>
    <mergeCell ref="AB249:AE249"/>
    <mergeCell ref="AR257:AU257"/>
    <mergeCell ref="AV257:AY257"/>
    <mergeCell ref="AZ257:BC257"/>
    <mergeCell ref="BD257:BG257"/>
    <mergeCell ref="BH257:BK257"/>
    <mergeCell ref="P257:S257"/>
    <mergeCell ref="T257:W257"/>
    <mergeCell ref="X257:AA257"/>
    <mergeCell ref="AB257:AE257"/>
    <mergeCell ref="AF257:AI257"/>
    <mergeCell ref="AJ257:AM257"/>
    <mergeCell ref="AN257:AQ257"/>
    <mergeCell ref="AR258:AU258"/>
    <mergeCell ref="AV258:AY258"/>
    <mergeCell ref="AZ258:BC258"/>
    <mergeCell ref="BD258:BG258"/>
    <mergeCell ref="BH258:BK258"/>
    <mergeCell ref="AZ263:BC263"/>
    <mergeCell ref="BD263:BG263"/>
    <mergeCell ref="BH263:BK263"/>
    <mergeCell ref="P258:S258"/>
    <mergeCell ref="T258:W258"/>
    <mergeCell ref="X258:AA258"/>
    <mergeCell ref="AB258:AE258"/>
    <mergeCell ref="AF258:AI258"/>
    <mergeCell ref="AJ258:AM258"/>
    <mergeCell ref="AN258:AQ258"/>
    <mergeCell ref="P250:S250"/>
    <mergeCell ref="T250:W250"/>
    <mergeCell ref="P256:S256"/>
    <mergeCell ref="T256:W256"/>
    <mergeCell ref="X256:AA256"/>
    <mergeCell ref="AB256:AE256"/>
    <mergeCell ref="AF256:AI256"/>
    <mergeCell ref="AN274:AQ274"/>
    <mergeCell ref="AR274:AU274"/>
    <mergeCell ref="AV274:AY274"/>
    <mergeCell ref="AZ274:BC274"/>
    <mergeCell ref="BD274:BG274"/>
    <mergeCell ref="BH274:BK274"/>
    <mergeCell ref="AZ295:BC295"/>
    <mergeCell ref="BD295:BG295"/>
    <mergeCell ref="BH295:BK295"/>
    <mergeCell ref="P295:S295"/>
    <mergeCell ref="T295:W295"/>
    <mergeCell ref="AF295:AI295"/>
    <mergeCell ref="AJ295:AM295"/>
    <mergeCell ref="AN295:AQ295"/>
    <mergeCell ref="AR295:AU295"/>
    <mergeCell ref="AV295:AY295"/>
    <mergeCell ref="P286:S286"/>
    <mergeCell ref="T286:W286"/>
    <mergeCell ref="AZ286:BC286"/>
    <mergeCell ref="BD286:BG286"/>
    <mergeCell ref="BH286:BK286"/>
    <mergeCell ref="X286:AA286"/>
    <mergeCell ref="AB286:AE286"/>
    <mergeCell ref="AF286:AI286"/>
    <mergeCell ref="AJ286:AM286"/>
    <mergeCell ref="AN286:AQ286"/>
    <mergeCell ref="AR286:AU286"/>
    <mergeCell ref="AV286:AY286"/>
    <mergeCell ref="AZ287:BC287"/>
    <mergeCell ref="BD287:BG287"/>
    <mergeCell ref="BH287:BK287"/>
    <mergeCell ref="X287:AA287"/>
    <mergeCell ref="AB287:AE287"/>
    <mergeCell ref="AF287:AI287"/>
    <mergeCell ref="AJ287:AM287"/>
    <mergeCell ref="AN287:AQ287"/>
    <mergeCell ref="AR287:AU287"/>
    <mergeCell ref="AV287:AY287"/>
    <mergeCell ref="AF294:AI294"/>
    <mergeCell ref="AJ294:AM294"/>
    <mergeCell ref="AN294:AQ294"/>
    <mergeCell ref="AR294:AU294"/>
    <mergeCell ref="AV294:AY294"/>
    <mergeCell ref="AZ294:BC294"/>
    <mergeCell ref="BD294:BG294"/>
    <mergeCell ref="BH294:BK294"/>
    <mergeCell ref="AF296:AI296"/>
    <mergeCell ref="AJ296:AM296"/>
    <mergeCell ref="AN296:AQ296"/>
    <mergeCell ref="AR296:AU296"/>
    <mergeCell ref="AV296:AY296"/>
    <mergeCell ref="AZ296:BC296"/>
    <mergeCell ref="BD296:BG296"/>
    <mergeCell ref="BH296:BK296"/>
    <mergeCell ref="AR303:AU303"/>
    <mergeCell ref="AV303:AY303"/>
    <mergeCell ref="AZ303:BC303"/>
    <mergeCell ref="BD303:BG303"/>
    <mergeCell ref="BH303:BK303"/>
    <mergeCell ref="P303:S303"/>
    <mergeCell ref="T303:W303"/>
    <mergeCell ref="X303:AA303"/>
    <mergeCell ref="AB303:AE303"/>
    <mergeCell ref="AF303:AI303"/>
    <mergeCell ref="AJ303:AM303"/>
    <mergeCell ref="AN303:AQ303"/>
    <mergeCell ref="AR304:AU304"/>
    <mergeCell ref="AV304:AY304"/>
    <mergeCell ref="AZ304:BC304"/>
    <mergeCell ref="BD304:BG304"/>
    <mergeCell ref="BH304:BK304"/>
    <mergeCell ref="P304:S304"/>
    <mergeCell ref="T304:W304"/>
    <mergeCell ref="X304:AA304"/>
    <mergeCell ref="AB304:AE304"/>
    <mergeCell ref="AF304:AI304"/>
    <mergeCell ref="AJ304:AM304"/>
    <mergeCell ref="AN304:AQ304"/>
    <mergeCell ref="AR305:AU305"/>
    <mergeCell ref="AV305:AY305"/>
    <mergeCell ref="AZ305:BC305"/>
    <mergeCell ref="BD305:BG305"/>
    <mergeCell ref="BH305:BK305"/>
    <mergeCell ref="P305:S305"/>
    <mergeCell ref="T305:W305"/>
    <mergeCell ref="X305:AA305"/>
    <mergeCell ref="AB305:AE305"/>
    <mergeCell ref="AF305:AI305"/>
    <mergeCell ref="AJ305:AM305"/>
    <mergeCell ref="AN305:AQ305"/>
    <mergeCell ref="AR306:AU306"/>
    <mergeCell ref="AV306:AY306"/>
    <mergeCell ref="AZ306:BC306"/>
    <mergeCell ref="BD306:BG306"/>
    <mergeCell ref="BH306:BK306"/>
    <mergeCell ref="P306:S306"/>
    <mergeCell ref="T306:W306"/>
    <mergeCell ref="X306:AA306"/>
    <mergeCell ref="AB306:AE306"/>
    <mergeCell ref="AF306:AI306"/>
    <mergeCell ref="AJ306:AM306"/>
    <mergeCell ref="AN306:AQ306"/>
    <mergeCell ref="AR307:AU307"/>
    <mergeCell ref="AV307:AY307"/>
    <mergeCell ref="AZ307:BC307"/>
    <mergeCell ref="BD307:BG307"/>
    <mergeCell ref="BH307:BK307"/>
    <mergeCell ref="P307:S307"/>
    <mergeCell ref="T307:W307"/>
    <mergeCell ref="X307:AA307"/>
    <mergeCell ref="AB307:AE307"/>
    <mergeCell ref="AF307:AI307"/>
    <mergeCell ref="AJ307:AM307"/>
    <mergeCell ref="AN307:AQ307"/>
    <mergeCell ref="AR308:AU308"/>
    <mergeCell ref="AV308:AY308"/>
    <mergeCell ref="AZ308:BC308"/>
    <mergeCell ref="BD308:BG308"/>
    <mergeCell ref="BH308:BK308"/>
    <mergeCell ref="P308:S308"/>
    <mergeCell ref="T308:W308"/>
    <mergeCell ref="X308:AA308"/>
    <mergeCell ref="AB308:AE308"/>
    <mergeCell ref="AF308:AI308"/>
    <mergeCell ref="AJ308:AM308"/>
    <mergeCell ref="AN308:AQ308"/>
    <mergeCell ref="AR309:AU309"/>
    <mergeCell ref="AV309:AY309"/>
    <mergeCell ref="AZ309:BC309"/>
    <mergeCell ref="BD309:BG309"/>
    <mergeCell ref="BH309:BK309"/>
    <mergeCell ref="P309:S309"/>
    <mergeCell ref="T309:W309"/>
    <mergeCell ref="X309:AA309"/>
    <mergeCell ref="AB309:AE309"/>
    <mergeCell ref="AF309:AI309"/>
    <mergeCell ref="AJ309:AM309"/>
    <mergeCell ref="AN309:AQ309"/>
    <mergeCell ref="AR310:AU310"/>
    <mergeCell ref="AV310:AY310"/>
    <mergeCell ref="AZ310:BC310"/>
    <mergeCell ref="BD310:BG310"/>
    <mergeCell ref="BH310:BK310"/>
    <mergeCell ref="P310:S310"/>
    <mergeCell ref="T310:W310"/>
    <mergeCell ref="X310:AA310"/>
    <mergeCell ref="AB310:AE310"/>
    <mergeCell ref="AF310:AI310"/>
    <mergeCell ref="AJ310:AM310"/>
    <mergeCell ref="AN310:AQ310"/>
    <mergeCell ref="AR311:AU311"/>
    <mergeCell ref="AV311:AY311"/>
    <mergeCell ref="AZ311:BC311"/>
    <mergeCell ref="BD311:BG311"/>
    <mergeCell ref="BH311:BK311"/>
    <mergeCell ref="P311:S311"/>
    <mergeCell ref="T311:W311"/>
    <mergeCell ref="X311:AA311"/>
    <mergeCell ref="AB311:AE311"/>
    <mergeCell ref="AF311:AI311"/>
    <mergeCell ref="AJ311:AM311"/>
    <mergeCell ref="AN311:AQ311"/>
    <mergeCell ref="P275:S275"/>
    <mergeCell ref="T275:W275"/>
    <mergeCell ref="X275:AA275"/>
    <mergeCell ref="AB275:AE275"/>
    <mergeCell ref="AF275:AI275"/>
    <mergeCell ref="AJ275:AM275"/>
    <mergeCell ref="AN275:AQ275"/>
    <mergeCell ref="AR275:AU275"/>
    <mergeCell ref="AV275:AY275"/>
    <mergeCell ref="AZ275:BC275"/>
    <mergeCell ref="BD275:BG275"/>
    <mergeCell ref="BH275:BK275"/>
    <mergeCell ref="X276:AA276"/>
    <mergeCell ref="AB276:AE276"/>
    <mergeCell ref="AF276:AI276"/>
    <mergeCell ref="AJ276:AM276"/>
    <mergeCell ref="AN276:AQ276"/>
    <mergeCell ref="AR276:AU276"/>
    <mergeCell ref="AV276:AY276"/>
    <mergeCell ref="AZ276:BC276"/>
    <mergeCell ref="BD276:BG276"/>
    <mergeCell ref="BH276:BK276"/>
    <mergeCell ref="C274:N276"/>
    <mergeCell ref="P274:S274"/>
    <mergeCell ref="T274:W274"/>
    <mergeCell ref="X274:AA274"/>
    <mergeCell ref="AB274:AE274"/>
    <mergeCell ref="AF274:AI274"/>
    <mergeCell ref="AJ274:AM274"/>
    <mergeCell ref="AF285:AI285"/>
    <mergeCell ref="AJ285:AM285"/>
    <mergeCell ref="AN285:AQ285"/>
    <mergeCell ref="AR285:AU285"/>
    <mergeCell ref="AV285:AY285"/>
    <mergeCell ref="AZ285:BC285"/>
    <mergeCell ref="BD285:BG285"/>
    <mergeCell ref="BH285:BK285"/>
    <mergeCell ref="AR319:AU319"/>
    <mergeCell ref="AV319:AY319"/>
    <mergeCell ref="AZ319:BC319"/>
    <mergeCell ref="BD319:BG319"/>
    <mergeCell ref="BH319:BK319"/>
    <mergeCell ref="P319:S319"/>
    <mergeCell ref="T319:W319"/>
    <mergeCell ref="X319:AA319"/>
    <mergeCell ref="AB319:AE319"/>
    <mergeCell ref="AF319:AI319"/>
    <mergeCell ref="AJ319:AM319"/>
    <mergeCell ref="AN319:AQ319"/>
    <mergeCell ref="P276:S276"/>
    <mergeCell ref="T276:W276"/>
    <mergeCell ref="C285:N287"/>
    <mergeCell ref="P285:S285"/>
    <mergeCell ref="T285:W285"/>
    <mergeCell ref="X285:AA285"/>
    <mergeCell ref="AB285:AE285"/>
    <mergeCell ref="X295:AA295"/>
    <mergeCell ref="AB295:AE295"/>
    <mergeCell ref="X296:AA296"/>
    <mergeCell ref="AB296:AE296"/>
    <mergeCell ref="P287:S287"/>
    <mergeCell ref="T287:W287"/>
    <mergeCell ref="C294:N296"/>
    <mergeCell ref="P294:S294"/>
    <mergeCell ref="T294:W294"/>
    <mergeCell ref="X294:AA294"/>
    <mergeCell ref="AB294:AE294"/>
    <mergeCell ref="AJ302:AM302"/>
    <mergeCell ref="AN302:AQ302"/>
    <mergeCell ref="AR302:AU302"/>
    <mergeCell ref="AV302:AY302"/>
    <mergeCell ref="AZ302:BC302"/>
    <mergeCell ref="BD302:BG302"/>
    <mergeCell ref="BH302:BK302"/>
    <mergeCell ref="P296:S296"/>
    <mergeCell ref="T296:W296"/>
    <mergeCell ref="P302:S302"/>
    <mergeCell ref="T302:W302"/>
    <mergeCell ref="X302:AA302"/>
    <mergeCell ref="AB302:AE302"/>
    <mergeCell ref="AF302:AI302"/>
    <mergeCell ref="AR320:AU320"/>
    <mergeCell ref="AV320:AY320"/>
    <mergeCell ref="AZ320:BC320"/>
    <mergeCell ref="BD320:BG320"/>
    <mergeCell ref="BH320:BK320"/>
    <mergeCell ref="P320:S320"/>
    <mergeCell ref="T320:W320"/>
    <mergeCell ref="X320:AA320"/>
    <mergeCell ref="AB320:AE320"/>
    <mergeCell ref="AF320:AI320"/>
    <mergeCell ref="AJ320:AM320"/>
    <mergeCell ref="AN320:AQ320"/>
    <mergeCell ref="AR312:AU312"/>
    <mergeCell ref="AV312:AY312"/>
    <mergeCell ref="AZ312:BC312"/>
    <mergeCell ref="BD312:BG312"/>
    <mergeCell ref="BH312:BK312"/>
    <mergeCell ref="P312:S312"/>
    <mergeCell ref="T312:W312"/>
    <mergeCell ref="X312:AA312"/>
    <mergeCell ref="AB312:AE312"/>
    <mergeCell ref="AF312:AI312"/>
    <mergeCell ref="AJ312:AM312"/>
    <mergeCell ref="AN312:AQ312"/>
    <mergeCell ref="AR313:AU313"/>
    <mergeCell ref="AV313:AY313"/>
    <mergeCell ref="AZ313:BC313"/>
    <mergeCell ref="BD313:BG313"/>
    <mergeCell ref="BH313:BK313"/>
    <mergeCell ref="P313:S313"/>
    <mergeCell ref="T313:W313"/>
    <mergeCell ref="X313:AA313"/>
    <mergeCell ref="AB313:AE313"/>
    <mergeCell ref="AF313:AI313"/>
    <mergeCell ref="AJ313:AM313"/>
    <mergeCell ref="AN313:AQ313"/>
    <mergeCell ref="AR314:AU314"/>
    <mergeCell ref="AV314:AY314"/>
    <mergeCell ref="AZ314:BC314"/>
    <mergeCell ref="BD314:BG314"/>
    <mergeCell ref="BH314:BK314"/>
    <mergeCell ref="P314:S314"/>
    <mergeCell ref="T314:W314"/>
    <mergeCell ref="X314:AA314"/>
    <mergeCell ref="AB314:AE314"/>
    <mergeCell ref="AF314:AI314"/>
    <mergeCell ref="AJ314:AM314"/>
    <mergeCell ref="AN314:AQ314"/>
    <mergeCell ref="AR315:AU315"/>
    <mergeCell ref="AV315:AY315"/>
    <mergeCell ref="AZ315:BC315"/>
    <mergeCell ref="BD315:BG315"/>
    <mergeCell ref="BH315:BK315"/>
    <mergeCell ref="P315:S315"/>
    <mergeCell ref="T315:W315"/>
    <mergeCell ref="X315:AA315"/>
    <mergeCell ref="AB315:AE315"/>
    <mergeCell ref="AF315:AI315"/>
    <mergeCell ref="AJ315:AM315"/>
    <mergeCell ref="AN315:AQ315"/>
    <mergeCell ref="AR316:AU316"/>
    <mergeCell ref="AV316:AY316"/>
    <mergeCell ref="AZ316:BC316"/>
    <mergeCell ref="BD316:BG316"/>
    <mergeCell ref="BH316:BK316"/>
    <mergeCell ref="P316:S316"/>
    <mergeCell ref="T316:W316"/>
    <mergeCell ref="X316:AA316"/>
    <mergeCell ref="AB316:AE316"/>
    <mergeCell ref="AF316:AI316"/>
    <mergeCell ref="AJ316:AM316"/>
    <mergeCell ref="AN316:AQ316"/>
    <mergeCell ref="AR317:AU317"/>
    <mergeCell ref="AV317:AY317"/>
    <mergeCell ref="AZ317:BC317"/>
    <mergeCell ref="BD317:BG317"/>
    <mergeCell ref="BH317:BK317"/>
    <mergeCell ref="P317:S317"/>
    <mergeCell ref="T317:W317"/>
    <mergeCell ref="X317:AA317"/>
    <mergeCell ref="AB317:AE317"/>
    <mergeCell ref="AF317:AI317"/>
    <mergeCell ref="AJ317:AM317"/>
    <mergeCell ref="AN317:AQ317"/>
    <mergeCell ref="AR318:AU318"/>
    <mergeCell ref="AV318:AY318"/>
    <mergeCell ref="AZ318:BC318"/>
    <mergeCell ref="BD318:BG318"/>
    <mergeCell ref="BH318:BK318"/>
    <mergeCell ref="P318:S318"/>
    <mergeCell ref="T318:W318"/>
    <mergeCell ref="X318:AA318"/>
    <mergeCell ref="AB318:AE318"/>
    <mergeCell ref="AF318:AI318"/>
    <mergeCell ref="AJ318:AM318"/>
    <mergeCell ref="AN318:AQ318"/>
    <mergeCell ref="X19:AA19"/>
    <mergeCell ref="AB19:AE19"/>
    <mergeCell ref="C27:N29"/>
    <mergeCell ref="P27:S27"/>
    <mergeCell ref="T27:W27"/>
    <mergeCell ref="X27:AA27"/>
    <mergeCell ref="AB27:AE27"/>
    <mergeCell ref="X39:AA39"/>
    <mergeCell ref="AB39:AE39"/>
    <mergeCell ref="AF61:AI61"/>
    <mergeCell ref="AJ61:AM61"/>
    <mergeCell ref="AN61:AQ61"/>
    <mergeCell ref="AR61:AU61"/>
    <mergeCell ref="AV61:AY61"/>
    <mergeCell ref="AZ61:BC61"/>
    <mergeCell ref="BD61:BG61"/>
    <mergeCell ref="BH61:BK61"/>
    <mergeCell ref="P62:S62"/>
    <mergeCell ref="T62:W62"/>
    <mergeCell ref="AZ62:BC62"/>
    <mergeCell ref="BD62:BG62"/>
    <mergeCell ref="BH62:BK62"/>
    <mergeCell ref="X62:AA62"/>
    <mergeCell ref="AB62:AE62"/>
    <mergeCell ref="AF62:AI62"/>
    <mergeCell ref="AJ62:AM62"/>
    <mergeCell ref="AN62:AQ62"/>
    <mergeCell ref="AR62:AU62"/>
    <mergeCell ref="AV62:AY62"/>
    <mergeCell ref="AZ63:BC63"/>
    <mergeCell ref="BD63:BG63"/>
    <mergeCell ref="BH63:BK63"/>
    <mergeCell ref="P63:S63"/>
    <mergeCell ref="T63:W63"/>
    <mergeCell ref="AF63:AI63"/>
    <mergeCell ref="AJ63:AM63"/>
    <mergeCell ref="AN63:AQ63"/>
    <mergeCell ref="AR63:AU63"/>
    <mergeCell ref="AV63:AY63"/>
    <mergeCell ref="P29:S29"/>
    <mergeCell ref="T29:W29"/>
    <mergeCell ref="C37:N39"/>
    <mergeCell ref="P37:S37"/>
    <mergeCell ref="T37:W37"/>
    <mergeCell ref="X37:AA37"/>
    <mergeCell ref="AB37:AE37"/>
    <mergeCell ref="X63:AA63"/>
    <mergeCell ref="AB63:AE63"/>
    <mergeCell ref="P39:S39"/>
    <mergeCell ref="T39:W39"/>
    <mergeCell ref="C61:N63"/>
    <mergeCell ref="P61:S61"/>
    <mergeCell ref="T61:W61"/>
    <mergeCell ref="X61:AA61"/>
    <mergeCell ref="AB61:AE61"/>
    <mergeCell ref="AN85:AQ85"/>
    <mergeCell ref="AR85:AU85"/>
    <mergeCell ref="AV85:AY85"/>
    <mergeCell ref="AZ85:BC85"/>
    <mergeCell ref="BD85:BG85"/>
    <mergeCell ref="BH85:BK85"/>
    <mergeCell ref="P86:S86"/>
    <mergeCell ref="T86:W86"/>
    <mergeCell ref="X86:AA86"/>
    <mergeCell ref="AB86:AE86"/>
    <mergeCell ref="AF86:AI86"/>
    <mergeCell ref="AJ86:AM86"/>
    <mergeCell ref="AN86:AQ86"/>
    <mergeCell ref="AR86:AU86"/>
    <mergeCell ref="AV86:AY86"/>
    <mergeCell ref="AZ86:BC86"/>
    <mergeCell ref="BD86:BG86"/>
    <mergeCell ref="BH86:BK86"/>
    <mergeCell ref="X2:AA2"/>
    <mergeCell ref="AB2:AE2"/>
    <mergeCell ref="X26:AA26"/>
    <mergeCell ref="AF26:AI26"/>
    <mergeCell ref="X3:AA3"/>
    <mergeCell ref="AB3:AE3"/>
    <mergeCell ref="X8:AA8"/>
    <mergeCell ref="AF8:AI8"/>
    <mergeCell ref="X9:AA9"/>
    <mergeCell ref="AB9:AE9"/>
    <mergeCell ref="AF9:AI9"/>
    <mergeCell ref="BD27:BG27"/>
    <mergeCell ref="BH27:BK27"/>
    <mergeCell ref="AJ16:AM16"/>
    <mergeCell ref="AN16:AQ16"/>
    <mergeCell ref="AR16:AU16"/>
    <mergeCell ref="AN27:AQ27"/>
    <mergeCell ref="AR27:AU27"/>
    <mergeCell ref="AV27:AY27"/>
    <mergeCell ref="AZ27:BC27"/>
    <mergeCell ref="AR29:AU29"/>
    <mergeCell ref="AV29:AY29"/>
    <mergeCell ref="AZ29:BC29"/>
    <mergeCell ref="BD29:BG29"/>
    <mergeCell ref="AN28:AQ28"/>
    <mergeCell ref="AR28:AU28"/>
    <mergeCell ref="AV28:AY28"/>
    <mergeCell ref="AZ28:BC28"/>
    <mergeCell ref="BD28:BG28"/>
    <mergeCell ref="BH28:BK28"/>
    <mergeCell ref="AN29:AQ29"/>
    <mergeCell ref="BH29:BK29"/>
    <mergeCell ref="AZ10:BC10"/>
    <mergeCell ref="BD10:BG10"/>
    <mergeCell ref="X10:AA10"/>
    <mergeCell ref="AB10:AE10"/>
    <mergeCell ref="AF10:AI10"/>
    <mergeCell ref="AJ10:AM10"/>
    <mergeCell ref="AN10:AQ10"/>
    <mergeCell ref="AR10:AU10"/>
    <mergeCell ref="AV10:AY10"/>
    <mergeCell ref="AN1:AQ1"/>
    <mergeCell ref="AR1:AU1"/>
    <mergeCell ref="AV1:AY1"/>
    <mergeCell ref="AZ1:BC1"/>
    <mergeCell ref="BD1:BG1"/>
    <mergeCell ref="BH1:BK1"/>
    <mergeCell ref="P2:S2"/>
    <mergeCell ref="T2:W2"/>
    <mergeCell ref="AF2:AI2"/>
    <mergeCell ref="AJ2:AM2"/>
    <mergeCell ref="AN2:AQ2"/>
    <mergeCell ref="AR2:AU2"/>
    <mergeCell ref="AV2:AY2"/>
    <mergeCell ref="AZ2:BC2"/>
    <mergeCell ref="BD2:BG2"/>
    <mergeCell ref="BH2:BK2"/>
    <mergeCell ref="AF3:AI3"/>
    <mergeCell ref="AJ3:AM3"/>
    <mergeCell ref="AN3:AQ3"/>
    <mergeCell ref="AR3:AU3"/>
    <mergeCell ref="AV3:AY3"/>
    <mergeCell ref="AZ3:BC3"/>
    <mergeCell ref="BD3:BG3"/>
    <mergeCell ref="BH3:BK3"/>
    <mergeCell ref="C1:N3"/>
    <mergeCell ref="P1:S1"/>
    <mergeCell ref="T1:W1"/>
    <mergeCell ref="X1:AA1"/>
    <mergeCell ref="AB1:AE1"/>
    <mergeCell ref="AF1:AI1"/>
    <mergeCell ref="AJ1:AM1"/>
    <mergeCell ref="P3:S3"/>
    <mergeCell ref="T3:W3"/>
    <mergeCell ref="C9:N11"/>
    <mergeCell ref="P9:S9"/>
    <mergeCell ref="T9:W9"/>
    <mergeCell ref="P10:S10"/>
    <mergeCell ref="T10:W10"/>
    <mergeCell ref="AZ9:BC9"/>
    <mergeCell ref="AZ11:BC11"/>
    <mergeCell ref="BD11:BG11"/>
    <mergeCell ref="BH11:BK11"/>
    <mergeCell ref="AJ9:AM9"/>
    <mergeCell ref="AN9:AQ9"/>
    <mergeCell ref="AR9:AU9"/>
    <mergeCell ref="AV9:AY9"/>
    <mergeCell ref="BD9:BG9"/>
    <mergeCell ref="BH9:BK9"/>
    <mergeCell ref="BH10:BK10"/>
    <mergeCell ref="AR11:AU11"/>
    <mergeCell ref="AV11:AY11"/>
    <mergeCell ref="P11:S11"/>
    <mergeCell ref="T11:W11"/>
    <mergeCell ref="X11:AA11"/>
    <mergeCell ref="AB11:AE11"/>
    <mergeCell ref="AF11:AI11"/>
    <mergeCell ref="AJ11:AM11"/>
    <mergeCell ref="AN11:AQ11"/>
    <mergeCell ref="AN17:AQ17"/>
    <mergeCell ref="AR17:AU17"/>
    <mergeCell ref="AV17:AY17"/>
    <mergeCell ref="AZ17:BC17"/>
    <mergeCell ref="BD17:BG17"/>
    <mergeCell ref="BH17:BK17"/>
    <mergeCell ref="P18:S18"/>
    <mergeCell ref="T18:W18"/>
    <mergeCell ref="X18:AA18"/>
    <mergeCell ref="AB18:AE18"/>
    <mergeCell ref="AF18:AI18"/>
    <mergeCell ref="AJ18:AM18"/>
    <mergeCell ref="AN18:AQ18"/>
    <mergeCell ref="AR18:AU18"/>
    <mergeCell ref="AV18:AY18"/>
    <mergeCell ref="AZ18:BC18"/>
    <mergeCell ref="BD18:BG18"/>
    <mergeCell ref="BH18:BK18"/>
    <mergeCell ref="P19:S19"/>
    <mergeCell ref="T19:W19"/>
    <mergeCell ref="AN19:AQ19"/>
    <mergeCell ref="AR19:AU19"/>
    <mergeCell ref="AV19:AY19"/>
    <mergeCell ref="AZ19:BC19"/>
    <mergeCell ref="BD19:BG19"/>
    <mergeCell ref="BH19:BK19"/>
    <mergeCell ref="AN37:AQ37"/>
    <mergeCell ref="AR37:AU37"/>
    <mergeCell ref="AV37:AY37"/>
    <mergeCell ref="AZ37:BC37"/>
    <mergeCell ref="BD37:BG37"/>
    <mergeCell ref="BH37:BK37"/>
    <mergeCell ref="AN38:AQ38"/>
    <mergeCell ref="AR38:AU38"/>
    <mergeCell ref="AV38:AY38"/>
    <mergeCell ref="AZ38:BC38"/>
    <mergeCell ref="BD38:BG38"/>
    <mergeCell ref="BH38:BK38"/>
    <mergeCell ref="AF39:AI39"/>
    <mergeCell ref="AJ39:AM39"/>
    <mergeCell ref="AN39:AQ39"/>
    <mergeCell ref="AR39:AU39"/>
    <mergeCell ref="AV39:AY39"/>
    <mergeCell ref="AZ39:BC39"/>
    <mergeCell ref="BD39:BG39"/>
    <mergeCell ref="BH39:BK39"/>
    <mergeCell ref="AF27:AI27"/>
    <mergeCell ref="AJ27:AM27"/>
    <mergeCell ref="AJ36:AM36"/>
    <mergeCell ref="AN36:AQ36"/>
    <mergeCell ref="AR36:AU36"/>
    <mergeCell ref="AF37:AI37"/>
    <mergeCell ref="AJ37:AM37"/>
    <mergeCell ref="AF19:AI19"/>
    <mergeCell ref="AJ19:AM19"/>
    <mergeCell ref="C17:N19"/>
    <mergeCell ref="P17:S17"/>
    <mergeCell ref="T17:W17"/>
    <mergeCell ref="X17:AA17"/>
    <mergeCell ref="AB17:AE17"/>
    <mergeCell ref="AF17:AI17"/>
    <mergeCell ref="AJ17:AM17"/>
    <mergeCell ref="P28:S28"/>
    <mergeCell ref="T28:W28"/>
    <mergeCell ref="X28:AA28"/>
    <mergeCell ref="AB28:AE28"/>
    <mergeCell ref="AF28:AI28"/>
    <mergeCell ref="AJ28:AM28"/>
    <mergeCell ref="X29:AA29"/>
    <mergeCell ref="AB29:AE29"/>
    <mergeCell ref="AF29:AI29"/>
    <mergeCell ref="AJ29:AM29"/>
    <mergeCell ref="P38:S38"/>
    <mergeCell ref="T38:W38"/>
    <mergeCell ref="X38:AA38"/>
    <mergeCell ref="AB38:AE38"/>
    <mergeCell ref="AF38:AI38"/>
    <mergeCell ref="AJ38:AM38"/>
    <mergeCell ref="X87:AA87"/>
    <mergeCell ref="AB87:AE87"/>
    <mergeCell ref="AF87:AI87"/>
    <mergeCell ref="AJ87:AM87"/>
    <mergeCell ref="AN87:AQ87"/>
    <mergeCell ref="AR87:AU87"/>
    <mergeCell ref="AV87:AY87"/>
    <mergeCell ref="AZ87:BC87"/>
    <mergeCell ref="BD87:BG87"/>
    <mergeCell ref="BH87:BK87"/>
    <mergeCell ref="C85:N87"/>
    <mergeCell ref="P85:S85"/>
    <mergeCell ref="T85:W85"/>
    <mergeCell ref="X85:AA85"/>
    <mergeCell ref="AB85:AE85"/>
    <mergeCell ref="AF85:AI85"/>
    <mergeCell ref="AJ85:AM85"/>
    <mergeCell ref="P87:S87"/>
    <mergeCell ref="T87:W87"/>
    <mergeCell ref="P106:S106"/>
    <mergeCell ref="T106:W106"/>
    <mergeCell ref="X106:AA106"/>
    <mergeCell ref="AB106:AE106"/>
    <mergeCell ref="AF106:AI106"/>
    <mergeCell ref="X107:AA107"/>
    <mergeCell ref="AB107:AE107"/>
    <mergeCell ref="AF107:AI107"/>
    <mergeCell ref="AJ107:AM107"/>
    <mergeCell ref="AN107:AQ107"/>
    <mergeCell ref="AR107:AU107"/>
    <mergeCell ref="BH107:BK107"/>
    <mergeCell ref="P118:S118"/>
    <mergeCell ref="T118:W118"/>
    <mergeCell ref="X118:AA118"/>
    <mergeCell ref="AB118:AE118"/>
    <mergeCell ref="AF118:AI118"/>
    <mergeCell ref="C125:N127"/>
    <mergeCell ref="AF126:AI126"/>
    <mergeCell ref="AZ142:BC142"/>
    <mergeCell ref="BD142:BG142"/>
    <mergeCell ref="BH142:BK142"/>
    <mergeCell ref="T142:W142"/>
    <mergeCell ref="X142:AA142"/>
    <mergeCell ref="AF142:AI142"/>
    <mergeCell ref="AJ142:AM142"/>
    <mergeCell ref="AN142:AQ142"/>
    <mergeCell ref="AR142:AU142"/>
    <mergeCell ref="AV142:AY142"/>
    <mergeCell ref="P142:S142"/>
    <mergeCell ref="P143:S143"/>
    <mergeCell ref="AZ143:BC143"/>
    <mergeCell ref="BD143:BG143"/>
    <mergeCell ref="BH143:BK143"/>
    <mergeCell ref="P141:S141"/>
    <mergeCell ref="P144:S144"/>
    <mergeCell ref="AJ144:AM144"/>
    <mergeCell ref="AN144:AQ144"/>
    <mergeCell ref="AR144:AU144"/>
    <mergeCell ref="AV144:AY144"/>
    <mergeCell ref="AZ144:BC144"/>
    <mergeCell ref="BD144:BG144"/>
    <mergeCell ref="BH144:BK144"/>
    <mergeCell ref="T143:W143"/>
    <mergeCell ref="X143:AA143"/>
    <mergeCell ref="AF143:AI143"/>
    <mergeCell ref="AJ143:AM143"/>
    <mergeCell ref="AN143:AQ143"/>
    <mergeCell ref="AR143:AU143"/>
    <mergeCell ref="AV143:AY143"/>
    <mergeCell ref="P125:S125"/>
    <mergeCell ref="P127:S127"/>
    <mergeCell ref="C133:N135"/>
    <mergeCell ref="T133:W133"/>
    <mergeCell ref="X133:AA133"/>
    <mergeCell ref="AB133:AE133"/>
    <mergeCell ref="AF135:AI135"/>
    <mergeCell ref="P133:S133"/>
    <mergeCell ref="T141:W141"/>
    <mergeCell ref="X141:AA141"/>
    <mergeCell ref="AB141:AE141"/>
    <mergeCell ref="AB142:AE142"/>
    <mergeCell ref="AB143:AE143"/>
    <mergeCell ref="AB144:AE144"/>
    <mergeCell ref="AJ150:AM150"/>
    <mergeCell ref="AN150:AQ150"/>
    <mergeCell ref="AR150:AU150"/>
    <mergeCell ref="AV150:AY150"/>
    <mergeCell ref="AZ150:BC150"/>
    <mergeCell ref="BD150:BG150"/>
    <mergeCell ref="BH150:BK150"/>
    <mergeCell ref="BD151:BG151"/>
    <mergeCell ref="BH151:BK151"/>
    <mergeCell ref="X151:AA151"/>
    <mergeCell ref="AB151:AE151"/>
    <mergeCell ref="AJ151:AM151"/>
    <mergeCell ref="AN151:AQ151"/>
    <mergeCell ref="AR151:AU151"/>
    <mergeCell ref="AV151:AY151"/>
    <mergeCell ref="AZ151:BC151"/>
    <mergeCell ref="P150:S150"/>
    <mergeCell ref="P152:S152"/>
    <mergeCell ref="AN152:AQ152"/>
    <mergeCell ref="AR152:AU152"/>
    <mergeCell ref="AV152:AY152"/>
    <mergeCell ref="AZ152:BC152"/>
    <mergeCell ref="BD152:BG152"/>
    <mergeCell ref="BH152:BK152"/>
    <mergeCell ref="P151:S151"/>
    <mergeCell ref="T151:W151"/>
    <mergeCell ref="T152:W152"/>
    <mergeCell ref="X152:AA152"/>
    <mergeCell ref="AB152:AE152"/>
    <mergeCell ref="AF152:AI152"/>
    <mergeCell ref="AJ152:AM152"/>
    <mergeCell ref="P109:S109"/>
    <mergeCell ref="T109:W109"/>
    <mergeCell ref="X109:AA109"/>
    <mergeCell ref="AB109:AE109"/>
    <mergeCell ref="AF109:AI109"/>
    <mergeCell ref="AJ109:AM109"/>
    <mergeCell ref="AN109:AQ109"/>
    <mergeCell ref="AR109:AU109"/>
    <mergeCell ref="AV109:AY109"/>
    <mergeCell ref="AZ109:BC109"/>
    <mergeCell ref="BH109:BK109"/>
    <mergeCell ref="AJ106:AM106"/>
    <mergeCell ref="AN106:AQ106"/>
    <mergeCell ref="AR106:AU106"/>
    <mergeCell ref="BD106:BG106"/>
    <mergeCell ref="C107:N109"/>
    <mergeCell ref="T107:W107"/>
    <mergeCell ref="BD107:BG107"/>
    <mergeCell ref="BD109:BG109"/>
    <mergeCell ref="AR117:AU117"/>
    <mergeCell ref="AV117:AY117"/>
    <mergeCell ref="AZ117:BC117"/>
    <mergeCell ref="BD117:BG117"/>
    <mergeCell ref="BH117:BK117"/>
    <mergeCell ref="P117:S117"/>
    <mergeCell ref="T117:W117"/>
    <mergeCell ref="X117:AA117"/>
    <mergeCell ref="AB117:AE117"/>
    <mergeCell ref="AF117:AI117"/>
    <mergeCell ref="AJ117:AM117"/>
    <mergeCell ref="AN117:AQ117"/>
    <mergeCell ref="AV107:AY107"/>
    <mergeCell ref="AZ107:BC107"/>
    <mergeCell ref="T108:W108"/>
    <mergeCell ref="X108:AA108"/>
    <mergeCell ref="AJ108:AM108"/>
    <mergeCell ref="AN108:AQ108"/>
    <mergeCell ref="AR108:AU108"/>
    <mergeCell ref="AV108:AY108"/>
    <mergeCell ref="AZ108:BC108"/>
    <mergeCell ref="BD108:BG108"/>
    <mergeCell ref="BH108:BK108"/>
    <mergeCell ref="AJ116:AM116"/>
    <mergeCell ref="AN116:AQ116"/>
    <mergeCell ref="AR116:AU116"/>
    <mergeCell ref="AV116:AY116"/>
    <mergeCell ref="AZ116:BC116"/>
    <mergeCell ref="BD116:BG116"/>
    <mergeCell ref="BH116:BK116"/>
    <mergeCell ref="AJ118:AM118"/>
    <mergeCell ref="AN118:AQ118"/>
    <mergeCell ref="AR118:AU118"/>
    <mergeCell ref="AV118:AY118"/>
    <mergeCell ref="AZ118:BC118"/>
    <mergeCell ref="BD118:BG118"/>
    <mergeCell ref="BH118:BK118"/>
    <mergeCell ref="BD126:BG126"/>
    <mergeCell ref="BH126:BK126"/>
    <mergeCell ref="X126:AA126"/>
    <mergeCell ref="AB126:AE126"/>
    <mergeCell ref="AJ126:AM126"/>
    <mergeCell ref="AN126:AQ126"/>
    <mergeCell ref="AR126:AU126"/>
    <mergeCell ref="AV126:AY126"/>
    <mergeCell ref="AZ126:BC126"/>
    <mergeCell ref="AB108:AE108"/>
    <mergeCell ref="AF108:AI108"/>
    <mergeCell ref="P107:S107"/>
    <mergeCell ref="P108:S108"/>
    <mergeCell ref="P116:S116"/>
    <mergeCell ref="T116:W116"/>
    <mergeCell ref="X116:AA116"/>
    <mergeCell ref="AB116:AE116"/>
    <mergeCell ref="AF116:AI116"/>
    <mergeCell ref="T125:W125"/>
    <mergeCell ref="X125:AA125"/>
    <mergeCell ref="BD125:BG125"/>
    <mergeCell ref="BH125:BK125"/>
    <mergeCell ref="AB125:AE125"/>
    <mergeCell ref="AF125:AI125"/>
    <mergeCell ref="AJ125:AM125"/>
    <mergeCell ref="AN125:AQ125"/>
    <mergeCell ref="AR125:AU125"/>
    <mergeCell ref="AV125:AY125"/>
    <mergeCell ref="AZ125:BC125"/>
    <mergeCell ref="P126:S126"/>
    <mergeCell ref="T126:W126"/>
    <mergeCell ref="BD127:BG127"/>
    <mergeCell ref="BH127:BK127"/>
    <mergeCell ref="T127:W127"/>
    <mergeCell ref="X127:AA127"/>
    <mergeCell ref="AJ127:AM127"/>
    <mergeCell ref="AN127:AQ127"/>
    <mergeCell ref="AR127:AU127"/>
    <mergeCell ref="AV127:AY127"/>
    <mergeCell ref="AZ127:BC127"/>
    <mergeCell ref="AB127:AE127"/>
    <mergeCell ref="AF127:AI127"/>
    <mergeCell ref="AF133:AI133"/>
    <mergeCell ref="AJ133:AM133"/>
    <mergeCell ref="AN133:AQ133"/>
    <mergeCell ref="AR133:AU133"/>
    <mergeCell ref="AV133:AY133"/>
    <mergeCell ref="AZ133:BC133"/>
    <mergeCell ref="BD133:BG133"/>
    <mergeCell ref="BH133:BK133"/>
    <mergeCell ref="P134:S134"/>
    <mergeCell ref="T134:W134"/>
    <mergeCell ref="AZ134:BC134"/>
    <mergeCell ref="BD134:BG134"/>
    <mergeCell ref="BH134:BK134"/>
    <mergeCell ref="X134:AA134"/>
    <mergeCell ref="AB134:AE134"/>
    <mergeCell ref="AF134:AI134"/>
    <mergeCell ref="AJ134:AM134"/>
    <mergeCell ref="AN134:AQ134"/>
    <mergeCell ref="AR134:AU134"/>
    <mergeCell ref="AV134:AY134"/>
    <mergeCell ref="P135:S135"/>
    <mergeCell ref="T135:W135"/>
    <mergeCell ref="BD135:BG135"/>
    <mergeCell ref="BH135:BK135"/>
    <mergeCell ref="X135:AA135"/>
    <mergeCell ref="AB135:AE135"/>
    <mergeCell ref="AJ135:AM135"/>
    <mergeCell ref="AN135:AQ135"/>
    <mergeCell ref="AR135:AU135"/>
    <mergeCell ref="AV135:AY135"/>
    <mergeCell ref="AZ135:BC135"/>
    <mergeCell ref="T144:W144"/>
    <mergeCell ref="X144:AA144"/>
    <mergeCell ref="AF144:AI144"/>
    <mergeCell ref="C142:N144"/>
    <mergeCell ref="C150:N152"/>
    <mergeCell ref="T150:W150"/>
    <mergeCell ref="X150:AA150"/>
    <mergeCell ref="AB150:AE150"/>
    <mergeCell ref="AF150:AI150"/>
    <mergeCell ref="AF151:AI151"/>
    <mergeCell ref="AN157:AQ157"/>
    <mergeCell ref="AR157:AU157"/>
    <mergeCell ref="AV157:AY157"/>
    <mergeCell ref="AZ157:BC157"/>
    <mergeCell ref="BD157:BG157"/>
    <mergeCell ref="BH157:BK157"/>
    <mergeCell ref="P158:S158"/>
    <mergeCell ref="T158:W158"/>
    <mergeCell ref="X158:AA158"/>
    <mergeCell ref="AB158:AE158"/>
    <mergeCell ref="AF158:AI158"/>
    <mergeCell ref="AJ158:AM158"/>
    <mergeCell ref="AN158:AQ158"/>
    <mergeCell ref="AR158:AU158"/>
    <mergeCell ref="AV158:AY158"/>
    <mergeCell ref="AZ158:BC158"/>
    <mergeCell ref="BD158:BG158"/>
    <mergeCell ref="BH158:BK158"/>
    <mergeCell ref="P159:S159"/>
    <mergeCell ref="T159:W159"/>
    <mergeCell ref="AN159:AQ159"/>
    <mergeCell ref="AR159:AU159"/>
    <mergeCell ref="AV159:AY159"/>
    <mergeCell ref="AZ159:BC159"/>
    <mergeCell ref="BD159:BG159"/>
    <mergeCell ref="BH159:BK159"/>
    <mergeCell ref="AF159:AI159"/>
    <mergeCell ref="AJ159:AM159"/>
    <mergeCell ref="C157:N159"/>
    <mergeCell ref="P157:S157"/>
    <mergeCell ref="T157:W157"/>
    <mergeCell ref="X157:AA157"/>
    <mergeCell ref="AB157:AE157"/>
    <mergeCell ref="AF157:AI157"/>
    <mergeCell ref="AJ157:AM157"/>
    <mergeCell ref="AJ164:AM164"/>
    <mergeCell ref="AN164:AQ164"/>
    <mergeCell ref="AR164:AU164"/>
    <mergeCell ref="AV164:AY164"/>
    <mergeCell ref="AZ164:BC164"/>
    <mergeCell ref="BD164:BG164"/>
    <mergeCell ref="BH164:BK164"/>
    <mergeCell ref="T166:W166"/>
    <mergeCell ref="X166:AA166"/>
    <mergeCell ref="BD166:BG166"/>
    <mergeCell ref="BH166:BK166"/>
    <mergeCell ref="AB166:AE166"/>
    <mergeCell ref="AF166:AI166"/>
    <mergeCell ref="AJ166:AM166"/>
    <mergeCell ref="AN166:AQ166"/>
    <mergeCell ref="AR166:AU166"/>
    <mergeCell ref="AV166:AY166"/>
    <mergeCell ref="AZ166:BC166"/>
    <mergeCell ref="BD167:BG167"/>
    <mergeCell ref="BH167:BK167"/>
    <mergeCell ref="P167:S167"/>
    <mergeCell ref="T167:W167"/>
    <mergeCell ref="AJ167:AM167"/>
    <mergeCell ref="AN167:AQ167"/>
    <mergeCell ref="AR167:AU167"/>
    <mergeCell ref="AV167:AY167"/>
    <mergeCell ref="AZ167:BC167"/>
    <mergeCell ref="AV176:AY176"/>
    <mergeCell ref="AZ176:BC176"/>
    <mergeCell ref="P176:S176"/>
    <mergeCell ref="T176:W176"/>
    <mergeCell ref="AB176:AE176"/>
    <mergeCell ref="AF176:AI176"/>
    <mergeCell ref="AJ176:AM176"/>
    <mergeCell ref="AN176:AQ176"/>
    <mergeCell ref="AR176:AU176"/>
    <mergeCell ref="P164:S164"/>
    <mergeCell ref="P166:S166"/>
    <mergeCell ref="X159:AA159"/>
    <mergeCell ref="AB159:AE159"/>
    <mergeCell ref="T164:W164"/>
    <mergeCell ref="X164:AA164"/>
    <mergeCell ref="AB164:AE164"/>
    <mergeCell ref="AF164:AI164"/>
    <mergeCell ref="AF167:AI167"/>
    <mergeCell ref="AR168:AU168"/>
    <mergeCell ref="AV168:AY168"/>
    <mergeCell ref="AZ168:BC168"/>
    <mergeCell ref="BD168:BG168"/>
    <mergeCell ref="BH168:BK168"/>
    <mergeCell ref="X167:AA167"/>
    <mergeCell ref="AB167:AE167"/>
    <mergeCell ref="X168:AA168"/>
    <mergeCell ref="AB168:AE168"/>
    <mergeCell ref="AF168:AI168"/>
    <mergeCell ref="AJ168:AM168"/>
    <mergeCell ref="AN168:AQ168"/>
    <mergeCell ref="BD175:BG175"/>
    <mergeCell ref="BH175:BK175"/>
    <mergeCell ref="BD176:BG176"/>
    <mergeCell ref="BH176:BK176"/>
    <mergeCell ref="AB175:AE175"/>
    <mergeCell ref="AF175:AI175"/>
    <mergeCell ref="AJ175:AM175"/>
    <mergeCell ref="AN175:AQ175"/>
    <mergeCell ref="AR175:AU175"/>
    <mergeCell ref="AV175:AY175"/>
    <mergeCell ref="AZ175:BC175"/>
    <mergeCell ref="AV177:AY177"/>
    <mergeCell ref="AZ177:BC177"/>
    <mergeCell ref="BD177:BG177"/>
    <mergeCell ref="BH177:BK177"/>
    <mergeCell ref="T177:W177"/>
    <mergeCell ref="X177:AA177"/>
    <mergeCell ref="AB177:AE177"/>
    <mergeCell ref="AF177:AI177"/>
    <mergeCell ref="AJ177:AM177"/>
    <mergeCell ref="AN177:AQ177"/>
    <mergeCell ref="AR177:AU177"/>
    <mergeCell ref="C166:N168"/>
    <mergeCell ref="P168:S168"/>
    <mergeCell ref="T168:W168"/>
    <mergeCell ref="C175:N177"/>
    <mergeCell ref="T175:W175"/>
    <mergeCell ref="X175:AA175"/>
    <mergeCell ref="X176:AA176"/>
    <mergeCell ref="AF183:AI183"/>
    <mergeCell ref="AJ183:AM183"/>
    <mergeCell ref="AN183:AQ183"/>
    <mergeCell ref="AR183:AU183"/>
    <mergeCell ref="AV183:AY183"/>
    <mergeCell ref="AZ183:BC183"/>
    <mergeCell ref="BD183:BG183"/>
    <mergeCell ref="BH183:BK183"/>
    <mergeCell ref="P184:S184"/>
    <mergeCell ref="T184:W184"/>
    <mergeCell ref="AZ184:BC184"/>
    <mergeCell ref="BD184:BG184"/>
    <mergeCell ref="BH184:BK184"/>
    <mergeCell ref="BH185:BK185"/>
    <mergeCell ref="X184:AA184"/>
    <mergeCell ref="AB184:AE184"/>
    <mergeCell ref="AF184:AI184"/>
    <mergeCell ref="AJ184:AM184"/>
    <mergeCell ref="AN184:AQ184"/>
    <mergeCell ref="AR184:AU184"/>
    <mergeCell ref="AV184:AY184"/>
    <mergeCell ref="P185:S185"/>
    <mergeCell ref="T185:W185"/>
    <mergeCell ref="P175:S175"/>
    <mergeCell ref="P177:S177"/>
    <mergeCell ref="C183:N185"/>
    <mergeCell ref="P183:S183"/>
    <mergeCell ref="T183:W183"/>
    <mergeCell ref="X183:AA183"/>
    <mergeCell ref="AB183:AE183"/>
    <mergeCell ref="AZ185:BC185"/>
    <mergeCell ref="BD185:BG185"/>
    <mergeCell ref="X185:AA185"/>
    <mergeCell ref="AB185:AE185"/>
    <mergeCell ref="AF185:AI185"/>
    <mergeCell ref="AJ185:AM185"/>
    <mergeCell ref="AN185:AQ185"/>
    <mergeCell ref="AR185:AU185"/>
    <mergeCell ref="AV185:AY185"/>
    <mergeCell ref="X192:AA192"/>
    <mergeCell ref="AB192:AE192"/>
    <mergeCell ref="AF192:AI192"/>
    <mergeCell ref="AJ192:AM192"/>
    <mergeCell ref="AR192:AU192"/>
    <mergeCell ref="AV192:AY192"/>
    <mergeCell ref="AZ192:BC192"/>
    <mergeCell ref="BD192:BG192"/>
    <mergeCell ref="BH192:BK192"/>
    <mergeCell ref="P192:S192"/>
    <mergeCell ref="P193:S193"/>
    <mergeCell ref="T193:W193"/>
    <mergeCell ref="X193:AA193"/>
    <mergeCell ref="AB193:AE193"/>
    <mergeCell ref="AF193:AI193"/>
    <mergeCell ref="AR193:AU193"/>
    <mergeCell ref="AV193:AY193"/>
    <mergeCell ref="AZ193:BC193"/>
    <mergeCell ref="BD193:BG193"/>
    <mergeCell ref="BH193:BK193"/>
    <mergeCell ref="AJ193:AM193"/>
    <mergeCell ref="AN193:AQ193"/>
    <mergeCell ref="X194:AA194"/>
    <mergeCell ref="AB194:AE194"/>
    <mergeCell ref="AF194:AI194"/>
    <mergeCell ref="AJ194:AM194"/>
    <mergeCell ref="AR194:AU194"/>
    <mergeCell ref="AV194:AY194"/>
    <mergeCell ref="AZ194:BC194"/>
    <mergeCell ref="BD194:BG194"/>
    <mergeCell ref="BH194:BK194"/>
    <mergeCell ref="AB190:AE190"/>
    <mergeCell ref="AF190:AI190"/>
    <mergeCell ref="AJ190:AM190"/>
    <mergeCell ref="AN190:AQ190"/>
    <mergeCell ref="C192:N194"/>
    <mergeCell ref="T192:W192"/>
    <mergeCell ref="AN192:AQ192"/>
    <mergeCell ref="AN194:AQ194"/>
    <mergeCell ref="P202:S202"/>
    <mergeCell ref="T202:W202"/>
    <mergeCell ref="BH201:BK201"/>
    <mergeCell ref="BH202:BK202"/>
    <mergeCell ref="AF201:AI201"/>
    <mergeCell ref="AJ201:AM201"/>
    <mergeCell ref="AN201:AQ201"/>
    <mergeCell ref="AR201:AU201"/>
    <mergeCell ref="AV201:AY201"/>
    <mergeCell ref="AZ201:BC201"/>
    <mergeCell ref="BD201:BG201"/>
    <mergeCell ref="P194:S194"/>
    <mergeCell ref="T194:W194"/>
    <mergeCell ref="C201:N203"/>
    <mergeCell ref="P201:S201"/>
    <mergeCell ref="T201:W201"/>
    <mergeCell ref="X201:AA201"/>
    <mergeCell ref="AB201:AE201"/>
    <mergeCell ref="P203:S203"/>
    <mergeCell ref="T203:W203"/>
    <mergeCell ref="C208:N210"/>
    <mergeCell ref="P208:S208"/>
    <mergeCell ref="T208:W208"/>
    <mergeCell ref="X208:AA208"/>
    <mergeCell ref="AB208:AE208"/>
    <mergeCell ref="AF250:AI250"/>
    <mergeCell ref="AJ250:AM250"/>
    <mergeCell ref="AF242:AI242"/>
    <mergeCell ref="AJ242:AM242"/>
    <mergeCell ref="C248:N250"/>
    <mergeCell ref="P248:S248"/>
    <mergeCell ref="T248:W248"/>
    <mergeCell ref="X248:AA248"/>
    <mergeCell ref="AB248:AE248"/>
    <mergeCell ref="AJ239:AM239"/>
    <mergeCell ref="AN239:AQ239"/>
    <mergeCell ref="C240:N242"/>
    <mergeCell ref="T240:W240"/>
    <mergeCell ref="X240:AA240"/>
    <mergeCell ref="AB240:AE240"/>
    <mergeCell ref="AN240:AQ240"/>
    <mergeCell ref="AN242:AQ242"/>
    <mergeCell ref="AF248:AI248"/>
    <mergeCell ref="AJ248:AM248"/>
    <mergeCell ref="AN248:AQ248"/>
    <mergeCell ref="AR248:AU248"/>
    <mergeCell ref="AV248:AY248"/>
    <mergeCell ref="AZ248:BC248"/>
    <mergeCell ref="BD248:BG248"/>
    <mergeCell ref="BH248:BK248"/>
    <mergeCell ref="P249:S249"/>
    <mergeCell ref="T249:W249"/>
    <mergeCell ref="X250:AA250"/>
    <mergeCell ref="AB250:AE250"/>
    <mergeCell ref="AN250:AQ250"/>
    <mergeCell ref="AR250:AU250"/>
    <mergeCell ref="AV250:AY250"/>
    <mergeCell ref="AZ250:BC250"/>
    <mergeCell ref="BD250:BG250"/>
    <mergeCell ref="BH250:BK250"/>
    <mergeCell ref="AZ249:BC249"/>
    <mergeCell ref="AZ255:BC255"/>
    <mergeCell ref="BD255:BG255"/>
    <mergeCell ref="BH255:BK255"/>
    <mergeCell ref="AF249:AI249"/>
    <mergeCell ref="AJ249:AM249"/>
    <mergeCell ref="AN249:AQ249"/>
    <mergeCell ref="AR249:AU249"/>
    <mergeCell ref="AV249:AY249"/>
    <mergeCell ref="BD249:BG249"/>
    <mergeCell ref="BH249:BK249"/>
    <mergeCell ref="AJ256:AM256"/>
    <mergeCell ref="AN256:AQ256"/>
    <mergeCell ref="AR256:AU256"/>
    <mergeCell ref="AV256:AY256"/>
    <mergeCell ref="AZ256:BC256"/>
    <mergeCell ref="BD256:BG256"/>
    <mergeCell ref="BH256:BK256"/>
    <mergeCell ref="AZ202:BC202"/>
    <mergeCell ref="BD202:BG202"/>
    <mergeCell ref="AF203:AI203"/>
    <mergeCell ref="AJ203:AM203"/>
    <mergeCell ref="AN203:AQ203"/>
    <mergeCell ref="AR203:AU203"/>
    <mergeCell ref="AV203:AY203"/>
    <mergeCell ref="AZ203:BC203"/>
    <mergeCell ref="BD203:BG203"/>
    <mergeCell ref="BH203:BK203"/>
    <mergeCell ref="X202:AA202"/>
    <mergeCell ref="AB202:AE202"/>
    <mergeCell ref="AF202:AI202"/>
    <mergeCell ref="AJ202:AM202"/>
    <mergeCell ref="AN202:AQ202"/>
    <mergeCell ref="AR202:AU202"/>
    <mergeCell ref="AV202:AY202"/>
    <mergeCell ref="X203:AA203"/>
    <mergeCell ref="AB203:AE203"/>
    <mergeCell ref="AF208:AI208"/>
    <mergeCell ref="AJ208:AM208"/>
    <mergeCell ref="AN208:AQ208"/>
    <mergeCell ref="AR208:AU208"/>
    <mergeCell ref="AV208:AY208"/>
    <mergeCell ref="AZ208:BC208"/>
    <mergeCell ref="BD208:BG208"/>
    <mergeCell ref="BH208:BK208"/>
    <mergeCell ref="P209:S209"/>
    <mergeCell ref="T209:W209"/>
    <mergeCell ref="AZ209:BC209"/>
    <mergeCell ref="BD209:BG209"/>
    <mergeCell ref="BH209:BK209"/>
    <mergeCell ref="X209:AA209"/>
    <mergeCell ref="AB209:AE209"/>
    <mergeCell ref="AF209:AI209"/>
    <mergeCell ref="AJ209:AM209"/>
    <mergeCell ref="AN209:AQ209"/>
    <mergeCell ref="AR209:AU209"/>
    <mergeCell ref="AV209:AY209"/>
    <mergeCell ref="AZ210:BC210"/>
    <mergeCell ref="BD210:BG210"/>
    <mergeCell ref="BH210:BK210"/>
    <mergeCell ref="X210:AA210"/>
    <mergeCell ref="AB210:AE210"/>
    <mergeCell ref="AF210:AI210"/>
    <mergeCell ref="AJ210:AM210"/>
    <mergeCell ref="AN210:AQ210"/>
    <mergeCell ref="AR210:AU210"/>
    <mergeCell ref="AV210:AY210"/>
    <mergeCell ref="P210:S210"/>
    <mergeCell ref="T210:W210"/>
    <mergeCell ref="T215:W215"/>
    <mergeCell ref="X215:AA215"/>
    <mergeCell ref="AB215:AE215"/>
    <mergeCell ref="AF215:AI215"/>
    <mergeCell ref="AJ215:AM215"/>
    <mergeCell ref="AN216:AQ216"/>
    <mergeCell ref="AR216:AU216"/>
    <mergeCell ref="AV216:AY216"/>
    <mergeCell ref="AZ216:BC216"/>
    <mergeCell ref="BD216:BG216"/>
    <mergeCell ref="BH216:BK216"/>
    <mergeCell ref="P215:S215"/>
    <mergeCell ref="P216:S216"/>
    <mergeCell ref="T216:W216"/>
    <mergeCell ref="X216:AA216"/>
    <mergeCell ref="AB216:AE216"/>
    <mergeCell ref="AF216:AI216"/>
    <mergeCell ref="AJ216:AM216"/>
    <mergeCell ref="AR217:AU217"/>
    <mergeCell ref="AV217:AY217"/>
    <mergeCell ref="AZ217:BC217"/>
    <mergeCell ref="BD217:BG217"/>
    <mergeCell ref="BH217:BK217"/>
    <mergeCell ref="P217:S217"/>
    <mergeCell ref="T217:W217"/>
    <mergeCell ref="X217:AA217"/>
    <mergeCell ref="AB217:AE217"/>
    <mergeCell ref="AF217:AI217"/>
    <mergeCell ref="AJ217:AM217"/>
    <mergeCell ref="AN217:AQ217"/>
    <mergeCell ref="AR218:AU218"/>
    <mergeCell ref="AV218:AY218"/>
    <mergeCell ref="AZ218:BC218"/>
    <mergeCell ref="BD218:BG218"/>
    <mergeCell ref="BH218:BK218"/>
    <mergeCell ref="P218:S218"/>
    <mergeCell ref="T218:W218"/>
    <mergeCell ref="X218:AA218"/>
    <mergeCell ref="AB218:AE218"/>
    <mergeCell ref="AF218:AI218"/>
    <mergeCell ref="AJ218:AM218"/>
    <mergeCell ref="AN218:AQ218"/>
    <mergeCell ref="AR224:AU224"/>
    <mergeCell ref="AV224:AY224"/>
    <mergeCell ref="AZ224:BC224"/>
    <mergeCell ref="BD224:BG224"/>
    <mergeCell ref="BH224:BK224"/>
    <mergeCell ref="P224:S224"/>
    <mergeCell ref="T224:W224"/>
    <mergeCell ref="X224:AA224"/>
    <mergeCell ref="AB224:AE224"/>
    <mergeCell ref="AF224:AI224"/>
    <mergeCell ref="AJ224:AM224"/>
    <mergeCell ref="AN224:AQ224"/>
    <mergeCell ref="AR225:AU225"/>
    <mergeCell ref="AV225:AY225"/>
    <mergeCell ref="AZ225:BC225"/>
    <mergeCell ref="BD225:BG225"/>
    <mergeCell ref="BH225:BK225"/>
    <mergeCell ref="P225:S225"/>
    <mergeCell ref="T225:W225"/>
    <mergeCell ref="X225:AA225"/>
    <mergeCell ref="AB225:AE225"/>
    <mergeCell ref="AF225:AI225"/>
    <mergeCell ref="AJ225:AM225"/>
    <mergeCell ref="AN225:AQ225"/>
    <mergeCell ref="AR226:AU226"/>
    <mergeCell ref="AV226:AY226"/>
    <mergeCell ref="AZ226:BC226"/>
    <mergeCell ref="BD226:BG226"/>
    <mergeCell ref="BH226:BK226"/>
    <mergeCell ref="P226:S226"/>
    <mergeCell ref="T226:W226"/>
    <mergeCell ref="X226:AA226"/>
    <mergeCell ref="AB226:AE226"/>
    <mergeCell ref="AF226:AI226"/>
    <mergeCell ref="AJ226:AM226"/>
    <mergeCell ref="AN226:AQ226"/>
    <mergeCell ref="AN232:AQ232"/>
    <mergeCell ref="AR232:AU232"/>
    <mergeCell ref="AV232:AY232"/>
    <mergeCell ref="AZ232:BC232"/>
    <mergeCell ref="BD232:BG232"/>
    <mergeCell ref="BH232:BK232"/>
    <mergeCell ref="P233:S233"/>
    <mergeCell ref="T233:W233"/>
    <mergeCell ref="X233:AA233"/>
    <mergeCell ref="AB233:AE233"/>
    <mergeCell ref="AF233:AI233"/>
    <mergeCell ref="AJ233:AM233"/>
    <mergeCell ref="AN233:AQ233"/>
    <mergeCell ref="AR233:AU233"/>
    <mergeCell ref="AV233:AY233"/>
    <mergeCell ref="AZ233:BC233"/>
    <mergeCell ref="BD233:BG233"/>
    <mergeCell ref="BH233:BK233"/>
    <mergeCell ref="X234:AA234"/>
    <mergeCell ref="AB234:AE234"/>
    <mergeCell ref="AF234:AI234"/>
    <mergeCell ref="AJ234:AM234"/>
    <mergeCell ref="AN234:AQ234"/>
    <mergeCell ref="AR234:AU234"/>
    <mergeCell ref="AV234:AY234"/>
    <mergeCell ref="AZ234:BC234"/>
    <mergeCell ref="BD234:BG234"/>
    <mergeCell ref="BH234:BK234"/>
    <mergeCell ref="C232:N234"/>
    <mergeCell ref="P232:S232"/>
    <mergeCell ref="T232:W232"/>
    <mergeCell ref="X232:AA232"/>
    <mergeCell ref="AB232:AE232"/>
    <mergeCell ref="AF232:AI232"/>
    <mergeCell ref="AJ232:AM232"/>
    <mergeCell ref="P234:S234"/>
    <mergeCell ref="T234:W234"/>
    <mergeCell ref="P239:S239"/>
    <mergeCell ref="T239:W239"/>
    <mergeCell ref="X239:AA239"/>
    <mergeCell ref="AB239:AE239"/>
    <mergeCell ref="AF239:AI239"/>
    <mergeCell ref="AF240:AI240"/>
    <mergeCell ref="AJ240:AM240"/>
    <mergeCell ref="AR240:AU240"/>
    <mergeCell ref="AV240:AY240"/>
    <mergeCell ref="AZ240:BC240"/>
    <mergeCell ref="BD240:BG240"/>
    <mergeCell ref="BH240:BK240"/>
    <mergeCell ref="P240:S240"/>
    <mergeCell ref="P241:S241"/>
    <mergeCell ref="T241:W241"/>
    <mergeCell ref="X241:AA241"/>
    <mergeCell ref="AB241:AE241"/>
    <mergeCell ref="AF241:AI241"/>
    <mergeCell ref="AJ241:AM241"/>
    <mergeCell ref="AN241:AQ241"/>
    <mergeCell ref="AR241:AU241"/>
    <mergeCell ref="AV241:AY241"/>
    <mergeCell ref="AZ241:BC241"/>
    <mergeCell ref="BD241:BG241"/>
    <mergeCell ref="BH241:BK241"/>
    <mergeCell ref="P242:S242"/>
    <mergeCell ref="T242:W242"/>
    <mergeCell ref="X242:AA242"/>
    <mergeCell ref="AB242:AE242"/>
    <mergeCell ref="AR242:AU242"/>
    <mergeCell ref="AV242:AY242"/>
    <mergeCell ref="AZ242:BC242"/>
    <mergeCell ref="BD242:BG242"/>
    <mergeCell ref="BH242:BK242"/>
    <mergeCell ref="AR264:AU264"/>
    <mergeCell ref="AV264:AY264"/>
    <mergeCell ref="AZ264:BC264"/>
    <mergeCell ref="BD264:BG264"/>
    <mergeCell ref="BH264:BK264"/>
    <mergeCell ref="P264:S264"/>
    <mergeCell ref="T264:W264"/>
    <mergeCell ref="X264:AA264"/>
    <mergeCell ref="AB264:AE264"/>
    <mergeCell ref="AF264:AI264"/>
    <mergeCell ref="AJ264:AM264"/>
    <mergeCell ref="AN264:AQ264"/>
  </mergeCells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5.13" defaultRowHeight="15.75"/>
  <cols>
    <col customWidth="1" min="1" max="1" width="23.75"/>
    <col customWidth="1" min="2" max="30" width="9.0"/>
    <col customWidth="1" min="31" max="35" width="10.38"/>
  </cols>
  <sheetData>
    <row r="1">
      <c r="A1" s="811" t="s">
        <v>464</v>
      </c>
      <c r="B1" s="812" t="s">
        <v>464</v>
      </c>
      <c r="AG1" s="610"/>
      <c r="AH1" s="610"/>
    </row>
    <row r="2">
      <c r="A2" s="813"/>
      <c r="B2" s="814" t="s">
        <v>465</v>
      </c>
      <c r="C2" s="814" t="s">
        <v>466</v>
      </c>
      <c r="D2" s="815" t="s">
        <v>467</v>
      </c>
      <c r="E2" s="815" t="s">
        <v>468</v>
      </c>
      <c r="F2" s="815" t="s">
        <v>469</v>
      </c>
      <c r="G2" s="815" t="s">
        <v>470</v>
      </c>
      <c r="H2" s="815" t="s">
        <v>471</v>
      </c>
      <c r="I2" s="815" t="s">
        <v>472</v>
      </c>
      <c r="J2" s="815" t="s">
        <v>473</v>
      </c>
      <c r="K2" s="815" t="s">
        <v>474</v>
      </c>
      <c r="L2" s="815" t="s">
        <v>475</v>
      </c>
      <c r="M2" s="815" t="s">
        <v>476</v>
      </c>
      <c r="N2" s="814" t="s">
        <v>477</v>
      </c>
      <c r="O2" s="814" t="s">
        <v>478</v>
      </c>
      <c r="P2" s="815" t="s">
        <v>387</v>
      </c>
      <c r="Q2" s="815" t="s">
        <v>479</v>
      </c>
      <c r="R2" s="814" t="s">
        <v>480</v>
      </c>
      <c r="S2" s="814" t="s">
        <v>481</v>
      </c>
      <c r="T2" s="815" t="s">
        <v>482</v>
      </c>
      <c r="U2" s="815" t="s">
        <v>483</v>
      </c>
      <c r="V2" s="814" t="s">
        <v>484</v>
      </c>
      <c r="W2" s="815" t="s">
        <v>485</v>
      </c>
      <c r="X2" s="815" t="s">
        <v>486</v>
      </c>
      <c r="Y2" s="815" t="s">
        <v>439</v>
      </c>
      <c r="Z2" s="815" t="s">
        <v>487</v>
      </c>
      <c r="AA2" s="815" t="s">
        <v>440</v>
      </c>
      <c r="AB2" s="815" t="s">
        <v>488</v>
      </c>
      <c r="AC2" s="815" t="s">
        <v>445</v>
      </c>
      <c r="AD2" s="815" t="s">
        <v>444</v>
      </c>
      <c r="AE2" s="814" t="s">
        <v>0</v>
      </c>
      <c r="AF2" s="816" t="s">
        <v>489</v>
      </c>
      <c r="AG2" s="817" t="s">
        <v>490</v>
      </c>
      <c r="AH2" s="817" t="s">
        <v>491</v>
      </c>
    </row>
    <row r="3">
      <c r="A3" s="818" t="s">
        <v>1</v>
      </c>
      <c r="B3" s="819">
        <v>700.0</v>
      </c>
      <c r="C3" s="819">
        <v>700.0</v>
      </c>
      <c r="D3" s="819">
        <v>700.0</v>
      </c>
      <c r="E3" s="819">
        <v>700.0</v>
      </c>
      <c r="F3" s="819"/>
      <c r="G3" s="819">
        <v>700.0</v>
      </c>
      <c r="H3" s="819">
        <v>700.0</v>
      </c>
      <c r="I3" s="819">
        <v>700.0</v>
      </c>
      <c r="J3" s="819">
        <v>700.0</v>
      </c>
      <c r="K3" s="819"/>
      <c r="L3" s="819">
        <v>700.0</v>
      </c>
      <c r="M3" s="819">
        <v>700.0</v>
      </c>
      <c r="N3" s="819">
        <v>700.0</v>
      </c>
      <c r="O3" s="819">
        <v>700.0</v>
      </c>
      <c r="P3" s="819">
        <v>700.0</v>
      </c>
      <c r="Q3" s="819">
        <v>700.0</v>
      </c>
      <c r="R3" s="819"/>
      <c r="S3" s="819"/>
      <c r="T3" s="819"/>
      <c r="U3" s="819"/>
      <c r="V3" s="819"/>
      <c r="W3" s="819">
        <v>700.0</v>
      </c>
      <c r="X3" s="819">
        <v>700.0</v>
      </c>
      <c r="Y3" s="819">
        <v>200.0</v>
      </c>
      <c r="Z3" s="819">
        <v>200.0</v>
      </c>
      <c r="AA3" s="819">
        <v>200.0</v>
      </c>
      <c r="AB3" s="819">
        <v>200.0</v>
      </c>
      <c r="AC3" s="819">
        <v>200.0</v>
      </c>
      <c r="AD3" s="819">
        <v>200.0</v>
      </c>
      <c r="AE3" s="814">
        <f t="shared" ref="AE3:AE14" si="2">SUM(B3:AD3)</f>
        <v>12400</v>
      </c>
      <c r="AF3" s="820"/>
      <c r="AG3" s="731">
        <f t="shared" ref="AG3:AG14" si="3">AE3-V3</f>
        <v>12400</v>
      </c>
      <c r="AH3" s="731" t="str">
        <f t="shared" ref="AH3:AH13" si="4">V3</f>
        <v/>
      </c>
    </row>
    <row r="4">
      <c r="A4" s="818" t="s">
        <v>2</v>
      </c>
      <c r="B4" s="819">
        <v>1370.6</v>
      </c>
      <c r="C4" s="819">
        <v>1370.6</v>
      </c>
      <c r="D4" s="819">
        <v>1370.6</v>
      </c>
      <c r="E4" s="819">
        <v>1370.6</v>
      </c>
      <c r="F4" s="819">
        <f t="shared" ref="F4:F14" si="5">542.6+1387.5</f>
        <v>1930.1</v>
      </c>
      <c r="G4" s="819">
        <v>1370.6</v>
      </c>
      <c r="H4" s="819">
        <v>1370.6</v>
      </c>
      <c r="I4" s="819">
        <v>1370.6</v>
      </c>
      <c r="J4" s="819">
        <v>1370.6</v>
      </c>
      <c r="K4" s="819"/>
      <c r="L4" s="819">
        <v>1370.6</v>
      </c>
      <c r="M4" s="819">
        <v>1370.6</v>
      </c>
      <c r="N4" s="819">
        <v>1370.6</v>
      </c>
      <c r="O4" s="819">
        <v>1370.6</v>
      </c>
      <c r="P4" s="819">
        <v>1370.6</v>
      </c>
      <c r="Q4" s="819">
        <v>1370.6</v>
      </c>
      <c r="R4" s="819"/>
      <c r="S4" s="819"/>
      <c r="T4" s="819"/>
      <c r="U4" s="819"/>
      <c r="V4" s="819"/>
      <c r="W4" s="819">
        <v>1370.6</v>
      </c>
      <c r="X4" s="819">
        <v>1370.6</v>
      </c>
      <c r="Y4" s="819">
        <v>542.6</v>
      </c>
      <c r="Z4" s="819">
        <v>542.6</v>
      </c>
      <c r="AA4" s="819">
        <v>542.6</v>
      </c>
      <c r="AB4" s="819">
        <v>542.6</v>
      </c>
      <c r="AC4" s="819">
        <f t="shared" ref="AC4:AD4" si="1">542.6+1387.5</f>
        <v>1930.1</v>
      </c>
      <c r="AD4" s="819">
        <f t="shared" si="1"/>
        <v>1930.1</v>
      </c>
      <c r="AE4" s="814">
        <f t="shared" si="2"/>
        <v>29890.3</v>
      </c>
      <c r="AF4" s="820"/>
      <c r="AG4" s="731">
        <f t="shared" si="3"/>
        <v>29890.3</v>
      </c>
      <c r="AH4" s="731" t="str">
        <f t="shared" si="4"/>
        <v/>
      </c>
    </row>
    <row r="5">
      <c r="A5" s="818" t="s">
        <v>3</v>
      </c>
      <c r="B5" s="819">
        <v>1370.6</v>
      </c>
      <c r="C5" s="819">
        <v>1370.6</v>
      </c>
      <c r="D5" s="819">
        <v>1370.6</v>
      </c>
      <c r="E5" s="819">
        <v>1370.6</v>
      </c>
      <c r="F5" s="819">
        <f t="shared" si="5"/>
        <v>1930.1</v>
      </c>
      <c r="G5" s="819">
        <v>1370.6</v>
      </c>
      <c r="H5" s="819">
        <v>1370.6</v>
      </c>
      <c r="I5" s="819">
        <v>1370.6</v>
      </c>
      <c r="J5" s="819">
        <v>1370.6</v>
      </c>
      <c r="K5" s="819"/>
      <c r="L5" s="819">
        <v>1370.6</v>
      </c>
      <c r="M5" s="819">
        <v>1370.6</v>
      </c>
      <c r="N5" s="819">
        <v>1370.6</v>
      </c>
      <c r="O5" s="819">
        <v>1370.6</v>
      </c>
      <c r="P5" s="819">
        <v>1370.6</v>
      </c>
      <c r="Q5" s="819">
        <v>1370.6</v>
      </c>
      <c r="R5" s="819"/>
      <c r="S5" s="819"/>
      <c r="T5" s="819"/>
      <c r="U5" s="819"/>
      <c r="V5" s="819"/>
      <c r="W5" s="819">
        <v>1370.6</v>
      </c>
      <c r="X5" s="819">
        <v>1370.6</v>
      </c>
      <c r="Y5" s="819">
        <v>542.6</v>
      </c>
      <c r="Z5" s="819">
        <v>542.6</v>
      </c>
      <c r="AA5" s="819">
        <v>542.6</v>
      </c>
      <c r="AB5" s="819">
        <v>542.6</v>
      </c>
      <c r="AC5" s="819">
        <f t="shared" ref="AC5:AD5" si="6">542.6+1387.5</f>
        <v>1930.1</v>
      </c>
      <c r="AD5" s="819">
        <f t="shared" si="6"/>
        <v>1930.1</v>
      </c>
      <c r="AE5" s="814">
        <f t="shared" si="2"/>
        <v>29890.3</v>
      </c>
      <c r="AF5" s="820"/>
      <c r="AG5" s="731">
        <f t="shared" si="3"/>
        <v>29890.3</v>
      </c>
      <c r="AH5" s="731" t="str">
        <f t="shared" si="4"/>
        <v/>
      </c>
    </row>
    <row r="6">
      <c r="A6" s="818" t="s">
        <v>4</v>
      </c>
      <c r="B6" s="819">
        <v>1370.6</v>
      </c>
      <c r="C6" s="819">
        <v>1370.6</v>
      </c>
      <c r="D6" s="819">
        <v>1370.6</v>
      </c>
      <c r="E6" s="819">
        <v>1370.6</v>
      </c>
      <c r="F6" s="819">
        <f t="shared" si="5"/>
        <v>1930.1</v>
      </c>
      <c r="G6" s="819">
        <v>1370.6</v>
      </c>
      <c r="H6" s="819">
        <v>1370.6</v>
      </c>
      <c r="I6" s="819">
        <v>1370.6</v>
      </c>
      <c r="J6" s="819">
        <v>1370.6</v>
      </c>
      <c r="K6" s="819"/>
      <c r="L6" s="819">
        <v>1370.6</v>
      </c>
      <c r="M6" s="819">
        <v>1370.6</v>
      </c>
      <c r="N6" s="819">
        <v>1370.6</v>
      </c>
      <c r="O6" s="819">
        <v>1370.6</v>
      </c>
      <c r="P6" s="819">
        <v>1370.6</v>
      </c>
      <c r="Q6" s="819">
        <v>1370.6</v>
      </c>
      <c r="R6" s="819"/>
      <c r="S6" s="819"/>
      <c r="T6" s="819"/>
      <c r="U6" s="819"/>
      <c r="V6" s="819"/>
      <c r="W6" s="819">
        <v>1370.6</v>
      </c>
      <c r="X6" s="819">
        <v>1370.6</v>
      </c>
      <c r="Y6" s="819">
        <v>542.6</v>
      </c>
      <c r="Z6" s="819">
        <v>542.6</v>
      </c>
      <c r="AA6" s="819">
        <v>542.6</v>
      </c>
      <c r="AB6" s="819">
        <v>542.6</v>
      </c>
      <c r="AC6" s="819">
        <f t="shared" ref="AC6:AD6" si="7">542.6+1387.5</f>
        <v>1930.1</v>
      </c>
      <c r="AD6" s="819">
        <f t="shared" si="7"/>
        <v>1930.1</v>
      </c>
      <c r="AE6" s="814">
        <f t="shared" si="2"/>
        <v>29890.3</v>
      </c>
      <c r="AF6" s="820"/>
      <c r="AG6" s="731">
        <f t="shared" si="3"/>
        <v>29890.3</v>
      </c>
      <c r="AH6" s="731" t="str">
        <f t="shared" si="4"/>
        <v/>
      </c>
    </row>
    <row r="7">
      <c r="A7" s="818" t="s">
        <v>5</v>
      </c>
      <c r="B7" s="819">
        <v>1370.6</v>
      </c>
      <c r="C7" s="819">
        <v>1370.6</v>
      </c>
      <c r="D7" s="819">
        <v>1370.6</v>
      </c>
      <c r="E7" s="819">
        <v>1370.6</v>
      </c>
      <c r="F7" s="819">
        <f t="shared" si="5"/>
        <v>1930.1</v>
      </c>
      <c r="G7" s="819">
        <v>1370.6</v>
      </c>
      <c r="H7" s="819">
        <v>1370.6</v>
      </c>
      <c r="I7" s="819">
        <v>1370.6</v>
      </c>
      <c r="J7" s="819">
        <v>1370.6</v>
      </c>
      <c r="K7" s="819"/>
      <c r="L7" s="819">
        <v>1370.6</v>
      </c>
      <c r="M7" s="819">
        <v>1370.6</v>
      </c>
      <c r="N7" s="819">
        <v>1370.6</v>
      </c>
      <c r="O7" s="819">
        <v>1370.6</v>
      </c>
      <c r="P7" s="819">
        <v>1370.6</v>
      </c>
      <c r="Q7" s="819">
        <v>1370.6</v>
      </c>
      <c r="R7" s="819"/>
      <c r="S7" s="819"/>
      <c r="T7" s="819"/>
      <c r="U7" s="819"/>
      <c r="V7" s="819"/>
      <c r="W7" s="819">
        <v>1370.6</v>
      </c>
      <c r="X7" s="819">
        <v>1370.6</v>
      </c>
      <c r="Y7" s="819">
        <v>542.6</v>
      </c>
      <c r="Z7" s="819">
        <v>542.6</v>
      </c>
      <c r="AA7" s="819">
        <v>542.6</v>
      </c>
      <c r="AB7" s="819">
        <v>542.6</v>
      </c>
      <c r="AC7" s="819">
        <f t="shared" ref="AC7:AD7" si="8">542.6+1387.5</f>
        <v>1930.1</v>
      </c>
      <c r="AD7" s="819">
        <f t="shared" si="8"/>
        <v>1930.1</v>
      </c>
      <c r="AE7" s="814">
        <f t="shared" si="2"/>
        <v>29890.3</v>
      </c>
      <c r="AF7" s="820"/>
      <c r="AG7" s="731">
        <f t="shared" si="3"/>
        <v>29890.3</v>
      </c>
      <c r="AH7" s="731" t="str">
        <f t="shared" si="4"/>
        <v/>
      </c>
    </row>
    <row r="8">
      <c r="A8" s="818" t="s">
        <v>6</v>
      </c>
      <c r="B8" s="819">
        <v>1370.6</v>
      </c>
      <c r="C8" s="819">
        <v>1370.6</v>
      </c>
      <c r="D8" s="819">
        <v>1370.6</v>
      </c>
      <c r="E8" s="819">
        <v>1370.6</v>
      </c>
      <c r="F8" s="819">
        <f t="shared" si="5"/>
        <v>1930.1</v>
      </c>
      <c r="G8" s="819">
        <v>1370.6</v>
      </c>
      <c r="H8" s="819">
        <v>1370.6</v>
      </c>
      <c r="I8" s="819">
        <v>1370.6</v>
      </c>
      <c r="J8" s="819">
        <v>1370.6</v>
      </c>
      <c r="K8" s="819"/>
      <c r="L8" s="819">
        <v>1370.6</v>
      </c>
      <c r="M8" s="819">
        <v>1370.6</v>
      </c>
      <c r="N8" s="819">
        <v>1370.6</v>
      </c>
      <c r="O8" s="819">
        <v>1370.6</v>
      </c>
      <c r="P8" s="819">
        <v>1370.6</v>
      </c>
      <c r="Q8" s="819">
        <v>1370.6</v>
      </c>
      <c r="R8" s="819"/>
      <c r="S8" s="819"/>
      <c r="T8" s="819"/>
      <c r="U8" s="819"/>
      <c r="V8" s="819"/>
      <c r="W8" s="819">
        <v>1370.6</v>
      </c>
      <c r="X8" s="819">
        <v>1370.6</v>
      </c>
      <c r="Y8" s="819">
        <v>542.6</v>
      </c>
      <c r="Z8" s="819">
        <v>542.6</v>
      </c>
      <c r="AA8" s="819">
        <v>542.6</v>
      </c>
      <c r="AB8" s="819">
        <v>542.6</v>
      </c>
      <c r="AC8" s="819">
        <f t="shared" ref="AC8:AD8" si="9">542.6+1387.5</f>
        <v>1930.1</v>
      </c>
      <c r="AD8" s="819">
        <f t="shared" si="9"/>
        <v>1930.1</v>
      </c>
      <c r="AE8" s="814">
        <f t="shared" si="2"/>
        <v>29890.3</v>
      </c>
      <c r="AF8" s="820"/>
      <c r="AG8" s="731">
        <f t="shared" si="3"/>
        <v>29890.3</v>
      </c>
      <c r="AH8" s="731" t="str">
        <f t="shared" si="4"/>
        <v/>
      </c>
    </row>
    <row r="9">
      <c r="A9" s="818" t="s">
        <v>7</v>
      </c>
      <c r="B9" s="819">
        <v>1370.6</v>
      </c>
      <c r="C9" s="819">
        <v>1370.6</v>
      </c>
      <c r="D9" s="819">
        <v>1370.6</v>
      </c>
      <c r="E9" s="819">
        <v>1370.6</v>
      </c>
      <c r="F9" s="819">
        <f t="shared" si="5"/>
        <v>1930.1</v>
      </c>
      <c r="G9" s="819">
        <v>1370.6</v>
      </c>
      <c r="H9" s="819">
        <v>1370.6</v>
      </c>
      <c r="I9" s="819">
        <v>1370.6</v>
      </c>
      <c r="J9" s="819">
        <v>1370.6</v>
      </c>
      <c r="K9" s="819"/>
      <c r="L9" s="819">
        <v>1370.6</v>
      </c>
      <c r="M9" s="819">
        <v>1370.6</v>
      </c>
      <c r="N9" s="819">
        <v>1370.6</v>
      </c>
      <c r="O9" s="819">
        <v>1370.6</v>
      </c>
      <c r="P9" s="819">
        <v>1370.6</v>
      </c>
      <c r="Q9" s="819">
        <v>1370.6</v>
      </c>
      <c r="R9" s="819"/>
      <c r="S9" s="819"/>
      <c r="T9" s="819"/>
      <c r="U9" s="819"/>
      <c r="V9" s="819"/>
      <c r="W9" s="819">
        <v>1370.6</v>
      </c>
      <c r="X9" s="819">
        <v>1370.6</v>
      </c>
      <c r="Y9" s="819">
        <v>542.6</v>
      </c>
      <c r="Z9" s="819">
        <v>542.6</v>
      </c>
      <c r="AA9" s="819">
        <v>542.6</v>
      </c>
      <c r="AB9" s="819">
        <v>542.6</v>
      </c>
      <c r="AC9" s="819">
        <f t="shared" ref="AC9:AD9" si="10">542.6+1387.5</f>
        <v>1930.1</v>
      </c>
      <c r="AD9" s="819">
        <f t="shared" si="10"/>
        <v>1930.1</v>
      </c>
      <c r="AE9" s="814">
        <f t="shared" si="2"/>
        <v>29890.3</v>
      </c>
      <c r="AF9" s="820"/>
      <c r="AG9" s="731">
        <f t="shared" si="3"/>
        <v>29890.3</v>
      </c>
      <c r="AH9" s="731" t="str">
        <f t="shared" si="4"/>
        <v/>
      </c>
    </row>
    <row r="10">
      <c r="A10" s="818" t="s">
        <v>8</v>
      </c>
      <c r="B10" s="819">
        <v>1370.6</v>
      </c>
      <c r="C10" s="819">
        <v>1370.6</v>
      </c>
      <c r="D10" s="819">
        <v>1370.6</v>
      </c>
      <c r="E10" s="819">
        <v>1370.6</v>
      </c>
      <c r="F10" s="819">
        <f t="shared" si="5"/>
        <v>1930.1</v>
      </c>
      <c r="G10" s="819">
        <v>1370.6</v>
      </c>
      <c r="H10" s="819">
        <v>1370.6</v>
      </c>
      <c r="I10" s="819">
        <v>1370.6</v>
      </c>
      <c r="J10" s="819">
        <v>1370.6</v>
      </c>
      <c r="K10" s="819"/>
      <c r="L10" s="819">
        <v>1370.6</v>
      </c>
      <c r="M10" s="819">
        <v>1370.6</v>
      </c>
      <c r="N10" s="819">
        <v>1370.6</v>
      </c>
      <c r="O10" s="819">
        <v>1370.6</v>
      </c>
      <c r="P10" s="819">
        <v>1370.6</v>
      </c>
      <c r="Q10" s="819">
        <v>1370.6</v>
      </c>
      <c r="R10" s="819"/>
      <c r="S10" s="819"/>
      <c r="T10" s="819"/>
      <c r="U10" s="819"/>
      <c r="V10" s="819"/>
      <c r="W10" s="819">
        <v>1370.6</v>
      </c>
      <c r="X10" s="819">
        <v>1370.6</v>
      </c>
      <c r="Y10" s="819">
        <v>542.6</v>
      </c>
      <c r="Z10" s="819">
        <v>542.6</v>
      </c>
      <c r="AA10" s="819">
        <v>542.6</v>
      </c>
      <c r="AB10" s="819">
        <v>542.6</v>
      </c>
      <c r="AC10" s="819">
        <f t="shared" ref="AC10:AD10" si="11">542.6+1387.5</f>
        <v>1930.1</v>
      </c>
      <c r="AD10" s="819">
        <f t="shared" si="11"/>
        <v>1930.1</v>
      </c>
      <c r="AE10" s="814">
        <f t="shared" si="2"/>
        <v>29890.3</v>
      </c>
      <c r="AF10" s="820"/>
      <c r="AG10" s="731">
        <f t="shared" si="3"/>
        <v>29890.3</v>
      </c>
      <c r="AH10" s="731" t="str">
        <f t="shared" si="4"/>
        <v/>
      </c>
    </row>
    <row r="11">
      <c r="A11" s="818" t="s">
        <v>9</v>
      </c>
      <c r="B11" s="819">
        <v>1370.6</v>
      </c>
      <c r="C11" s="819">
        <v>1370.6</v>
      </c>
      <c r="D11" s="819">
        <v>1370.6</v>
      </c>
      <c r="E11" s="819">
        <v>1370.6</v>
      </c>
      <c r="F11" s="819">
        <f t="shared" si="5"/>
        <v>1930.1</v>
      </c>
      <c r="G11" s="819">
        <v>1370.6</v>
      </c>
      <c r="H11" s="819">
        <v>1370.6</v>
      </c>
      <c r="I11" s="819">
        <v>1370.6</v>
      </c>
      <c r="J11" s="819">
        <v>1370.6</v>
      </c>
      <c r="K11" s="819"/>
      <c r="L11" s="819">
        <v>1370.6</v>
      </c>
      <c r="M11" s="819">
        <v>1370.6</v>
      </c>
      <c r="N11" s="819">
        <v>1370.6</v>
      </c>
      <c r="O11" s="819">
        <v>1370.6</v>
      </c>
      <c r="P11" s="819">
        <v>1370.6</v>
      </c>
      <c r="Q11" s="819">
        <v>1370.6</v>
      </c>
      <c r="R11" s="819"/>
      <c r="S11" s="819"/>
      <c r="T11" s="819"/>
      <c r="U11" s="819"/>
      <c r="V11" s="819"/>
      <c r="W11" s="819">
        <v>1370.6</v>
      </c>
      <c r="X11" s="819">
        <v>1370.6</v>
      </c>
      <c r="Y11" s="819">
        <v>542.6</v>
      </c>
      <c r="Z11" s="819">
        <v>542.6</v>
      </c>
      <c r="AA11" s="819">
        <v>542.6</v>
      </c>
      <c r="AB11" s="819">
        <v>542.6</v>
      </c>
      <c r="AC11" s="819">
        <f t="shared" ref="AC11:AD11" si="12">542.6+1387.5</f>
        <v>1930.1</v>
      </c>
      <c r="AD11" s="819">
        <f t="shared" si="12"/>
        <v>1930.1</v>
      </c>
      <c r="AE11" s="814">
        <f t="shared" si="2"/>
        <v>29890.3</v>
      </c>
      <c r="AF11" s="820"/>
      <c r="AG11" s="731">
        <f t="shared" si="3"/>
        <v>29890.3</v>
      </c>
      <c r="AH11" s="731" t="str">
        <f t="shared" si="4"/>
        <v/>
      </c>
    </row>
    <row r="12">
      <c r="A12" s="818" t="s">
        <v>10</v>
      </c>
      <c r="B12" s="819">
        <v>1370.6</v>
      </c>
      <c r="C12" s="819">
        <v>1370.6</v>
      </c>
      <c r="D12" s="819">
        <v>1370.6</v>
      </c>
      <c r="E12" s="819">
        <v>1370.6</v>
      </c>
      <c r="F12" s="819">
        <f t="shared" si="5"/>
        <v>1930.1</v>
      </c>
      <c r="G12" s="819">
        <v>1370.6</v>
      </c>
      <c r="H12" s="819">
        <v>1370.6</v>
      </c>
      <c r="I12" s="819">
        <v>1370.6</v>
      </c>
      <c r="J12" s="819">
        <v>1370.6</v>
      </c>
      <c r="K12" s="819"/>
      <c r="L12" s="819">
        <v>1370.6</v>
      </c>
      <c r="M12" s="819">
        <v>1370.6</v>
      </c>
      <c r="N12" s="819">
        <v>1370.6</v>
      </c>
      <c r="O12" s="819">
        <v>1370.6</v>
      </c>
      <c r="P12" s="819">
        <v>1370.6</v>
      </c>
      <c r="Q12" s="819">
        <v>1370.6</v>
      </c>
      <c r="R12" s="819"/>
      <c r="S12" s="819"/>
      <c r="T12" s="819"/>
      <c r="U12" s="819"/>
      <c r="V12" s="819"/>
      <c r="W12" s="819">
        <v>1370.6</v>
      </c>
      <c r="X12" s="819">
        <v>1370.6</v>
      </c>
      <c r="Y12" s="819">
        <v>542.6</v>
      </c>
      <c r="Z12" s="819">
        <v>542.6</v>
      </c>
      <c r="AA12" s="819">
        <v>542.6</v>
      </c>
      <c r="AB12" s="819">
        <v>542.6</v>
      </c>
      <c r="AC12" s="819">
        <f t="shared" ref="AC12:AD12" si="13">542.6+1387.5</f>
        <v>1930.1</v>
      </c>
      <c r="AD12" s="819">
        <f t="shared" si="13"/>
        <v>1930.1</v>
      </c>
      <c r="AE12" s="814">
        <f t="shared" si="2"/>
        <v>29890.3</v>
      </c>
      <c r="AF12" s="820"/>
      <c r="AG12" s="731">
        <f t="shared" si="3"/>
        <v>29890.3</v>
      </c>
      <c r="AH12" s="731" t="str">
        <f t="shared" si="4"/>
        <v/>
      </c>
    </row>
    <row r="13">
      <c r="A13" s="818" t="s">
        <v>492</v>
      </c>
      <c r="B13" s="819">
        <v>1370.6</v>
      </c>
      <c r="C13" s="819">
        <v>1370.6</v>
      </c>
      <c r="D13" s="819">
        <v>1370.6</v>
      </c>
      <c r="E13" s="819">
        <v>1370.6</v>
      </c>
      <c r="F13" s="819">
        <f t="shared" si="5"/>
        <v>1930.1</v>
      </c>
      <c r="G13" s="819">
        <v>1370.6</v>
      </c>
      <c r="H13" s="819">
        <v>1370.6</v>
      </c>
      <c r="I13" s="819">
        <v>1370.6</v>
      </c>
      <c r="J13" s="819">
        <v>1370.6</v>
      </c>
      <c r="K13" s="819"/>
      <c r="L13" s="819">
        <v>1370.6</v>
      </c>
      <c r="M13" s="819">
        <v>1370.6</v>
      </c>
      <c r="N13" s="819">
        <v>1370.6</v>
      </c>
      <c r="O13" s="819">
        <v>1370.6</v>
      </c>
      <c r="P13" s="819">
        <v>1370.6</v>
      </c>
      <c r="Q13" s="819">
        <v>1370.6</v>
      </c>
      <c r="R13" s="819"/>
      <c r="S13" s="819"/>
      <c r="T13" s="819"/>
      <c r="U13" s="819"/>
      <c r="V13" s="819"/>
      <c r="W13" s="819">
        <v>1370.6</v>
      </c>
      <c r="X13" s="819">
        <v>1370.6</v>
      </c>
      <c r="Y13" s="819">
        <v>542.6</v>
      </c>
      <c r="Z13" s="819">
        <v>542.6</v>
      </c>
      <c r="AA13" s="819">
        <v>542.6</v>
      </c>
      <c r="AB13" s="819">
        <v>542.6</v>
      </c>
      <c r="AC13" s="819">
        <f t="shared" ref="AC13:AD13" si="14">542.6+1387.5</f>
        <v>1930.1</v>
      </c>
      <c r="AD13" s="819">
        <f t="shared" si="14"/>
        <v>1930.1</v>
      </c>
      <c r="AE13" s="814">
        <f t="shared" si="2"/>
        <v>29890.3</v>
      </c>
      <c r="AF13" s="820"/>
      <c r="AG13" s="731">
        <f t="shared" si="3"/>
        <v>29890.3</v>
      </c>
      <c r="AH13" s="731" t="str">
        <f t="shared" si="4"/>
        <v/>
      </c>
    </row>
    <row r="14">
      <c r="A14" s="818" t="s">
        <v>12</v>
      </c>
      <c r="B14" s="819">
        <v>1370.6</v>
      </c>
      <c r="C14" s="819">
        <v>1370.6</v>
      </c>
      <c r="D14" s="819">
        <v>1370.6</v>
      </c>
      <c r="E14" s="819">
        <v>1370.6</v>
      </c>
      <c r="F14" s="819">
        <f t="shared" si="5"/>
        <v>1930.1</v>
      </c>
      <c r="G14" s="819">
        <v>1370.6</v>
      </c>
      <c r="H14" s="819">
        <v>1370.6</v>
      </c>
      <c r="I14" s="819">
        <v>1370.6</v>
      </c>
      <c r="J14" s="819">
        <v>1370.6</v>
      </c>
      <c r="K14" s="819"/>
      <c r="L14" s="819">
        <v>1370.6</v>
      </c>
      <c r="M14" s="819">
        <v>1370.6</v>
      </c>
      <c r="N14" s="819">
        <v>1370.6</v>
      </c>
      <c r="O14" s="819">
        <v>1370.6</v>
      </c>
      <c r="P14" s="819">
        <v>1370.6</v>
      </c>
      <c r="Q14" s="819">
        <v>1370.6</v>
      </c>
      <c r="R14" s="819"/>
      <c r="S14" s="819"/>
      <c r="T14" s="819"/>
      <c r="U14" s="819"/>
      <c r="V14" s="819"/>
      <c r="W14" s="819">
        <v>1370.6</v>
      </c>
      <c r="X14" s="819">
        <v>1370.6</v>
      </c>
      <c r="Y14" s="819">
        <v>542.6</v>
      </c>
      <c r="Z14" s="819">
        <v>542.6</v>
      </c>
      <c r="AA14" s="819">
        <v>542.6</v>
      </c>
      <c r="AB14" s="819">
        <v>542.6</v>
      </c>
      <c r="AC14" s="819">
        <f t="shared" ref="AC14:AD14" si="15">542.6+1387.5</f>
        <v>1930.1</v>
      </c>
      <c r="AD14" s="819">
        <f t="shared" si="15"/>
        <v>1930.1</v>
      </c>
      <c r="AE14" s="814">
        <f t="shared" si="2"/>
        <v>29890.3</v>
      </c>
      <c r="AF14" s="821"/>
      <c r="AG14" s="731">
        <f t="shared" si="3"/>
        <v>29890.3</v>
      </c>
      <c r="AH14" s="610"/>
    </row>
    <row r="15"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0"/>
      <c r="N15" s="610"/>
      <c r="O15" s="610"/>
      <c r="P15" s="610"/>
      <c r="Q15" s="610"/>
      <c r="R15" s="610"/>
      <c r="S15" s="610"/>
      <c r="T15" s="610"/>
      <c r="U15" s="610"/>
      <c r="V15" s="610"/>
      <c r="W15" s="610"/>
      <c r="X15" s="610"/>
      <c r="Y15" s="610"/>
      <c r="Z15" s="610"/>
      <c r="AA15" s="610"/>
      <c r="AB15" s="610"/>
      <c r="AC15" s="610"/>
      <c r="AD15" s="610"/>
      <c r="AG15" s="822">
        <f>SUM(AG3:AG14)</f>
        <v>341193.3</v>
      </c>
      <c r="AH15" s="610"/>
    </row>
    <row r="16">
      <c r="A16" s="811" t="s">
        <v>493</v>
      </c>
      <c r="B16" s="812" t="s">
        <v>493</v>
      </c>
      <c r="AG16" s="610"/>
      <c r="AH16" s="610"/>
    </row>
    <row r="17">
      <c r="A17" s="813"/>
      <c r="B17" s="814" t="s">
        <v>465</v>
      </c>
      <c r="C17" s="814" t="s">
        <v>466</v>
      </c>
      <c r="D17" s="815" t="s">
        <v>467</v>
      </c>
      <c r="E17" s="815" t="s">
        <v>468</v>
      </c>
      <c r="F17" s="815" t="s">
        <v>469</v>
      </c>
      <c r="G17" s="815" t="s">
        <v>470</v>
      </c>
      <c r="H17" s="815" t="s">
        <v>471</v>
      </c>
      <c r="I17" s="815" t="s">
        <v>472</v>
      </c>
      <c r="J17" s="815" t="s">
        <v>473</v>
      </c>
      <c r="K17" s="815" t="s">
        <v>474</v>
      </c>
      <c r="L17" s="815" t="s">
        <v>475</v>
      </c>
      <c r="M17" s="815" t="s">
        <v>476</v>
      </c>
      <c r="N17" s="814" t="s">
        <v>477</v>
      </c>
      <c r="O17" s="814" t="s">
        <v>478</v>
      </c>
      <c r="P17" s="815" t="s">
        <v>387</v>
      </c>
      <c r="Q17" s="815" t="s">
        <v>479</v>
      </c>
      <c r="R17" s="814" t="s">
        <v>480</v>
      </c>
      <c r="S17" s="814" t="s">
        <v>481</v>
      </c>
      <c r="T17" s="815" t="s">
        <v>482</v>
      </c>
      <c r="U17" s="815" t="s">
        <v>483</v>
      </c>
      <c r="V17" s="814" t="s">
        <v>484</v>
      </c>
      <c r="W17" s="815" t="s">
        <v>485</v>
      </c>
      <c r="X17" s="815" t="s">
        <v>486</v>
      </c>
      <c r="Y17" s="815" t="s">
        <v>439</v>
      </c>
      <c r="Z17" s="815" t="s">
        <v>487</v>
      </c>
      <c r="AA17" s="815" t="s">
        <v>440</v>
      </c>
      <c r="AB17" s="815" t="s">
        <v>488</v>
      </c>
      <c r="AC17" s="815" t="s">
        <v>445</v>
      </c>
      <c r="AD17" s="815" t="s">
        <v>444</v>
      </c>
      <c r="AE17" s="814" t="s">
        <v>0</v>
      </c>
      <c r="AF17" s="816" t="s">
        <v>489</v>
      </c>
      <c r="AG17" s="817" t="s">
        <v>490</v>
      </c>
      <c r="AH17" s="817" t="s">
        <v>491</v>
      </c>
    </row>
    <row r="18">
      <c r="A18" s="818" t="s">
        <v>1</v>
      </c>
      <c r="B18" s="819">
        <v>750.0</v>
      </c>
      <c r="C18" s="819">
        <v>750.0</v>
      </c>
      <c r="D18" s="819">
        <v>750.0</v>
      </c>
      <c r="E18" s="819">
        <v>750.0</v>
      </c>
      <c r="F18" s="819"/>
      <c r="G18" s="819">
        <v>750.0</v>
      </c>
      <c r="H18" s="819">
        <v>750.0</v>
      </c>
      <c r="I18" s="819">
        <v>750.0</v>
      </c>
      <c r="J18" s="819">
        <v>750.0</v>
      </c>
      <c r="K18" s="819"/>
      <c r="L18" s="819">
        <v>750.0</v>
      </c>
      <c r="M18" s="819">
        <v>750.0</v>
      </c>
      <c r="N18" s="819">
        <v>750.0</v>
      </c>
      <c r="O18" s="819">
        <v>750.0</v>
      </c>
      <c r="P18" s="819">
        <v>750.0</v>
      </c>
      <c r="Q18" s="819">
        <v>750.0</v>
      </c>
      <c r="R18" s="819">
        <v>750.0</v>
      </c>
      <c r="S18" s="819">
        <v>750.0</v>
      </c>
      <c r="T18" s="819">
        <v>750.0</v>
      </c>
      <c r="U18" s="819">
        <v>750.0</v>
      </c>
      <c r="V18" s="819">
        <v>100.0</v>
      </c>
      <c r="W18" s="819">
        <v>750.0</v>
      </c>
      <c r="X18" s="819">
        <v>750.0</v>
      </c>
      <c r="Y18" s="819">
        <v>650.0</v>
      </c>
      <c r="Z18" s="819">
        <v>650.0</v>
      </c>
      <c r="AA18" s="819">
        <v>650.0</v>
      </c>
      <c r="AB18" s="819">
        <v>650.0</v>
      </c>
      <c r="AC18" s="819">
        <v>650.0</v>
      </c>
      <c r="AD18" s="819">
        <v>650.0</v>
      </c>
      <c r="AE18" s="814">
        <f t="shared" ref="AE18:AE29" si="16">SUM(B18:AD18)</f>
        <v>19000</v>
      </c>
      <c r="AF18" s="820"/>
      <c r="AG18" s="731">
        <f t="shared" ref="AG18:AG29" si="17">AE18-V18</f>
        <v>18900</v>
      </c>
      <c r="AH18" s="731">
        <f t="shared" ref="AH18:AH29" si="18">V18</f>
        <v>100</v>
      </c>
    </row>
    <row r="19">
      <c r="A19" s="818" t="s">
        <v>2</v>
      </c>
      <c r="B19" s="819">
        <v>750.0</v>
      </c>
      <c r="C19" s="819">
        <v>750.0</v>
      </c>
      <c r="D19" s="819">
        <v>750.0</v>
      </c>
      <c r="E19" s="819">
        <v>750.0</v>
      </c>
      <c r="F19" s="819">
        <v>650.0</v>
      </c>
      <c r="G19" s="819">
        <v>750.0</v>
      </c>
      <c r="H19" s="819">
        <v>750.0</v>
      </c>
      <c r="I19" s="819">
        <v>750.0</v>
      </c>
      <c r="J19" s="819">
        <v>750.0</v>
      </c>
      <c r="K19" s="819"/>
      <c r="L19" s="819">
        <v>750.0</v>
      </c>
      <c r="M19" s="819">
        <v>750.0</v>
      </c>
      <c r="N19" s="819">
        <v>750.0</v>
      </c>
      <c r="O19" s="819">
        <v>750.0</v>
      </c>
      <c r="P19" s="819">
        <v>750.0</v>
      </c>
      <c r="Q19" s="819">
        <v>750.0</v>
      </c>
      <c r="R19" s="819">
        <v>750.0</v>
      </c>
      <c r="S19" s="819">
        <v>750.0</v>
      </c>
      <c r="T19" s="819">
        <v>750.0</v>
      </c>
      <c r="U19" s="819">
        <v>750.0</v>
      </c>
      <c r="V19" s="819">
        <v>100.0</v>
      </c>
      <c r="W19" s="819">
        <v>750.0</v>
      </c>
      <c r="X19" s="819">
        <v>750.0</v>
      </c>
      <c r="Y19" s="819">
        <v>650.0</v>
      </c>
      <c r="Z19" s="819">
        <v>650.0</v>
      </c>
      <c r="AA19" s="819">
        <v>650.0</v>
      </c>
      <c r="AB19" s="819">
        <v>650.0</v>
      </c>
      <c r="AC19" s="819">
        <v>650.0</v>
      </c>
      <c r="AD19" s="819">
        <v>650.0</v>
      </c>
      <c r="AE19" s="814">
        <f t="shared" si="16"/>
        <v>19650</v>
      </c>
      <c r="AF19" s="820"/>
      <c r="AG19" s="731">
        <f t="shared" si="17"/>
        <v>19550</v>
      </c>
      <c r="AH19" s="731">
        <f t="shared" si="18"/>
        <v>100</v>
      </c>
    </row>
    <row r="20">
      <c r="A20" s="818" t="s">
        <v>3</v>
      </c>
      <c r="B20" s="819">
        <v>750.0</v>
      </c>
      <c r="C20" s="819">
        <v>750.0</v>
      </c>
      <c r="D20" s="819">
        <v>750.0</v>
      </c>
      <c r="E20" s="819">
        <v>750.0</v>
      </c>
      <c r="F20" s="819">
        <v>650.0</v>
      </c>
      <c r="G20" s="819">
        <v>750.0</v>
      </c>
      <c r="H20" s="819">
        <v>750.0</v>
      </c>
      <c r="I20" s="819">
        <v>750.0</v>
      </c>
      <c r="J20" s="819">
        <v>750.0</v>
      </c>
      <c r="K20" s="819"/>
      <c r="L20" s="819">
        <v>750.0</v>
      </c>
      <c r="M20" s="819">
        <v>750.0</v>
      </c>
      <c r="N20" s="819">
        <v>750.0</v>
      </c>
      <c r="O20" s="819">
        <v>750.0</v>
      </c>
      <c r="P20" s="819">
        <v>750.0</v>
      </c>
      <c r="Q20" s="819">
        <v>750.0</v>
      </c>
      <c r="R20" s="819">
        <v>750.0</v>
      </c>
      <c r="S20" s="819">
        <v>750.0</v>
      </c>
      <c r="T20" s="819">
        <v>750.0</v>
      </c>
      <c r="U20" s="819">
        <v>750.0</v>
      </c>
      <c r="V20" s="819">
        <v>100.0</v>
      </c>
      <c r="W20" s="819">
        <v>750.0</v>
      </c>
      <c r="X20" s="819">
        <v>750.0</v>
      </c>
      <c r="Y20" s="819">
        <v>650.0</v>
      </c>
      <c r="Z20" s="819">
        <v>650.0</v>
      </c>
      <c r="AA20" s="819">
        <v>650.0</v>
      </c>
      <c r="AB20" s="819">
        <v>650.0</v>
      </c>
      <c r="AC20" s="819">
        <v>650.0</v>
      </c>
      <c r="AD20" s="819">
        <v>650.0</v>
      </c>
      <c r="AE20" s="814">
        <f t="shared" si="16"/>
        <v>19650</v>
      </c>
      <c r="AF20" s="820"/>
      <c r="AG20" s="731">
        <f t="shared" si="17"/>
        <v>19550</v>
      </c>
      <c r="AH20" s="731">
        <f t="shared" si="18"/>
        <v>100</v>
      </c>
    </row>
    <row r="21">
      <c r="A21" s="818" t="s">
        <v>4</v>
      </c>
      <c r="B21" s="819">
        <v>750.0</v>
      </c>
      <c r="C21" s="819">
        <v>750.0</v>
      </c>
      <c r="D21" s="819">
        <v>750.0</v>
      </c>
      <c r="E21" s="819">
        <v>750.0</v>
      </c>
      <c r="F21" s="819">
        <v>650.0</v>
      </c>
      <c r="G21" s="819">
        <v>750.0</v>
      </c>
      <c r="H21" s="819">
        <v>750.0</v>
      </c>
      <c r="I21" s="819">
        <v>750.0</v>
      </c>
      <c r="J21" s="819">
        <v>750.0</v>
      </c>
      <c r="K21" s="819"/>
      <c r="L21" s="819">
        <v>750.0</v>
      </c>
      <c r="M21" s="819">
        <v>750.0</v>
      </c>
      <c r="N21" s="819">
        <v>750.0</v>
      </c>
      <c r="O21" s="819">
        <v>750.0</v>
      </c>
      <c r="P21" s="819">
        <v>750.0</v>
      </c>
      <c r="Q21" s="819">
        <v>750.0</v>
      </c>
      <c r="R21" s="819">
        <v>750.0</v>
      </c>
      <c r="S21" s="819">
        <v>750.0</v>
      </c>
      <c r="T21" s="819">
        <v>750.0</v>
      </c>
      <c r="U21" s="819">
        <v>750.0</v>
      </c>
      <c r="V21" s="819">
        <v>100.0</v>
      </c>
      <c r="W21" s="819">
        <v>750.0</v>
      </c>
      <c r="X21" s="819">
        <v>750.0</v>
      </c>
      <c r="Y21" s="819">
        <v>650.0</v>
      </c>
      <c r="Z21" s="819">
        <v>650.0</v>
      </c>
      <c r="AA21" s="819">
        <v>650.0</v>
      </c>
      <c r="AB21" s="819">
        <v>650.0</v>
      </c>
      <c r="AC21" s="819">
        <v>650.0</v>
      </c>
      <c r="AD21" s="819">
        <v>650.0</v>
      </c>
      <c r="AE21" s="814">
        <f t="shared" si="16"/>
        <v>19650</v>
      </c>
      <c r="AF21" s="820"/>
      <c r="AG21" s="731">
        <f t="shared" si="17"/>
        <v>19550</v>
      </c>
      <c r="AH21" s="731">
        <f t="shared" si="18"/>
        <v>100</v>
      </c>
    </row>
    <row r="22">
      <c r="A22" s="818" t="s">
        <v>5</v>
      </c>
      <c r="B22" s="819">
        <v>750.0</v>
      </c>
      <c r="C22" s="819">
        <v>750.0</v>
      </c>
      <c r="D22" s="819">
        <v>750.0</v>
      </c>
      <c r="E22" s="819">
        <v>750.0</v>
      </c>
      <c r="F22" s="819">
        <v>650.0</v>
      </c>
      <c r="G22" s="819">
        <v>750.0</v>
      </c>
      <c r="H22" s="819">
        <v>750.0</v>
      </c>
      <c r="I22" s="819">
        <v>750.0</v>
      </c>
      <c r="J22" s="819">
        <v>750.0</v>
      </c>
      <c r="K22" s="819"/>
      <c r="L22" s="819">
        <v>750.0</v>
      </c>
      <c r="M22" s="819">
        <v>750.0</v>
      </c>
      <c r="N22" s="819">
        <v>750.0</v>
      </c>
      <c r="O22" s="819">
        <v>750.0</v>
      </c>
      <c r="P22" s="819">
        <v>750.0</v>
      </c>
      <c r="Q22" s="819">
        <v>750.0</v>
      </c>
      <c r="R22" s="819">
        <v>750.0</v>
      </c>
      <c r="S22" s="819">
        <v>750.0</v>
      </c>
      <c r="T22" s="819">
        <v>750.0</v>
      </c>
      <c r="U22" s="819">
        <v>750.0</v>
      </c>
      <c r="V22" s="819">
        <v>100.0</v>
      </c>
      <c r="W22" s="819">
        <v>750.0</v>
      </c>
      <c r="X22" s="819">
        <v>750.0</v>
      </c>
      <c r="Y22" s="819">
        <v>650.0</v>
      </c>
      <c r="Z22" s="819">
        <v>650.0</v>
      </c>
      <c r="AA22" s="819">
        <v>650.0</v>
      </c>
      <c r="AB22" s="819">
        <v>650.0</v>
      </c>
      <c r="AC22" s="819">
        <v>650.0</v>
      </c>
      <c r="AD22" s="819">
        <v>650.0</v>
      </c>
      <c r="AE22" s="814">
        <f t="shared" si="16"/>
        <v>19650</v>
      </c>
      <c r="AF22" s="820"/>
      <c r="AG22" s="731">
        <f t="shared" si="17"/>
        <v>19550</v>
      </c>
      <c r="AH22" s="731">
        <f t="shared" si="18"/>
        <v>100</v>
      </c>
    </row>
    <row r="23">
      <c r="A23" s="818" t="s">
        <v>6</v>
      </c>
      <c r="B23" s="819">
        <v>750.0</v>
      </c>
      <c r="C23" s="819">
        <v>750.0</v>
      </c>
      <c r="D23" s="819">
        <v>750.0</v>
      </c>
      <c r="E23" s="819">
        <v>750.0</v>
      </c>
      <c r="F23" s="819">
        <v>650.0</v>
      </c>
      <c r="G23" s="819">
        <v>750.0</v>
      </c>
      <c r="H23" s="819">
        <v>750.0</v>
      </c>
      <c r="I23" s="819">
        <v>750.0</v>
      </c>
      <c r="J23" s="819">
        <v>750.0</v>
      </c>
      <c r="K23" s="819"/>
      <c r="L23" s="819">
        <v>750.0</v>
      </c>
      <c r="M23" s="819">
        <v>750.0</v>
      </c>
      <c r="N23" s="819">
        <v>750.0</v>
      </c>
      <c r="O23" s="819">
        <v>750.0</v>
      </c>
      <c r="P23" s="819">
        <v>750.0</v>
      </c>
      <c r="Q23" s="819">
        <v>750.0</v>
      </c>
      <c r="R23" s="819">
        <v>750.0</v>
      </c>
      <c r="S23" s="819">
        <v>750.0</v>
      </c>
      <c r="T23" s="819">
        <v>750.0</v>
      </c>
      <c r="U23" s="819">
        <v>750.0</v>
      </c>
      <c r="V23" s="819">
        <v>100.0</v>
      </c>
      <c r="W23" s="819">
        <v>750.0</v>
      </c>
      <c r="X23" s="819">
        <v>750.0</v>
      </c>
      <c r="Y23" s="819">
        <v>650.0</v>
      </c>
      <c r="Z23" s="819">
        <v>650.0</v>
      </c>
      <c r="AA23" s="819">
        <v>650.0</v>
      </c>
      <c r="AB23" s="819">
        <v>650.0</v>
      </c>
      <c r="AC23" s="819">
        <v>650.0</v>
      </c>
      <c r="AD23" s="819">
        <v>650.0</v>
      </c>
      <c r="AE23" s="814">
        <f t="shared" si="16"/>
        <v>19650</v>
      </c>
      <c r="AF23" s="820"/>
      <c r="AG23" s="731">
        <f t="shared" si="17"/>
        <v>19550</v>
      </c>
      <c r="AH23" s="731">
        <f t="shared" si="18"/>
        <v>100</v>
      </c>
    </row>
    <row r="24">
      <c r="A24" s="818" t="s">
        <v>7</v>
      </c>
      <c r="B24" s="819">
        <v>750.0</v>
      </c>
      <c r="C24" s="819">
        <v>750.0</v>
      </c>
      <c r="D24" s="819">
        <v>750.0</v>
      </c>
      <c r="E24" s="819">
        <v>750.0</v>
      </c>
      <c r="F24" s="819">
        <v>650.0</v>
      </c>
      <c r="G24" s="819">
        <v>750.0</v>
      </c>
      <c r="H24" s="819">
        <v>750.0</v>
      </c>
      <c r="I24" s="819">
        <v>750.0</v>
      </c>
      <c r="J24" s="819">
        <v>750.0</v>
      </c>
      <c r="K24" s="819"/>
      <c r="L24" s="819">
        <v>750.0</v>
      </c>
      <c r="M24" s="819">
        <v>750.0</v>
      </c>
      <c r="N24" s="819">
        <v>750.0</v>
      </c>
      <c r="O24" s="819">
        <v>750.0</v>
      </c>
      <c r="P24" s="819">
        <v>750.0</v>
      </c>
      <c r="Q24" s="819">
        <v>750.0</v>
      </c>
      <c r="R24" s="819">
        <v>750.0</v>
      </c>
      <c r="S24" s="819">
        <v>750.0</v>
      </c>
      <c r="T24" s="819">
        <v>750.0</v>
      </c>
      <c r="U24" s="819">
        <v>750.0</v>
      </c>
      <c r="V24" s="819">
        <v>100.0</v>
      </c>
      <c r="W24" s="819">
        <v>750.0</v>
      </c>
      <c r="X24" s="819">
        <v>750.0</v>
      </c>
      <c r="Y24" s="819">
        <v>650.0</v>
      </c>
      <c r="Z24" s="819">
        <v>650.0</v>
      </c>
      <c r="AA24" s="819">
        <v>650.0</v>
      </c>
      <c r="AB24" s="819">
        <v>650.0</v>
      </c>
      <c r="AC24" s="819">
        <v>650.0</v>
      </c>
      <c r="AD24" s="819">
        <v>650.0</v>
      </c>
      <c r="AE24" s="814">
        <f t="shared" si="16"/>
        <v>19650</v>
      </c>
      <c r="AF24" s="820"/>
      <c r="AG24" s="731">
        <f t="shared" si="17"/>
        <v>19550</v>
      </c>
      <c r="AH24" s="731">
        <f t="shared" si="18"/>
        <v>100</v>
      </c>
    </row>
    <row r="25">
      <c r="A25" s="818" t="s">
        <v>8</v>
      </c>
      <c r="B25" s="819">
        <v>750.0</v>
      </c>
      <c r="C25" s="819">
        <v>750.0</v>
      </c>
      <c r="D25" s="819">
        <v>750.0</v>
      </c>
      <c r="E25" s="819">
        <v>750.0</v>
      </c>
      <c r="F25" s="819">
        <v>650.0</v>
      </c>
      <c r="G25" s="819">
        <v>750.0</v>
      </c>
      <c r="H25" s="819">
        <v>750.0</v>
      </c>
      <c r="I25" s="819">
        <v>750.0</v>
      </c>
      <c r="J25" s="819">
        <v>750.0</v>
      </c>
      <c r="K25" s="819"/>
      <c r="L25" s="819">
        <v>750.0</v>
      </c>
      <c r="M25" s="819">
        <v>750.0</v>
      </c>
      <c r="N25" s="819">
        <v>750.0</v>
      </c>
      <c r="O25" s="819">
        <v>750.0</v>
      </c>
      <c r="P25" s="819">
        <v>750.0</v>
      </c>
      <c r="Q25" s="819">
        <v>750.0</v>
      </c>
      <c r="R25" s="819">
        <v>750.0</v>
      </c>
      <c r="S25" s="819">
        <v>750.0</v>
      </c>
      <c r="T25" s="819">
        <v>750.0</v>
      </c>
      <c r="U25" s="819">
        <v>750.0</v>
      </c>
      <c r="V25" s="819">
        <v>100.0</v>
      </c>
      <c r="W25" s="819">
        <v>750.0</v>
      </c>
      <c r="X25" s="819">
        <v>750.0</v>
      </c>
      <c r="Y25" s="819">
        <v>650.0</v>
      </c>
      <c r="Z25" s="819">
        <v>650.0</v>
      </c>
      <c r="AA25" s="819">
        <v>650.0</v>
      </c>
      <c r="AB25" s="819">
        <v>650.0</v>
      </c>
      <c r="AC25" s="819">
        <v>650.0</v>
      </c>
      <c r="AD25" s="819">
        <v>650.0</v>
      </c>
      <c r="AE25" s="814">
        <f t="shared" si="16"/>
        <v>19650</v>
      </c>
      <c r="AF25" s="820"/>
      <c r="AG25" s="731">
        <f t="shared" si="17"/>
        <v>19550</v>
      </c>
      <c r="AH25" s="731">
        <f t="shared" si="18"/>
        <v>100</v>
      </c>
    </row>
    <row r="26">
      <c r="A26" s="818" t="s">
        <v>9</v>
      </c>
      <c r="B26" s="819">
        <v>750.0</v>
      </c>
      <c r="C26" s="819">
        <v>750.0</v>
      </c>
      <c r="D26" s="819">
        <v>750.0</v>
      </c>
      <c r="E26" s="819">
        <v>750.0</v>
      </c>
      <c r="F26" s="819">
        <v>650.0</v>
      </c>
      <c r="G26" s="819">
        <v>750.0</v>
      </c>
      <c r="H26" s="819">
        <v>750.0</v>
      </c>
      <c r="I26" s="819">
        <v>750.0</v>
      </c>
      <c r="J26" s="819">
        <v>750.0</v>
      </c>
      <c r="K26" s="819"/>
      <c r="L26" s="819">
        <v>750.0</v>
      </c>
      <c r="M26" s="819">
        <v>750.0</v>
      </c>
      <c r="N26" s="819">
        <v>750.0</v>
      </c>
      <c r="O26" s="819">
        <v>750.0</v>
      </c>
      <c r="P26" s="819">
        <v>750.0</v>
      </c>
      <c r="Q26" s="819">
        <v>750.0</v>
      </c>
      <c r="R26" s="819">
        <v>750.0</v>
      </c>
      <c r="S26" s="819">
        <v>750.0</v>
      </c>
      <c r="T26" s="819">
        <v>750.0</v>
      </c>
      <c r="U26" s="819">
        <v>750.0</v>
      </c>
      <c r="V26" s="819">
        <v>100.0</v>
      </c>
      <c r="W26" s="819">
        <v>750.0</v>
      </c>
      <c r="X26" s="819">
        <v>750.0</v>
      </c>
      <c r="Y26" s="819">
        <v>650.0</v>
      </c>
      <c r="Z26" s="819">
        <v>650.0</v>
      </c>
      <c r="AA26" s="819">
        <v>650.0</v>
      </c>
      <c r="AB26" s="819">
        <v>650.0</v>
      </c>
      <c r="AC26" s="819">
        <v>650.0</v>
      </c>
      <c r="AD26" s="819">
        <v>650.0</v>
      </c>
      <c r="AE26" s="814">
        <f t="shared" si="16"/>
        <v>19650</v>
      </c>
      <c r="AF26" s="820"/>
      <c r="AG26" s="731">
        <f t="shared" si="17"/>
        <v>19550</v>
      </c>
      <c r="AH26" s="731">
        <f t="shared" si="18"/>
        <v>100</v>
      </c>
    </row>
    <row r="27">
      <c r="A27" s="818" t="s">
        <v>10</v>
      </c>
      <c r="B27" s="819">
        <v>750.0</v>
      </c>
      <c r="C27" s="819">
        <v>750.0</v>
      </c>
      <c r="D27" s="819">
        <v>750.0</v>
      </c>
      <c r="E27" s="819">
        <v>750.0</v>
      </c>
      <c r="F27" s="819">
        <v>650.0</v>
      </c>
      <c r="G27" s="819">
        <v>750.0</v>
      </c>
      <c r="H27" s="819">
        <v>750.0</v>
      </c>
      <c r="I27" s="819">
        <v>750.0</v>
      </c>
      <c r="J27" s="819">
        <v>750.0</v>
      </c>
      <c r="K27" s="819"/>
      <c r="L27" s="819">
        <v>750.0</v>
      </c>
      <c r="M27" s="819">
        <v>750.0</v>
      </c>
      <c r="N27" s="819">
        <v>750.0</v>
      </c>
      <c r="O27" s="819">
        <v>750.0</v>
      </c>
      <c r="P27" s="819">
        <v>750.0</v>
      </c>
      <c r="Q27" s="819">
        <v>750.0</v>
      </c>
      <c r="R27" s="819">
        <v>750.0</v>
      </c>
      <c r="S27" s="819">
        <v>750.0</v>
      </c>
      <c r="T27" s="819">
        <v>750.0</v>
      </c>
      <c r="U27" s="819">
        <v>750.0</v>
      </c>
      <c r="V27" s="819">
        <v>100.0</v>
      </c>
      <c r="W27" s="819">
        <v>750.0</v>
      </c>
      <c r="X27" s="819">
        <v>750.0</v>
      </c>
      <c r="Y27" s="819">
        <v>650.0</v>
      </c>
      <c r="Z27" s="819">
        <v>650.0</v>
      </c>
      <c r="AA27" s="819">
        <v>650.0</v>
      </c>
      <c r="AB27" s="819">
        <v>650.0</v>
      </c>
      <c r="AC27" s="819">
        <v>650.0</v>
      </c>
      <c r="AD27" s="819">
        <v>650.0</v>
      </c>
      <c r="AE27" s="814">
        <f t="shared" si="16"/>
        <v>19650</v>
      </c>
      <c r="AF27" s="820"/>
      <c r="AG27" s="731">
        <f t="shared" si="17"/>
        <v>19550</v>
      </c>
      <c r="AH27" s="731">
        <f t="shared" si="18"/>
        <v>100</v>
      </c>
    </row>
    <row r="28">
      <c r="A28" s="818" t="s">
        <v>492</v>
      </c>
      <c r="B28" s="819">
        <v>750.0</v>
      </c>
      <c r="C28" s="819">
        <v>750.0</v>
      </c>
      <c r="D28" s="819">
        <v>750.0</v>
      </c>
      <c r="E28" s="819">
        <v>750.0</v>
      </c>
      <c r="F28" s="819">
        <v>650.0</v>
      </c>
      <c r="G28" s="819">
        <v>750.0</v>
      </c>
      <c r="H28" s="819">
        <v>750.0</v>
      </c>
      <c r="I28" s="819">
        <v>750.0</v>
      </c>
      <c r="J28" s="819">
        <v>750.0</v>
      </c>
      <c r="K28" s="819"/>
      <c r="L28" s="819">
        <v>750.0</v>
      </c>
      <c r="M28" s="819">
        <v>750.0</v>
      </c>
      <c r="N28" s="819">
        <v>750.0</v>
      </c>
      <c r="O28" s="819">
        <v>750.0</v>
      </c>
      <c r="P28" s="819">
        <v>750.0</v>
      </c>
      <c r="Q28" s="819">
        <v>750.0</v>
      </c>
      <c r="R28" s="819">
        <v>750.0</v>
      </c>
      <c r="S28" s="819">
        <v>750.0</v>
      </c>
      <c r="T28" s="819">
        <v>750.0</v>
      </c>
      <c r="U28" s="819">
        <v>750.0</v>
      </c>
      <c r="V28" s="819">
        <v>100.0</v>
      </c>
      <c r="W28" s="819">
        <v>750.0</v>
      </c>
      <c r="X28" s="819">
        <v>750.0</v>
      </c>
      <c r="Y28" s="819">
        <v>650.0</v>
      </c>
      <c r="Z28" s="819">
        <v>650.0</v>
      </c>
      <c r="AA28" s="819">
        <v>650.0</v>
      </c>
      <c r="AB28" s="819">
        <v>650.0</v>
      </c>
      <c r="AC28" s="819">
        <v>650.0</v>
      </c>
      <c r="AD28" s="819">
        <v>650.0</v>
      </c>
      <c r="AE28" s="814">
        <f t="shared" si="16"/>
        <v>19650</v>
      </c>
      <c r="AF28" s="820"/>
      <c r="AG28" s="731">
        <f t="shared" si="17"/>
        <v>19550</v>
      </c>
      <c r="AH28" s="731">
        <f t="shared" si="18"/>
        <v>100</v>
      </c>
    </row>
    <row r="29">
      <c r="A29" s="818" t="s">
        <v>12</v>
      </c>
      <c r="B29" s="819">
        <v>750.0</v>
      </c>
      <c r="C29" s="819">
        <v>750.0</v>
      </c>
      <c r="D29" s="819">
        <v>750.0</v>
      </c>
      <c r="E29" s="819">
        <v>750.0</v>
      </c>
      <c r="F29" s="819">
        <v>650.0</v>
      </c>
      <c r="G29" s="819">
        <v>750.0</v>
      </c>
      <c r="H29" s="819">
        <v>750.0</v>
      </c>
      <c r="I29" s="819">
        <v>750.0</v>
      </c>
      <c r="J29" s="819">
        <v>750.0</v>
      </c>
      <c r="K29" s="819"/>
      <c r="L29" s="819">
        <v>750.0</v>
      </c>
      <c r="M29" s="819">
        <v>750.0</v>
      </c>
      <c r="N29" s="819">
        <v>750.0</v>
      </c>
      <c r="O29" s="819">
        <v>750.0</v>
      </c>
      <c r="P29" s="819">
        <v>750.0</v>
      </c>
      <c r="Q29" s="819">
        <v>750.0</v>
      </c>
      <c r="R29" s="819">
        <v>750.0</v>
      </c>
      <c r="S29" s="819">
        <v>750.0</v>
      </c>
      <c r="T29" s="819">
        <v>750.0</v>
      </c>
      <c r="U29" s="819">
        <v>750.0</v>
      </c>
      <c r="V29" s="819">
        <v>100.0</v>
      </c>
      <c r="W29" s="819">
        <v>750.0</v>
      </c>
      <c r="X29" s="819">
        <v>750.0</v>
      </c>
      <c r="Y29" s="819">
        <v>650.0</v>
      </c>
      <c r="Z29" s="819">
        <v>650.0</v>
      </c>
      <c r="AA29" s="819">
        <v>650.0</v>
      </c>
      <c r="AB29" s="819">
        <v>650.0</v>
      </c>
      <c r="AC29" s="819">
        <v>650.0</v>
      </c>
      <c r="AD29" s="819">
        <v>650.0</v>
      </c>
      <c r="AE29" s="814">
        <f t="shared" si="16"/>
        <v>19650</v>
      </c>
      <c r="AF29" s="138"/>
      <c r="AG29" s="731">
        <f t="shared" si="17"/>
        <v>19550</v>
      </c>
      <c r="AH29" s="731">
        <f t="shared" si="18"/>
        <v>100</v>
      </c>
    </row>
    <row r="30">
      <c r="B30" s="610"/>
      <c r="C30" s="610"/>
      <c r="D30" s="610"/>
      <c r="E30" s="610"/>
      <c r="F30" s="610"/>
      <c r="G30" s="610"/>
      <c r="H30" s="610"/>
      <c r="I30" s="610"/>
      <c r="J30" s="610"/>
      <c r="K30" s="610"/>
      <c r="L30" s="610"/>
      <c r="M30" s="610"/>
      <c r="N30" s="610"/>
      <c r="O30" s="610"/>
      <c r="P30" s="610"/>
      <c r="Q30" s="610"/>
      <c r="R30" s="610"/>
      <c r="S30" s="610"/>
      <c r="T30" s="610"/>
      <c r="U30" s="610"/>
      <c r="V30" s="610"/>
      <c r="W30" s="610"/>
      <c r="X30" s="610"/>
      <c r="Y30" s="610"/>
      <c r="Z30" s="610"/>
      <c r="AA30" s="610"/>
      <c r="AB30" s="610"/>
      <c r="AC30" s="610"/>
      <c r="AD30" s="610"/>
      <c r="AG30" s="822">
        <f t="shared" ref="AG30:AH30" si="19">SUM(AG18:AG29)</f>
        <v>233950</v>
      </c>
      <c r="AH30" s="822">
        <f t="shared" si="19"/>
        <v>1200</v>
      </c>
    </row>
    <row r="31">
      <c r="A31" s="811" t="s">
        <v>316</v>
      </c>
      <c r="B31" s="610"/>
      <c r="C31" s="610"/>
      <c r="D31" s="610"/>
      <c r="E31" s="610"/>
      <c r="F31" s="610"/>
      <c r="G31" s="610"/>
      <c r="H31" s="610"/>
      <c r="I31" s="610"/>
      <c r="J31" s="610"/>
      <c r="K31" s="610"/>
      <c r="L31" s="610"/>
      <c r="M31" s="610"/>
      <c r="N31" s="610"/>
      <c r="O31" s="610"/>
      <c r="P31" s="610"/>
      <c r="Q31" s="610"/>
      <c r="R31" s="610"/>
      <c r="S31" s="610"/>
      <c r="T31" s="610"/>
      <c r="U31" s="610"/>
      <c r="V31" s="610"/>
      <c r="W31" s="610"/>
      <c r="X31" s="610"/>
      <c r="Y31" s="610"/>
      <c r="Z31" s="610"/>
      <c r="AA31" s="610"/>
      <c r="AB31" s="610"/>
      <c r="AC31" s="610"/>
      <c r="AD31" s="610"/>
    </row>
    <row r="32">
      <c r="A32" s="823"/>
      <c r="B32" s="824" t="s">
        <v>465</v>
      </c>
      <c r="C32" s="824" t="s">
        <v>466</v>
      </c>
      <c r="D32" s="824" t="s">
        <v>494</v>
      </c>
      <c r="E32" s="825" t="s">
        <v>468</v>
      </c>
      <c r="F32" s="825" t="s">
        <v>495</v>
      </c>
      <c r="G32" s="825" t="s">
        <v>470</v>
      </c>
      <c r="H32" s="825" t="s">
        <v>471</v>
      </c>
      <c r="I32" s="825" t="s">
        <v>472</v>
      </c>
      <c r="J32" s="825" t="s">
        <v>473</v>
      </c>
      <c r="K32" s="825" t="s">
        <v>474</v>
      </c>
      <c r="L32" s="825" t="s">
        <v>475</v>
      </c>
      <c r="M32" s="825" t="s">
        <v>476</v>
      </c>
      <c r="N32" s="824" t="s">
        <v>477</v>
      </c>
      <c r="O32" s="824" t="s">
        <v>478</v>
      </c>
      <c r="P32" s="825" t="s">
        <v>387</v>
      </c>
      <c r="Q32" s="825" t="s">
        <v>479</v>
      </c>
      <c r="R32" s="824" t="s">
        <v>480</v>
      </c>
      <c r="S32" s="824" t="s">
        <v>481</v>
      </c>
      <c r="T32" s="825" t="s">
        <v>482</v>
      </c>
      <c r="U32" s="825" t="s">
        <v>483</v>
      </c>
      <c r="V32" s="824" t="s">
        <v>484</v>
      </c>
      <c r="W32" s="825" t="s">
        <v>485</v>
      </c>
      <c r="X32" s="825" t="s">
        <v>486</v>
      </c>
      <c r="Y32" s="815" t="s">
        <v>439</v>
      </c>
      <c r="Z32" s="815" t="s">
        <v>487</v>
      </c>
      <c r="AA32" s="815" t="s">
        <v>440</v>
      </c>
      <c r="AB32" s="815" t="s">
        <v>488</v>
      </c>
      <c r="AC32" s="815" t="s">
        <v>445</v>
      </c>
      <c r="AD32" s="815" t="s">
        <v>444</v>
      </c>
      <c r="AE32" s="824" t="s">
        <v>0</v>
      </c>
      <c r="AF32" s="816" t="s">
        <v>489</v>
      </c>
      <c r="AG32" s="817" t="s">
        <v>490</v>
      </c>
      <c r="AH32" s="817" t="s">
        <v>491</v>
      </c>
    </row>
    <row r="33">
      <c r="A33" s="826" t="s">
        <v>1</v>
      </c>
      <c r="B33" s="827">
        <f t="shared" ref="B33:AD33" si="20">B3+B18</f>
        <v>1450</v>
      </c>
      <c r="C33" s="827">
        <f t="shared" si="20"/>
        <v>1450</v>
      </c>
      <c r="D33" s="827">
        <f t="shared" si="20"/>
        <v>1450</v>
      </c>
      <c r="E33" s="827">
        <f t="shared" si="20"/>
        <v>1450</v>
      </c>
      <c r="F33" s="827">
        <f t="shared" si="20"/>
        <v>0</v>
      </c>
      <c r="G33" s="827">
        <f t="shared" si="20"/>
        <v>1450</v>
      </c>
      <c r="H33" s="827">
        <f t="shared" si="20"/>
        <v>1450</v>
      </c>
      <c r="I33" s="827">
        <f t="shared" si="20"/>
        <v>1450</v>
      </c>
      <c r="J33" s="827">
        <f t="shared" si="20"/>
        <v>1450</v>
      </c>
      <c r="K33" s="827">
        <f t="shared" si="20"/>
        <v>0</v>
      </c>
      <c r="L33" s="827">
        <f t="shared" si="20"/>
        <v>1450</v>
      </c>
      <c r="M33" s="827">
        <f t="shared" si="20"/>
        <v>1450</v>
      </c>
      <c r="N33" s="827">
        <f t="shared" si="20"/>
        <v>1450</v>
      </c>
      <c r="O33" s="827">
        <f t="shared" si="20"/>
        <v>1450</v>
      </c>
      <c r="P33" s="827">
        <f t="shared" si="20"/>
        <v>1450</v>
      </c>
      <c r="Q33" s="827">
        <f t="shared" si="20"/>
        <v>1450</v>
      </c>
      <c r="R33" s="827">
        <f t="shared" si="20"/>
        <v>750</v>
      </c>
      <c r="S33" s="827">
        <f t="shared" si="20"/>
        <v>750</v>
      </c>
      <c r="T33" s="827">
        <f t="shared" si="20"/>
        <v>750</v>
      </c>
      <c r="U33" s="827">
        <f t="shared" si="20"/>
        <v>750</v>
      </c>
      <c r="V33" s="827">
        <f t="shared" si="20"/>
        <v>100</v>
      </c>
      <c r="W33" s="827">
        <f t="shared" si="20"/>
        <v>1450</v>
      </c>
      <c r="X33" s="827">
        <f t="shared" si="20"/>
        <v>1450</v>
      </c>
      <c r="Y33" s="827">
        <f t="shared" si="20"/>
        <v>850</v>
      </c>
      <c r="Z33" s="827">
        <f t="shared" si="20"/>
        <v>850</v>
      </c>
      <c r="AA33" s="827">
        <f t="shared" si="20"/>
        <v>850</v>
      </c>
      <c r="AB33" s="827">
        <f t="shared" si="20"/>
        <v>850</v>
      </c>
      <c r="AC33" s="827">
        <f t="shared" si="20"/>
        <v>850</v>
      </c>
      <c r="AD33" s="827">
        <f t="shared" si="20"/>
        <v>850</v>
      </c>
      <c r="AE33" s="814">
        <f t="shared" ref="AE33:AE44" si="22">SUM(B33:AD33)</f>
        <v>31400</v>
      </c>
      <c r="AF33" s="820"/>
      <c r="AG33" s="731">
        <f t="shared" ref="AG33:AG44" si="23">AE33-V33</f>
        <v>31300</v>
      </c>
      <c r="AH33" s="731">
        <f t="shared" ref="AH33:AH44" si="24">V33</f>
        <v>100</v>
      </c>
    </row>
    <row r="34">
      <c r="A34" s="826" t="s">
        <v>2</v>
      </c>
      <c r="B34" s="827">
        <f t="shared" ref="B34:AD34" si="21">B4+B19</f>
        <v>2120.6</v>
      </c>
      <c r="C34" s="827">
        <f t="shared" si="21"/>
        <v>2120.6</v>
      </c>
      <c r="D34" s="827">
        <f t="shared" si="21"/>
        <v>2120.6</v>
      </c>
      <c r="E34" s="827">
        <f t="shared" si="21"/>
        <v>2120.6</v>
      </c>
      <c r="F34" s="827">
        <f t="shared" si="21"/>
        <v>2580.1</v>
      </c>
      <c r="G34" s="827">
        <f t="shared" si="21"/>
        <v>2120.6</v>
      </c>
      <c r="H34" s="827">
        <f t="shared" si="21"/>
        <v>2120.6</v>
      </c>
      <c r="I34" s="827">
        <f t="shared" si="21"/>
        <v>2120.6</v>
      </c>
      <c r="J34" s="827">
        <f t="shared" si="21"/>
        <v>2120.6</v>
      </c>
      <c r="K34" s="827">
        <f t="shared" si="21"/>
        <v>0</v>
      </c>
      <c r="L34" s="827">
        <f t="shared" si="21"/>
        <v>2120.6</v>
      </c>
      <c r="M34" s="827">
        <f t="shared" si="21"/>
        <v>2120.6</v>
      </c>
      <c r="N34" s="827">
        <f t="shared" si="21"/>
        <v>2120.6</v>
      </c>
      <c r="O34" s="827">
        <f t="shared" si="21"/>
        <v>2120.6</v>
      </c>
      <c r="P34" s="827">
        <f t="shared" si="21"/>
        <v>2120.6</v>
      </c>
      <c r="Q34" s="827">
        <f t="shared" si="21"/>
        <v>2120.6</v>
      </c>
      <c r="R34" s="827">
        <f t="shared" si="21"/>
        <v>750</v>
      </c>
      <c r="S34" s="827">
        <f t="shared" si="21"/>
        <v>750</v>
      </c>
      <c r="T34" s="827">
        <f t="shared" si="21"/>
        <v>750</v>
      </c>
      <c r="U34" s="827">
        <f t="shared" si="21"/>
        <v>750</v>
      </c>
      <c r="V34" s="827">
        <f t="shared" si="21"/>
        <v>100</v>
      </c>
      <c r="W34" s="827">
        <f t="shared" si="21"/>
        <v>2120.6</v>
      </c>
      <c r="X34" s="827">
        <f t="shared" si="21"/>
        <v>2120.6</v>
      </c>
      <c r="Y34" s="827">
        <f t="shared" si="21"/>
        <v>1192.6</v>
      </c>
      <c r="Z34" s="827">
        <f t="shared" si="21"/>
        <v>1192.6</v>
      </c>
      <c r="AA34" s="827">
        <f t="shared" si="21"/>
        <v>1192.6</v>
      </c>
      <c r="AB34" s="827">
        <f t="shared" si="21"/>
        <v>1192.6</v>
      </c>
      <c r="AC34" s="827">
        <f t="shared" si="21"/>
        <v>2580.1</v>
      </c>
      <c r="AD34" s="827">
        <f t="shared" si="21"/>
        <v>2580.1</v>
      </c>
      <c r="AE34" s="814">
        <f t="shared" si="22"/>
        <v>49540.3</v>
      </c>
      <c r="AF34" s="820"/>
      <c r="AG34" s="731">
        <f t="shared" si="23"/>
        <v>49440.3</v>
      </c>
      <c r="AH34" s="731">
        <f t="shared" si="24"/>
        <v>100</v>
      </c>
    </row>
    <row r="35">
      <c r="A35" s="826" t="s">
        <v>3</v>
      </c>
      <c r="B35" s="827">
        <f t="shared" ref="B35:AD35" si="25">B5+B20</f>
        <v>2120.6</v>
      </c>
      <c r="C35" s="827">
        <f t="shared" si="25"/>
        <v>2120.6</v>
      </c>
      <c r="D35" s="827">
        <f t="shared" si="25"/>
        <v>2120.6</v>
      </c>
      <c r="E35" s="827">
        <f t="shared" si="25"/>
        <v>2120.6</v>
      </c>
      <c r="F35" s="827">
        <f t="shared" si="25"/>
        <v>2580.1</v>
      </c>
      <c r="G35" s="827">
        <f t="shared" si="25"/>
        <v>2120.6</v>
      </c>
      <c r="H35" s="827">
        <f t="shared" si="25"/>
        <v>2120.6</v>
      </c>
      <c r="I35" s="827">
        <f t="shared" si="25"/>
        <v>2120.6</v>
      </c>
      <c r="J35" s="827">
        <f t="shared" si="25"/>
        <v>2120.6</v>
      </c>
      <c r="K35" s="827">
        <f t="shared" si="25"/>
        <v>0</v>
      </c>
      <c r="L35" s="827">
        <f t="shared" si="25"/>
        <v>2120.6</v>
      </c>
      <c r="M35" s="827">
        <f t="shared" si="25"/>
        <v>2120.6</v>
      </c>
      <c r="N35" s="827">
        <f t="shared" si="25"/>
        <v>2120.6</v>
      </c>
      <c r="O35" s="827">
        <f t="shared" si="25"/>
        <v>2120.6</v>
      </c>
      <c r="P35" s="827">
        <f t="shared" si="25"/>
        <v>2120.6</v>
      </c>
      <c r="Q35" s="827">
        <f t="shared" si="25"/>
        <v>2120.6</v>
      </c>
      <c r="R35" s="827">
        <f t="shared" si="25"/>
        <v>750</v>
      </c>
      <c r="S35" s="827">
        <f t="shared" si="25"/>
        <v>750</v>
      </c>
      <c r="T35" s="827">
        <f t="shared" si="25"/>
        <v>750</v>
      </c>
      <c r="U35" s="827">
        <f t="shared" si="25"/>
        <v>750</v>
      </c>
      <c r="V35" s="827">
        <f t="shared" si="25"/>
        <v>100</v>
      </c>
      <c r="W35" s="827">
        <f t="shared" si="25"/>
        <v>2120.6</v>
      </c>
      <c r="X35" s="827">
        <f t="shared" si="25"/>
        <v>2120.6</v>
      </c>
      <c r="Y35" s="827">
        <f t="shared" si="25"/>
        <v>1192.6</v>
      </c>
      <c r="Z35" s="827">
        <f t="shared" si="25"/>
        <v>1192.6</v>
      </c>
      <c r="AA35" s="827">
        <f t="shared" si="25"/>
        <v>1192.6</v>
      </c>
      <c r="AB35" s="827">
        <f t="shared" si="25"/>
        <v>1192.6</v>
      </c>
      <c r="AC35" s="827">
        <f t="shared" si="25"/>
        <v>2580.1</v>
      </c>
      <c r="AD35" s="827">
        <f t="shared" si="25"/>
        <v>2580.1</v>
      </c>
      <c r="AE35" s="814">
        <f t="shared" si="22"/>
        <v>49540.3</v>
      </c>
      <c r="AF35" s="820"/>
      <c r="AG35" s="731">
        <f t="shared" si="23"/>
        <v>49440.3</v>
      </c>
      <c r="AH35" s="731">
        <f t="shared" si="24"/>
        <v>100</v>
      </c>
    </row>
    <row r="36">
      <c r="A36" s="826" t="s">
        <v>4</v>
      </c>
      <c r="B36" s="827">
        <f t="shared" ref="B36:AD36" si="26">B6+B21</f>
        <v>2120.6</v>
      </c>
      <c r="C36" s="827">
        <f t="shared" si="26"/>
        <v>2120.6</v>
      </c>
      <c r="D36" s="827">
        <f t="shared" si="26"/>
        <v>2120.6</v>
      </c>
      <c r="E36" s="827">
        <f t="shared" si="26"/>
        <v>2120.6</v>
      </c>
      <c r="F36" s="827">
        <f t="shared" si="26"/>
        <v>2580.1</v>
      </c>
      <c r="G36" s="827">
        <f t="shared" si="26"/>
        <v>2120.6</v>
      </c>
      <c r="H36" s="827">
        <f t="shared" si="26"/>
        <v>2120.6</v>
      </c>
      <c r="I36" s="827">
        <f t="shared" si="26"/>
        <v>2120.6</v>
      </c>
      <c r="J36" s="827">
        <f t="shared" si="26"/>
        <v>2120.6</v>
      </c>
      <c r="K36" s="827">
        <f t="shared" si="26"/>
        <v>0</v>
      </c>
      <c r="L36" s="827">
        <f t="shared" si="26"/>
        <v>2120.6</v>
      </c>
      <c r="M36" s="827">
        <f t="shared" si="26"/>
        <v>2120.6</v>
      </c>
      <c r="N36" s="827">
        <f t="shared" si="26"/>
        <v>2120.6</v>
      </c>
      <c r="O36" s="827">
        <f t="shared" si="26"/>
        <v>2120.6</v>
      </c>
      <c r="P36" s="827">
        <f t="shared" si="26"/>
        <v>2120.6</v>
      </c>
      <c r="Q36" s="827">
        <f t="shared" si="26"/>
        <v>2120.6</v>
      </c>
      <c r="R36" s="827">
        <f t="shared" si="26"/>
        <v>750</v>
      </c>
      <c r="S36" s="827">
        <f t="shared" si="26"/>
        <v>750</v>
      </c>
      <c r="T36" s="827">
        <f t="shared" si="26"/>
        <v>750</v>
      </c>
      <c r="U36" s="827">
        <f t="shared" si="26"/>
        <v>750</v>
      </c>
      <c r="V36" s="827">
        <f t="shared" si="26"/>
        <v>100</v>
      </c>
      <c r="W36" s="827">
        <f t="shared" si="26"/>
        <v>2120.6</v>
      </c>
      <c r="X36" s="827">
        <f t="shared" si="26"/>
        <v>2120.6</v>
      </c>
      <c r="Y36" s="827">
        <f t="shared" si="26"/>
        <v>1192.6</v>
      </c>
      <c r="Z36" s="827">
        <f t="shared" si="26"/>
        <v>1192.6</v>
      </c>
      <c r="AA36" s="827">
        <f t="shared" si="26"/>
        <v>1192.6</v>
      </c>
      <c r="AB36" s="827">
        <f t="shared" si="26"/>
        <v>1192.6</v>
      </c>
      <c r="AC36" s="827">
        <f t="shared" si="26"/>
        <v>2580.1</v>
      </c>
      <c r="AD36" s="827">
        <f t="shared" si="26"/>
        <v>2580.1</v>
      </c>
      <c r="AE36" s="814">
        <f t="shared" si="22"/>
        <v>49540.3</v>
      </c>
      <c r="AF36" s="820"/>
      <c r="AG36" s="731">
        <f t="shared" si="23"/>
        <v>49440.3</v>
      </c>
      <c r="AH36" s="731">
        <f t="shared" si="24"/>
        <v>100</v>
      </c>
    </row>
    <row r="37">
      <c r="A37" s="826" t="s">
        <v>5</v>
      </c>
      <c r="B37" s="827">
        <f t="shared" ref="B37:AD37" si="27">B7+B22</f>
        <v>2120.6</v>
      </c>
      <c r="C37" s="827">
        <f t="shared" si="27"/>
        <v>2120.6</v>
      </c>
      <c r="D37" s="827">
        <f t="shared" si="27"/>
        <v>2120.6</v>
      </c>
      <c r="E37" s="827">
        <f t="shared" si="27"/>
        <v>2120.6</v>
      </c>
      <c r="F37" s="827">
        <f t="shared" si="27"/>
        <v>2580.1</v>
      </c>
      <c r="G37" s="827">
        <f t="shared" si="27"/>
        <v>2120.6</v>
      </c>
      <c r="H37" s="827">
        <f t="shared" si="27"/>
        <v>2120.6</v>
      </c>
      <c r="I37" s="827">
        <f t="shared" si="27"/>
        <v>2120.6</v>
      </c>
      <c r="J37" s="827">
        <f t="shared" si="27"/>
        <v>2120.6</v>
      </c>
      <c r="K37" s="827">
        <f t="shared" si="27"/>
        <v>0</v>
      </c>
      <c r="L37" s="827">
        <f t="shared" si="27"/>
        <v>2120.6</v>
      </c>
      <c r="M37" s="827">
        <f t="shared" si="27"/>
        <v>2120.6</v>
      </c>
      <c r="N37" s="827">
        <f t="shared" si="27"/>
        <v>2120.6</v>
      </c>
      <c r="O37" s="827">
        <f t="shared" si="27"/>
        <v>2120.6</v>
      </c>
      <c r="P37" s="827">
        <f t="shared" si="27"/>
        <v>2120.6</v>
      </c>
      <c r="Q37" s="827">
        <f t="shared" si="27"/>
        <v>2120.6</v>
      </c>
      <c r="R37" s="827">
        <f t="shared" si="27"/>
        <v>750</v>
      </c>
      <c r="S37" s="827">
        <f t="shared" si="27"/>
        <v>750</v>
      </c>
      <c r="T37" s="827">
        <f t="shared" si="27"/>
        <v>750</v>
      </c>
      <c r="U37" s="827">
        <f t="shared" si="27"/>
        <v>750</v>
      </c>
      <c r="V37" s="827">
        <f t="shared" si="27"/>
        <v>100</v>
      </c>
      <c r="W37" s="827">
        <f t="shared" si="27"/>
        <v>2120.6</v>
      </c>
      <c r="X37" s="827">
        <f t="shared" si="27"/>
        <v>2120.6</v>
      </c>
      <c r="Y37" s="827">
        <f t="shared" si="27"/>
        <v>1192.6</v>
      </c>
      <c r="Z37" s="827">
        <f t="shared" si="27"/>
        <v>1192.6</v>
      </c>
      <c r="AA37" s="827">
        <f t="shared" si="27"/>
        <v>1192.6</v>
      </c>
      <c r="AB37" s="827">
        <f t="shared" si="27"/>
        <v>1192.6</v>
      </c>
      <c r="AC37" s="827">
        <f t="shared" si="27"/>
        <v>2580.1</v>
      </c>
      <c r="AD37" s="827">
        <f t="shared" si="27"/>
        <v>2580.1</v>
      </c>
      <c r="AE37" s="814">
        <f t="shared" si="22"/>
        <v>49540.3</v>
      </c>
      <c r="AF37" s="820"/>
      <c r="AG37" s="731">
        <f t="shared" si="23"/>
        <v>49440.3</v>
      </c>
      <c r="AH37" s="731">
        <f t="shared" si="24"/>
        <v>100</v>
      </c>
    </row>
    <row r="38">
      <c r="A38" s="826" t="s">
        <v>6</v>
      </c>
      <c r="B38" s="827">
        <f t="shared" ref="B38:AD38" si="28">B8+B23</f>
        <v>2120.6</v>
      </c>
      <c r="C38" s="827">
        <f t="shared" si="28"/>
        <v>2120.6</v>
      </c>
      <c r="D38" s="827">
        <f t="shared" si="28"/>
        <v>2120.6</v>
      </c>
      <c r="E38" s="827">
        <f t="shared" si="28"/>
        <v>2120.6</v>
      </c>
      <c r="F38" s="827">
        <f t="shared" si="28"/>
        <v>2580.1</v>
      </c>
      <c r="G38" s="827">
        <f t="shared" si="28"/>
        <v>2120.6</v>
      </c>
      <c r="H38" s="827">
        <f t="shared" si="28"/>
        <v>2120.6</v>
      </c>
      <c r="I38" s="827">
        <f t="shared" si="28"/>
        <v>2120.6</v>
      </c>
      <c r="J38" s="827">
        <f t="shared" si="28"/>
        <v>2120.6</v>
      </c>
      <c r="K38" s="827">
        <f t="shared" si="28"/>
        <v>0</v>
      </c>
      <c r="L38" s="827">
        <f t="shared" si="28"/>
        <v>2120.6</v>
      </c>
      <c r="M38" s="827">
        <f t="shared" si="28"/>
        <v>2120.6</v>
      </c>
      <c r="N38" s="827">
        <f t="shared" si="28"/>
        <v>2120.6</v>
      </c>
      <c r="O38" s="827">
        <f t="shared" si="28"/>
        <v>2120.6</v>
      </c>
      <c r="P38" s="827">
        <f t="shared" si="28"/>
        <v>2120.6</v>
      </c>
      <c r="Q38" s="827">
        <f t="shared" si="28"/>
        <v>2120.6</v>
      </c>
      <c r="R38" s="827">
        <f t="shared" si="28"/>
        <v>750</v>
      </c>
      <c r="S38" s="827">
        <f t="shared" si="28"/>
        <v>750</v>
      </c>
      <c r="T38" s="827">
        <f t="shared" si="28"/>
        <v>750</v>
      </c>
      <c r="U38" s="827">
        <f t="shared" si="28"/>
        <v>750</v>
      </c>
      <c r="V38" s="827">
        <f t="shared" si="28"/>
        <v>100</v>
      </c>
      <c r="W38" s="827">
        <f t="shared" si="28"/>
        <v>2120.6</v>
      </c>
      <c r="X38" s="827">
        <f t="shared" si="28"/>
        <v>2120.6</v>
      </c>
      <c r="Y38" s="827">
        <f t="shared" si="28"/>
        <v>1192.6</v>
      </c>
      <c r="Z38" s="827">
        <f t="shared" si="28"/>
        <v>1192.6</v>
      </c>
      <c r="AA38" s="827">
        <f t="shared" si="28"/>
        <v>1192.6</v>
      </c>
      <c r="AB38" s="827">
        <f t="shared" si="28"/>
        <v>1192.6</v>
      </c>
      <c r="AC38" s="827">
        <f t="shared" si="28"/>
        <v>2580.1</v>
      </c>
      <c r="AD38" s="827">
        <f t="shared" si="28"/>
        <v>2580.1</v>
      </c>
      <c r="AE38" s="814">
        <f t="shared" si="22"/>
        <v>49540.3</v>
      </c>
      <c r="AF38" s="820"/>
      <c r="AG38" s="731">
        <f t="shared" si="23"/>
        <v>49440.3</v>
      </c>
      <c r="AH38" s="731">
        <f t="shared" si="24"/>
        <v>100</v>
      </c>
    </row>
    <row r="39">
      <c r="A39" s="826" t="s">
        <v>7</v>
      </c>
      <c r="B39" s="827">
        <f t="shared" ref="B39:AD39" si="29">B9+B24</f>
        <v>2120.6</v>
      </c>
      <c r="C39" s="827">
        <f t="shared" si="29"/>
        <v>2120.6</v>
      </c>
      <c r="D39" s="827">
        <f t="shared" si="29"/>
        <v>2120.6</v>
      </c>
      <c r="E39" s="827">
        <f t="shared" si="29"/>
        <v>2120.6</v>
      </c>
      <c r="F39" s="827">
        <f t="shared" si="29"/>
        <v>2580.1</v>
      </c>
      <c r="G39" s="827">
        <f t="shared" si="29"/>
        <v>2120.6</v>
      </c>
      <c r="H39" s="827">
        <f t="shared" si="29"/>
        <v>2120.6</v>
      </c>
      <c r="I39" s="827">
        <f t="shared" si="29"/>
        <v>2120.6</v>
      </c>
      <c r="J39" s="827">
        <f t="shared" si="29"/>
        <v>2120.6</v>
      </c>
      <c r="K39" s="827">
        <f t="shared" si="29"/>
        <v>0</v>
      </c>
      <c r="L39" s="827">
        <f t="shared" si="29"/>
        <v>2120.6</v>
      </c>
      <c r="M39" s="827">
        <f t="shared" si="29"/>
        <v>2120.6</v>
      </c>
      <c r="N39" s="827">
        <f t="shared" si="29"/>
        <v>2120.6</v>
      </c>
      <c r="O39" s="827">
        <f t="shared" si="29"/>
        <v>2120.6</v>
      </c>
      <c r="P39" s="827">
        <f t="shared" si="29"/>
        <v>2120.6</v>
      </c>
      <c r="Q39" s="827">
        <f t="shared" si="29"/>
        <v>2120.6</v>
      </c>
      <c r="R39" s="827">
        <f t="shared" si="29"/>
        <v>750</v>
      </c>
      <c r="S39" s="827">
        <f t="shared" si="29"/>
        <v>750</v>
      </c>
      <c r="T39" s="827">
        <f t="shared" si="29"/>
        <v>750</v>
      </c>
      <c r="U39" s="827">
        <f t="shared" si="29"/>
        <v>750</v>
      </c>
      <c r="V39" s="827">
        <f t="shared" si="29"/>
        <v>100</v>
      </c>
      <c r="W39" s="827">
        <f t="shared" si="29"/>
        <v>2120.6</v>
      </c>
      <c r="X39" s="827">
        <f t="shared" si="29"/>
        <v>2120.6</v>
      </c>
      <c r="Y39" s="827">
        <f t="shared" si="29"/>
        <v>1192.6</v>
      </c>
      <c r="Z39" s="827">
        <f t="shared" si="29"/>
        <v>1192.6</v>
      </c>
      <c r="AA39" s="827">
        <f t="shared" si="29"/>
        <v>1192.6</v>
      </c>
      <c r="AB39" s="827">
        <f t="shared" si="29"/>
        <v>1192.6</v>
      </c>
      <c r="AC39" s="827">
        <f t="shared" si="29"/>
        <v>2580.1</v>
      </c>
      <c r="AD39" s="827">
        <f t="shared" si="29"/>
        <v>2580.1</v>
      </c>
      <c r="AE39" s="814">
        <f t="shared" si="22"/>
        <v>49540.3</v>
      </c>
      <c r="AF39" s="820"/>
      <c r="AG39" s="731">
        <f t="shared" si="23"/>
        <v>49440.3</v>
      </c>
      <c r="AH39" s="731">
        <f t="shared" si="24"/>
        <v>100</v>
      </c>
    </row>
    <row r="40">
      <c r="A40" s="826" t="s">
        <v>8</v>
      </c>
      <c r="B40" s="827">
        <f t="shared" ref="B40:AD40" si="30">B10+B25</f>
        <v>2120.6</v>
      </c>
      <c r="C40" s="827">
        <f t="shared" si="30"/>
        <v>2120.6</v>
      </c>
      <c r="D40" s="827">
        <f t="shared" si="30"/>
        <v>2120.6</v>
      </c>
      <c r="E40" s="827">
        <f t="shared" si="30"/>
        <v>2120.6</v>
      </c>
      <c r="F40" s="827">
        <f t="shared" si="30"/>
        <v>2580.1</v>
      </c>
      <c r="G40" s="827">
        <f t="shared" si="30"/>
        <v>2120.6</v>
      </c>
      <c r="H40" s="827">
        <f t="shared" si="30"/>
        <v>2120.6</v>
      </c>
      <c r="I40" s="827">
        <f t="shared" si="30"/>
        <v>2120.6</v>
      </c>
      <c r="J40" s="827">
        <f t="shared" si="30"/>
        <v>2120.6</v>
      </c>
      <c r="K40" s="827">
        <f t="shared" si="30"/>
        <v>0</v>
      </c>
      <c r="L40" s="827">
        <f t="shared" si="30"/>
        <v>2120.6</v>
      </c>
      <c r="M40" s="827">
        <f t="shared" si="30"/>
        <v>2120.6</v>
      </c>
      <c r="N40" s="827">
        <f t="shared" si="30"/>
        <v>2120.6</v>
      </c>
      <c r="O40" s="827">
        <f t="shared" si="30"/>
        <v>2120.6</v>
      </c>
      <c r="P40" s="827">
        <f t="shared" si="30"/>
        <v>2120.6</v>
      </c>
      <c r="Q40" s="827">
        <f t="shared" si="30"/>
        <v>2120.6</v>
      </c>
      <c r="R40" s="827">
        <f t="shared" si="30"/>
        <v>750</v>
      </c>
      <c r="S40" s="827">
        <f t="shared" si="30"/>
        <v>750</v>
      </c>
      <c r="T40" s="827">
        <f t="shared" si="30"/>
        <v>750</v>
      </c>
      <c r="U40" s="827">
        <f t="shared" si="30"/>
        <v>750</v>
      </c>
      <c r="V40" s="827">
        <f t="shared" si="30"/>
        <v>100</v>
      </c>
      <c r="W40" s="827">
        <f t="shared" si="30"/>
        <v>2120.6</v>
      </c>
      <c r="X40" s="827">
        <f t="shared" si="30"/>
        <v>2120.6</v>
      </c>
      <c r="Y40" s="827">
        <f t="shared" si="30"/>
        <v>1192.6</v>
      </c>
      <c r="Z40" s="827">
        <f t="shared" si="30"/>
        <v>1192.6</v>
      </c>
      <c r="AA40" s="827">
        <f t="shared" si="30"/>
        <v>1192.6</v>
      </c>
      <c r="AB40" s="827">
        <f t="shared" si="30"/>
        <v>1192.6</v>
      </c>
      <c r="AC40" s="827">
        <f t="shared" si="30"/>
        <v>2580.1</v>
      </c>
      <c r="AD40" s="827">
        <f t="shared" si="30"/>
        <v>2580.1</v>
      </c>
      <c r="AE40" s="814">
        <f t="shared" si="22"/>
        <v>49540.3</v>
      </c>
      <c r="AF40" s="820"/>
      <c r="AG40" s="731">
        <f t="shared" si="23"/>
        <v>49440.3</v>
      </c>
      <c r="AH40" s="731">
        <f t="shared" si="24"/>
        <v>100</v>
      </c>
    </row>
    <row r="41">
      <c r="A41" s="826" t="s">
        <v>9</v>
      </c>
      <c r="B41" s="827">
        <f t="shared" ref="B41:AD41" si="31">B11+B26</f>
        <v>2120.6</v>
      </c>
      <c r="C41" s="827">
        <f t="shared" si="31"/>
        <v>2120.6</v>
      </c>
      <c r="D41" s="827">
        <f t="shared" si="31"/>
        <v>2120.6</v>
      </c>
      <c r="E41" s="827">
        <f t="shared" si="31"/>
        <v>2120.6</v>
      </c>
      <c r="F41" s="827">
        <f t="shared" si="31"/>
        <v>2580.1</v>
      </c>
      <c r="G41" s="827">
        <f t="shared" si="31"/>
        <v>2120.6</v>
      </c>
      <c r="H41" s="827">
        <f t="shared" si="31"/>
        <v>2120.6</v>
      </c>
      <c r="I41" s="827">
        <f t="shared" si="31"/>
        <v>2120.6</v>
      </c>
      <c r="J41" s="827">
        <f t="shared" si="31"/>
        <v>2120.6</v>
      </c>
      <c r="K41" s="827">
        <f t="shared" si="31"/>
        <v>0</v>
      </c>
      <c r="L41" s="827">
        <f t="shared" si="31"/>
        <v>2120.6</v>
      </c>
      <c r="M41" s="827">
        <f t="shared" si="31"/>
        <v>2120.6</v>
      </c>
      <c r="N41" s="827">
        <f t="shared" si="31"/>
        <v>2120.6</v>
      </c>
      <c r="O41" s="827">
        <f t="shared" si="31"/>
        <v>2120.6</v>
      </c>
      <c r="P41" s="827">
        <f t="shared" si="31"/>
        <v>2120.6</v>
      </c>
      <c r="Q41" s="827">
        <f t="shared" si="31"/>
        <v>2120.6</v>
      </c>
      <c r="R41" s="827">
        <f t="shared" si="31"/>
        <v>750</v>
      </c>
      <c r="S41" s="827">
        <f t="shared" si="31"/>
        <v>750</v>
      </c>
      <c r="T41" s="827">
        <f t="shared" si="31"/>
        <v>750</v>
      </c>
      <c r="U41" s="827">
        <f t="shared" si="31"/>
        <v>750</v>
      </c>
      <c r="V41" s="827">
        <f t="shared" si="31"/>
        <v>100</v>
      </c>
      <c r="W41" s="827">
        <f t="shared" si="31"/>
        <v>2120.6</v>
      </c>
      <c r="X41" s="827">
        <f t="shared" si="31"/>
        <v>2120.6</v>
      </c>
      <c r="Y41" s="827">
        <f t="shared" si="31"/>
        <v>1192.6</v>
      </c>
      <c r="Z41" s="827">
        <f t="shared" si="31"/>
        <v>1192.6</v>
      </c>
      <c r="AA41" s="827">
        <f t="shared" si="31"/>
        <v>1192.6</v>
      </c>
      <c r="AB41" s="827">
        <f t="shared" si="31"/>
        <v>1192.6</v>
      </c>
      <c r="AC41" s="827">
        <f t="shared" si="31"/>
        <v>2580.1</v>
      </c>
      <c r="AD41" s="827">
        <f t="shared" si="31"/>
        <v>2580.1</v>
      </c>
      <c r="AE41" s="814">
        <f t="shared" si="22"/>
        <v>49540.3</v>
      </c>
      <c r="AF41" s="820"/>
      <c r="AG41" s="731">
        <f t="shared" si="23"/>
        <v>49440.3</v>
      </c>
      <c r="AH41" s="731">
        <f t="shared" si="24"/>
        <v>100</v>
      </c>
    </row>
    <row r="42">
      <c r="A42" s="826" t="s">
        <v>10</v>
      </c>
      <c r="B42" s="827">
        <f t="shared" ref="B42:AD42" si="32">B12+B27</f>
        <v>2120.6</v>
      </c>
      <c r="C42" s="827">
        <f t="shared" si="32"/>
        <v>2120.6</v>
      </c>
      <c r="D42" s="827">
        <f t="shared" si="32"/>
        <v>2120.6</v>
      </c>
      <c r="E42" s="827">
        <f t="shared" si="32"/>
        <v>2120.6</v>
      </c>
      <c r="F42" s="827">
        <f t="shared" si="32"/>
        <v>2580.1</v>
      </c>
      <c r="G42" s="827">
        <f t="shared" si="32"/>
        <v>2120.6</v>
      </c>
      <c r="H42" s="827">
        <f t="shared" si="32"/>
        <v>2120.6</v>
      </c>
      <c r="I42" s="827">
        <f t="shared" si="32"/>
        <v>2120.6</v>
      </c>
      <c r="J42" s="827">
        <f t="shared" si="32"/>
        <v>2120.6</v>
      </c>
      <c r="K42" s="827">
        <f t="shared" si="32"/>
        <v>0</v>
      </c>
      <c r="L42" s="827">
        <f t="shared" si="32"/>
        <v>2120.6</v>
      </c>
      <c r="M42" s="827">
        <f t="shared" si="32"/>
        <v>2120.6</v>
      </c>
      <c r="N42" s="827">
        <f t="shared" si="32"/>
        <v>2120.6</v>
      </c>
      <c r="O42" s="827">
        <f t="shared" si="32"/>
        <v>2120.6</v>
      </c>
      <c r="P42" s="827">
        <f t="shared" si="32"/>
        <v>2120.6</v>
      </c>
      <c r="Q42" s="827">
        <f t="shared" si="32"/>
        <v>2120.6</v>
      </c>
      <c r="R42" s="827">
        <f t="shared" si="32"/>
        <v>750</v>
      </c>
      <c r="S42" s="827">
        <f t="shared" si="32"/>
        <v>750</v>
      </c>
      <c r="T42" s="827">
        <f t="shared" si="32"/>
        <v>750</v>
      </c>
      <c r="U42" s="827">
        <f t="shared" si="32"/>
        <v>750</v>
      </c>
      <c r="V42" s="827">
        <f t="shared" si="32"/>
        <v>100</v>
      </c>
      <c r="W42" s="827">
        <f t="shared" si="32"/>
        <v>2120.6</v>
      </c>
      <c r="X42" s="827">
        <f t="shared" si="32"/>
        <v>2120.6</v>
      </c>
      <c r="Y42" s="827">
        <f t="shared" si="32"/>
        <v>1192.6</v>
      </c>
      <c r="Z42" s="827">
        <f t="shared" si="32"/>
        <v>1192.6</v>
      </c>
      <c r="AA42" s="827">
        <f t="shared" si="32"/>
        <v>1192.6</v>
      </c>
      <c r="AB42" s="827">
        <f t="shared" si="32"/>
        <v>1192.6</v>
      </c>
      <c r="AC42" s="827">
        <f t="shared" si="32"/>
        <v>2580.1</v>
      </c>
      <c r="AD42" s="827">
        <f t="shared" si="32"/>
        <v>2580.1</v>
      </c>
      <c r="AE42" s="814">
        <f t="shared" si="22"/>
        <v>49540.3</v>
      </c>
      <c r="AF42" s="820"/>
      <c r="AG42" s="731">
        <f t="shared" si="23"/>
        <v>49440.3</v>
      </c>
      <c r="AH42" s="731">
        <f t="shared" si="24"/>
        <v>100</v>
      </c>
    </row>
    <row r="43">
      <c r="A43" s="826" t="s">
        <v>492</v>
      </c>
      <c r="B43" s="827">
        <f t="shared" ref="B43:AD43" si="33">B13+B28</f>
        <v>2120.6</v>
      </c>
      <c r="C43" s="827">
        <f t="shared" si="33"/>
        <v>2120.6</v>
      </c>
      <c r="D43" s="827">
        <f t="shared" si="33"/>
        <v>2120.6</v>
      </c>
      <c r="E43" s="827">
        <f t="shared" si="33"/>
        <v>2120.6</v>
      </c>
      <c r="F43" s="827">
        <f t="shared" si="33"/>
        <v>2580.1</v>
      </c>
      <c r="G43" s="827">
        <f t="shared" si="33"/>
        <v>2120.6</v>
      </c>
      <c r="H43" s="827">
        <f t="shared" si="33"/>
        <v>2120.6</v>
      </c>
      <c r="I43" s="827">
        <f t="shared" si="33"/>
        <v>2120.6</v>
      </c>
      <c r="J43" s="827">
        <f t="shared" si="33"/>
        <v>2120.6</v>
      </c>
      <c r="K43" s="827">
        <f t="shared" si="33"/>
        <v>0</v>
      </c>
      <c r="L43" s="827">
        <f t="shared" si="33"/>
        <v>2120.6</v>
      </c>
      <c r="M43" s="827">
        <f t="shared" si="33"/>
        <v>2120.6</v>
      </c>
      <c r="N43" s="827">
        <f t="shared" si="33"/>
        <v>2120.6</v>
      </c>
      <c r="O43" s="827">
        <f t="shared" si="33"/>
        <v>2120.6</v>
      </c>
      <c r="P43" s="827">
        <f t="shared" si="33"/>
        <v>2120.6</v>
      </c>
      <c r="Q43" s="827">
        <f t="shared" si="33"/>
        <v>2120.6</v>
      </c>
      <c r="R43" s="827">
        <f t="shared" si="33"/>
        <v>750</v>
      </c>
      <c r="S43" s="827">
        <f t="shared" si="33"/>
        <v>750</v>
      </c>
      <c r="T43" s="827">
        <f t="shared" si="33"/>
        <v>750</v>
      </c>
      <c r="U43" s="827">
        <f t="shared" si="33"/>
        <v>750</v>
      </c>
      <c r="V43" s="827">
        <f t="shared" si="33"/>
        <v>100</v>
      </c>
      <c r="W43" s="827">
        <f t="shared" si="33"/>
        <v>2120.6</v>
      </c>
      <c r="X43" s="827">
        <f t="shared" si="33"/>
        <v>2120.6</v>
      </c>
      <c r="Y43" s="827">
        <f t="shared" si="33"/>
        <v>1192.6</v>
      </c>
      <c r="Z43" s="827">
        <f t="shared" si="33"/>
        <v>1192.6</v>
      </c>
      <c r="AA43" s="827">
        <f t="shared" si="33"/>
        <v>1192.6</v>
      </c>
      <c r="AB43" s="827">
        <f t="shared" si="33"/>
        <v>1192.6</v>
      </c>
      <c r="AC43" s="827">
        <f t="shared" si="33"/>
        <v>2580.1</v>
      </c>
      <c r="AD43" s="827">
        <f t="shared" si="33"/>
        <v>2580.1</v>
      </c>
      <c r="AE43" s="814">
        <f t="shared" si="22"/>
        <v>49540.3</v>
      </c>
      <c r="AF43" s="820"/>
      <c r="AG43" s="731">
        <f t="shared" si="23"/>
        <v>49440.3</v>
      </c>
      <c r="AH43" s="731">
        <f t="shared" si="24"/>
        <v>100</v>
      </c>
    </row>
    <row r="44">
      <c r="A44" s="826" t="s">
        <v>12</v>
      </c>
      <c r="B44" s="827">
        <f t="shared" ref="B44:AD44" si="34">B14+B29</f>
        <v>2120.6</v>
      </c>
      <c r="C44" s="827">
        <f t="shared" si="34"/>
        <v>2120.6</v>
      </c>
      <c r="D44" s="827">
        <f t="shared" si="34"/>
        <v>2120.6</v>
      </c>
      <c r="E44" s="827">
        <f t="shared" si="34"/>
        <v>2120.6</v>
      </c>
      <c r="F44" s="827">
        <f t="shared" si="34"/>
        <v>2580.1</v>
      </c>
      <c r="G44" s="827">
        <f t="shared" si="34"/>
        <v>2120.6</v>
      </c>
      <c r="H44" s="827">
        <f t="shared" si="34"/>
        <v>2120.6</v>
      </c>
      <c r="I44" s="827">
        <f t="shared" si="34"/>
        <v>2120.6</v>
      </c>
      <c r="J44" s="827">
        <f t="shared" si="34"/>
        <v>2120.6</v>
      </c>
      <c r="K44" s="827">
        <f t="shared" si="34"/>
        <v>0</v>
      </c>
      <c r="L44" s="827">
        <f t="shared" si="34"/>
        <v>2120.6</v>
      </c>
      <c r="M44" s="827">
        <f t="shared" si="34"/>
        <v>2120.6</v>
      </c>
      <c r="N44" s="827">
        <f t="shared" si="34"/>
        <v>2120.6</v>
      </c>
      <c r="O44" s="827">
        <f t="shared" si="34"/>
        <v>2120.6</v>
      </c>
      <c r="P44" s="827">
        <f t="shared" si="34"/>
        <v>2120.6</v>
      </c>
      <c r="Q44" s="827">
        <f t="shared" si="34"/>
        <v>2120.6</v>
      </c>
      <c r="R44" s="827">
        <f t="shared" si="34"/>
        <v>750</v>
      </c>
      <c r="S44" s="827">
        <f t="shared" si="34"/>
        <v>750</v>
      </c>
      <c r="T44" s="827">
        <f t="shared" si="34"/>
        <v>750</v>
      </c>
      <c r="U44" s="827">
        <f t="shared" si="34"/>
        <v>750</v>
      </c>
      <c r="V44" s="827">
        <f t="shared" si="34"/>
        <v>100</v>
      </c>
      <c r="W44" s="827">
        <f t="shared" si="34"/>
        <v>2120.6</v>
      </c>
      <c r="X44" s="827">
        <f t="shared" si="34"/>
        <v>2120.6</v>
      </c>
      <c r="Y44" s="827">
        <f t="shared" si="34"/>
        <v>1192.6</v>
      </c>
      <c r="Z44" s="827">
        <f t="shared" si="34"/>
        <v>1192.6</v>
      </c>
      <c r="AA44" s="827">
        <f t="shared" si="34"/>
        <v>1192.6</v>
      </c>
      <c r="AB44" s="827">
        <f t="shared" si="34"/>
        <v>1192.6</v>
      </c>
      <c r="AC44" s="827">
        <f t="shared" si="34"/>
        <v>2580.1</v>
      </c>
      <c r="AD44" s="827">
        <f t="shared" si="34"/>
        <v>2580.1</v>
      </c>
      <c r="AE44" s="814">
        <f t="shared" si="22"/>
        <v>49540.3</v>
      </c>
      <c r="AF44" s="138"/>
      <c r="AG44" s="731">
        <f t="shared" si="23"/>
        <v>49440.3</v>
      </c>
      <c r="AH44" s="731">
        <f t="shared" si="24"/>
        <v>100</v>
      </c>
    </row>
    <row r="45">
      <c r="B45" s="610"/>
      <c r="C45" s="610"/>
      <c r="D45" s="610"/>
      <c r="E45" s="610"/>
      <c r="F45" s="610"/>
      <c r="G45" s="610"/>
      <c r="H45" s="610"/>
      <c r="I45" s="610"/>
      <c r="J45" s="610"/>
      <c r="K45" s="610"/>
      <c r="L45" s="610"/>
      <c r="M45" s="610"/>
      <c r="N45" s="610"/>
      <c r="O45" s="610"/>
      <c r="P45" s="610"/>
      <c r="Q45" s="610"/>
      <c r="R45" s="610"/>
      <c r="S45" s="610"/>
      <c r="T45" s="610"/>
      <c r="U45" s="610"/>
      <c r="V45" s="610"/>
      <c r="W45" s="610"/>
      <c r="X45" s="610"/>
      <c r="Y45" s="610"/>
      <c r="Z45" s="610"/>
      <c r="AA45" s="610"/>
      <c r="AB45" s="610"/>
      <c r="AC45" s="610"/>
      <c r="AD45" s="610"/>
      <c r="AG45" s="822">
        <f t="shared" ref="AG45:AH45" si="35">SUM(AG33:AG44)</f>
        <v>575143.3</v>
      </c>
      <c r="AH45" s="822">
        <f t="shared" si="35"/>
        <v>1200</v>
      </c>
    </row>
    <row r="46">
      <c r="B46" s="610"/>
      <c r="C46" s="610"/>
      <c r="D46" s="610"/>
      <c r="E46" s="610"/>
      <c r="F46" s="610"/>
      <c r="G46" s="610"/>
      <c r="H46" s="610"/>
      <c r="I46" s="610"/>
      <c r="J46" s="610"/>
      <c r="K46" s="610"/>
      <c r="L46" s="610"/>
      <c r="M46" s="610"/>
      <c r="N46" s="610"/>
      <c r="O46" s="610"/>
      <c r="P46" s="610"/>
      <c r="Q46" s="610"/>
      <c r="R46" s="610"/>
      <c r="S46" s="610"/>
      <c r="T46" s="610"/>
      <c r="U46" s="610"/>
      <c r="V46" s="610"/>
      <c r="W46" s="610"/>
      <c r="X46" s="610"/>
      <c r="Y46" s="610"/>
      <c r="Z46" s="610"/>
      <c r="AA46" s="610"/>
      <c r="AB46" s="610"/>
      <c r="AC46" s="610"/>
      <c r="AD46" s="610"/>
      <c r="AG46" s="610"/>
      <c r="AH46" s="610"/>
    </row>
    <row r="47">
      <c r="B47" s="610"/>
      <c r="C47" s="610"/>
      <c r="D47" s="610"/>
      <c r="E47" s="610"/>
      <c r="F47" s="610"/>
      <c r="G47" s="610"/>
      <c r="H47" s="610"/>
      <c r="I47" s="610"/>
      <c r="J47" s="610"/>
      <c r="K47" s="610"/>
      <c r="L47" s="610"/>
      <c r="M47" s="610"/>
      <c r="N47" s="610"/>
      <c r="O47" s="610"/>
      <c r="P47" s="610"/>
      <c r="Q47" s="610"/>
      <c r="R47" s="610"/>
      <c r="S47" s="610"/>
      <c r="T47" s="610"/>
      <c r="U47" s="610"/>
      <c r="V47" s="610"/>
      <c r="W47" s="610"/>
      <c r="X47" s="610"/>
      <c r="Y47" s="610"/>
      <c r="Z47" s="610"/>
      <c r="AA47" s="610"/>
      <c r="AB47" s="610"/>
      <c r="AC47" s="610"/>
      <c r="AD47" s="610"/>
      <c r="AG47" s="610"/>
      <c r="AH47" s="610"/>
    </row>
    <row r="48">
      <c r="B48" s="610"/>
      <c r="C48" s="610"/>
      <c r="D48" s="610"/>
      <c r="E48" s="610"/>
      <c r="F48" s="610"/>
      <c r="G48" s="610"/>
      <c r="H48" s="610"/>
      <c r="I48" s="610"/>
      <c r="J48" s="610"/>
      <c r="K48" s="610"/>
      <c r="L48" s="610"/>
      <c r="M48" s="610"/>
      <c r="N48" s="610"/>
      <c r="O48" s="610"/>
      <c r="P48" s="610"/>
      <c r="Q48" s="610"/>
      <c r="R48" s="610"/>
      <c r="S48" s="610"/>
      <c r="T48" s="610"/>
      <c r="U48" s="610"/>
      <c r="V48" s="610"/>
      <c r="W48" s="610"/>
      <c r="X48" s="610"/>
      <c r="Y48" s="610"/>
      <c r="Z48" s="610"/>
      <c r="AA48" s="610"/>
      <c r="AB48" s="610"/>
      <c r="AC48" s="610"/>
      <c r="AD48" s="610"/>
      <c r="AG48" s="610"/>
      <c r="AH48" s="610"/>
    </row>
    <row r="49">
      <c r="B49" s="610"/>
      <c r="C49" s="610"/>
      <c r="D49" s="610"/>
      <c r="E49" s="610"/>
      <c r="F49" s="610"/>
      <c r="G49" s="610"/>
      <c r="H49" s="610"/>
      <c r="I49" s="610"/>
      <c r="J49" s="610"/>
      <c r="K49" s="610"/>
      <c r="L49" s="610"/>
      <c r="M49" s="610"/>
      <c r="N49" s="610"/>
      <c r="O49" s="610"/>
      <c r="P49" s="610"/>
      <c r="Q49" s="610"/>
      <c r="R49" s="610"/>
      <c r="S49" s="610"/>
      <c r="T49" s="610"/>
      <c r="U49" s="610"/>
      <c r="V49" s="610"/>
      <c r="W49" s="610"/>
      <c r="X49" s="610"/>
      <c r="Y49" s="610"/>
      <c r="Z49" s="610"/>
      <c r="AA49" s="610"/>
      <c r="AB49" s="610"/>
      <c r="AC49" s="610"/>
      <c r="AD49" s="610"/>
      <c r="AG49" s="610"/>
      <c r="AH49" s="610"/>
    </row>
    <row r="50">
      <c r="B50" s="610"/>
      <c r="C50" s="610"/>
      <c r="D50" s="610"/>
      <c r="E50" s="610"/>
      <c r="F50" s="610"/>
      <c r="G50" s="610"/>
      <c r="H50" s="610"/>
      <c r="I50" s="610"/>
      <c r="J50" s="610"/>
      <c r="K50" s="610"/>
      <c r="L50" s="610"/>
      <c r="M50" s="610"/>
      <c r="N50" s="610"/>
      <c r="O50" s="610"/>
      <c r="P50" s="610"/>
      <c r="Q50" s="610"/>
      <c r="R50" s="610"/>
      <c r="S50" s="610"/>
      <c r="T50" s="610"/>
      <c r="U50" s="610"/>
      <c r="V50" s="610"/>
      <c r="W50" s="610"/>
      <c r="X50" s="610"/>
      <c r="Y50" s="610"/>
      <c r="Z50" s="610"/>
      <c r="AA50" s="610"/>
      <c r="AB50" s="610"/>
      <c r="AC50" s="610"/>
      <c r="AD50" s="610"/>
      <c r="AG50" s="610"/>
      <c r="AH50" s="610"/>
    </row>
    <row r="51">
      <c r="B51" s="610"/>
      <c r="C51" s="610"/>
      <c r="D51" s="610"/>
      <c r="E51" s="610"/>
      <c r="F51" s="610"/>
      <c r="G51" s="610"/>
      <c r="H51" s="610"/>
      <c r="I51" s="610"/>
      <c r="J51" s="610"/>
      <c r="K51" s="610"/>
      <c r="L51" s="610"/>
      <c r="M51" s="610"/>
      <c r="N51" s="610"/>
      <c r="O51" s="610"/>
      <c r="P51" s="610"/>
      <c r="Q51" s="610"/>
      <c r="R51" s="610"/>
      <c r="S51" s="610"/>
      <c r="T51" s="610"/>
      <c r="U51" s="610"/>
      <c r="V51" s="610"/>
      <c r="W51" s="610"/>
      <c r="X51" s="610"/>
      <c r="Y51" s="610"/>
      <c r="Z51" s="610"/>
      <c r="AA51" s="610"/>
      <c r="AB51" s="610"/>
      <c r="AC51" s="610"/>
      <c r="AD51" s="610"/>
      <c r="AG51" s="610"/>
      <c r="AH51" s="610"/>
    </row>
    <row r="52">
      <c r="B52" s="610"/>
      <c r="C52" s="610"/>
      <c r="D52" s="610"/>
      <c r="E52" s="610"/>
      <c r="F52" s="610"/>
      <c r="G52" s="610"/>
      <c r="H52" s="610"/>
      <c r="I52" s="610"/>
      <c r="J52" s="610"/>
      <c r="K52" s="610"/>
      <c r="L52" s="610"/>
      <c r="M52" s="610"/>
      <c r="N52" s="610"/>
      <c r="O52" s="610"/>
      <c r="P52" s="610"/>
      <c r="Q52" s="610"/>
      <c r="R52" s="610"/>
      <c r="S52" s="610"/>
      <c r="T52" s="610"/>
      <c r="U52" s="610"/>
      <c r="V52" s="610"/>
      <c r="W52" s="610"/>
      <c r="X52" s="610"/>
      <c r="Y52" s="610"/>
      <c r="Z52" s="610"/>
      <c r="AA52" s="610"/>
      <c r="AB52" s="610"/>
      <c r="AC52" s="610"/>
      <c r="AD52" s="610"/>
      <c r="AG52" s="610"/>
      <c r="AH52" s="610"/>
    </row>
    <row r="53">
      <c r="B53" s="610"/>
      <c r="C53" s="610"/>
      <c r="D53" s="610"/>
      <c r="E53" s="610"/>
      <c r="F53" s="610"/>
      <c r="G53" s="610"/>
      <c r="H53" s="610"/>
      <c r="I53" s="610"/>
      <c r="J53" s="610"/>
      <c r="K53" s="610"/>
      <c r="L53" s="610"/>
      <c r="M53" s="610"/>
      <c r="N53" s="610"/>
      <c r="O53" s="610"/>
      <c r="P53" s="610"/>
      <c r="Q53" s="610"/>
      <c r="R53" s="610"/>
      <c r="S53" s="610"/>
      <c r="T53" s="610"/>
      <c r="U53" s="610"/>
      <c r="V53" s="610"/>
      <c r="W53" s="610"/>
      <c r="X53" s="610"/>
      <c r="Y53" s="610"/>
      <c r="Z53" s="610"/>
      <c r="AA53" s="610"/>
      <c r="AB53" s="610"/>
      <c r="AC53" s="610"/>
      <c r="AD53" s="610"/>
      <c r="AG53" s="610"/>
      <c r="AH53" s="610"/>
    </row>
    <row r="54">
      <c r="B54" s="610"/>
      <c r="C54" s="610"/>
      <c r="D54" s="610"/>
      <c r="E54" s="610"/>
      <c r="F54" s="610"/>
      <c r="G54" s="610"/>
      <c r="H54" s="610"/>
      <c r="I54" s="610"/>
      <c r="J54" s="610"/>
      <c r="K54" s="610"/>
      <c r="L54" s="610"/>
      <c r="M54" s="610"/>
      <c r="N54" s="610"/>
      <c r="O54" s="610"/>
      <c r="P54" s="610"/>
      <c r="Q54" s="610"/>
      <c r="R54" s="610"/>
      <c r="S54" s="610"/>
      <c r="T54" s="610"/>
      <c r="U54" s="610"/>
      <c r="V54" s="610"/>
      <c r="W54" s="610"/>
      <c r="X54" s="610"/>
      <c r="Y54" s="610"/>
      <c r="Z54" s="610"/>
      <c r="AA54" s="610"/>
      <c r="AB54" s="610"/>
      <c r="AC54" s="610"/>
      <c r="AD54" s="610"/>
      <c r="AG54" s="610"/>
      <c r="AH54" s="610"/>
    </row>
    <row r="55">
      <c r="B55" s="610"/>
      <c r="C55" s="610"/>
      <c r="D55" s="610"/>
      <c r="E55" s="610"/>
      <c r="F55" s="610"/>
      <c r="G55" s="610"/>
      <c r="H55" s="610"/>
      <c r="I55" s="610"/>
      <c r="J55" s="610"/>
      <c r="K55" s="610"/>
      <c r="L55" s="610"/>
      <c r="M55" s="610"/>
      <c r="N55" s="610"/>
      <c r="O55" s="610"/>
      <c r="P55" s="610"/>
      <c r="Q55" s="610"/>
      <c r="R55" s="610"/>
      <c r="S55" s="610"/>
      <c r="T55" s="610"/>
      <c r="U55" s="610"/>
      <c r="V55" s="610"/>
      <c r="W55" s="610"/>
      <c r="X55" s="610"/>
      <c r="Y55" s="610"/>
      <c r="Z55" s="610"/>
      <c r="AA55" s="610"/>
      <c r="AB55" s="610"/>
      <c r="AC55" s="610"/>
      <c r="AD55" s="610"/>
      <c r="AG55" s="610"/>
      <c r="AH55" s="610"/>
    </row>
    <row r="56">
      <c r="B56" s="610"/>
      <c r="C56" s="610"/>
      <c r="D56" s="610"/>
      <c r="E56" s="610"/>
      <c r="F56" s="610"/>
      <c r="G56" s="610"/>
      <c r="H56" s="610"/>
      <c r="I56" s="610"/>
      <c r="J56" s="610"/>
      <c r="K56" s="610"/>
      <c r="L56" s="610"/>
      <c r="M56" s="610"/>
      <c r="N56" s="610"/>
      <c r="O56" s="610"/>
      <c r="P56" s="610"/>
      <c r="Q56" s="610"/>
      <c r="R56" s="610"/>
      <c r="S56" s="610"/>
      <c r="T56" s="610"/>
      <c r="U56" s="610"/>
      <c r="V56" s="610"/>
      <c r="W56" s="610"/>
      <c r="X56" s="610"/>
      <c r="Y56" s="610"/>
      <c r="Z56" s="610"/>
      <c r="AA56" s="610"/>
      <c r="AB56" s="610"/>
      <c r="AC56" s="610"/>
      <c r="AD56" s="610"/>
      <c r="AG56" s="610"/>
      <c r="AH56" s="610"/>
    </row>
    <row r="57">
      <c r="B57" s="610"/>
      <c r="C57" s="610"/>
      <c r="D57" s="610"/>
      <c r="E57" s="610"/>
      <c r="F57" s="610"/>
      <c r="G57" s="610"/>
      <c r="H57" s="610"/>
      <c r="I57" s="610"/>
      <c r="J57" s="610"/>
      <c r="K57" s="610"/>
      <c r="L57" s="610"/>
      <c r="M57" s="610"/>
      <c r="N57" s="610"/>
      <c r="O57" s="610"/>
      <c r="P57" s="610"/>
      <c r="Q57" s="610"/>
      <c r="R57" s="610"/>
      <c r="S57" s="610"/>
      <c r="T57" s="610"/>
      <c r="U57" s="610"/>
      <c r="V57" s="610"/>
      <c r="W57" s="610"/>
      <c r="X57" s="610"/>
      <c r="Y57" s="610"/>
      <c r="Z57" s="610"/>
      <c r="AA57" s="610"/>
      <c r="AB57" s="610"/>
      <c r="AC57" s="610"/>
      <c r="AD57" s="610"/>
      <c r="AG57" s="610"/>
      <c r="AH57" s="610"/>
    </row>
    <row r="58">
      <c r="B58" s="610"/>
      <c r="C58" s="610"/>
      <c r="D58" s="610"/>
      <c r="E58" s="610"/>
      <c r="F58" s="610"/>
      <c r="G58" s="610"/>
      <c r="H58" s="610"/>
      <c r="I58" s="610"/>
      <c r="J58" s="610"/>
      <c r="K58" s="610"/>
      <c r="L58" s="610"/>
      <c r="M58" s="610"/>
      <c r="N58" s="610"/>
      <c r="O58" s="610"/>
      <c r="P58" s="610"/>
      <c r="Q58" s="610"/>
      <c r="R58" s="610"/>
      <c r="S58" s="610"/>
      <c r="T58" s="610"/>
      <c r="U58" s="610"/>
      <c r="V58" s="610"/>
      <c r="W58" s="610"/>
      <c r="X58" s="610"/>
      <c r="Y58" s="610"/>
      <c r="Z58" s="610"/>
      <c r="AA58" s="610"/>
      <c r="AB58" s="610"/>
      <c r="AC58" s="610"/>
      <c r="AD58" s="610"/>
      <c r="AG58" s="610"/>
      <c r="AH58" s="610"/>
    </row>
    <row r="59">
      <c r="B59" s="610"/>
      <c r="C59" s="610"/>
      <c r="D59" s="610"/>
      <c r="E59" s="610"/>
      <c r="F59" s="610"/>
      <c r="G59" s="610"/>
      <c r="H59" s="610"/>
      <c r="I59" s="610"/>
      <c r="J59" s="610"/>
      <c r="K59" s="610"/>
      <c r="L59" s="610"/>
      <c r="M59" s="610"/>
      <c r="N59" s="610"/>
      <c r="O59" s="610"/>
      <c r="P59" s="610"/>
      <c r="Q59" s="610"/>
      <c r="R59" s="610"/>
      <c r="S59" s="610"/>
      <c r="T59" s="610"/>
      <c r="U59" s="610"/>
      <c r="V59" s="610"/>
      <c r="W59" s="610"/>
      <c r="X59" s="610"/>
      <c r="Y59" s="610"/>
      <c r="Z59" s="610"/>
      <c r="AA59" s="610"/>
      <c r="AB59" s="610"/>
      <c r="AC59" s="610"/>
      <c r="AD59" s="610"/>
      <c r="AG59" s="610"/>
      <c r="AH59" s="610"/>
    </row>
    <row r="60">
      <c r="B60" s="610"/>
      <c r="C60" s="610"/>
      <c r="D60" s="610"/>
      <c r="E60" s="610"/>
      <c r="F60" s="610"/>
      <c r="G60" s="610"/>
      <c r="H60" s="610"/>
      <c r="I60" s="610"/>
      <c r="J60" s="610"/>
      <c r="K60" s="610"/>
      <c r="L60" s="610"/>
      <c r="M60" s="610"/>
      <c r="N60" s="610"/>
      <c r="O60" s="610"/>
      <c r="P60" s="610"/>
      <c r="Q60" s="610"/>
      <c r="R60" s="610"/>
      <c r="S60" s="610"/>
      <c r="T60" s="610"/>
      <c r="U60" s="610"/>
      <c r="V60" s="610"/>
      <c r="W60" s="610"/>
      <c r="X60" s="610"/>
      <c r="Y60" s="610"/>
      <c r="Z60" s="610"/>
      <c r="AA60" s="610"/>
      <c r="AB60" s="610"/>
      <c r="AC60" s="610"/>
      <c r="AD60" s="610"/>
      <c r="AG60" s="610"/>
      <c r="AH60" s="610"/>
    </row>
    <row r="61">
      <c r="B61" s="610"/>
      <c r="C61" s="610"/>
      <c r="D61" s="610"/>
      <c r="E61" s="610"/>
      <c r="F61" s="610"/>
      <c r="G61" s="610"/>
      <c r="H61" s="610"/>
      <c r="I61" s="610"/>
      <c r="J61" s="610"/>
      <c r="K61" s="610"/>
      <c r="L61" s="610"/>
      <c r="M61" s="610"/>
      <c r="N61" s="610"/>
      <c r="O61" s="610"/>
      <c r="P61" s="610"/>
      <c r="Q61" s="610"/>
      <c r="R61" s="610"/>
      <c r="S61" s="610"/>
      <c r="T61" s="610"/>
      <c r="U61" s="610"/>
      <c r="V61" s="610"/>
      <c r="W61" s="610"/>
      <c r="X61" s="610"/>
      <c r="Y61" s="610"/>
      <c r="Z61" s="610"/>
      <c r="AA61" s="610"/>
      <c r="AB61" s="610"/>
      <c r="AC61" s="610"/>
      <c r="AD61" s="610"/>
      <c r="AG61" s="610"/>
      <c r="AH61" s="610"/>
    </row>
    <row r="62">
      <c r="B62" s="610"/>
      <c r="C62" s="610"/>
      <c r="D62" s="610"/>
      <c r="E62" s="610"/>
      <c r="F62" s="610"/>
      <c r="G62" s="610"/>
      <c r="H62" s="610"/>
      <c r="I62" s="610"/>
      <c r="J62" s="610"/>
      <c r="K62" s="610"/>
      <c r="L62" s="610"/>
      <c r="M62" s="610"/>
      <c r="N62" s="610"/>
      <c r="O62" s="610"/>
      <c r="P62" s="610"/>
      <c r="Q62" s="610"/>
      <c r="R62" s="610"/>
      <c r="S62" s="610"/>
      <c r="T62" s="610"/>
      <c r="U62" s="610"/>
      <c r="V62" s="610"/>
      <c r="W62" s="610"/>
      <c r="X62" s="610"/>
      <c r="Y62" s="610"/>
      <c r="Z62" s="610"/>
      <c r="AA62" s="610"/>
      <c r="AB62" s="610"/>
      <c r="AC62" s="610"/>
      <c r="AD62" s="610"/>
      <c r="AG62" s="610"/>
      <c r="AH62" s="610"/>
    </row>
    <row r="63">
      <c r="B63" s="610"/>
      <c r="C63" s="610"/>
      <c r="D63" s="610"/>
      <c r="E63" s="610"/>
      <c r="F63" s="610"/>
      <c r="G63" s="610"/>
      <c r="H63" s="610"/>
      <c r="I63" s="610"/>
      <c r="J63" s="610"/>
      <c r="K63" s="610"/>
      <c r="L63" s="610"/>
      <c r="M63" s="610"/>
      <c r="N63" s="610"/>
      <c r="O63" s="610"/>
      <c r="P63" s="610"/>
      <c r="Q63" s="610"/>
      <c r="R63" s="610"/>
      <c r="S63" s="610"/>
      <c r="T63" s="610"/>
      <c r="U63" s="610"/>
      <c r="V63" s="610"/>
      <c r="W63" s="610"/>
      <c r="X63" s="610"/>
      <c r="Y63" s="610"/>
      <c r="Z63" s="610"/>
      <c r="AA63" s="610"/>
      <c r="AB63" s="610"/>
      <c r="AC63" s="610"/>
      <c r="AD63" s="610"/>
      <c r="AG63" s="610"/>
      <c r="AH63" s="610"/>
    </row>
    <row r="64">
      <c r="B64" s="610"/>
      <c r="C64" s="610"/>
      <c r="D64" s="610"/>
      <c r="E64" s="610"/>
      <c r="F64" s="610"/>
      <c r="G64" s="610"/>
      <c r="H64" s="610"/>
      <c r="I64" s="610"/>
      <c r="J64" s="610"/>
      <c r="K64" s="610"/>
      <c r="L64" s="610"/>
      <c r="M64" s="610"/>
      <c r="N64" s="610"/>
      <c r="O64" s="610"/>
      <c r="P64" s="610"/>
      <c r="Q64" s="610"/>
      <c r="R64" s="610"/>
      <c r="S64" s="610"/>
      <c r="T64" s="610"/>
      <c r="U64" s="610"/>
      <c r="V64" s="610"/>
      <c r="W64" s="610"/>
      <c r="X64" s="610"/>
      <c r="Y64" s="610"/>
      <c r="Z64" s="610"/>
      <c r="AA64" s="610"/>
      <c r="AB64" s="610"/>
      <c r="AC64" s="610"/>
      <c r="AD64" s="610"/>
      <c r="AG64" s="610"/>
      <c r="AH64" s="610"/>
    </row>
    <row r="65">
      <c r="B65" s="610"/>
      <c r="C65" s="610"/>
      <c r="D65" s="610"/>
      <c r="E65" s="610"/>
      <c r="F65" s="610"/>
      <c r="G65" s="610"/>
      <c r="H65" s="610"/>
      <c r="I65" s="610"/>
      <c r="J65" s="610"/>
      <c r="K65" s="610"/>
      <c r="L65" s="610"/>
      <c r="M65" s="610"/>
      <c r="N65" s="610"/>
      <c r="O65" s="610"/>
      <c r="P65" s="610"/>
      <c r="Q65" s="610"/>
      <c r="R65" s="610"/>
      <c r="S65" s="610"/>
      <c r="T65" s="610"/>
      <c r="U65" s="610"/>
      <c r="V65" s="610"/>
      <c r="W65" s="610"/>
      <c r="X65" s="610"/>
      <c r="Y65" s="610"/>
      <c r="Z65" s="610"/>
      <c r="AA65" s="610"/>
      <c r="AB65" s="610"/>
      <c r="AC65" s="610"/>
      <c r="AD65" s="610"/>
      <c r="AG65" s="610"/>
      <c r="AH65" s="610"/>
    </row>
    <row r="66">
      <c r="B66" s="610"/>
      <c r="C66" s="610"/>
      <c r="D66" s="610"/>
      <c r="E66" s="610"/>
      <c r="F66" s="610"/>
      <c r="G66" s="610"/>
      <c r="H66" s="610"/>
      <c r="I66" s="610"/>
      <c r="J66" s="610"/>
      <c r="K66" s="610"/>
      <c r="L66" s="610"/>
      <c r="M66" s="610"/>
      <c r="N66" s="610"/>
      <c r="O66" s="610"/>
      <c r="P66" s="610"/>
      <c r="Q66" s="610"/>
      <c r="R66" s="610"/>
      <c r="S66" s="610"/>
      <c r="T66" s="610"/>
      <c r="U66" s="610"/>
      <c r="V66" s="610"/>
      <c r="W66" s="610"/>
      <c r="X66" s="610"/>
      <c r="Y66" s="610"/>
      <c r="Z66" s="610"/>
      <c r="AA66" s="610"/>
      <c r="AB66" s="610"/>
      <c r="AC66" s="610"/>
      <c r="AD66" s="610"/>
      <c r="AG66" s="610"/>
      <c r="AH66" s="610"/>
    </row>
    <row r="67">
      <c r="B67" s="610"/>
      <c r="C67" s="610"/>
      <c r="D67" s="610"/>
      <c r="E67" s="610"/>
      <c r="F67" s="610"/>
      <c r="G67" s="610"/>
      <c r="H67" s="610"/>
      <c r="I67" s="610"/>
      <c r="J67" s="610"/>
      <c r="K67" s="610"/>
      <c r="L67" s="610"/>
      <c r="M67" s="610"/>
      <c r="N67" s="610"/>
      <c r="O67" s="610"/>
      <c r="P67" s="610"/>
      <c r="Q67" s="610"/>
      <c r="R67" s="610"/>
      <c r="S67" s="610"/>
      <c r="T67" s="610"/>
      <c r="U67" s="610"/>
      <c r="V67" s="610"/>
      <c r="W67" s="610"/>
      <c r="X67" s="610"/>
      <c r="Y67" s="610"/>
      <c r="Z67" s="610"/>
      <c r="AA67" s="610"/>
      <c r="AB67" s="610"/>
      <c r="AC67" s="610"/>
      <c r="AD67" s="610"/>
      <c r="AG67" s="610"/>
      <c r="AH67" s="610"/>
    </row>
    <row r="68">
      <c r="B68" s="610"/>
      <c r="C68" s="610"/>
      <c r="D68" s="610"/>
      <c r="E68" s="610"/>
      <c r="F68" s="610"/>
      <c r="G68" s="610"/>
      <c r="H68" s="610"/>
      <c r="I68" s="610"/>
      <c r="J68" s="610"/>
      <c r="K68" s="610"/>
      <c r="L68" s="610"/>
      <c r="M68" s="610"/>
      <c r="N68" s="610"/>
      <c r="O68" s="610"/>
      <c r="P68" s="610"/>
      <c r="Q68" s="610"/>
      <c r="R68" s="610"/>
      <c r="S68" s="610"/>
      <c r="T68" s="610"/>
      <c r="U68" s="610"/>
      <c r="V68" s="610"/>
      <c r="W68" s="610"/>
      <c r="X68" s="610"/>
      <c r="Y68" s="610"/>
      <c r="Z68" s="610"/>
      <c r="AA68" s="610"/>
      <c r="AB68" s="610"/>
      <c r="AC68" s="610"/>
      <c r="AD68" s="610"/>
      <c r="AG68" s="610"/>
      <c r="AH68" s="610"/>
    </row>
    <row r="69">
      <c r="B69" s="610"/>
      <c r="C69" s="610"/>
      <c r="D69" s="610"/>
      <c r="E69" s="610"/>
      <c r="F69" s="610"/>
      <c r="G69" s="610"/>
      <c r="H69" s="610"/>
      <c r="I69" s="610"/>
      <c r="J69" s="610"/>
      <c r="K69" s="610"/>
      <c r="L69" s="610"/>
      <c r="M69" s="610"/>
      <c r="N69" s="610"/>
      <c r="O69" s="610"/>
      <c r="P69" s="610"/>
      <c r="Q69" s="610"/>
      <c r="R69" s="610"/>
      <c r="S69" s="610"/>
      <c r="T69" s="610"/>
      <c r="U69" s="610"/>
      <c r="V69" s="610"/>
      <c r="W69" s="610"/>
      <c r="X69" s="610"/>
      <c r="Y69" s="610"/>
      <c r="Z69" s="610"/>
      <c r="AA69" s="610"/>
      <c r="AB69" s="610"/>
      <c r="AC69" s="610"/>
      <c r="AD69" s="610"/>
      <c r="AG69" s="610"/>
      <c r="AH69" s="610"/>
    </row>
    <row r="70">
      <c r="B70" s="610"/>
      <c r="C70" s="610"/>
      <c r="D70" s="610"/>
      <c r="E70" s="610"/>
      <c r="F70" s="610"/>
      <c r="G70" s="610"/>
      <c r="H70" s="610"/>
      <c r="I70" s="610"/>
      <c r="J70" s="610"/>
      <c r="K70" s="610"/>
      <c r="L70" s="610"/>
      <c r="M70" s="610"/>
      <c r="N70" s="610"/>
      <c r="O70" s="610"/>
      <c r="P70" s="610"/>
      <c r="Q70" s="610"/>
      <c r="R70" s="610"/>
      <c r="S70" s="610"/>
      <c r="T70" s="610"/>
      <c r="U70" s="610"/>
      <c r="V70" s="610"/>
      <c r="W70" s="610"/>
      <c r="X70" s="610"/>
      <c r="Y70" s="610"/>
      <c r="Z70" s="610"/>
      <c r="AA70" s="610"/>
      <c r="AB70" s="610"/>
      <c r="AC70" s="610"/>
      <c r="AD70" s="610"/>
      <c r="AG70" s="610"/>
      <c r="AH70" s="610"/>
    </row>
    <row r="71">
      <c r="B71" s="610"/>
      <c r="C71" s="610"/>
      <c r="D71" s="610"/>
      <c r="E71" s="610"/>
      <c r="F71" s="610"/>
      <c r="G71" s="610"/>
      <c r="H71" s="610"/>
      <c r="I71" s="610"/>
      <c r="J71" s="610"/>
      <c r="K71" s="610"/>
      <c r="L71" s="610"/>
      <c r="M71" s="610"/>
      <c r="N71" s="610"/>
      <c r="O71" s="610"/>
      <c r="P71" s="610"/>
      <c r="Q71" s="610"/>
      <c r="R71" s="610"/>
      <c r="S71" s="610"/>
      <c r="T71" s="610"/>
      <c r="U71" s="610"/>
      <c r="V71" s="610"/>
      <c r="W71" s="610"/>
      <c r="X71" s="610"/>
      <c r="Y71" s="610"/>
      <c r="Z71" s="610"/>
      <c r="AA71" s="610"/>
      <c r="AB71" s="610"/>
      <c r="AC71" s="610"/>
      <c r="AD71" s="610"/>
      <c r="AG71" s="610"/>
      <c r="AH71" s="610"/>
    </row>
    <row r="72">
      <c r="B72" s="610"/>
      <c r="C72" s="610"/>
      <c r="D72" s="610"/>
      <c r="E72" s="610"/>
      <c r="F72" s="610"/>
      <c r="G72" s="610"/>
      <c r="H72" s="610"/>
      <c r="I72" s="610"/>
      <c r="J72" s="610"/>
      <c r="K72" s="610"/>
      <c r="L72" s="610"/>
      <c r="M72" s="610"/>
      <c r="N72" s="610"/>
      <c r="O72" s="610"/>
      <c r="P72" s="610"/>
      <c r="Q72" s="610"/>
      <c r="R72" s="610"/>
      <c r="S72" s="610"/>
      <c r="T72" s="610"/>
      <c r="U72" s="610"/>
      <c r="V72" s="610"/>
      <c r="W72" s="610"/>
      <c r="X72" s="610"/>
      <c r="Y72" s="610"/>
      <c r="Z72" s="610"/>
      <c r="AA72" s="610"/>
      <c r="AB72" s="610"/>
      <c r="AC72" s="610"/>
      <c r="AD72" s="610"/>
      <c r="AG72" s="610"/>
      <c r="AH72" s="610"/>
    </row>
    <row r="73">
      <c r="B73" s="610"/>
      <c r="C73" s="610"/>
      <c r="D73" s="610"/>
      <c r="E73" s="610"/>
      <c r="F73" s="610"/>
      <c r="G73" s="610"/>
      <c r="H73" s="610"/>
      <c r="I73" s="610"/>
      <c r="J73" s="610"/>
      <c r="K73" s="610"/>
      <c r="L73" s="610"/>
      <c r="M73" s="610"/>
      <c r="N73" s="610"/>
      <c r="O73" s="610"/>
      <c r="P73" s="610"/>
      <c r="Q73" s="610"/>
      <c r="R73" s="610"/>
      <c r="S73" s="610"/>
      <c r="T73" s="610"/>
      <c r="U73" s="610"/>
      <c r="V73" s="610"/>
      <c r="W73" s="610"/>
      <c r="X73" s="610"/>
      <c r="Y73" s="610"/>
      <c r="Z73" s="610"/>
      <c r="AA73" s="610"/>
      <c r="AB73" s="610"/>
      <c r="AC73" s="610"/>
      <c r="AD73" s="610"/>
      <c r="AG73" s="610"/>
      <c r="AH73" s="610"/>
    </row>
    <row r="74">
      <c r="B74" s="610"/>
      <c r="C74" s="610"/>
      <c r="D74" s="610"/>
      <c r="E74" s="610"/>
      <c r="F74" s="610"/>
      <c r="G74" s="610"/>
      <c r="H74" s="610"/>
      <c r="I74" s="610"/>
      <c r="J74" s="610"/>
      <c r="K74" s="610"/>
      <c r="L74" s="610"/>
      <c r="M74" s="610"/>
      <c r="N74" s="610"/>
      <c r="O74" s="610"/>
      <c r="P74" s="610"/>
      <c r="Q74" s="610"/>
      <c r="R74" s="610"/>
      <c r="S74" s="610"/>
      <c r="T74" s="610"/>
      <c r="U74" s="610"/>
      <c r="V74" s="610"/>
      <c r="W74" s="610"/>
      <c r="X74" s="610"/>
      <c r="Y74" s="610"/>
      <c r="Z74" s="610"/>
      <c r="AA74" s="610"/>
      <c r="AB74" s="610"/>
      <c r="AC74" s="610"/>
      <c r="AD74" s="610"/>
      <c r="AG74" s="610"/>
      <c r="AH74" s="610"/>
    </row>
    <row r="75">
      <c r="B75" s="610"/>
      <c r="C75" s="610"/>
      <c r="D75" s="610"/>
      <c r="E75" s="610"/>
      <c r="F75" s="610"/>
      <c r="G75" s="610"/>
      <c r="H75" s="610"/>
      <c r="I75" s="610"/>
      <c r="J75" s="610"/>
      <c r="K75" s="610"/>
      <c r="L75" s="610"/>
      <c r="M75" s="610"/>
      <c r="N75" s="610"/>
      <c r="O75" s="610"/>
      <c r="P75" s="610"/>
      <c r="Q75" s="610"/>
      <c r="R75" s="610"/>
      <c r="S75" s="610"/>
      <c r="T75" s="610"/>
      <c r="U75" s="610"/>
      <c r="V75" s="610"/>
      <c r="W75" s="610"/>
      <c r="X75" s="610"/>
      <c r="Y75" s="610"/>
      <c r="Z75" s="610"/>
      <c r="AA75" s="610"/>
      <c r="AB75" s="610"/>
      <c r="AC75" s="610"/>
      <c r="AD75" s="610"/>
      <c r="AG75" s="610"/>
      <c r="AH75" s="610"/>
    </row>
    <row r="76">
      <c r="B76" s="610"/>
      <c r="C76" s="610"/>
      <c r="D76" s="610"/>
      <c r="E76" s="610"/>
      <c r="F76" s="610"/>
      <c r="G76" s="610"/>
      <c r="H76" s="610"/>
      <c r="I76" s="610"/>
      <c r="J76" s="610"/>
      <c r="K76" s="610"/>
      <c r="L76" s="610"/>
      <c r="M76" s="610"/>
      <c r="N76" s="610"/>
      <c r="O76" s="610"/>
      <c r="P76" s="610"/>
      <c r="Q76" s="610"/>
      <c r="R76" s="610"/>
      <c r="S76" s="610"/>
      <c r="T76" s="610"/>
      <c r="U76" s="610"/>
      <c r="V76" s="610"/>
      <c r="W76" s="610"/>
      <c r="X76" s="610"/>
      <c r="Y76" s="610"/>
      <c r="Z76" s="610"/>
      <c r="AA76" s="610"/>
      <c r="AB76" s="610"/>
      <c r="AC76" s="610"/>
      <c r="AD76" s="610"/>
      <c r="AG76" s="610"/>
      <c r="AH76" s="610"/>
    </row>
    <row r="77">
      <c r="B77" s="610"/>
      <c r="C77" s="610"/>
      <c r="D77" s="610"/>
      <c r="E77" s="610"/>
      <c r="F77" s="610"/>
      <c r="G77" s="610"/>
      <c r="H77" s="610"/>
      <c r="I77" s="610"/>
      <c r="J77" s="610"/>
      <c r="K77" s="610"/>
      <c r="L77" s="610"/>
      <c r="M77" s="610"/>
      <c r="N77" s="610"/>
      <c r="O77" s="610"/>
      <c r="P77" s="610"/>
      <c r="Q77" s="610"/>
      <c r="R77" s="610"/>
      <c r="S77" s="610"/>
      <c r="T77" s="610"/>
      <c r="U77" s="610"/>
      <c r="V77" s="610"/>
      <c r="W77" s="610"/>
      <c r="X77" s="610"/>
      <c r="Y77" s="610"/>
      <c r="Z77" s="610"/>
      <c r="AA77" s="610"/>
      <c r="AB77" s="610"/>
      <c r="AC77" s="610"/>
      <c r="AD77" s="610"/>
      <c r="AG77" s="610"/>
      <c r="AH77" s="610"/>
    </row>
    <row r="78">
      <c r="B78" s="610"/>
      <c r="C78" s="610"/>
      <c r="D78" s="610"/>
      <c r="E78" s="610"/>
      <c r="F78" s="610"/>
      <c r="G78" s="610"/>
      <c r="H78" s="610"/>
      <c r="I78" s="610"/>
      <c r="J78" s="610"/>
      <c r="K78" s="610"/>
      <c r="L78" s="610"/>
      <c r="M78" s="610"/>
      <c r="N78" s="610"/>
      <c r="O78" s="610"/>
      <c r="P78" s="610"/>
      <c r="Q78" s="610"/>
      <c r="R78" s="610"/>
      <c r="S78" s="610"/>
      <c r="T78" s="610"/>
      <c r="U78" s="610"/>
      <c r="V78" s="610"/>
      <c r="W78" s="610"/>
      <c r="X78" s="610"/>
      <c r="Y78" s="610"/>
      <c r="Z78" s="610"/>
      <c r="AA78" s="610"/>
      <c r="AB78" s="610"/>
      <c r="AC78" s="610"/>
      <c r="AD78" s="610"/>
      <c r="AG78" s="610"/>
      <c r="AH78" s="610"/>
    </row>
    <row r="79">
      <c r="B79" s="610"/>
      <c r="C79" s="610"/>
      <c r="D79" s="610"/>
      <c r="E79" s="610"/>
      <c r="F79" s="610"/>
      <c r="G79" s="610"/>
      <c r="H79" s="610"/>
      <c r="I79" s="610"/>
      <c r="J79" s="610"/>
      <c r="K79" s="610"/>
      <c r="L79" s="610"/>
      <c r="M79" s="610"/>
      <c r="N79" s="610"/>
      <c r="O79" s="610"/>
      <c r="P79" s="610"/>
      <c r="Q79" s="610"/>
      <c r="R79" s="610"/>
      <c r="S79" s="610"/>
      <c r="T79" s="610"/>
      <c r="U79" s="610"/>
      <c r="V79" s="610"/>
      <c r="W79" s="610"/>
      <c r="X79" s="610"/>
      <c r="Y79" s="610"/>
      <c r="Z79" s="610"/>
      <c r="AA79" s="610"/>
      <c r="AB79" s="610"/>
      <c r="AC79" s="610"/>
      <c r="AD79" s="610"/>
      <c r="AG79" s="610"/>
      <c r="AH79" s="610"/>
    </row>
    <row r="80">
      <c r="B80" s="610"/>
      <c r="C80" s="610"/>
      <c r="D80" s="610"/>
      <c r="E80" s="610"/>
      <c r="F80" s="610"/>
      <c r="G80" s="610"/>
      <c r="H80" s="610"/>
      <c r="I80" s="610"/>
      <c r="J80" s="610"/>
      <c r="K80" s="610"/>
      <c r="L80" s="610"/>
      <c r="M80" s="610"/>
      <c r="N80" s="610"/>
      <c r="O80" s="610"/>
      <c r="P80" s="610"/>
      <c r="Q80" s="610"/>
      <c r="R80" s="610"/>
      <c r="S80" s="610"/>
      <c r="T80" s="610"/>
      <c r="U80" s="610"/>
      <c r="V80" s="610"/>
      <c r="W80" s="610"/>
      <c r="X80" s="610"/>
      <c r="Y80" s="610"/>
      <c r="Z80" s="610"/>
      <c r="AA80" s="610"/>
      <c r="AB80" s="610"/>
      <c r="AC80" s="610"/>
      <c r="AD80" s="610"/>
      <c r="AG80" s="610"/>
      <c r="AH80" s="610"/>
    </row>
    <row r="81">
      <c r="B81" s="610"/>
      <c r="C81" s="610"/>
      <c r="D81" s="610"/>
      <c r="E81" s="610"/>
      <c r="F81" s="610"/>
      <c r="G81" s="610"/>
      <c r="H81" s="610"/>
      <c r="I81" s="610"/>
      <c r="J81" s="610"/>
      <c r="K81" s="610"/>
      <c r="L81" s="610"/>
      <c r="M81" s="610"/>
      <c r="N81" s="610"/>
      <c r="O81" s="610"/>
      <c r="P81" s="610"/>
      <c r="Q81" s="610"/>
      <c r="R81" s="610"/>
      <c r="S81" s="610"/>
      <c r="T81" s="610"/>
      <c r="U81" s="610"/>
      <c r="V81" s="610"/>
      <c r="W81" s="610"/>
      <c r="X81" s="610"/>
      <c r="Y81" s="610"/>
      <c r="Z81" s="610"/>
      <c r="AA81" s="610"/>
      <c r="AB81" s="610"/>
      <c r="AC81" s="610"/>
      <c r="AD81" s="610"/>
      <c r="AG81" s="610"/>
      <c r="AH81" s="610"/>
    </row>
    <row r="82">
      <c r="B82" s="610"/>
      <c r="C82" s="610"/>
      <c r="D82" s="610"/>
      <c r="E82" s="610"/>
      <c r="F82" s="610"/>
      <c r="G82" s="610"/>
      <c r="H82" s="610"/>
      <c r="I82" s="610"/>
      <c r="J82" s="610"/>
      <c r="K82" s="610"/>
      <c r="L82" s="610"/>
      <c r="M82" s="610"/>
      <c r="N82" s="610"/>
      <c r="O82" s="610"/>
      <c r="P82" s="610"/>
      <c r="Q82" s="610"/>
      <c r="R82" s="610"/>
      <c r="S82" s="610"/>
      <c r="T82" s="610"/>
      <c r="U82" s="610"/>
      <c r="V82" s="610"/>
      <c r="W82" s="610"/>
      <c r="X82" s="610"/>
      <c r="Y82" s="610"/>
      <c r="Z82" s="610"/>
      <c r="AA82" s="610"/>
      <c r="AB82" s="610"/>
      <c r="AC82" s="610"/>
      <c r="AD82" s="610"/>
      <c r="AG82" s="610"/>
      <c r="AH82" s="610"/>
    </row>
    <row r="83">
      <c r="B83" s="610"/>
      <c r="C83" s="610"/>
      <c r="D83" s="610"/>
      <c r="E83" s="610"/>
      <c r="F83" s="610"/>
      <c r="G83" s="610"/>
      <c r="H83" s="610"/>
      <c r="I83" s="610"/>
      <c r="J83" s="610"/>
      <c r="K83" s="610"/>
      <c r="L83" s="610"/>
      <c r="M83" s="610"/>
      <c r="N83" s="610"/>
      <c r="O83" s="610"/>
      <c r="P83" s="610"/>
      <c r="Q83" s="610"/>
      <c r="R83" s="610"/>
      <c r="S83" s="610"/>
      <c r="T83" s="610"/>
      <c r="U83" s="610"/>
      <c r="V83" s="610"/>
      <c r="W83" s="610"/>
      <c r="X83" s="610"/>
      <c r="Y83" s="610"/>
      <c r="Z83" s="610"/>
      <c r="AA83" s="610"/>
      <c r="AB83" s="610"/>
      <c r="AC83" s="610"/>
      <c r="AD83" s="610"/>
      <c r="AG83" s="610"/>
      <c r="AH83" s="610"/>
    </row>
    <row r="84">
      <c r="B84" s="610"/>
      <c r="C84" s="610"/>
      <c r="D84" s="610"/>
      <c r="E84" s="610"/>
      <c r="F84" s="610"/>
      <c r="G84" s="610"/>
      <c r="H84" s="610"/>
      <c r="I84" s="610"/>
      <c r="J84" s="610"/>
      <c r="K84" s="610"/>
      <c r="L84" s="610"/>
      <c r="M84" s="610"/>
      <c r="N84" s="610"/>
      <c r="O84" s="610"/>
      <c r="P84" s="610"/>
      <c r="Q84" s="610"/>
      <c r="R84" s="610"/>
      <c r="S84" s="610"/>
      <c r="T84" s="610"/>
      <c r="U84" s="610"/>
      <c r="V84" s="610"/>
      <c r="W84" s="610"/>
      <c r="X84" s="610"/>
      <c r="Y84" s="610"/>
      <c r="Z84" s="610"/>
      <c r="AA84" s="610"/>
      <c r="AB84" s="610"/>
      <c r="AC84" s="610"/>
      <c r="AD84" s="610"/>
      <c r="AG84" s="610"/>
      <c r="AH84" s="610"/>
    </row>
    <row r="85">
      <c r="B85" s="610"/>
      <c r="C85" s="610"/>
      <c r="D85" s="610"/>
      <c r="E85" s="610"/>
      <c r="F85" s="610"/>
      <c r="G85" s="610"/>
      <c r="H85" s="610"/>
      <c r="I85" s="610"/>
      <c r="J85" s="610"/>
      <c r="K85" s="610"/>
      <c r="L85" s="610"/>
      <c r="M85" s="610"/>
      <c r="N85" s="610"/>
      <c r="O85" s="610"/>
      <c r="P85" s="610"/>
      <c r="Q85" s="610"/>
      <c r="R85" s="610"/>
      <c r="S85" s="610"/>
      <c r="T85" s="610"/>
      <c r="U85" s="610"/>
      <c r="V85" s="610"/>
      <c r="W85" s="610"/>
      <c r="X85" s="610"/>
      <c r="Y85" s="610"/>
      <c r="Z85" s="610"/>
      <c r="AA85" s="610"/>
      <c r="AB85" s="610"/>
      <c r="AC85" s="610"/>
      <c r="AD85" s="610"/>
      <c r="AG85" s="610"/>
      <c r="AH85" s="610"/>
    </row>
    <row r="86">
      <c r="B86" s="610"/>
      <c r="C86" s="610"/>
      <c r="D86" s="610"/>
      <c r="E86" s="610"/>
      <c r="F86" s="610"/>
      <c r="G86" s="610"/>
      <c r="H86" s="610"/>
      <c r="I86" s="610"/>
      <c r="J86" s="610"/>
      <c r="K86" s="610"/>
      <c r="L86" s="610"/>
      <c r="M86" s="610"/>
      <c r="N86" s="610"/>
      <c r="O86" s="610"/>
      <c r="P86" s="610"/>
      <c r="Q86" s="610"/>
      <c r="R86" s="610"/>
      <c r="S86" s="610"/>
      <c r="T86" s="610"/>
      <c r="U86" s="610"/>
      <c r="V86" s="610"/>
      <c r="W86" s="610"/>
      <c r="X86" s="610"/>
      <c r="Y86" s="610"/>
      <c r="Z86" s="610"/>
      <c r="AA86" s="610"/>
      <c r="AB86" s="610"/>
      <c r="AC86" s="610"/>
      <c r="AD86" s="610"/>
      <c r="AG86" s="610"/>
      <c r="AH86" s="610"/>
    </row>
    <row r="87">
      <c r="B87" s="610"/>
      <c r="C87" s="610"/>
      <c r="D87" s="610"/>
      <c r="E87" s="610"/>
      <c r="F87" s="610"/>
      <c r="G87" s="610"/>
      <c r="H87" s="610"/>
      <c r="I87" s="610"/>
      <c r="J87" s="610"/>
      <c r="K87" s="610"/>
      <c r="L87" s="610"/>
      <c r="M87" s="610"/>
      <c r="N87" s="610"/>
      <c r="O87" s="610"/>
      <c r="P87" s="610"/>
      <c r="Q87" s="610"/>
      <c r="R87" s="610"/>
      <c r="S87" s="610"/>
      <c r="T87" s="610"/>
      <c r="U87" s="610"/>
      <c r="V87" s="610"/>
      <c r="W87" s="610"/>
      <c r="X87" s="610"/>
      <c r="Y87" s="610"/>
      <c r="Z87" s="610"/>
      <c r="AA87" s="610"/>
      <c r="AB87" s="610"/>
      <c r="AC87" s="610"/>
      <c r="AD87" s="610"/>
      <c r="AG87" s="610"/>
      <c r="AH87" s="610"/>
    </row>
    <row r="88">
      <c r="B88" s="610"/>
      <c r="C88" s="610"/>
      <c r="D88" s="610"/>
      <c r="E88" s="610"/>
      <c r="F88" s="610"/>
      <c r="G88" s="610"/>
      <c r="H88" s="610"/>
      <c r="I88" s="610"/>
      <c r="J88" s="610"/>
      <c r="K88" s="610"/>
      <c r="L88" s="610"/>
      <c r="M88" s="610"/>
      <c r="N88" s="610"/>
      <c r="O88" s="610"/>
      <c r="P88" s="610"/>
      <c r="Q88" s="610"/>
      <c r="R88" s="610"/>
      <c r="S88" s="610"/>
      <c r="T88" s="610"/>
      <c r="U88" s="610"/>
      <c r="V88" s="610"/>
      <c r="W88" s="610"/>
      <c r="X88" s="610"/>
      <c r="Y88" s="610"/>
      <c r="Z88" s="610"/>
      <c r="AA88" s="610"/>
      <c r="AB88" s="610"/>
      <c r="AC88" s="610"/>
      <c r="AD88" s="610"/>
      <c r="AG88" s="610"/>
      <c r="AH88" s="610"/>
    </row>
    <row r="89">
      <c r="B89" s="610"/>
      <c r="C89" s="610"/>
      <c r="D89" s="610"/>
      <c r="E89" s="610"/>
      <c r="F89" s="610"/>
      <c r="G89" s="610"/>
      <c r="H89" s="610"/>
      <c r="I89" s="610"/>
      <c r="J89" s="610"/>
      <c r="K89" s="610"/>
      <c r="L89" s="610"/>
      <c r="M89" s="610"/>
      <c r="N89" s="610"/>
      <c r="O89" s="610"/>
      <c r="P89" s="610"/>
      <c r="Q89" s="610"/>
      <c r="R89" s="610"/>
      <c r="S89" s="610"/>
      <c r="T89" s="610"/>
      <c r="U89" s="610"/>
      <c r="V89" s="610"/>
      <c r="W89" s="610"/>
      <c r="X89" s="610"/>
      <c r="Y89" s="610"/>
      <c r="Z89" s="610"/>
      <c r="AA89" s="610"/>
      <c r="AB89" s="610"/>
      <c r="AC89" s="610"/>
      <c r="AD89" s="610"/>
      <c r="AG89" s="610"/>
      <c r="AH89" s="610"/>
    </row>
    <row r="90">
      <c r="B90" s="610"/>
      <c r="C90" s="610"/>
      <c r="D90" s="610"/>
      <c r="E90" s="610"/>
      <c r="F90" s="610"/>
      <c r="G90" s="610"/>
      <c r="H90" s="610"/>
      <c r="I90" s="610"/>
      <c r="J90" s="610"/>
      <c r="K90" s="610"/>
      <c r="L90" s="610"/>
      <c r="M90" s="610"/>
      <c r="N90" s="610"/>
      <c r="O90" s="610"/>
      <c r="P90" s="610"/>
      <c r="Q90" s="610"/>
      <c r="R90" s="610"/>
      <c r="S90" s="610"/>
      <c r="T90" s="610"/>
      <c r="U90" s="610"/>
      <c r="V90" s="610"/>
      <c r="W90" s="610"/>
      <c r="X90" s="610"/>
      <c r="Y90" s="610"/>
      <c r="Z90" s="610"/>
      <c r="AA90" s="610"/>
      <c r="AB90" s="610"/>
      <c r="AC90" s="610"/>
      <c r="AD90" s="610"/>
      <c r="AG90" s="610"/>
      <c r="AH90" s="610"/>
    </row>
    <row r="91">
      <c r="B91" s="610"/>
      <c r="C91" s="610"/>
      <c r="D91" s="610"/>
      <c r="E91" s="610"/>
      <c r="F91" s="610"/>
      <c r="G91" s="610"/>
      <c r="H91" s="610"/>
      <c r="I91" s="610"/>
      <c r="J91" s="610"/>
      <c r="K91" s="610"/>
      <c r="L91" s="610"/>
      <c r="M91" s="610"/>
      <c r="N91" s="610"/>
      <c r="O91" s="610"/>
      <c r="P91" s="610"/>
      <c r="Q91" s="610"/>
      <c r="R91" s="610"/>
      <c r="S91" s="610"/>
      <c r="T91" s="610"/>
      <c r="U91" s="610"/>
      <c r="V91" s="610"/>
      <c r="W91" s="610"/>
      <c r="X91" s="610"/>
      <c r="Y91" s="610"/>
      <c r="Z91" s="610"/>
      <c r="AA91" s="610"/>
      <c r="AB91" s="610"/>
      <c r="AC91" s="610"/>
      <c r="AD91" s="610"/>
      <c r="AG91" s="610"/>
      <c r="AH91" s="610"/>
    </row>
    <row r="92">
      <c r="B92" s="610"/>
      <c r="C92" s="610"/>
      <c r="D92" s="610"/>
      <c r="E92" s="610"/>
      <c r="F92" s="610"/>
      <c r="G92" s="610"/>
      <c r="H92" s="610"/>
      <c r="I92" s="610"/>
      <c r="J92" s="610"/>
      <c r="K92" s="610"/>
      <c r="L92" s="610"/>
      <c r="M92" s="610"/>
      <c r="N92" s="610"/>
      <c r="O92" s="610"/>
      <c r="P92" s="610"/>
      <c r="Q92" s="610"/>
      <c r="R92" s="610"/>
      <c r="S92" s="610"/>
      <c r="T92" s="610"/>
      <c r="U92" s="610"/>
      <c r="V92" s="610"/>
      <c r="W92" s="610"/>
      <c r="X92" s="610"/>
      <c r="Y92" s="610"/>
      <c r="Z92" s="610"/>
      <c r="AA92" s="610"/>
      <c r="AB92" s="610"/>
      <c r="AC92" s="610"/>
      <c r="AD92" s="610"/>
      <c r="AG92" s="610"/>
      <c r="AH92" s="610"/>
    </row>
    <row r="93">
      <c r="B93" s="610"/>
      <c r="C93" s="610"/>
      <c r="D93" s="610"/>
      <c r="E93" s="610"/>
      <c r="F93" s="610"/>
      <c r="G93" s="610"/>
      <c r="H93" s="610"/>
      <c r="I93" s="610"/>
      <c r="J93" s="610"/>
      <c r="K93" s="610"/>
      <c r="L93" s="610"/>
      <c r="M93" s="610"/>
      <c r="N93" s="610"/>
      <c r="O93" s="610"/>
      <c r="P93" s="610"/>
      <c r="Q93" s="610"/>
      <c r="R93" s="610"/>
      <c r="S93" s="610"/>
      <c r="T93" s="610"/>
      <c r="U93" s="610"/>
      <c r="V93" s="610"/>
      <c r="W93" s="610"/>
      <c r="X93" s="610"/>
      <c r="Y93" s="610"/>
      <c r="Z93" s="610"/>
      <c r="AA93" s="610"/>
      <c r="AB93" s="610"/>
      <c r="AC93" s="610"/>
      <c r="AD93" s="610"/>
      <c r="AG93" s="610"/>
      <c r="AH93" s="610"/>
    </row>
    <row r="94">
      <c r="B94" s="610"/>
      <c r="C94" s="610"/>
      <c r="D94" s="610"/>
      <c r="E94" s="610"/>
      <c r="F94" s="610"/>
      <c r="G94" s="610"/>
      <c r="H94" s="610"/>
      <c r="I94" s="610"/>
      <c r="J94" s="610"/>
      <c r="K94" s="610"/>
      <c r="L94" s="610"/>
      <c r="M94" s="610"/>
      <c r="N94" s="610"/>
      <c r="O94" s="610"/>
      <c r="P94" s="610"/>
      <c r="Q94" s="610"/>
      <c r="R94" s="610"/>
      <c r="S94" s="610"/>
      <c r="T94" s="610"/>
      <c r="U94" s="610"/>
      <c r="V94" s="610"/>
      <c r="W94" s="610"/>
      <c r="X94" s="610"/>
      <c r="Y94" s="610"/>
      <c r="Z94" s="610"/>
      <c r="AA94" s="610"/>
      <c r="AB94" s="610"/>
      <c r="AC94" s="610"/>
      <c r="AD94" s="610"/>
      <c r="AG94" s="610"/>
      <c r="AH94" s="610"/>
    </row>
    <row r="95">
      <c r="B95" s="610"/>
      <c r="C95" s="610"/>
      <c r="D95" s="610"/>
      <c r="E95" s="610"/>
      <c r="F95" s="610"/>
      <c r="G95" s="610"/>
      <c r="H95" s="610"/>
      <c r="I95" s="610"/>
      <c r="J95" s="610"/>
      <c r="K95" s="610"/>
      <c r="L95" s="610"/>
      <c r="M95" s="610"/>
      <c r="N95" s="610"/>
      <c r="O95" s="610"/>
      <c r="P95" s="610"/>
      <c r="Q95" s="610"/>
      <c r="R95" s="610"/>
      <c r="S95" s="610"/>
      <c r="T95" s="610"/>
      <c r="U95" s="610"/>
      <c r="V95" s="610"/>
      <c r="W95" s="610"/>
      <c r="X95" s="610"/>
      <c r="Y95" s="610"/>
      <c r="Z95" s="610"/>
      <c r="AA95" s="610"/>
      <c r="AB95" s="610"/>
      <c r="AC95" s="610"/>
      <c r="AD95" s="610"/>
      <c r="AG95" s="610"/>
      <c r="AH95" s="610"/>
    </row>
    <row r="96">
      <c r="B96" s="610"/>
      <c r="C96" s="610"/>
      <c r="D96" s="610"/>
      <c r="E96" s="610"/>
      <c r="F96" s="610"/>
      <c r="G96" s="610"/>
      <c r="H96" s="610"/>
      <c r="I96" s="610"/>
      <c r="J96" s="610"/>
      <c r="K96" s="610"/>
      <c r="L96" s="610"/>
      <c r="M96" s="610"/>
      <c r="N96" s="610"/>
      <c r="O96" s="610"/>
      <c r="P96" s="610"/>
      <c r="Q96" s="610"/>
      <c r="R96" s="610"/>
      <c r="S96" s="610"/>
      <c r="T96" s="610"/>
      <c r="U96" s="610"/>
      <c r="V96" s="610"/>
      <c r="W96" s="610"/>
      <c r="X96" s="610"/>
      <c r="Y96" s="610"/>
      <c r="Z96" s="610"/>
      <c r="AA96" s="610"/>
      <c r="AB96" s="610"/>
      <c r="AC96" s="610"/>
      <c r="AD96" s="610"/>
      <c r="AG96" s="610"/>
      <c r="AH96" s="610"/>
    </row>
    <row r="97">
      <c r="B97" s="610"/>
      <c r="C97" s="610"/>
      <c r="D97" s="610"/>
      <c r="E97" s="610"/>
      <c r="F97" s="610"/>
      <c r="G97" s="610"/>
      <c r="H97" s="610"/>
      <c r="I97" s="610"/>
      <c r="J97" s="610"/>
      <c r="K97" s="610"/>
      <c r="L97" s="610"/>
      <c r="M97" s="610"/>
      <c r="N97" s="610"/>
      <c r="O97" s="610"/>
      <c r="P97" s="610"/>
      <c r="Q97" s="610"/>
      <c r="R97" s="610"/>
      <c r="S97" s="610"/>
      <c r="T97" s="610"/>
      <c r="U97" s="610"/>
      <c r="V97" s="610"/>
      <c r="W97" s="610"/>
      <c r="X97" s="610"/>
      <c r="Y97" s="610"/>
      <c r="Z97" s="610"/>
      <c r="AA97" s="610"/>
      <c r="AB97" s="610"/>
      <c r="AC97" s="610"/>
      <c r="AD97" s="610"/>
      <c r="AG97" s="610"/>
      <c r="AH97" s="610"/>
    </row>
    <row r="98">
      <c r="B98" s="610"/>
      <c r="C98" s="610"/>
      <c r="D98" s="610"/>
      <c r="E98" s="610"/>
      <c r="F98" s="610"/>
      <c r="G98" s="610"/>
      <c r="H98" s="610"/>
      <c r="I98" s="610"/>
      <c r="J98" s="610"/>
      <c r="K98" s="610"/>
      <c r="L98" s="610"/>
      <c r="M98" s="610"/>
      <c r="N98" s="610"/>
      <c r="O98" s="610"/>
      <c r="P98" s="610"/>
      <c r="Q98" s="610"/>
      <c r="R98" s="610"/>
      <c r="S98" s="610"/>
      <c r="T98" s="610"/>
      <c r="U98" s="610"/>
      <c r="V98" s="610"/>
      <c r="W98" s="610"/>
      <c r="X98" s="610"/>
      <c r="Y98" s="610"/>
      <c r="Z98" s="610"/>
      <c r="AA98" s="610"/>
      <c r="AB98" s="610"/>
      <c r="AC98" s="610"/>
      <c r="AD98" s="610"/>
      <c r="AG98" s="610"/>
      <c r="AH98" s="610"/>
    </row>
    <row r="99">
      <c r="B99" s="610"/>
      <c r="C99" s="610"/>
      <c r="D99" s="610"/>
      <c r="E99" s="610"/>
      <c r="F99" s="610"/>
      <c r="G99" s="610"/>
      <c r="H99" s="610"/>
      <c r="I99" s="610"/>
      <c r="J99" s="610"/>
      <c r="K99" s="610"/>
      <c r="L99" s="610"/>
      <c r="M99" s="610"/>
      <c r="N99" s="610"/>
      <c r="O99" s="610"/>
      <c r="P99" s="610"/>
      <c r="Q99" s="610"/>
      <c r="R99" s="610"/>
      <c r="S99" s="610"/>
      <c r="T99" s="610"/>
      <c r="U99" s="610"/>
      <c r="V99" s="610"/>
      <c r="W99" s="610"/>
      <c r="X99" s="610"/>
      <c r="Y99" s="610"/>
      <c r="Z99" s="610"/>
      <c r="AA99" s="610"/>
      <c r="AB99" s="610"/>
      <c r="AC99" s="610"/>
      <c r="AD99" s="610"/>
      <c r="AG99" s="610"/>
      <c r="AH99" s="610"/>
    </row>
    <row r="100">
      <c r="B100" s="610"/>
      <c r="C100" s="610"/>
      <c r="D100" s="610"/>
      <c r="E100" s="610"/>
      <c r="F100" s="610"/>
      <c r="G100" s="610"/>
      <c r="H100" s="610"/>
      <c r="I100" s="610"/>
      <c r="J100" s="610"/>
      <c r="K100" s="610"/>
      <c r="L100" s="610"/>
      <c r="M100" s="610"/>
      <c r="N100" s="610"/>
      <c r="O100" s="610"/>
      <c r="P100" s="610"/>
      <c r="Q100" s="610"/>
      <c r="R100" s="610"/>
      <c r="S100" s="610"/>
      <c r="T100" s="610"/>
      <c r="U100" s="610"/>
      <c r="V100" s="610"/>
      <c r="W100" s="610"/>
      <c r="X100" s="610"/>
      <c r="Y100" s="610"/>
      <c r="Z100" s="610"/>
      <c r="AA100" s="610"/>
      <c r="AB100" s="610"/>
      <c r="AC100" s="610"/>
      <c r="AD100" s="610"/>
      <c r="AG100" s="610"/>
      <c r="AH100" s="610"/>
    </row>
    <row r="101">
      <c r="B101" s="610"/>
      <c r="C101" s="610"/>
      <c r="D101" s="610"/>
      <c r="E101" s="610"/>
      <c r="F101" s="610"/>
      <c r="G101" s="610"/>
      <c r="H101" s="610"/>
      <c r="I101" s="610"/>
      <c r="J101" s="610"/>
      <c r="K101" s="610"/>
      <c r="L101" s="610"/>
      <c r="M101" s="610"/>
      <c r="N101" s="610"/>
      <c r="O101" s="610"/>
      <c r="P101" s="610"/>
      <c r="Q101" s="610"/>
      <c r="R101" s="610"/>
      <c r="S101" s="610"/>
      <c r="T101" s="610"/>
      <c r="U101" s="610"/>
      <c r="V101" s="610"/>
      <c r="W101" s="610"/>
      <c r="X101" s="610"/>
      <c r="Y101" s="610"/>
      <c r="Z101" s="610"/>
      <c r="AA101" s="610"/>
      <c r="AB101" s="610"/>
      <c r="AC101" s="610"/>
      <c r="AD101" s="610"/>
      <c r="AG101" s="610"/>
      <c r="AH101" s="610"/>
    </row>
    <row r="102">
      <c r="B102" s="610"/>
      <c r="C102" s="610"/>
      <c r="D102" s="610"/>
      <c r="E102" s="610"/>
      <c r="F102" s="610"/>
      <c r="G102" s="610"/>
      <c r="H102" s="610"/>
      <c r="I102" s="610"/>
      <c r="J102" s="610"/>
      <c r="K102" s="610"/>
      <c r="L102" s="610"/>
      <c r="M102" s="610"/>
      <c r="N102" s="610"/>
      <c r="O102" s="610"/>
      <c r="P102" s="610"/>
      <c r="Q102" s="610"/>
      <c r="R102" s="610"/>
      <c r="S102" s="610"/>
      <c r="T102" s="610"/>
      <c r="U102" s="610"/>
      <c r="V102" s="610"/>
      <c r="W102" s="610"/>
      <c r="X102" s="610"/>
      <c r="Y102" s="610"/>
      <c r="Z102" s="610"/>
      <c r="AA102" s="610"/>
      <c r="AB102" s="610"/>
      <c r="AC102" s="610"/>
      <c r="AD102" s="610"/>
      <c r="AG102" s="610"/>
      <c r="AH102" s="610"/>
    </row>
    <row r="103">
      <c r="B103" s="610"/>
      <c r="C103" s="610"/>
      <c r="D103" s="610"/>
      <c r="E103" s="610"/>
      <c r="F103" s="610"/>
      <c r="G103" s="610"/>
      <c r="H103" s="610"/>
      <c r="I103" s="610"/>
      <c r="J103" s="610"/>
      <c r="K103" s="610"/>
      <c r="L103" s="610"/>
      <c r="M103" s="610"/>
      <c r="N103" s="610"/>
      <c r="O103" s="610"/>
      <c r="P103" s="610"/>
      <c r="Q103" s="610"/>
      <c r="R103" s="610"/>
      <c r="S103" s="610"/>
      <c r="T103" s="610"/>
      <c r="U103" s="610"/>
      <c r="V103" s="610"/>
      <c r="W103" s="610"/>
      <c r="X103" s="610"/>
      <c r="Y103" s="610"/>
      <c r="Z103" s="610"/>
      <c r="AA103" s="610"/>
      <c r="AB103" s="610"/>
      <c r="AC103" s="610"/>
      <c r="AD103" s="610"/>
      <c r="AG103" s="610"/>
      <c r="AH103" s="610"/>
    </row>
    <row r="104">
      <c r="B104" s="610"/>
      <c r="C104" s="610"/>
      <c r="D104" s="610"/>
      <c r="E104" s="610"/>
      <c r="F104" s="610"/>
      <c r="G104" s="610"/>
      <c r="H104" s="610"/>
      <c r="I104" s="610"/>
      <c r="J104" s="610"/>
      <c r="K104" s="610"/>
      <c r="L104" s="610"/>
      <c r="M104" s="610"/>
      <c r="N104" s="610"/>
      <c r="O104" s="610"/>
      <c r="P104" s="610"/>
      <c r="Q104" s="610"/>
      <c r="R104" s="610"/>
      <c r="S104" s="610"/>
      <c r="T104" s="610"/>
      <c r="U104" s="610"/>
      <c r="V104" s="610"/>
      <c r="W104" s="610"/>
      <c r="X104" s="610"/>
      <c r="Y104" s="610"/>
      <c r="Z104" s="610"/>
      <c r="AA104" s="610"/>
      <c r="AB104" s="610"/>
      <c r="AC104" s="610"/>
      <c r="AD104" s="610"/>
      <c r="AG104" s="610"/>
      <c r="AH104" s="610"/>
    </row>
    <row r="105">
      <c r="B105" s="610"/>
      <c r="C105" s="610"/>
      <c r="D105" s="610"/>
      <c r="E105" s="610"/>
      <c r="F105" s="610"/>
      <c r="G105" s="610"/>
      <c r="H105" s="610"/>
      <c r="I105" s="610"/>
      <c r="J105" s="610"/>
      <c r="K105" s="610"/>
      <c r="L105" s="610"/>
      <c r="M105" s="610"/>
      <c r="N105" s="610"/>
      <c r="O105" s="610"/>
      <c r="P105" s="610"/>
      <c r="Q105" s="610"/>
      <c r="R105" s="610"/>
      <c r="S105" s="610"/>
      <c r="T105" s="610"/>
      <c r="U105" s="610"/>
      <c r="V105" s="610"/>
      <c r="W105" s="610"/>
      <c r="X105" s="610"/>
      <c r="Y105" s="610"/>
      <c r="Z105" s="610"/>
      <c r="AA105" s="610"/>
      <c r="AB105" s="610"/>
      <c r="AC105" s="610"/>
      <c r="AD105" s="610"/>
      <c r="AG105" s="610"/>
      <c r="AH105" s="610"/>
    </row>
    <row r="106">
      <c r="B106" s="610"/>
      <c r="C106" s="610"/>
      <c r="D106" s="610"/>
      <c r="E106" s="610"/>
      <c r="F106" s="610"/>
      <c r="G106" s="610"/>
      <c r="H106" s="610"/>
      <c r="I106" s="610"/>
      <c r="J106" s="610"/>
      <c r="K106" s="610"/>
      <c r="L106" s="610"/>
      <c r="M106" s="610"/>
      <c r="N106" s="610"/>
      <c r="O106" s="610"/>
      <c r="P106" s="610"/>
      <c r="Q106" s="610"/>
      <c r="R106" s="610"/>
      <c r="S106" s="610"/>
      <c r="T106" s="610"/>
      <c r="U106" s="610"/>
      <c r="V106" s="610"/>
      <c r="W106" s="610"/>
      <c r="X106" s="610"/>
      <c r="Y106" s="610"/>
      <c r="Z106" s="610"/>
      <c r="AA106" s="610"/>
      <c r="AB106" s="610"/>
      <c r="AC106" s="610"/>
      <c r="AD106" s="610"/>
      <c r="AG106" s="610"/>
      <c r="AH106" s="610"/>
    </row>
    <row r="107">
      <c r="B107" s="610"/>
      <c r="C107" s="610"/>
      <c r="D107" s="610"/>
      <c r="E107" s="610"/>
      <c r="F107" s="610"/>
      <c r="G107" s="610"/>
      <c r="H107" s="610"/>
      <c r="I107" s="610"/>
      <c r="J107" s="610"/>
      <c r="K107" s="610"/>
      <c r="L107" s="610"/>
      <c r="M107" s="610"/>
      <c r="N107" s="610"/>
      <c r="O107" s="610"/>
      <c r="P107" s="610"/>
      <c r="Q107" s="610"/>
      <c r="R107" s="610"/>
      <c r="S107" s="610"/>
      <c r="T107" s="610"/>
      <c r="U107" s="610"/>
      <c r="V107" s="610"/>
      <c r="W107" s="610"/>
      <c r="X107" s="610"/>
      <c r="Y107" s="610"/>
      <c r="Z107" s="610"/>
      <c r="AA107" s="610"/>
      <c r="AB107" s="610"/>
      <c r="AC107" s="610"/>
      <c r="AD107" s="610"/>
      <c r="AG107" s="610"/>
      <c r="AH107" s="610"/>
    </row>
    <row r="108">
      <c r="B108" s="610"/>
      <c r="C108" s="610"/>
      <c r="D108" s="610"/>
      <c r="E108" s="610"/>
      <c r="F108" s="610"/>
      <c r="G108" s="610"/>
      <c r="H108" s="610"/>
      <c r="I108" s="610"/>
      <c r="J108" s="610"/>
      <c r="K108" s="610"/>
      <c r="L108" s="610"/>
      <c r="M108" s="610"/>
      <c r="N108" s="610"/>
      <c r="O108" s="610"/>
      <c r="P108" s="610"/>
      <c r="Q108" s="610"/>
      <c r="R108" s="610"/>
      <c r="S108" s="610"/>
      <c r="T108" s="610"/>
      <c r="U108" s="610"/>
      <c r="V108" s="610"/>
      <c r="W108" s="610"/>
      <c r="X108" s="610"/>
      <c r="Y108" s="610"/>
      <c r="Z108" s="610"/>
      <c r="AA108" s="610"/>
      <c r="AB108" s="610"/>
      <c r="AC108" s="610"/>
      <c r="AD108" s="610"/>
      <c r="AG108" s="610"/>
      <c r="AH108" s="610"/>
    </row>
    <row r="109">
      <c r="B109" s="610"/>
      <c r="C109" s="610"/>
      <c r="D109" s="610"/>
      <c r="E109" s="610"/>
      <c r="F109" s="610"/>
      <c r="G109" s="610"/>
      <c r="H109" s="610"/>
      <c r="I109" s="610"/>
      <c r="J109" s="610"/>
      <c r="K109" s="610"/>
      <c r="L109" s="610"/>
      <c r="M109" s="610"/>
      <c r="N109" s="610"/>
      <c r="O109" s="610"/>
      <c r="P109" s="610"/>
      <c r="Q109" s="610"/>
      <c r="R109" s="610"/>
      <c r="S109" s="610"/>
      <c r="T109" s="610"/>
      <c r="U109" s="610"/>
      <c r="V109" s="610"/>
      <c r="W109" s="610"/>
      <c r="X109" s="610"/>
      <c r="Y109" s="610"/>
      <c r="Z109" s="610"/>
      <c r="AA109" s="610"/>
      <c r="AB109" s="610"/>
      <c r="AC109" s="610"/>
      <c r="AD109" s="610"/>
      <c r="AG109" s="610"/>
      <c r="AH109" s="610"/>
    </row>
    <row r="110">
      <c r="B110" s="610"/>
      <c r="C110" s="610"/>
      <c r="D110" s="610"/>
      <c r="E110" s="610"/>
      <c r="F110" s="610"/>
      <c r="G110" s="610"/>
      <c r="H110" s="610"/>
      <c r="I110" s="610"/>
      <c r="J110" s="610"/>
      <c r="K110" s="610"/>
      <c r="L110" s="610"/>
      <c r="M110" s="610"/>
      <c r="N110" s="610"/>
      <c r="O110" s="610"/>
      <c r="P110" s="610"/>
      <c r="Q110" s="610"/>
      <c r="R110" s="610"/>
      <c r="S110" s="610"/>
      <c r="T110" s="610"/>
      <c r="U110" s="610"/>
      <c r="V110" s="610"/>
      <c r="W110" s="610"/>
      <c r="X110" s="610"/>
      <c r="Y110" s="610"/>
      <c r="Z110" s="610"/>
      <c r="AA110" s="610"/>
      <c r="AB110" s="610"/>
      <c r="AC110" s="610"/>
      <c r="AD110" s="610"/>
      <c r="AG110" s="610"/>
      <c r="AH110" s="610"/>
    </row>
    <row r="111">
      <c r="B111" s="610"/>
      <c r="C111" s="610"/>
      <c r="D111" s="610"/>
      <c r="E111" s="610"/>
      <c r="F111" s="610"/>
      <c r="G111" s="610"/>
      <c r="H111" s="610"/>
      <c r="I111" s="610"/>
      <c r="J111" s="610"/>
      <c r="K111" s="610"/>
      <c r="L111" s="610"/>
      <c r="M111" s="610"/>
      <c r="N111" s="610"/>
      <c r="O111" s="610"/>
      <c r="P111" s="610"/>
      <c r="Q111" s="610"/>
      <c r="R111" s="610"/>
      <c r="S111" s="610"/>
      <c r="T111" s="610"/>
      <c r="U111" s="610"/>
      <c r="V111" s="610"/>
      <c r="W111" s="610"/>
      <c r="X111" s="610"/>
      <c r="Y111" s="610"/>
      <c r="Z111" s="610"/>
      <c r="AA111" s="610"/>
      <c r="AB111" s="610"/>
      <c r="AC111" s="610"/>
      <c r="AD111" s="610"/>
      <c r="AG111" s="610"/>
      <c r="AH111" s="610"/>
    </row>
    <row r="112">
      <c r="B112" s="610"/>
      <c r="C112" s="610"/>
      <c r="D112" s="610"/>
      <c r="E112" s="610"/>
      <c r="F112" s="610"/>
      <c r="G112" s="610"/>
      <c r="H112" s="610"/>
      <c r="I112" s="610"/>
      <c r="J112" s="610"/>
      <c r="K112" s="610"/>
      <c r="L112" s="610"/>
      <c r="M112" s="610"/>
      <c r="N112" s="610"/>
      <c r="O112" s="610"/>
      <c r="P112" s="610"/>
      <c r="Q112" s="610"/>
      <c r="R112" s="610"/>
      <c r="S112" s="610"/>
      <c r="T112" s="610"/>
      <c r="U112" s="610"/>
      <c r="V112" s="610"/>
      <c r="W112" s="610"/>
      <c r="X112" s="610"/>
      <c r="Y112" s="610"/>
      <c r="Z112" s="610"/>
      <c r="AA112" s="610"/>
      <c r="AB112" s="610"/>
      <c r="AC112" s="610"/>
      <c r="AD112" s="610"/>
      <c r="AG112" s="610"/>
      <c r="AH112" s="610"/>
    </row>
    <row r="113">
      <c r="B113" s="610"/>
      <c r="C113" s="610"/>
      <c r="D113" s="610"/>
      <c r="E113" s="610"/>
      <c r="F113" s="610"/>
      <c r="G113" s="610"/>
      <c r="H113" s="610"/>
      <c r="I113" s="610"/>
      <c r="J113" s="610"/>
      <c r="K113" s="610"/>
      <c r="L113" s="610"/>
      <c r="M113" s="610"/>
      <c r="N113" s="610"/>
      <c r="O113" s="610"/>
      <c r="P113" s="610"/>
      <c r="Q113" s="610"/>
      <c r="R113" s="610"/>
      <c r="S113" s="610"/>
      <c r="T113" s="610"/>
      <c r="U113" s="610"/>
      <c r="V113" s="610"/>
      <c r="W113" s="610"/>
      <c r="X113" s="610"/>
      <c r="Y113" s="610"/>
      <c r="Z113" s="610"/>
      <c r="AA113" s="610"/>
      <c r="AB113" s="610"/>
      <c r="AC113" s="610"/>
      <c r="AD113" s="610"/>
      <c r="AG113" s="610"/>
      <c r="AH113" s="610"/>
    </row>
    <row r="114">
      <c r="B114" s="610"/>
      <c r="C114" s="610"/>
      <c r="D114" s="610"/>
      <c r="E114" s="610"/>
      <c r="F114" s="610"/>
      <c r="G114" s="610"/>
      <c r="H114" s="610"/>
      <c r="I114" s="610"/>
      <c r="J114" s="610"/>
      <c r="K114" s="610"/>
      <c r="L114" s="610"/>
      <c r="M114" s="610"/>
      <c r="N114" s="610"/>
      <c r="O114" s="610"/>
      <c r="P114" s="610"/>
      <c r="Q114" s="610"/>
      <c r="R114" s="610"/>
      <c r="S114" s="610"/>
      <c r="T114" s="610"/>
      <c r="U114" s="610"/>
      <c r="V114" s="610"/>
      <c r="W114" s="610"/>
      <c r="X114" s="610"/>
      <c r="Y114" s="610"/>
      <c r="Z114" s="610"/>
      <c r="AA114" s="610"/>
      <c r="AB114" s="610"/>
      <c r="AC114" s="610"/>
      <c r="AD114" s="610"/>
      <c r="AG114" s="610"/>
      <c r="AH114" s="610"/>
    </row>
    <row r="115">
      <c r="B115" s="610"/>
      <c r="C115" s="610"/>
      <c r="D115" s="610"/>
      <c r="E115" s="610"/>
      <c r="F115" s="610"/>
      <c r="G115" s="610"/>
      <c r="H115" s="610"/>
      <c r="I115" s="610"/>
      <c r="J115" s="610"/>
      <c r="K115" s="610"/>
      <c r="L115" s="610"/>
      <c r="M115" s="610"/>
      <c r="N115" s="610"/>
      <c r="O115" s="610"/>
      <c r="P115" s="610"/>
      <c r="Q115" s="610"/>
      <c r="R115" s="610"/>
      <c r="S115" s="610"/>
      <c r="T115" s="610"/>
      <c r="U115" s="610"/>
      <c r="V115" s="610"/>
      <c r="W115" s="610"/>
      <c r="X115" s="610"/>
      <c r="Y115" s="610"/>
      <c r="Z115" s="610"/>
      <c r="AA115" s="610"/>
      <c r="AB115" s="610"/>
      <c r="AC115" s="610"/>
      <c r="AD115" s="610"/>
      <c r="AG115" s="610"/>
      <c r="AH115" s="610"/>
    </row>
    <row r="116">
      <c r="B116" s="610"/>
      <c r="C116" s="610"/>
      <c r="D116" s="610"/>
      <c r="E116" s="610"/>
      <c r="F116" s="610"/>
      <c r="G116" s="610"/>
      <c r="H116" s="610"/>
      <c r="I116" s="610"/>
      <c r="J116" s="610"/>
      <c r="K116" s="610"/>
      <c r="L116" s="610"/>
      <c r="M116" s="610"/>
      <c r="N116" s="610"/>
      <c r="O116" s="610"/>
      <c r="P116" s="610"/>
      <c r="Q116" s="610"/>
      <c r="R116" s="610"/>
      <c r="S116" s="610"/>
      <c r="T116" s="610"/>
      <c r="U116" s="610"/>
      <c r="V116" s="610"/>
      <c r="W116" s="610"/>
      <c r="X116" s="610"/>
      <c r="Y116" s="610"/>
      <c r="Z116" s="610"/>
      <c r="AA116" s="610"/>
      <c r="AB116" s="610"/>
      <c r="AC116" s="610"/>
      <c r="AD116" s="610"/>
      <c r="AG116" s="610"/>
      <c r="AH116" s="610"/>
    </row>
    <row r="117">
      <c r="B117" s="610"/>
      <c r="C117" s="610"/>
      <c r="D117" s="610"/>
      <c r="E117" s="610"/>
      <c r="F117" s="610"/>
      <c r="G117" s="610"/>
      <c r="H117" s="610"/>
      <c r="I117" s="610"/>
      <c r="J117" s="610"/>
      <c r="K117" s="610"/>
      <c r="L117" s="610"/>
      <c r="M117" s="610"/>
      <c r="N117" s="610"/>
      <c r="O117" s="610"/>
      <c r="P117" s="610"/>
      <c r="Q117" s="610"/>
      <c r="R117" s="610"/>
      <c r="S117" s="610"/>
      <c r="T117" s="610"/>
      <c r="U117" s="610"/>
      <c r="V117" s="610"/>
      <c r="W117" s="610"/>
      <c r="X117" s="610"/>
      <c r="Y117" s="610"/>
      <c r="Z117" s="610"/>
      <c r="AA117" s="610"/>
      <c r="AB117" s="610"/>
      <c r="AC117" s="610"/>
      <c r="AD117" s="610"/>
      <c r="AG117" s="610"/>
      <c r="AH117" s="610"/>
    </row>
    <row r="118">
      <c r="B118" s="610"/>
      <c r="C118" s="610"/>
      <c r="D118" s="610"/>
      <c r="E118" s="610"/>
      <c r="F118" s="610"/>
      <c r="G118" s="610"/>
      <c r="H118" s="610"/>
      <c r="I118" s="610"/>
      <c r="J118" s="610"/>
      <c r="K118" s="610"/>
      <c r="L118" s="610"/>
      <c r="M118" s="610"/>
      <c r="N118" s="610"/>
      <c r="O118" s="610"/>
      <c r="P118" s="610"/>
      <c r="Q118" s="610"/>
      <c r="R118" s="610"/>
      <c r="S118" s="610"/>
      <c r="T118" s="610"/>
      <c r="U118" s="610"/>
      <c r="V118" s="610"/>
      <c r="W118" s="610"/>
      <c r="X118" s="610"/>
      <c r="Y118" s="610"/>
      <c r="Z118" s="610"/>
      <c r="AA118" s="610"/>
      <c r="AB118" s="610"/>
      <c r="AC118" s="610"/>
      <c r="AD118" s="610"/>
      <c r="AG118" s="610"/>
      <c r="AH118" s="610"/>
    </row>
    <row r="119">
      <c r="B119" s="610"/>
      <c r="C119" s="610"/>
      <c r="D119" s="610"/>
      <c r="E119" s="610"/>
      <c r="F119" s="610"/>
      <c r="G119" s="610"/>
      <c r="H119" s="610"/>
      <c r="I119" s="610"/>
      <c r="J119" s="610"/>
      <c r="K119" s="610"/>
      <c r="L119" s="610"/>
      <c r="M119" s="610"/>
      <c r="N119" s="610"/>
      <c r="O119" s="610"/>
      <c r="P119" s="610"/>
      <c r="Q119" s="610"/>
      <c r="R119" s="610"/>
      <c r="S119" s="610"/>
      <c r="T119" s="610"/>
      <c r="U119" s="610"/>
      <c r="V119" s="610"/>
      <c r="W119" s="610"/>
      <c r="X119" s="610"/>
      <c r="Y119" s="610"/>
      <c r="Z119" s="610"/>
      <c r="AA119" s="610"/>
      <c r="AB119" s="610"/>
      <c r="AC119" s="610"/>
      <c r="AD119" s="610"/>
      <c r="AG119" s="610"/>
      <c r="AH119" s="610"/>
    </row>
    <row r="120">
      <c r="B120" s="610"/>
      <c r="C120" s="610"/>
      <c r="D120" s="610"/>
      <c r="E120" s="610"/>
      <c r="F120" s="610"/>
      <c r="G120" s="610"/>
      <c r="H120" s="610"/>
      <c r="I120" s="610"/>
      <c r="J120" s="610"/>
      <c r="K120" s="610"/>
      <c r="L120" s="610"/>
      <c r="M120" s="610"/>
      <c r="N120" s="610"/>
      <c r="O120" s="610"/>
      <c r="P120" s="610"/>
      <c r="Q120" s="610"/>
      <c r="R120" s="610"/>
      <c r="S120" s="610"/>
      <c r="T120" s="610"/>
      <c r="U120" s="610"/>
      <c r="V120" s="610"/>
      <c r="W120" s="610"/>
      <c r="X120" s="610"/>
      <c r="Y120" s="610"/>
      <c r="Z120" s="610"/>
      <c r="AA120" s="610"/>
      <c r="AB120" s="610"/>
      <c r="AC120" s="610"/>
      <c r="AD120" s="610"/>
      <c r="AG120" s="610"/>
      <c r="AH120" s="610"/>
    </row>
    <row r="121">
      <c r="B121" s="610"/>
      <c r="C121" s="610"/>
      <c r="D121" s="610"/>
      <c r="E121" s="610"/>
      <c r="F121" s="610"/>
      <c r="G121" s="610"/>
      <c r="H121" s="610"/>
      <c r="I121" s="610"/>
      <c r="J121" s="610"/>
      <c r="K121" s="610"/>
      <c r="L121" s="610"/>
      <c r="M121" s="610"/>
      <c r="N121" s="610"/>
      <c r="O121" s="610"/>
      <c r="P121" s="610"/>
      <c r="Q121" s="610"/>
      <c r="R121" s="610"/>
      <c r="S121" s="610"/>
      <c r="T121" s="610"/>
      <c r="U121" s="610"/>
      <c r="V121" s="610"/>
      <c r="W121" s="610"/>
      <c r="X121" s="610"/>
      <c r="Y121" s="610"/>
      <c r="Z121" s="610"/>
      <c r="AA121" s="610"/>
      <c r="AB121" s="610"/>
      <c r="AC121" s="610"/>
      <c r="AD121" s="610"/>
      <c r="AG121" s="610"/>
      <c r="AH121" s="610"/>
    </row>
    <row r="122">
      <c r="B122" s="610"/>
      <c r="C122" s="610"/>
      <c r="D122" s="610"/>
      <c r="E122" s="610"/>
      <c r="F122" s="610"/>
      <c r="G122" s="610"/>
      <c r="H122" s="610"/>
      <c r="I122" s="610"/>
      <c r="J122" s="610"/>
      <c r="K122" s="610"/>
      <c r="L122" s="610"/>
      <c r="M122" s="610"/>
      <c r="N122" s="610"/>
      <c r="O122" s="610"/>
      <c r="P122" s="610"/>
      <c r="Q122" s="610"/>
      <c r="R122" s="610"/>
      <c r="S122" s="610"/>
      <c r="T122" s="610"/>
      <c r="U122" s="610"/>
      <c r="V122" s="610"/>
      <c r="W122" s="610"/>
      <c r="X122" s="610"/>
      <c r="Y122" s="610"/>
      <c r="Z122" s="610"/>
      <c r="AA122" s="610"/>
      <c r="AB122" s="610"/>
      <c r="AC122" s="610"/>
      <c r="AD122" s="610"/>
      <c r="AG122" s="610"/>
      <c r="AH122" s="610"/>
    </row>
    <row r="123">
      <c r="B123" s="610"/>
      <c r="C123" s="610"/>
      <c r="D123" s="610"/>
      <c r="E123" s="610"/>
      <c r="F123" s="610"/>
      <c r="G123" s="610"/>
      <c r="H123" s="610"/>
      <c r="I123" s="610"/>
      <c r="J123" s="610"/>
      <c r="K123" s="610"/>
      <c r="L123" s="610"/>
      <c r="M123" s="610"/>
      <c r="N123" s="610"/>
      <c r="O123" s="610"/>
      <c r="P123" s="610"/>
      <c r="Q123" s="610"/>
      <c r="R123" s="610"/>
      <c r="S123" s="610"/>
      <c r="T123" s="610"/>
      <c r="U123" s="610"/>
      <c r="V123" s="610"/>
      <c r="W123" s="610"/>
      <c r="X123" s="610"/>
      <c r="Y123" s="610"/>
      <c r="Z123" s="610"/>
      <c r="AA123" s="610"/>
      <c r="AB123" s="610"/>
      <c r="AC123" s="610"/>
      <c r="AD123" s="610"/>
      <c r="AG123" s="610"/>
      <c r="AH123" s="610"/>
    </row>
    <row r="124">
      <c r="B124" s="610"/>
      <c r="C124" s="610"/>
      <c r="D124" s="610"/>
      <c r="E124" s="610"/>
      <c r="F124" s="610"/>
      <c r="G124" s="610"/>
      <c r="H124" s="610"/>
      <c r="I124" s="610"/>
      <c r="J124" s="610"/>
      <c r="K124" s="610"/>
      <c r="L124" s="610"/>
      <c r="M124" s="610"/>
      <c r="N124" s="610"/>
      <c r="O124" s="610"/>
      <c r="P124" s="610"/>
      <c r="Q124" s="610"/>
      <c r="R124" s="610"/>
      <c r="S124" s="610"/>
      <c r="T124" s="610"/>
      <c r="U124" s="610"/>
      <c r="V124" s="610"/>
      <c r="W124" s="610"/>
      <c r="X124" s="610"/>
      <c r="Y124" s="610"/>
      <c r="Z124" s="610"/>
      <c r="AA124" s="610"/>
      <c r="AB124" s="610"/>
      <c r="AC124" s="610"/>
      <c r="AD124" s="610"/>
      <c r="AG124" s="610"/>
      <c r="AH124" s="610"/>
    </row>
    <row r="125">
      <c r="B125" s="610"/>
      <c r="C125" s="610"/>
      <c r="D125" s="610"/>
      <c r="E125" s="610"/>
      <c r="F125" s="610"/>
      <c r="G125" s="610"/>
      <c r="H125" s="610"/>
      <c r="I125" s="610"/>
      <c r="J125" s="610"/>
      <c r="K125" s="610"/>
      <c r="L125" s="610"/>
      <c r="M125" s="610"/>
      <c r="N125" s="610"/>
      <c r="O125" s="610"/>
      <c r="P125" s="610"/>
      <c r="Q125" s="610"/>
      <c r="R125" s="610"/>
      <c r="S125" s="610"/>
      <c r="T125" s="610"/>
      <c r="U125" s="610"/>
      <c r="V125" s="610"/>
      <c r="W125" s="610"/>
      <c r="X125" s="610"/>
      <c r="Y125" s="610"/>
      <c r="Z125" s="610"/>
      <c r="AA125" s="610"/>
      <c r="AB125" s="610"/>
      <c r="AC125" s="610"/>
      <c r="AD125" s="610"/>
      <c r="AG125" s="610"/>
      <c r="AH125" s="610"/>
    </row>
    <row r="126">
      <c r="B126" s="610"/>
      <c r="C126" s="610"/>
      <c r="D126" s="610"/>
      <c r="E126" s="610"/>
      <c r="F126" s="610"/>
      <c r="G126" s="610"/>
      <c r="H126" s="610"/>
      <c r="I126" s="610"/>
      <c r="J126" s="610"/>
      <c r="K126" s="610"/>
      <c r="L126" s="610"/>
      <c r="M126" s="610"/>
      <c r="N126" s="610"/>
      <c r="O126" s="610"/>
      <c r="P126" s="610"/>
      <c r="Q126" s="610"/>
      <c r="R126" s="610"/>
      <c r="S126" s="610"/>
      <c r="T126" s="610"/>
      <c r="U126" s="610"/>
      <c r="V126" s="610"/>
      <c r="W126" s="610"/>
      <c r="X126" s="610"/>
      <c r="Y126" s="610"/>
      <c r="Z126" s="610"/>
      <c r="AA126" s="610"/>
      <c r="AB126" s="610"/>
      <c r="AC126" s="610"/>
      <c r="AD126" s="610"/>
      <c r="AG126" s="610"/>
      <c r="AH126" s="610"/>
    </row>
    <row r="127">
      <c r="B127" s="610"/>
      <c r="C127" s="610"/>
      <c r="D127" s="610"/>
      <c r="E127" s="610"/>
      <c r="F127" s="610"/>
      <c r="G127" s="610"/>
      <c r="H127" s="610"/>
      <c r="I127" s="610"/>
      <c r="J127" s="610"/>
      <c r="K127" s="610"/>
      <c r="L127" s="610"/>
      <c r="M127" s="610"/>
      <c r="N127" s="610"/>
      <c r="O127" s="610"/>
      <c r="P127" s="610"/>
      <c r="Q127" s="610"/>
      <c r="R127" s="610"/>
      <c r="S127" s="610"/>
      <c r="T127" s="610"/>
      <c r="U127" s="610"/>
      <c r="V127" s="610"/>
      <c r="W127" s="610"/>
      <c r="X127" s="610"/>
      <c r="Y127" s="610"/>
      <c r="Z127" s="610"/>
      <c r="AA127" s="610"/>
      <c r="AB127" s="610"/>
      <c r="AC127" s="610"/>
      <c r="AD127" s="610"/>
      <c r="AG127" s="610"/>
      <c r="AH127" s="610"/>
    </row>
    <row r="128">
      <c r="B128" s="610"/>
      <c r="C128" s="610"/>
      <c r="D128" s="610"/>
      <c r="E128" s="610"/>
      <c r="F128" s="610"/>
      <c r="G128" s="610"/>
      <c r="H128" s="610"/>
      <c r="I128" s="610"/>
      <c r="J128" s="610"/>
      <c r="K128" s="610"/>
      <c r="L128" s="610"/>
      <c r="M128" s="610"/>
      <c r="N128" s="610"/>
      <c r="O128" s="610"/>
      <c r="P128" s="610"/>
      <c r="Q128" s="610"/>
      <c r="R128" s="610"/>
      <c r="S128" s="610"/>
      <c r="T128" s="610"/>
      <c r="U128" s="610"/>
      <c r="V128" s="610"/>
      <c r="W128" s="610"/>
      <c r="X128" s="610"/>
      <c r="Y128" s="610"/>
      <c r="Z128" s="610"/>
      <c r="AA128" s="610"/>
      <c r="AB128" s="610"/>
      <c r="AC128" s="610"/>
      <c r="AD128" s="610"/>
      <c r="AG128" s="610"/>
      <c r="AH128" s="610"/>
    </row>
    <row r="129">
      <c r="B129" s="610"/>
      <c r="C129" s="610"/>
      <c r="D129" s="610"/>
      <c r="E129" s="610"/>
      <c r="F129" s="610"/>
      <c r="G129" s="610"/>
      <c r="H129" s="610"/>
      <c r="I129" s="610"/>
      <c r="J129" s="610"/>
      <c r="K129" s="610"/>
      <c r="L129" s="610"/>
      <c r="M129" s="610"/>
      <c r="N129" s="610"/>
      <c r="O129" s="610"/>
      <c r="P129" s="610"/>
      <c r="Q129" s="610"/>
      <c r="R129" s="610"/>
      <c r="S129" s="610"/>
      <c r="T129" s="610"/>
      <c r="U129" s="610"/>
      <c r="V129" s="610"/>
      <c r="W129" s="610"/>
      <c r="X129" s="610"/>
      <c r="Y129" s="610"/>
      <c r="Z129" s="610"/>
      <c r="AA129" s="610"/>
      <c r="AB129" s="610"/>
      <c r="AC129" s="610"/>
      <c r="AD129" s="610"/>
      <c r="AG129" s="610"/>
      <c r="AH129" s="610"/>
    </row>
    <row r="130">
      <c r="B130" s="610"/>
      <c r="C130" s="610"/>
      <c r="D130" s="610"/>
      <c r="E130" s="610"/>
      <c r="F130" s="610"/>
      <c r="G130" s="610"/>
      <c r="H130" s="610"/>
      <c r="I130" s="610"/>
      <c r="J130" s="610"/>
      <c r="K130" s="610"/>
      <c r="L130" s="610"/>
      <c r="M130" s="610"/>
      <c r="N130" s="610"/>
      <c r="O130" s="610"/>
      <c r="P130" s="610"/>
      <c r="Q130" s="610"/>
      <c r="R130" s="610"/>
      <c r="S130" s="610"/>
      <c r="T130" s="610"/>
      <c r="U130" s="610"/>
      <c r="V130" s="610"/>
      <c r="W130" s="610"/>
      <c r="X130" s="610"/>
      <c r="Y130" s="610"/>
      <c r="Z130" s="610"/>
      <c r="AA130" s="610"/>
      <c r="AB130" s="610"/>
      <c r="AC130" s="610"/>
      <c r="AD130" s="610"/>
      <c r="AG130" s="610"/>
      <c r="AH130" s="610"/>
    </row>
    <row r="131">
      <c r="B131" s="610"/>
      <c r="C131" s="610"/>
      <c r="D131" s="610"/>
      <c r="E131" s="610"/>
      <c r="F131" s="610"/>
      <c r="G131" s="610"/>
      <c r="H131" s="610"/>
      <c r="I131" s="610"/>
      <c r="J131" s="610"/>
      <c r="K131" s="610"/>
      <c r="L131" s="610"/>
      <c r="M131" s="610"/>
      <c r="N131" s="610"/>
      <c r="O131" s="610"/>
      <c r="P131" s="610"/>
      <c r="Q131" s="610"/>
      <c r="R131" s="610"/>
      <c r="S131" s="610"/>
      <c r="T131" s="610"/>
      <c r="U131" s="610"/>
      <c r="V131" s="610"/>
      <c r="W131" s="610"/>
      <c r="X131" s="610"/>
      <c r="Y131" s="610"/>
      <c r="Z131" s="610"/>
      <c r="AA131" s="610"/>
      <c r="AB131" s="610"/>
      <c r="AC131" s="610"/>
      <c r="AD131" s="610"/>
      <c r="AG131" s="610"/>
      <c r="AH131" s="610"/>
    </row>
    <row r="132">
      <c r="B132" s="610"/>
      <c r="C132" s="610"/>
      <c r="D132" s="610"/>
      <c r="E132" s="610"/>
      <c r="F132" s="610"/>
      <c r="G132" s="610"/>
      <c r="H132" s="610"/>
      <c r="I132" s="610"/>
      <c r="J132" s="610"/>
      <c r="K132" s="610"/>
      <c r="L132" s="610"/>
      <c r="M132" s="610"/>
      <c r="N132" s="610"/>
      <c r="O132" s="610"/>
      <c r="P132" s="610"/>
      <c r="Q132" s="610"/>
      <c r="R132" s="610"/>
      <c r="S132" s="610"/>
      <c r="T132" s="610"/>
      <c r="U132" s="610"/>
      <c r="V132" s="610"/>
      <c r="W132" s="610"/>
      <c r="X132" s="610"/>
      <c r="Y132" s="610"/>
      <c r="Z132" s="610"/>
      <c r="AA132" s="610"/>
      <c r="AB132" s="610"/>
      <c r="AC132" s="610"/>
      <c r="AD132" s="610"/>
      <c r="AG132" s="610"/>
      <c r="AH132" s="610"/>
    </row>
    <row r="133">
      <c r="B133" s="610"/>
      <c r="C133" s="610"/>
      <c r="D133" s="610"/>
      <c r="E133" s="610"/>
      <c r="F133" s="610"/>
      <c r="G133" s="610"/>
      <c r="H133" s="610"/>
      <c r="I133" s="610"/>
      <c r="J133" s="610"/>
      <c r="K133" s="610"/>
      <c r="L133" s="610"/>
      <c r="M133" s="610"/>
      <c r="N133" s="610"/>
      <c r="O133" s="610"/>
      <c r="P133" s="610"/>
      <c r="Q133" s="610"/>
      <c r="R133" s="610"/>
      <c r="S133" s="610"/>
      <c r="T133" s="610"/>
      <c r="U133" s="610"/>
      <c r="V133" s="610"/>
      <c r="W133" s="610"/>
      <c r="X133" s="610"/>
      <c r="Y133" s="610"/>
      <c r="Z133" s="610"/>
      <c r="AA133" s="610"/>
      <c r="AB133" s="610"/>
      <c r="AC133" s="610"/>
      <c r="AD133" s="610"/>
      <c r="AG133" s="610"/>
      <c r="AH133" s="610"/>
    </row>
    <row r="134">
      <c r="B134" s="610"/>
      <c r="C134" s="610"/>
      <c r="D134" s="610"/>
      <c r="E134" s="610"/>
      <c r="F134" s="610"/>
      <c r="G134" s="610"/>
      <c r="H134" s="610"/>
      <c r="I134" s="610"/>
      <c r="J134" s="610"/>
      <c r="K134" s="610"/>
      <c r="L134" s="610"/>
      <c r="M134" s="610"/>
      <c r="N134" s="610"/>
      <c r="O134" s="610"/>
      <c r="P134" s="610"/>
      <c r="Q134" s="610"/>
      <c r="R134" s="610"/>
      <c r="S134" s="610"/>
      <c r="T134" s="610"/>
      <c r="U134" s="610"/>
      <c r="V134" s="610"/>
      <c r="W134" s="610"/>
      <c r="X134" s="610"/>
      <c r="Y134" s="610"/>
      <c r="Z134" s="610"/>
      <c r="AA134" s="610"/>
      <c r="AB134" s="610"/>
      <c r="AC134" s="610"/>
      <c r="AD134" s="610"/>
      <c r="AG134" s="610"/>
      <c r="AH134" s="610"/>
    </row>
    <row r="135">
      <c r="B135" s="610"/>
      <c r="C135" s="610"/>
      <c r="D135" s="610"/>
      <c r="E135" s="610"/>
      <c r="F135" s="610"/>
      <c r="G135" s="610"/>
      <c r="H135" s="610"/>
      <c r="I135" s="610"/>
      <c r="J135" s="610"/>
      <c r="K135" s="610"/>
      <c r="L135" s="610"/>
      <c r="M135" s="610"/>
      <c r="N135" s="610"/>
      <c r="O135" s="610"/>
      <c r="P135" s="610"/>
      <c r="Q135" s="610"/>
      <c r="R135" s="610"/>
      <c r="S135" s="610"/>
      <c r="T135" s="610"/>
      <c r="U135" s="610"/>
      <c r="V135" s="610"/>
      <c r="W135" s="610"/>
      <c r="X135" s="610"/>
      <c r="Y135" s="610"/>
      <c r="Z135" s="610"/>
      <c r="AA135" s="610"/>
      <c r="AB135" s="610"/>
      <c r="AC135" s="610"/>
      <c r="AD135" s="610"/>
      <c r="AG135" s="610"/>
      <c r="AH135" s="610"/>
    </row>
    <row r="136">
      <c r="B136" s="610"/>
      <c r="C136" s="610"/>
      <c r="D136" s="610"/>
      <c r="E136" s="610"/>
      <c r="F136" s="610"/>
      <c r="G136" s="610"/>
      <c r="H136" s="610"/>
      <c r="I136" s="610"/>
      <c r="J136" s="610"/>
      <c r="K136" s="610"/>
      <c r="L136" s="610"/>
      <c r="M136" s="610"/>
      <c r="N136" s="610"/>
      <c r="O136" s="610"/>
      <c r="P136" s="610"/>
      <c r="Q136" s="610"/>
      <c r="R136" s="610"/>
      <c r="S136" s="610"/>
      <c r="T136" s="610"/>
      <c r="U136" s="610"/>
      <c r="V136" s="610"/>
      <c r="W136" s="610"/>
      <c r="X136" s="610"/>
      <c r="Y136" s="610"/>
      <c r="Z136" s="610"/>
      <c r="AA136" s="610"/>
      <c r="AB136" s="610"/>
      <c r="AC136" s="610"/>
      <c r="AD136" s="610"/>
      <c r="AG136" s="610"/>
      <c r="AH136" s="610"/>
    </row>
    <row r="137">
      <c r="B137" s="610"/>
      <c r="C137" s="610"/>
      <c r="D137" s="610"/>
      <c r="E137" s="610"/>
      <c r="F137" s="610"/>
      <c r="G137" s="610"/>
      <c r="H137" s="610"/>
      <c r="I137" s="610"/>
      <c r="J137" s="610"/>
      <c r="K137" s="610"/>
      <c r="L137" s="610"/>
      <c r="M137" s="610"/>
      <c r="N137" s="610"/>
      <c r="O137" s="610"/>
      <c r="P137" s="610"/>
      <c r="Q137" s="610"/>
      <c r="R137" s="610"/>
      <c r="S137" s="610"/>
      <c r="T137" s="610"/>
      <c r="U137" s="610"/>
      <c r="V137" s="610"/>
      <c r="W137" s="610"/>
      <c r="X137" s="610"/>
      <c r="Y137" s="610"/>
      <c r="Z137" s="610"/>
      <c r="AA137" s="610"/>
      <c r="AB137" s="610"/>
      <c r="AC137" s="610"/>
      <c r="AD137" s="610"/>
      <c r="AG137" s="610"/>
      <c r="AH137" s="610"/>
    </row>
    <row r="138">
      <c r="B138" s="610"/>
      <c r="C138" s="610"/>
      <c r="D138" s="610"/>
      <c r="E138" s="610"/>
      <c r="F138" s="610"/>
      <c r="G138" s="610"/>
      <c r="H138" s="610"/>
      <c r="I138" s="610"/>
      <c r="J138" s="610"/>
      <c r="K138" s="610"/>
      <c r="L138" s="610"/>
      <c r="M138" s="610"/>
      <c r="N138" s="610"/>
      <c r="O138" s="610"/>
      <c r="P138" s="610"/>
      <c r="Q138" s="610"/>
      <c r="R138" s="610"/>
      <c r="S138" s="610"/>
      <c r="T138" s="610"/>
      <c r="U138" s="610"/>
      <c r="V138" s="610"/>
      <c r="W138" s="610"/>
      <c r="X138" s="610"/>
      <c r="Y138" s="610"/>
      <c r="Z138" s="610"/>
      <c r="AA138" s="610"/>
      <c r="AB138" s="610"/>
      <c r="AC138" s="610"/>
      <c r="AD138" s="610"/>
      <c r="AG138" s="610"/>
      <c r="AH138" s="610"/>
    </row>
    <row r="139">
      <c r="B139" s="610"/>
      <c r="C139" s="610"/>
      <c r="D139" s="610"/>
      <c r="E139" s="610"/>
      <c r="F139" s="610"/>
      <c r="G139" s="610"/>
      <c r="H139" s="610"/>
      <c r="I139" s="610"/>
      <c r="J139" s="610"/>
      <c r="K139" s="610"/>
      <c r="L139" s="610"/>
      <c r="M139" s="610"/>
      <c r="N139" s="610"/>
      <c r="O139" s="610"/>
      <c r="P139" s="610"/>
      <c r="Q139" s="610"/>
      <c r="R139" s="610"/>
      <c r="S139" s="610"/>
      <c r="T139" s="610"/>
      <c r="U139" s="610"/>
      <c r="V139" s="610"/>
      <c r="W139" s="610"/>
      <c r="X139" s="610"/>
      <c r="Y139" s="610"/>
      <c r="Z139" s="610"/>
      <c r="AA139" s="610"/>
      <c r="AB139" s="610"/>
      <c r="AC139" s="610"/>
      <c r="AD139" s="610"/>
      <c r="AG139" s="610"/>
      <c r="AH139" s="610"/>
    </row>
    <row r="140">
      <c r="B140" s="610"/>
      <c r="C140" s="610"/>
      <c r="D140" s="610"/>
      <c r="E140" s="610"/>
      <c r="F140" s="610"/>
      <c r="G140" s="610"/>
      <c r="H140" s="610"/>
      <c r="I140" s="610"/>
      <c r="J140" s="610"/>
      <c r="K140" s="610"/>
      <c r="L140" s="610"/>
      <c r="M140" s="610"/>
      <c r="N140" s="610"/>
      <c r="O140" s="610"/>
      <c r="P140" s="610"/>
      <c r="Q140" s="610"/>
      <c r="R140" s="610"/>
      <c r="S140" s="610"/>
      <c r="T140" s="610"/>
      <c r="U140" s="610"/>
      <c r="V140" s="610"/>
      <c r="W140" s="610"/>
      <c r="X140" s="610"/>
      <c r="Y140" s="610"/>
      <c r="Z140" s="610"/>
      <c r="AA140" s="610"/>
      <c r="AB140" s="610"/>
      <c r="AC140" s="610"/>
      <c r="AD140" s="610"/>
      <c r="AG140" s="610"/>
      <c r="AH140" s="610"/>
    </row>
    <row r="141">
      <c r="B141" s="610"/>
      <c r="C141" s="610"/>
      <c r="D141" s="610"/>
      <c r="E141" s="610"/>
      <c r="F141" s="610"/>
      <c r="G141" s="610"/>
      <c r="H141" s="610"/>
      <c r="I141" s="610"/>
      <c r="J141" s="610"/>
      <c r="K141" s="610"/>
      <c r="L141" s="610"/>
      <c r="M141" s="610"/>
      <c r="N141" s="610"/>
      <c r="O141" s="610"/>
      <c r="P141" s="610"/>
      <c r="Q141" s="610"/>
      <c r="R141" s="610"/>
      <c r="S141" s="610"/>
      <c r="T141" s="610"/>
      <c r="U141" s="610"/>
      <c r="V141" s="610"/>
      <c r="W141" s="610"/>
      <c r="X141" s="610"/>
      <c r="Y141" s="610"/>
      <c r="Z141" s="610"/>
      <c r="AA141" s="610"/>
      <c r="AB141" s="610"/>
      <c r="AC141" s="610"/>
      <c r="AD141" s="610"/>
      <c r="AG141" s="610"/>
      <c r="AH141" s="610"/>
    </row>
    <row r="142">
      <c r="B142" s="610"/>
      <c r="C142" s="610"/>
      <c r="D142" s="610"/>
      <c r="E142" s="610"/>
      <c r="F142" s="610"/>
      <c r="G142" s="610"/>
      <c r="H142" s="610"/>
      <c r="I142" s="610"/>
      <c r="J142" s="610"/>
      <c r="K142" s="610"/>
      <c r="L142" s="610"/>
      <c r="M142" s="610"/>
      <c r="N142" s="610"/>
      <c r="O142" s="610"/>
      <c r="P142" s="610"/>
      <c r="Q142" s="610"/>
      <c r="R142" s="610"/>
      <c r="S142" s="610"/>
      <c r="T142" s="610"/>
      <c r="U142" s="610"/>
      <c r="V142" s="610"/>
      <c r="W142" s="610"/>
      <c r="X142" s="610"/>
      <c r="Y142" s="610"/>
      <c r="Z142" s="610"/>
      <c r="AA142" s="610"/>
      <c r="AB142" s="610"/>
      <c r="AC142" s="610"/>
      <c r="AD142" s="610"/>
      <c r="AG142" s="610"/>
      <c r="AH142" s="610"/>
    </row>
    <row r="143">
      <c r="B143" s="610"/>
      <c r="C143" s="610"/>
      <c r="D143" s="610"/>
      <c r="E143" s="610"/>
      <c r="F143" s="610"/>
      <c r="G143" s="610"/>
      <c r="H143" s="610"/>
      <c r="I143" s="610"/>
      <c r="J143" s="610"/>
      <c r="K143" s="610"/>
      <c r="L143" s="610"/>
      <c r="M143" s="610"/>
      <c r="N143" s="610"/>
      <c r="O143" s="610"/>
      <c r="P143" s="610"/>
      <c r="Q143" s="610"/>
      <c r="R143" s="610"/>
      <c r="S143" s="610"/>
      <c r="T143" s="610"/>
      <c r="U143" s="610"/>
      <c r="V143" s="610"/>
      <c r="W143" s="610"/>
      <c r="X143" s="610"/>
      <c r="Y143" s="610"/>
      <c r="Z143" s="610"/>
      <c r="AA143" s="610"/>
      <c r="AB143" s="610"/>
      <c r="AC143" s="610"/>
      <c r="AD143" s="610"/>
      <c r="AG143" s="610"/>
      <c r="AH143" s="610"/>
    </row>
    <row r="144">
      <c r="B144" s="610"/>
      <c r="C144" s="610"/>
      <c r="D144" s="610"/>
      <c r="E144" s="610"/>
      <c r="F144" s="610"/>
      <c r="G144" s="610"/>
      <c r="H144" s="610"/>
      <c r="I144" s="610"/>
      <c r="J144" s="610"/>
      <c r="K144" s="610"/>
      <c r="L144" s="610"/>
      <c r="M144" s="610"/>
      <c r="N144" s="610"/>
      <c r="O144" s="610"/>
      <c r="P144" s="610"/>
      <c r="Q144" s="610"/>
      <c r="R144" s="610"/>
      <c r="S144" s="610"/>
      <c r="T144" s="610"/>
      <c r="U144" s="610"/>
      <c r="V144" s="610"/>
      <c r="W144" s="610"/>
      <c r="X144" s="610"/>
      <c r="Y144" s="610"/>
      <c r="Z144" s="610"/>
      <c r="AA144" s="610"/>
      <c r="AB144" s="610"/>
      <c r="AC144" s="610"/>
      <c r="AD144" s="610"/>
      <c r="AG144" s="610"/>
      <c r="AH144" s="610"/>
    </row>
    <row r="145">
      <c r="B145" s="610"/>
      <c r="C145" s="610"/>
      <c r="D145" s="610"/>
      <c r="E145" s="610"/>
      <c r="F145" s="610"/>
      <c r="G145" s="610"/>
      <c r="H145" s="610"/>
      <c r="I145" s="610"/>
      <c r="J145" s="610"/>
      <c r="K145" s="610"/>
      <c r="L145" s="610"/>
      <c r="M145" s="610"/>
      <c r="N145" s="610"/>
      <c r="O145" s="610"/>
      <c r="P145" s="610"/>
      <c r="Q145" s="610"/>
      <c r="R145" s="610"/>
      <c r="S145" s="610"/>
      <c r="T145" s="610"/>
      <c r="U145" s="610"/>
      <c r="V145" s="610"/>
      <c r="W145" s="610"/>
      <c r="X145" s="610"/>
      <c r="Y145" s="610"/>
      <c r="Z145" s="610"/>
      <c r="AA145" s="610"/>
      <c r="AB145" s="610"/>
      <c r="AC145" s="610"/>
      <c r="AD145" s="610"/>
      <c r="AG145" s="610"/>
      <c r="AH145" s="610"/>
    </row>
    <row r="146">
      <c r="B146" s="610"/>
      <c r="C146" s="610"/>
      <c r="D146" s="610"/>
      <c r="E146" s="610"/>
      <c r="F146" s="610"/>
      <c r="G146" s="610"/>
      <c r="H146" s="610"/>
      <c r="I146" s="610"/>
      <c r="J146" s="610"/>
      <c r="K146" s="610"/>
      <c r="L146" s="610"/>
      <c r="M146" s="610"/>
      <c r="N146" s="610"/>
      <c r="O146" s="610"/>
      <c r="P146" s="610"/>
      <c r="Q146" s="610"/>
      <c r="R146" s="610"/>
      <c r="S146" s="610"/>
      <c r="T146" s="610"/>
      <c r="U146" s="610"/>
      <c r="V146" s="610"/>
      <c r="W146" s="610"/>
      <c r="X146" s="610"/>
      <c r="Y146" s="610"/>
      <c r="Z146" s="610"/>
      <c r="AA146" s="610"/>
      <c r="AB146" s="610"/>
      <c r="AC146" s="610"/>
      <c r="AD146" s="610"/>
      <c r="AG146" s="610"/>
      <c r="AH146" s="610"/>
    </row>
    <row r="147">
      <c r="B147" s="610"/>
      <c r="C147" s="610"/>
      <c r="D147" s="610"/>
      <c r="E147" s="610"/>
      <c r="F147" s="610"/>
      <c r="G147" s="610"/>
      <c r="H147" s="610"/>
      <c r="I147" s="610"/>
      <c r="J147" s="610"/>
      <c r="K147" s="610"/>
      <c r="L147" s="610"/>
      <c r="M147" s="610"/>
      <c r="N147" s="610"/>
      <c r="O147" s="610"/>
      <c r="P147" s="610"/>
      <c r="Q147" s="610"/>
      <c r="R147" s="610"/>
      <c r="S147" s="610"/>
      <c r="T147" s="610"/>
      <c r="U147" s="610"/>
      <c r="V147" s="610"/>
      <c r="W147" s="610"/>
      <c r="X147" s="610"/>
      <c r="Y147" s="610"/>
      <c r="Z147" s="610"/>
      <c r="AA147" s="610"/>
      <c r="AB147" s="610"/>
      <c r="AC147" s="610"/>
      <c r="AD147" s="610"/>
      <c r="AG147" s="610"/>
      <c r="AH147" s="610"/>
    </row>
    <row r="148">
      <c r="B148" s="610"/>
      <c r="C148" s="610"/>
      <c r="D148" s="610"/>
      <c r="E148" s="610"/>
      <c r="F148" s="610"/>
      <c r="G148" s="610"/>
      <c r="H148" s="610"/>
      <c r="I148" s="610"/>
      <c r="J148" s="610"/>
      <c r="K148" s="610"/>
      <c r="L148" s="610"/>
      <c r="M148" s="610"/>
      <c r="N148" s="610"/>
      <c r="O148" s="610"/>
      <c r="P148" s="610"/>
      <c r="Q148" s="610"/>
      <c r="R148" s="610"/>
      <c r="S148" s="610"/>
      <c r="T148" s="610"/>
      <c r="U148" s="610"/>
      <c r="V148" s="610"/>
      <c r="W148" s="610"/>
      <c r="X148" s="610"/>
      <c r="Y148" s="610"/>
      <c r="Z148" s="610"/>
      <c r="AA148" s="610"/>
      <c r="AB148" s="610"/>
      <c r="AC148" s="610"/>
      <c r="AD148" s="610"/>
      <c r="AG148" s="610"/>
      <c r="AH148" s="610"/>
    </row>
    <row r="149">
      <c r="B149" s="610"/>
      <c r="C149" s="610"/>
      <c r="D149" s="610"/>
      <c r="E149" s="610"/>
      <c r="F149" s="610"/>
      <c r="G149" s="610"/>
      <c r="H149" s="610"/>
      <c r="I149" s="610"/>
      <c r="J149" s="610"/>
      <c r="K149" s="610"/>
      <c r="L149" s="610"/>
      <c r="M149" s="610"/>
      <c r="N149" s="610"/>
      <c r="O149" s="610"/>
      <c r="P149" s="610"/>
      <c r="Q149" s="610"/>
      <c r="R149" s="610"/>
      <c r="S149" s="610"/>
      <c r="T149" s="610"/>
      <c r="U149" s="610"/>
      <c r="V149" s="610"/>
      <c r="W149" s="610"/>
      <c r="X149" s="610"/>
      <c r="Y149" s="610"/>
      <c r="Z149" s="610"/>
      <c r="AA149" s="610"/>
      <c r="AB149" s="610"/>
      <c r="AC149" s="610"/>
      <c r="AD149" s="610"/>
      <c r="AG149" s="610"/>
      <c r="AH149" s="610"/>
    </row>
    <row r="150">
      <c r="B150" s="610"/>
      <c r="C150" s="610"/>
      <c r="D150" s="610"/>
      <c r="E150" s="610"/>
      <c r="F150" s="610"/>
      <c r="G150" s="610"/>
      <c r="H150" s="610"/>
      <c r="I150" s="610"/>
      <c r="J150" s="610"/>
      <c r="K150" s="610"/>
      <c r="L150" s="610"/>
      <c r="M150" s="610"/>
      <c r="N150" s="610"/>
      <c r="O150" s="610"/>
      <c r="P150" s="610"/>
      <c r="Q150" s="610"/>
      <c r="R150" s="610"/>
      <c r="S150" s="610"/>
      <c r="T150" s="610"/>
      <c r="U150" s="610"/>
      <c r="V150" s="610"/>
      <c r="W150" s="610"/>
      <c r="X150" s="610"/>
      <c r="Y150" s="610"/>
      <c r="Z150" s="610"/>
      <c r="AA150" s="610"/>
      <c r="AB150" s="610"/>
      <c r="AC150" s="610"/>
      <c r="AD150" s="610"/>
      <c r="AG150" s="610"/>
      <c r="AH150" s="610"/>
    </row>
    <row r="151">
      <c r="B151" s="610"/>
      <c r="C151" s="610"/>
      <c r="D151" s="610"/>
      <c r="E151" s="610"/>
      <c r="F151" s="610"/>
      <c r="G151" s="610"/>
      <c r="H151" s="610"/>
      <c r="I151" s="610"/>
      <c r="J151" s="610"/>
      <c r="K151" s="610"/>
      <c r="L151" s="610"/>
      <c r="M151" s="610"/>
      <c r="N151" s="610"/>
      <c r="O151" s="610"/>
      <c r="P151" s="610"/>
      <c r="Q151" s="610"/>
      <c r="R151" s="610"/>
      <c r="S151" s="610"/>
      <c r="T151" s="610"/>
      <c r="U151" s="610"/>
      <c r="V151" s="610"/>
      <c r="W151" s="610"/>
      <c r="X151" s="610"/>
      <c r="Y151" s="610"/>
      <c r="Z151" s="610"/>
      <c r="AA151" s="610"/>
      <c r="AB151" s="610"/>
      <c r="AC151" s="610"/>
      <c r="AD151" s="610"/>
      <c r="AG151" s="610"/>
      <c r="AH151" s="610"/>
    </row>
    <row r="152">
      <c r="B152" s="610"/>
      <c r="C152" s="610"/>
      <c r="D152" s="610"/>
      <c r="E152" s="610"/>
      <c r="F152" s="610"/>
      <c r="G152" s="610"/>
      <c r="H152" s="610"/>
      <c r="I152" s="610"/>
      <c r="J152" s="610"/>
      <c r="K152" s="610"/>
      <c r="L152" s="610"/>
      <c r="M152" s="610"/>
      <c r="N152" s="610"/>
      <c r="O152" s="610"/>
      <c r="P152" s="610"/>
      <c r="Q152" s="610"/>
      <c r="R152" s="610"/>
      <c r="S152" s="610"/>
      <c r="T152" s="610"/>
      <c r="U152" s="610"/>
      <c r="V152" s="610"/>
      <c r="W152" s="610"/>
      <c r="X152" s="610"/>
      <c r="Y152" s="610"/>
      <c r="Z152" s="610"/>
      <c r="AA152" s="610"/>
      <c r="AB152" s="610"/>
      <c r="AC152" s="610"/>
      <c r="AD152" s="610"/>
      <c r="AG152" s="610"/>
      <c r="AH152" s="610"/>
    </row>
    <row r="153">
      <c r="B153" s="610"/>
      <c r="C153" s="610"/>
      <c r="D153" s="610"/>
      <c r="E153" s="610"/>
      <c r="F153" s="610"/>
      <c r="G153" s="610"/>
      <c r="H153" s="610"/>
      <c r="I153" s="610"/>
      <c r="J153" s="610"/>
      <c r="K153" s="610"/>
      <c r="L153" s="610"/>
      <c r="M153" s="610"/>
      <c r="N153" s="610"/>
      <c r="O153" s="610"/>
      <c r="P153" s="610"/>
      <c r="Q153" s="610"/>
      <c r="R153" s="610"/>
      <c r="S153" s="610"/>
      <c r="T153" s="610"/>
      <c r="U153" s="610"/>
      <c r="V153" s="610"/>
      <c r="W153" s="610"/>
      <c r="X153" s="610"/>
      <c r="Y153" s="610"/>
      <c r="Z153" s="610"/>
      <c r="AA153" s="610"/>
      <c r="AB153" s="610"/>
      <c r="AC153" s="610"/>
      <c r="AD153" s="610"/>
      <c r="AG153" s="610"/>
      <c r="AH153" s="610"/>
    </row>
    <row r="154">
      <c r="B154" s="610"/>
      <c r="C154" s="610"/>
      <c r="D154" s="610"/>
      <c r="E154" s="610"/>
      <c r="F154" s="610"/>
      <c r="G154" s="610"/>
      <c r="H154" s="610"/>
      <c r="I154" s="610"/>
      <c r="J154" s="610"/>
      <c r="K154" s="610"/>
      <c r="L154" s="610"/>
      <c r="M154" s="610"/>
      <c r="N154" s="610"/>
      <c r="O154" s="610"/>
      <c r="P154" s="610"/>
      <c r="Q154" s="610"/>
      <c r="R154" s="610"/>
      <c r="S154" s="610"/>
      <c r="T154" s="610"/>
      <c r="U154" s="610"/>
      <c r="V154" s="610"/>
      <c r="W154" s="610"/>
      <c r="X154" s="610"/>
      <c r="Y154" s="610"/>
      <c r="Z154" s="610"/>
      <c r="AA154" s="610"/>
      <c r="AB154" s="610"/>
      <c r="AC154" s="610"/>
      <c r="AD154" s="610"/>
      <c r="AG154" s="610"/>
      <c r="AH154" s="610"/>
    </row>
    <row r="155">
      <c r="B155" s="610"/>
      <c r="C155" s="610"/>
      <c r="D155" s="610"/>
      <c r="E155" s="610"/>
      <c r="F155" s="610"/>
      <c r="G155" s="610"/>
      <c r="H155" s="610"/>
      <c r="I155" s="610"/>
      <c r="J155" s="610"/>
      <c r="K155" s="610"/>
      <c r="L155" s="610"/>
      <c r="M155" s="610"/>
      <c r="N155" s="610"/>
      <c r="O155" s="610"/>
      <c r="P155" s="610"/>
      <c r="Q155" s="610"/>
      <c r="R155" s="610"/>
      <c r="S155" s="610"/>
      <c r="T155" s="610"/>
      <c r="U155" s="610"/>
      <c r="V155" s="610"/>
      <c r="W155" s="610"/>
      <c r="X155" s="610"/>
      <c r="Y155" s="610"/>
      <c r="Z155" s="610"/>
      <c r="AA155" s="610"/>
      <c r="AB155" s="610"/>
      <c r="AC155" s="610"/>
      <c r="AD155" s="610"/>
      <c r="AG155" s="610"/>
      <c r="AH155" s="610"/>
    </row>
    <row r="156">
      <c r="B156" s="610"/>
      <c r="C156" s="610"/>
      <c r="D156" s="610"/>
      <c r="E156" s="610"/>
      <c r="F156" s="610"/>
      <c r="G156" s="610"/>
      <c r="H156" s="610"/>
      <c r="I156" s="610"/>
      <c r="J156" s="610"/>
      <c r="K156" s="610"/>
      <c r="L156" s="610"/>
      <c r="M156" s="610"/>
      <c r="N156" s="610"/>
      <c r="O156" s="610"/>
      <c r="P156" s="610"/>
      <c r="Q156" s="610"/>
      <c r="R156" s="610"/>
      <c r="S156" s="610"/>
      <c r="T156" s="610"/>
      <c r="U156" s="610"/>
      <c r="V156" s="610"/>
      <c r="W156" s="610"/>
      <c r="X156" s="610"/>
      <c r="Y156" s="610"/>
      <c r="Z156" s="610"/>
      <c r="AA156" s="610"/>
      <c r="AB156" s="610"/>
      <c r="AC156" s="610"/>
      <c r="AD156" s="610"/>
      <c r="AG156" s="610"/>
      <c r="AH156" s="610"/>
    </row>
    <row r="157">
      <c r="B157" s="610"/>
      <c r="C157" s="610"/>
      <c r="D157" s="610"/>
      <c r="E157" s="610"/>
      <c r="F157" s="610"/>
      <c r="G157" s="610"/>
      <c r="H157" s="610"/>
      <c r="I157" s="610"/>
      <c r="J157" s="610"/>
      <c r="K157" s="610"/>
      <c r="L157" s="610"/>
      <c r="M157" s="610"/>
      <c r="N157" s="610"/>
      <c r="O157" s="610"/>
      <c r="P157" s="610"/>
      <c r="Q157" s="610"/>
      <c r="R157" s="610"/>
      <c r="S157" s="610"/>
      <c r="T157" s="610"/>
      <c r="U157" s="610"/>
      <c r="V157" s="610"/>
      <c r="W157" s="610"/>
      <c r="X157" s="610"/>
      <c r="Y157" s="610"/>
      <c r="Z157" s="610"/>
      <c r="AA157" s="610"/>
      <c r="AB157" s="610"/>
      <c r="AC157" s="610"/>
      <c r="AD157" s="610"/>
      <c r="AG157" s="610"/>
      <c r="AH157" s="610"/>
    </row>
    <row r="158">
      <c r="B158" s="610"/>
      <c r="C158" s="610"/>
      <c r="D158" s="610"/>
      <c r="E158" s="610"/>
      <c r="F158" s="610"/>
      <c r="G158" s="610"/>
      <c r="H158" s="610"/>
      <c r="I158" s="610"/>
      <c r="J158" s="610"/>
      <c r="K158" s="610"/>
      <c r="L158" s="610"/>
      <c r="M158" s="610"/>
      <c r="N158" s="610"/>
      <c r="O158" s="610"/>
      <c r="P158" s="610"/>
      <c r="Q158" s="610"/>
      <c r="R158" s="610"/>
      <c r="S158" s="610"/>
      <c r="T158" s="610"/>
      <c r="U158" s="610"/>
      <c r="V158" s="610"/>
      <c r="W158" s="610"/>
      <c r="X158" s="610"/>
      <c r="Y158" s="610"/>
      <c r="Z158" s="610"/>
      <c r="AA158" s="610"/>
      <c r="AB158" s="610"/>
      <c r="AC158" s="610"/>
      <c r="AD158" s="610"/>
      <c r="AG158" s="610"/>
      <c r="AH158" s="610"/>
    </row>
    <row r="159">
      <c r="B159" s="610"/>
      <c r="C159" s="610"/>
      <c r="D159" s="610"/>
      <c r="E159" s="610"/>
      <c r="F159" s="610"/>
      <c r="G159" s="610"/>
      <c r="H159" s="610"/>
      <c r="I159" s="610"/>
      <c r="J159" s="610"/>
      <c r="K159" s="610"/>
      <c r="L159" s="610"/>
      <c r="M159" s="610"/>
      <c r="N159" s="610"/>
      <c r="O159" s="610"/>
      <c r="P159" s="610"/>
      <c r="Q159" s="610"/>
      <c r="R159" s="610"/>
      <c r="S159" s="610"/>
      <c r="T159" s="610"/>
      <c r="U159" s="610"/>
      <c r="V159" s="610"/>
      <c r="W159" s="610"/>
      <c r="X159" s="610"/>
      <c r="Y159" s="610"/>
      <c r="Z159" s="610"/>
      <c r="AA159" s="610"/>
      <c r="AB159" s="610"/>
      <c r="AC159" s="610"/>
      <c r="AD159" s="610"/>
      <c r="AG159" s="610"/>
      <c r="AH159" s="610"/>
    </row>
    <row r="160">
      <c r="B160" s="610"/>
      <c r="C160" s="610"/>
      <c r="D160" s="610"/>
      <c r="E160" s="610"/>
      <c r="F160" s="610"/>
      <c r="G160" s="610"/>
      <c r="H160" s="610"/>
      <c r="I160" s="610"/>
      <c r="J160" s="610"/>
      <c r="K160" s="610"/>
      <c r="L160" s="610"/>
      <c r="M160" s="610"/>
      <c r="N160" s="610"/>
      <c r="O160" s="610"/>
      <c r="P160" s="610"/>
      <c r="Q160" s="610"/>
      <c r="R160" s="610"/>
      <c r="S160" s="610"/>
      <c r="T160" s="610"/>
      <c r="U160" s="610"/>
      <c r="V160" s="610"/>
      <c r="W160" s="610"/>
      <c r="X160" s="610"/>
      <c r="Y160" s="610"/>
      <c r="Z160" s="610"/>
      <c r="AA160" s="610"/>
      <c r="AB160" s="610"/>
      <c r="AC160" s="610"/>
      <c r="AD160" s="610"/>
      <c r="AG160" s="610"/>
      <c r="AH160" s="610"/>
    </row>
    <row r="161">
      <c r="B161" s="610"/>
      <c r="C161" s="610"/>
      <c r="D161" s="610"/>
      <c r="E161" s="610"/>
      <c r="F161" s="610"/>
      <c r="G161" s="610"/>
      <c r="H161" s="610"/>
      <c r="I161" s="610"/>
      <c r="J161" s="610"/>
      <c r="K161" s="610"/>
      <c r="L161" s="610"/>
      <c r="M161" s="610"/>
      <c r="N161" s="610"/>
      <c r="O161" s="610"/>
      <c r="P161" s="610"/>
      <c r="Q161" s="610"/>
      <c r="R161" s="610"/>
      <c r="S161" s="610"/>
      <c r="T161" s="610"/>
      <c r="U161" s="610"/>
      <c r="V161" s="610"/>
      <c r="W161" s="610"/>
      <c r="X161" s="610"/>
      <c r="Y161" s="610"/>
      <c r="Z161" s="610"/>
      <c r="AA161" s="610"/>
      <c r="AB161" s="610"/>
      <c r="AC161" s="610"/>
      <c r="AD161" s="610"/>
      <c r="AG161" s="610"/>
      <c r="AH161" s="610"/>
    </row>
    <row r="162">
      <c r="B162" s="610"/>
      <c r="C162" s="610"/>
      <c r="D162" s="610"/>
      <c r="E162" s="610"/>
      <c r="F162" s="610"/>
      <c r="G162" s="610"/>
      <c r="H162" s="610"/>
      <c r="I162" s="610"/>
      <c r="J162" s="610"/>
      <c r="K162" s="610"/>
      <c r="L162" s="610"/>
      <c r="M162" s="610"/>
      <c r="N162" s="610"/>
      <c r="O162" s="610"/>
      <c r="P162" s="610"/>
      <c r="Q162" s="610"/>
      <c r="R162" s="610"/>
      <c r="S162" s="610"/>
      <c r="T162" s="610"/>
      <c r="U162" s="610"/>
      <c r="V162" s="610"/>
      <c r="W162" s="610"/>
      <c r="X162" s="610"/>
      <c r="Y162" s="610"/>
      <c r="Z162" s="610"/>
      <c r="AA162" s="610"/>
      <c r="AB162" s="610"/>
      <c r="AC162" s="610"/>
      <c r="AD162" s="610"/>
      <c r="AG162" s="610"/>
      <c r="AH162" s="610"/>
    </row>
    <row r="163">
      <c r="B163" s="610"/>
      <c r="C163" s="610"/>
      <c r="D163" s="610"/>
      <c r="E163" s="610"/>
      <c r="F163" s="610"/>
      <c r="G163" s="610"/>
      <c r="H163" s="610"/>
      <c r="I163" s="610"/>
      <c r="J163" s="610"/>
      <c r="K163" s="610"/>
      <c r="L163" s="610"/>
      <c r="M163" s="610"/>
      <c r="N163" s="610"/>
      <c r="O163" s="610"/>
      <c r="P163" s="610"/>
      <c r="Q163" s="610"/>
      <c r="R163" s="610"/>
      <c r="S163" s="610"/>
      <c r="T163" s="610"/>
      <c r="U163" s="610"/>
      <c r="V163" s="610"/>
      <c r="W163" s="610"/>
      <c r="X163" s="610"/>
      <c r="Y163" s="610"/>
      <c r="Z163" s="610"/>
      <c r="AA163" s="610"/>
      <c r="AB163" s="610"/>
      <c r="AC163" s="610"/>
      <c r="AD163" s="610"/>
      <c r="AG163" s="610"/>
      <c r="AH163" s="610"/>
    </row>
    <row r="164">
      <c r="B164" s="610"/>
      <c r="C164" s="610"/>
      <c r="D164" s="610"/>
      <c r="E164" s="610"/>
      <c r="F164" s="610"/>
      <c r="G164" s="610"/>
      <c r="H164" s="610"/>
      <c r="I164" s="610"/>
      <c r="J164" s="610"/>
      <c r="K164" s="610"/>
      <c r="L164" s="610"/>
      <c r="M164" s="610"/>
      <c r="N164" s="610"/>
      <c r="O164" s="610"/>
      <c r="P164" s="610"/>
      <c r="Q164" s="610"/>
      <c r="R164" s="610"/>
      <c r="S164" s="610"/>
      <c r="T164" s="610"/>
      <c r="U164" s="610"/>
      <c r="V164" s="610"/>
      <c r="W164" s="610"/>
      <c r="X164" s="610"/>
      <c r="Y164" s="610"/>
      <c r="Z164" s="610"/>
      <c r="AA164" s="610"/>
      <c r="AB164" s="610"/>
      <c r="AC164" s="610"/>
      <c r="AD164" s="610"/>
      <c r="AG164" s="610"/>
      <c r="AH164" s="610"/>
    </row>
    <row r="165">
      <c r="B165" s="610"/>
      <c r="C165" s="610"/>
      <c r="D165" s="610"/>
      <c r="E165" s="610"/>
      <c r="F165" s="610"/>
      <c r="G165" s="610"/>
      <c r="H165" s="610"/>
      <c r="I165" s="610"/>
      <c r="J165" s="610"/>
      <c r="K165" s="610"/>
      <c r="L165" s="610"/>
      <c r="M165" s="610"/>
      <c r="N165" s="610"/>
      <c r="O165" s="610"/>
      <c r="P165" s="610"/>
      <c r="Q165" s="610"/>
      <c r="R165" s="610"/>
      <c r="S165" s="610"/>
      <c r="T165" s="610"/>
      <c r="U165" s="610"/>
      <c r="V165" s="610"/>
      <c r="W165" s="610"/>
      <c r="X165" s="610"/>
      <c r="Y165" s="610"/>
      <c r="Z165" s="610"/>
      <c r="AA165" s="610"/>
      <c r="AB165" s="610"/>
      <c r="AC165" s="610"/>
      <c r="AD165" s="610"/>
      <c r="AG165" s="610"/>
      <c r="AH165" s="610"/>
    </row>
    <row r="166">
      <c r="B166" s="610"/>
      <c r="C166" s="610"/>
      <c r="D166" s="610"/>
      <c r="E166" s="610"/>
      <c r="F166" s="610"/>
      <c r="G166" s="610"/>
      <c r="H166" s="610"/>
      <c r="I166" s="610"/>
      <c r="J166" s="610"/>
      <c r="K166" s="610"/>
      <c r="L166" s="610"/>
      <c r="M166" s="610"/>
      <c r="N166" s="610"/>
      <c r="O166" s="610"/>
      <c r="P166" s="610"/>
      <c r="Q166" s="610"/>
      <c r="R166" s="610"/>
      <c r="S166" s="610"/>
      <c r="T166" s="610"/>
      <c r="U166" s="610"/>
      <c r="V166" s="610"/>
      <c r="W166" s="610"/>
      <c r="X166" s="610"/>
      <c r="Y166" s="610"/>
      <c r="Z166" s="610"/>
      <c r="AA166" s="610"/>
      <c r="AB166" s="610"/>
      <c r="AC166" s="610"/>
      <c r="AD166" s="610"/>
      <c r="AG166" s="610"/>
      <c r="AH166" s="610"/>
    </row>
    <row r="167">
      <c r="B167" s="610"/>
      <c r="C167" s="610"/>
      <c r="D167" s="610"/>
      <c r="E167" s="610"/>
      <c r="F167" s="610"/>
      <c r="G167" s="610"/>
      <c r="H167" s="610"/>
      <c r="I167" s="610"/>
      <c r="J167" s="610"/>
      <c r="K167" s="610"/>
      <c r="L167" s="610"/>
      <c r="M167" s="610"/>
      <c r="N167" s="610"/>
      <c r="O167" s="610"/>
      <c r="P167" s="610"/>
      <c r="Q167" s="610"/>
      <c r="R167" s="610"/>
      <c r="S167" s="610"/>
      <c r="T167" s="610"/>
      <c r="U167" s="610"/>
      <c r="V167" s="610"/>
      <c r="W167" s="610"/>
      <c r="X167" s="610"/>
      <c r="Y167" s="610"/>
      <c r="Z167" s="610"/>
      <c r="AA167" s="610"/>
      <c r="AB167" s="610"/>
      <c r="AC167" s="610"/>
      <c r="AD167" s="610"/>
      <c r="AG167" s="610"/>
      <c r="AH167" s="610"/>
    </row>
    <row r="168">
      <c r="B168" s="610"/>
      <c r="C168" s="610"/>
      <c r="D168" s="610"/>
      <c r="E168" s="610"/>
      <c r="F168" s="610"/>
      <c r="G168" s="610"/>
      <c r="H168" s="610"/>
      <c r="I168" s="610"/>
      <c r="J168" s="610"/>
      <c r="K168" s="610"/>
      <c r="L168" s="610"/>
      <c r="M168" s="610"/>
      <c r="N168" s="610"/>
      <c r="O168" s="610"/>
      <c r="P168" s="610"/>
      <c r="Q168" s="610"/>
      <c r="R168" s="610"/>
      <c r="S168" s="610"/>
      <c r="T168" s="610"/>
      <c r="U168" s="610"/>
      <c r="V168" s="610"/>
      <c r="W168" s="610"/>
      <c r="X168" s="610"/>
      <c r="Y168" s="610"/>
      <c r="Z168" s="610"/>
      <c r="AA168" s="610"/>
      <c r="AB168" s="610"/>
      <c r="AC168" s="610"/>
      <c r="AD168" s="610"/>
      <c r="AG168" s="610"/>
      <c r="AH168" s="610"/>
    </row>
    <row r="169">
      <c r="B169" s="610"/>
      <c r="C169" s="610"/>
      <c r="D169" s="610"/>
      <c r="E169" s="610"/>
      <c r="F169" s="610"/>
      <c r="G169" s="610"/>
      <c r="H169" s="610"/>
      <c r="I169" s="610"/>
      <c r="J169" s="610"/>
      <c r="K169" s="610"/>
      <c r="L169" s="610"/>
      <c r="M169" s="610"/>
      <c r="N169" s="610"/>
      <c r="O169" s="610"/>
      <c r="P169" s="610"/>
      <c r="Q169" s="610"/>
      <c r="R169" s="610"/>
      <c r="S169" s="610"/>
      <c r="T169" s="610"/>
      <c r="U169" s="610"/>
      <c r="V169" s="610"/>
      <c r="W169" s="610"/>
      <c r="X169" s="610"/>
      <c r="Y169" s="610"/>
      <c r="Z169" s="610"/>
      <c r="AA169" s="610"/>
      <c r="AB169" s="610"/>
      <c r="AC169" s="610"/>
      <c r="AD169" s="610"/>
      <c r="AG169" s="610"/>
      <c r="AH169" s="610"/>
    </row>
    <row r="170">
      <c r="B170" s="610"/>
      <c r="C170" s="610"/>
      <c r="D170" s="610"/>
      <c r="E170" s="610"/>
      <c r="F170" s="610"/>
      <c r="G170" s="610"/>
      <c r="H170" s="610"/>
      <c r="I170" s="610"/>
      <c r="J170" s="610"/>
      <c r="K170" s="610"/>
      <c r="L170" s="610"/>
      <c r="M170" s="610"/>
      <c r="N170" s="610"/>
      <c r="O170" s="610"/>
      <c r="P170" s="610"/>
      <c r="Q170" s="610"/>
      <c r="R170" s="610"/>
      <c r="S170" s="610"/>
      <c r="T170" s="610"/>
      <c r="U170" s="610"/>
      <c r="V170" s="610"/>
      <c r="W170" s="610"/>
      <c r="X170" s="610"/>
      <c r="Y170" s="610"/>
      <c r="Z170" s="610"/>
      <c r="AA170" s="610"/>
      <c r="AB170" s="610"/>
      <c r="AC170" s="610"/>
      <c r="AD170" s="610"/>
      <c r="AG170" s="610"/>
      <c r="AH170" s="610"/>
    </row>
    <row r="171">
      <c r="B171" s="610"/>
      <c r="C171" s="610"/>
      <c r="D171" s="610"/>
      <c r="E171" s="610"/>
      <c r="F171" s="610"/>
      <c r="G171" s="610"/>
      <c r="H171" s="610"/>
      <c r="I171" s="610"/>
      <c r="J171" s="610"/>
      <c r="K171" s="610"/>
      <c r="L171" s="610"/>
      <c r="M171" s="610"/>
      <c r="N171" s="610"/>
      <c r="O171" s="610"/>
      <c r="P171" s="610"/>
      <c r="Q171" s="610"/>
      <c r="R171" s="610"/>
      <c r="S171" s="610"/>
      <c r="T171" s="610"/>
      <c r="U171" s="610"/>
      <c r="V171" s="610"/>
      <c r="W171" s="610"/>
      <c r="X171" s="610"/>
      <c r="Y171" s="610"/>
      <c r="Z171" s="610"/>
      <c r="AA171" s="610"/>
      <c r="AB171" s="610"/>
      <c r="AC171" s="610"/>
      <c r="AD171" s="610"/>
      <c r="AG171" s="610"/>
      <c r="AH171" s="610"/>
    </row>
    <row r="172">
      <c r="B172" s="610"/>
      <c r="C172" s="610"/>
      <c r="D172" s="610"/>
      <c r="E172" s="610"/>
      <c r="F172" s="610"/>
      <c r="G172" s="610"/>
      <c r="H172" s="610"/>
      <c r="I172" s="610"/>
      <c r="J172" s="610"/>
      <c r="K172" s="610"/>
      <c r="L172" s="610"/>
      <c r="M172" s="610"/>
      <c r="N172" s="610"/>
      <c r="O172" s="610"/>
      <c r="P172" s="610"/>
      <c r="Q172" s="610"/>
      <c r="R172" s="610"/>
      <c r="S172" s="610"/>
      <c r="T172" s="610"/>
      <c r="U172" s="610"/>
      <c r="V172" s="610"/>
      <c r="W172" s="610"/>
      <c r="X172" s="610"/>
      <c r="Y172" s="610"/>
      <c r="Z172" s="610"/>
      <c r="AA172" s="610"/>
      <c r="AB172" s="610"/>
      <c r="AC172" s="610"/>
      <c r="AD172" s="610"/>
      <c r="AG172" s="610"/>
      <c r="AH172" s="610"/>
    </row>
    <row r="173">
      <c r="B173" s="610"/>
      <c r="C173" s="610"/>
      <c r="D173" s="610"/>
      <c r="E173" s="610"/>
      <c r="F173" s="610"/>
      <c r="G173" s="610"/>
      <c r="H173" s="610"/>
      <c r="I173" s="610"/>
      <c r="J173" s="610"/>
      <c r="K173" s="610"/>
      <c r="L173" s="610"/>
      <c r="M173" s="610"/>
      <c r="N173" s="610"/>
      <c r="O173" s="610"/>
      <c r="P173" s="610"/>
      <c r="Q173" s="610"/>
      <c r="R173" s="610"/>
      <c r="S173" s="610"/>
      <c r="T173" s="610"/>
      <c r="U173" s="610"/>
      <c r="V173" s="610"/>
      <c r="W173" s="610"/>
      <c r="X173" s="610"/>
      <c r="Y173" s="610"/>
      <c r="Z173" s="610"/>
      <c r="AA173" s="610"/>
      <c r="AB173" s="610"/>
      <c r="AC173" s="610"/>
      <c r="AD173" s="610"/>
      <c r="AG173" s="610"/>
      <c r="AH173" s="610"/>
    </row>
    <row r="174">
      <c r="B174" s="610"/>
      <c r="C174" s="610"/>
      <c r="D174" s="610"/>
      <c r="E174" s="610"/>
      <c r="F174" s="610"/>
      <c r="G174" s="610"/>
      <c r="H174" s="610"/>
      <c r="I174" s="610"/>
      <c r="J174" s="610"/>
      <c r="K174" s="610"/>
      <c r="L174" s="610"/>
      <c r="M174" s="610"/>
      <c r="N174" s="610"/>
      <c r="O174" s="610"/>
      <c r="P174" s="610"/>
      <c r="Q174" s="610"/>
      <c r="R174" s="610"/>
      <c r="S174" s="610"/>
      <c r="T174" s="610"/>
      <c r="U174" s="610"/>
      <c r="V174" s="610"/>
      <c r="W174" s="610"/>
      <c r="X174" s="610"/>
      <c r="Y174" s="610"/>
      <c r="Z174" s="610"/>
      <c r="AA174" s="610"/>
      <c r="AB174" s="610"/>
      <c r="AC174" s="610"/>
      <c r="AD174" s="610"/>
      <c r="AG174" s="610"/>
      <c r="AH174" s="610"/>
    </row>
    <row r="175">
      <c r="B175" s="610"/>
      <c r="C175" s="610"/>
      <c r="D175" s="610"/>
      <c r="E175" s="610"/>
      <c r="F175" s="610"/>
      <c r="G175" s="610"/>
      <c r="H175" s="610"/>
      <c r="I175" s="610"/>
      <c r="J175" s="610"/>
      <c r="K175" s="610"/>
      <c r="L175" s="610"/>
      <c r="M175" s="610"/>
      <c r="N175" s="610"/>
      <c r="O175" s="610"/>
      <c r="P175" s="610"/>
      <c r="Q175" s="610"/>
      <c r="R175" s="610"/>
      <c r="S175" s="610"/>
      <c r="T175" s="610"/>
      <c r="U175" s="610"/>
      <c r="V175" s="610"/>
      <c r="W175" s="610"/>
      <c r="X175" s="610"/>
      <c r="Y175" s="610"/>
      <c r="Z175" s="610"/>
      <c r="AA175" s="610"/>
      <c r="AB175" s="610"/>
      <c r="AC175" s="610"/>
      <c r="AD175" s="610"/>
      <c r="AG175" s="610"/>
      <c r="AH175" s="610"/>
    </row>
    <row r="176">
      <c r="B176" s="610"/>
      <c r="C176" s="610"/>
      <c r="D176" s="610"/>
      <c r="E176" s="610"/>
      <c r="F176" s="610"/>
      <c r="G176" s="610"/>
      <c r="H176" s="610"/>
      <c r="I176" s="610"/>
      <c r="J176" s="610"/>
      <c r="K176" s="610"/>
      <c r="L176" s="610"/>
      <c r="M176" s="610"/>
      <c r="N176" s="610"/>
      <c r="O176" s="610"/>
      <c r="P176" s="610"/>
      <c r="Q176" s="610"/>
      <c r="R176" s="610"/>
      <c r="S176" s="610"/>
      <c r="T176" s="610"/>
      <c r="U176" s="610"/>
      <c r="V176" s="610"/>
      <c r="W176" s="610"/>
      <c r="X176" s="610"/>
      <c r="Y176" s="610"/>
      <c r="Z176" s="610"/>
      <c r="AA176" s="610"/>
      <c r="AB176" s="610"/>
      <c r="AC176" s="610"/>
      <c r="AD176" s="610"/>
      <c r="AG176" s="610"/>
      <c r="AH176" s="610"/>
    </row>
    <row r="177">
      <c r="B177" s="610"/>
      <c r="C177" s="610"/>
      <c r="D177" s="610"/>
      <c r="E177" s="610"/>
      <c r="F177" s="610"/>
      <c r="G177" s="610"/>
      <c r="H177" s="610"/>
      <c r="I177" s="610"/>
      <c r="J177" s="610"/>
      <c r="K177" s="610"/>
      <c r="L177" s="610"/>
      <c r="M177" s="610"/>
      <c r="N177" s="610"/>
      <c r="O177" s="610"/>
      <c r="P177" s="610"/>
      <c r="Q177" s="610"/>
      <c r="R177" s="610"/>
      <c r="S177" s="610"/>
      <c r="T177" s="610"/>
      <c r="U177" s="610"/>
      <c r="V177" s="610"/>
      <c r="W177" s="610"/>
      <c r="X177" s="610"/>
      <c r="Y177" s="610"/>
      <c r="Z177" s="610"/>
      <c r="AA177" s="610"/>
      <c r="AB177" s="610"/>
      <c r="AC177" s="610"/>
      <c r="AD177" s="610"/>
      <c r="AG177" s="610"/>
      <c r="AH177" s="610"/>
    </row>
    <row r="178">
      <c r="B178" s="610"/>
      <c r="C178" s="610"/>
      <c r="D178" s="610"/>
      <c r="E178" s="610"/>
      <c r="F178" s="610"/>
      <c r="G178" s="610"/>
      <c r="H178" s="610"/>
      <c r="I178" s="610"/>
      <c r="J178" s="610"/>
      <c r="K178" s="610"/>
      <c r="L178" s="610"/>
      <c r="M178" s="610"/>
      <c r="N178" s="610"/>
      <c r="O178" s="610"/>
      <c r="P178" s="610"/>
      <c r="Q178" s="610"/>
      <c r="R178" s="610"/>
      <c r="S178" s="610"/>
      <c r="T178" s="610"/>
      <c r="U178" s="610"/>
      <c r="V178" s="610"/>
      <c r="W178" s="610"/>
      <c r="X178" s="610"/>
      <c r="Y178" s="610"/>
      <c r="Z178" s="610"/>
      <c r="AA178" s="610"/>
      <c r="AB178" s="610"/>
      <c r="AC178" s="610"/>
      <c r="AD178" s="610"/>
      <c r="AG178" s="610"/>
      <c r="AH178" s="610"/>
    </row>
    <row r="179">
      <c r="B179" s="610"/>
      <c r="C179" s="610"/>
      <c r="D179" s="610"/>
      <c r="E179" s="610"/>
      <c r="F179" s="610"/>
      <c r="G179" s="610"/>
      <c r="H179" s="610"/>
      <c r="I179" s="610"/>
      <c r="J179" s="610"/>
      <c r="K179" s="610"/>
      <c r="L179" s="610"/>
      <c r="M179" s="610"/>
      <c r="N179" s="610"/>
      <c r="O179" s="610"/>
      <c r="P179" s="610"/>
      <c r="Q179" s="610"/>
      <c r="R179" s="610"/>
      <c r="S179" s="610"/>
      <c r="T179" s="610"/>
      <c r="U179" s="610"/>
      <c r="V179" s="610"/>
      <c r="W179" s="610"/>
      <c r="X179" s="610"/>
      <c r="Y179" s="610"/>
      <c r="Z179" s="610"/>
      <c r="AA179" s="610"/>
      <c r="AB179" s="610"/>
      <c r="AC179" s="610"/>
      <c r="AD179" s="610"/>
      <c r="AG179" s="610"/>
      <c r="AH179" s="610"/>
    </row>
    <row r="180">
      <c r="B180" s="610"/>
      <c r="C180" s="610"/>
      <c r="D180" s="610"/>
      <c r="E180" s="610"/>
      <c r="F180" s="610"/>
      <c r="G180" s="610"/>
      <c r="H180" s="610"/>
      <c r="I180" s="610"/>
      <c r="J180" s="610"/>
      <c r="K180" s="610"/>
      <c r="L180" s="610"/>
      <c r="M180" s="610"/>
      <c r="N180" s="610"/>
      <c r="O180" s="610"/>
      <c r="P180" s="610"/>
      <c r="Q180" s="610"/>
      <c r="R180" s="610"/>
      <c r="S180" s="610"/>
      <c r="T180" s="610"/>
      <c r="U180" s="610"/>
      <c r="V180" s="610"/>
      <c r="W180" s="610"/>
      <c r="X180" s="610"/>
      <c r="Y180" s="610"/>
      <c r="Z180" s="610"/>
      <c r="AA180" s="610"/>
      <c r="AB180" s="610"/>
      <c r="AC180" s="610"/>
      <c r="AD180" s="610"/>
      <c r="AG180" s="610"/>
      <c r="AH180" s="610"/>
    </row>
    <row r="181">
      <c r="B181" s="610"/>
      <c r="C181" s="610"/>
      <c r="D181" s="610"/>
      <c r="E181" s="610"/>
      <c r="F181" s="610"/>
      <c r="G181" s="610"/>
      <c r="H181" s="610"/>
      <c r="I181" s="610"/>
      <c r="J181" s="610"/>
      <c r="K181" s="610"/>
      <c r="L181" s="610"/>
      <c r="M181" s="610"/>
      <c r="N181" s="610"/>
      <c r="O181" s="610"/>
      <c r="P181" s="610"/>
      <c r="Q181" s="610"/>
      <c r="R181" s="610"/>
      <c r="S181" s="610"/>
      <c r="T181" s="610"/>
      <c r="U181" s="610"/>
      <c r="V181" s="610"/>
      <c r="W181" s="610"/>
      <c r="X181" s="610"/>
      <c r="Y181" s="610"/>
      <c r="Z181" s="610"/>
      <c r="AA181" s="610"/>
      <c r="AB181" s="610"/>
      <c r="AC181" s="610"/>
      <c r="AD181" s="610"/>
      <c r="AG181" s="610"/>
      <c r="AH181" s="610"/>
    </row>
    <row r="182">
      <c r="B182" s="610"/>
      <c r="C182" s="610"/>
      <c r="D182" s="610"/>
      <c r="E182" s="610"/>
      <c r="F182" s="610"/>
      <c r="G182" s="610"/>
      <c r="H182" s="610"/>
      <c r="I182" s="610"/>
      <c r="J182" s="610"/>
      <c r="K182" s="610"/>
      <c r="L182" s="610"/>
      <c r="M182" s="610"/>
      <c r="N182" s="610"/>
      <c r="O182" s="610"/>
      <c r="P182" s="610"/>
      <c r="Q182" s="610"/>
      <c r="R182" s="610"/>
      <c r="S182" s="610"/>
      <c r="T182" s="610"/>
      <c r="U182" s="610"/>
      <c r="V182" s="610"/>
      <c r="W182" s="610"/>
      <c r="X182" s="610"/>
      <c r="Y182" s="610"/>
      <c r="Z182" s="610"/>
      <c r="AA182" s="610"/>
      <c r="AB182" s="610"/>
      <c r="AC182" s="610"/>
      <c r="AD182" s="610"/>
      <c r="AG182" s="610"/>
      <c r="AH182" s="610"/>
    </row>
    <row r="183">
      <c r="B183" s="610"/>
      <c r="C183" s="610"/>
      <c r="D183" s="610"/>
      <c r="E183" s="610"/>
      <c r="F183" s="610"/>
      <c r="G183" s="610"/>
      <c r="H183" s="610"/>
      <c r="I183" s="610"/>
      <c r="J183" s="610"/>
      <c r="K183" s="610"/>
      <c r="L183" s="610"/>
      <c r="M183" s="610"/>
      <c r="N183" s="610"/>
      <c r="O183" s="610"/>
      <c r="P183" s="610"/>
      <c r="Q183" s="610"/>
      <c r="R183" s="610"/>
      <c r="S183" s="610"/>
      <c r="T183" s="610"/>
      <c r="U183" s="610"/>
      <c r="V183" s="610"/>
      <c r="W183" s="610"/>
      <c r="X183" s="610"/>
      <c r="Y183" s="610"/>
      <c r="Z183" s="610"/>
      <c r="AA183" s="610"/>
      <c r="AB183" s="610"/>
      <c r="AC183" s="610"/>
      <c r="AD183" s="610"/>
      <c r="AG183" s="610"/>
      <c r="AH183" s="610"/>
    </row>
    <row r="184">
      <c r="B184" s="610"/>
      <c r="C184" s="610"/>
      <c r="D184" s="610"/>
      <c r="E184" s="610"/>
      <c r="F184" s="610"/>
      <c r="G184" s="610"/>
      <c r="H184" s="610"/>
      <c r="I184" s="610"/>
      <c r="J184" s="610"/>
      <c r="K184" s="610"/>
      <c r="L184" s="610"/>
      <c r="M184" s="610"/>
      <c r="N184" s="610"/>
      <c r="O184" s="610"/>
      <c r="P184" s="610"/>
      <c r="Q184" s="610"/>
      <c r="R184" s="610"/>
      <c r="S184" s="610"/>
      <c r="T184" s="610"/>
      <c r="U184" s="610"/>
      <c r="V184" s="610"/>
      <c r="W184" s="610"/>
      <c r="X184" s="610"/>
      <c r="Y184" s="610"/>
      <c r="Z184" s="610"/>
      <c r="AA184" s="610"/>
      <c r="AB184" s="610"/>
      <c r="AC184" s="610"/>
      <c r="AD184" s="610"/>
      <c r="AG184" s="610"/>
      <c r="AH184" s="610"/>
    </row>
    <row r="185">
      <c r="B185" s="610"/>
      <c r="C185" s="610"/>
      <c r="D185" s="610"/>
      <c r="E185" s="610"/>
      <c r="F185" s="610"/>
      <c r="G185" s="610"/>
      <c r="H185" s="610"/>
      <c r="I185" s="610"/>
      <c r="J185" s="610"/>
      <c r="K185" s="610"/>
      <c r="L185" s="610"/>
      <c r="M185" s="610"/>
      <c r="N185" s="610"/>
      <c r="O185" s="610"/>
      <c r="P185" s="610"/>
      <c r="Q185" s="610"/>
      <c r="R185" s="610"/>
      <c r="S185" s="610"/>
      <c r="T185" s="610"/>
      <c r="U185" s="610"/>
      <c r="V185" s="610"/>
      <c r="W185" s="610"/>
      <c r="X185" s="610"/>
      <c r="Y185" s="610"/>
      <c r="Z185" s="610"/>
      <c r="AA185" s="610"/>
      <c r="AB185" s="610"/>
      <c r="AC185" s="610"/>
      <c r="AD185" s="610"/>
      <c r="AG185" s="610"/>
      <c r="AH185" s="610"/>
    </row>
    <row r="186">
      <c r="B186" s="610"/>
      <c r="C186" s="610"/>
      <c r="D186" s="610"/>
      <c r="E186" s="610"/>
      <c r="F186" s="610"/>
      <c r="G186" s="610"/>
      <c r="H186" s="610"/>
      <c r="I186" s="610"/>
      <c r="J186" s="610"/>
      <c r="K186" s="610"/>
      <c r="L186" s="610"/>
      <c r="M186" s="610"/>
      <c r="N186" s="610"/>
      <c r="O186" s="610"/>
      <c r="P186" s="610"/>
      <c r="Q186" s="610"/>
      <c r="R186" s="610"/>
      <c r="S186" s="610"/>
      <c r="T186" s="610"/>
      <c r="U186" s="610"/>
      <c r="V186" s="610"/>
      <c r="W186" s="610"/>
      <c r="X186" s="610"/>
      <c r="Y186" s="610"/>
      <c r="Z186" s="610"/>
      <c r="AA186" s="610"/>
      <c r="AB186" s="610"/>
      <c r="AC186" s="610"/>
      <c r="AD186" s="610"/>
      <c r="AG186" s="610"/>
      <c r="AH186" s="610"/>
    </row>
    <row r="187">
      <c r="B187" s="610"/>
      <c r="C187" s="610"/>
      <c r="D187" s="610"/>
      <c r="E187" s="610"/>
      <c r="F187" s="610"/>
      <c r="G187" s="610"/>
      <c r="H187" s="610"/>
      <c r="I187" s="610"/>
      <c r="J187" s="610"/>
      <c r="K187" s="610"/>
      <c r="L187" s="610"/>
      <c r="M187" s="610"/>
      <c r="N187" s="610"/>
      <c r="O187" s="610"/>
      <c r="P187" s="610"/>
      <c r="Q187" s="610"/>
      <c r="R187" s="610"/>
      <c r="S187" s="610"/>
      <c r="T187" s="610"/>
      <c r="U187" s="610"/>
      <c r="V187" s="610"/>
      <c r="W187" s="610"/>
      <c r="X187" s="610"/>
      <c r="Y187" s="610"/>
      <c r="Z187" s="610"/>
      <c r="AA187" s="610"/>
      <c r="AB187" s="610"/>
      <c r="AC187" s="610"/>
      <c r="AD187" s="610"/>
      <c r="AG187" s="610"/>
      <c r="AH187" s="610"/>
    </row>
    <row r="188">
      <c r="B188" s="610"/>
      <c r="C188" s="610"/>
      <c r="D188" s="610"/>
      <c r="E188" s="610"/>
      <c r="F188" s="610"/>
      <c r="G188" s="610"/>
      <c r="H188" s="610"/>
      <c r="I188" s="610"/>
      <c r="J188" s="610"/>
      <c r="K188" s="610"/>
      <c r="L188" s="610"/>
      <c r="M188" s="610"/>
      <c r="N188" s="610"/>
      <c r="O188" s="610"/>
      <c r="P188" s="610"/>
      <c r="Q188" s="610"/>
      <c r="R188" s="610"/>
      <c r="S188" s="610"/>
      <c r="T188" s="610"/>
      <c r="U188" s="610"/>
      <c r="V188" s="610"/>
      <c r="W188" s="610"/>
      <c r="X188" s="610"/>
      <c r="Y188" s="610"/>
      <c r="Z188" s="610"/>
      <c r="AA188" s="610"/>
      <c r="AB188" s="610"/>
      <c r="AC188" s="610"/>
      <c r="AD188" s="610"/>
      <c r="AG188" s="610"/>
      <c r="AH188" s="610"/>
    </row>
    <row r="189">
      <c r="B189" s="610"/>
      <c r="C189" s="610"/>
      <c r="D189" s="610"/>
      <c r="E189" s="610"/>
      <c r="F189" s="610"/>
      <c r="G189" s="610"/>
      <c r="H189" s="610"/>
      <c r="I189" s="610"/>
      <c r="J189" s="610"/>
      <c r="K189" s="610"/>
      <c r="L189" s="610"/>
      <c r="M189" s="610"/>
      <c r="N189" s="610"/>
      <c r="O189" s="610"/>
      <c r="P189" s="610"/>
      <c r="Q189" s="610"/>
      <c r="R189" s="610"/>
      <c r="S189" s="610"/>
      <c r="T189" s="610"/>
      <c r="U189" s="610"/>
      <c r="V189" s="610"/>
      <c r="W189" s="610"/>
      <c r="X189" s="610"/>
      <c r="Y189" s="610"/>
      <c r="Z189" s="610"/>
      <c r="AA189" s="610"/>
      <c r="AB189" s="610"/>
      <c r="AC189" s="610"/>
      <c r="AD189" s="610"/>
      <c r="AG189" s="610"/>
      <c r="AH189" s="610"/>
    </row>
    <row r="190">
      <c r="B190" s="610"/>
      <c r="C190" s="610"/>
      <c r="D190" s="610"/>
      <c r="E190" s="610"/>
      <c r="F190" s="610"/>
      <c r="G190" s="610"/>
      <c r="H190" s="610"/>
      <c r="I190" s="610"/>
      <c r="J190" s="610"/>
      <c r="K190" s="610"/>
      <c r="L190" s="610"/>
      <c r="M190" s="610"/>
      <c r="N190" s="610"/>
      <c r="O190" s="610"/>
      <c r="P190" s="610"/>
      <c r="Q190" s="610"/>
      <c r="R190" s="610"/>
      <c r="S190" s="610"/>
      <c r="T190" s="610"/>
      <c r="U190" s="610"/>
      <c r="V190" s="610"/>
      <c r="W190" s="610"/>
      <c r="X190" s="610"/>
      <c r="Y190" s="610"/>
      <c r="Z190" s="610"/>
      <c r="AA190" s="610"/>
      <c r="AB190" s="610"/>
      <c r="AC190" s="610"/>
      <c r="AD190" s="610"/>
      <c r="AG190" s="610"/>
      <c r="AH190" s="610"/>
    </row>
    <row r="191">
      <c r="B191" s="610"/>
      <c r="C191" s="610"/>
      <c r="D191" s="610"/>
      <c r="E191" s="610"/>
      <c r="F191" s="610"/>
      <c r="G191" s="610"/>
      <c r="H191" s="610"/>
      <c r="I191" s="610"/>
      <c r="J191" s="610"/>
      <c r="K191" s="610"/>
      <c r="L191" s="610"/>
      <c r="M191" s="610"/>
      <c r="N191" s="610"/>
      <c r="O191" s="610"/>
      <c r="P191" s="610"/>
      <c r="Q191" s="610"/>
      <c r="R191" s="610"/>
      <c r="S191" s="610"/>
      <c r="T191" s="610"/>
      <c r="U191" s="610"/>
      <c r="V191" s="610"/>
      <c r="W191" s="610"/>
      <c r="X191" s="610"/>
      <c r="Y191" s="610"/>
      <c r="Z191" s="610"/>
      <c r="AA191" s="610"/>
      <c r="AB191" s="610"/>
      <c r="AC191" s="610"/>
      <c r="AD191" s="610"/>
      <c r="AG191" s="610"/>
      <c r="AH191" s="610"/>
    </row>
    <row r="192">
      <c r="B192" s="610"/>
      <c r="C192" s="610"/>
      <c r="D192" s="610"/>
      <c r="E192" s="610"/>
      <c r="F192" s="610"/>
      <c r="G192" s="610"/>
      <c r="H192" s="610"/>
      <c r="I192" s="610"/>
      <c r="J192" s="610"/>
      <c r="K192" s="610"/>
      <c r="L192" s="610"/>
      <c r="M192" s="610"/>
      <c r="N192" s="610"/>
      <c r="O192" s="610"/>
      <c r="P192" s="610"/>
      <c r="Q192" s="610"/>
      <c r="R192" s="610"/>
      <c r="S192" s="610"/>
      <c r="T192" s="610"/>
      <c r="U192" s="610"/>
      <c r="V192" s="610"/>
      <c r="W192" s="610"/>
      <c r="X192" s="610"/>
      <c r="Y192" s="610"/>
      <c r="Z192" s="610"/>
      <c r="AA192" s="610"/>
      <c r="AB192" s="610"/>
      <c r="AC192" s="610"/>
      <c r="AD192" s="610"/>
      <c r="AG192" s="610"/>
      <c r="AH192" s="610"/>
    </row>
    <row r="193">
      <c r="B193" s="610"/>
      <c r="C193" s="610"/>
      <c r="D193" s="610"/>
      <c r="E193" s="610"/>
      <c r="F193" s="610"/>
      <c r="G193" s="610"/>
      <c r="H193" s="610"/>
      <c r="I193" s="610"/>
      <c r="J193" s="610"/>
      <c r="K193" s="610"/>
      <c r="L193" s="610"/>
      <c r="M193" s="610"/>
      <c r="N193" s="610"/>
      <c r="O193" s="610"/>
      <c r="P193" s="610"/>
      <c r="Q193" s="610"/>
      <c r="R193" s="610"/>
      <c r="S193" s="610"/>
      <c r="T193" s="610"/>
      <c r="U193" s="610"/>
      <c r="V193" s="610"/>
      <c r="W193" s="610"/>
      <c r="X193" s="610"/>
      <c r="Y193" s="610"/>
      <c r="Z193" s="610"/>
      <c r="AA193" s="610"/>
      <c r="AB193" s="610"/>
      <c r="AC193" s="610"/>
      <c r="AD193" s="610"/>
      <c r="AG193" s="610"/>
      <c r="AH193" s="610"/>
    </row>
    <row r="194">
      <c r="B194" s="610"/>
      <c r="C194" s="610"/>
      <c r="D194" s="610"/>
      <c r="E194" s="610"/>
      <c r="F194" s="610"/>
      <c r="G194" s="610"/>
      <c r="H194" s="610"/>
      <c r="I194" s="610"/>
      <c r="J194" s="610"/>
      <c r="K194" s="610"/>
      <c r="L194" s="610"/>
      <c r="M194" s="610"/>
      <c r="N194" s="610"/>
      <c r="O194" s="610"/>
      <c r="P194" s="610"/>
      <c r="Q194" s="610"/>
      <c r="R194" s="610"/>
      <c r="S194" s="610"/>
      <c r="T194" s="610"/>
      <c r="U194" s="610"/>
      <c r="V194" s="610"/>
      <c r="W194" s="610"/>
      <c r="X194" s="610"/>
      <c r="Y194" s="610"/>
      <c r="Z194" s="610"/>
      <c r="AA194" s="610"/>
      <c r="AB194" s="610"/>
      <c r="AC194" s="610"/>
      <c r="AD194" s="610"/>
      <c r="AG194" s="610"/>
      <c r="AH194" s="610"/>
    </row>
    <row r="195">
      <c r="B195" s="610"/>
      <c r="C195" s="610"/>
      <c r="D195" s="610"/>
      <c r="E195" s="610"/>
      <c r="F195" s="610"/>
      <c r="G195" s="610"/>
      <c r="H195" s="610"/>
      <c r="I195" s="610"/>
      <c r="J195" s="610"/>
      <c r="K195" s="610"/>
      <c r="L195" s="610"/>
      <c r="M195" s="610"/>
      <c r="N195" s="610"/>
      <c r="O195" s="610"/>
      <c r="P195" s="610"/>
      <c r="Q195" s="610"/>
      <c r="R195" s="610"/>
      <c r="S195" s="610"/>
      <c r="T195" s="610"/>
      <c r="U195" s="610"/>
      <c r="V195" s="610"/>
      <c r="W195" s="610"/>
      <c r="X195" s="610"/>
      <c r="Y195" s="610"/>
      <c r="Z195" s="610"/>
      <c r="AA195" s="610"/>
      <c r="AB195" s="610"/>
      <c r="AC195" s="610"/>
      <c r="AD195" s="610"/>
      <c r="AG195" s="610"/>
      <c r="AH195" s="610"/>
    </row>
    <row r="196">
      <c r="B196" s="610"/>
      <c r="C196" s="610"/>
      <c r="D196" s="610"/>
      <c r="E196" s="610"/>
      <c r="F196" s="610"/>
      <c r="G196" s="610"/>
      <c r="H196" s="610"/>
      <c r="I196" s="610"/>
      <c r="J196" s="610"/>
      <c r="K196" s="610"/>
      <c r="L196" s="610"/>
      <c r="M196" s="610"/>
      <c r="N196" s="610"/>
      <c r="O196" s="610"/>
      <c r="P196" s="610"/>
      <c r="Q196" s="610"/>
      <c r="R196" s="610"/>
      <c r="S196" s="610"/>
      <c r="T196" s="610"/>
      <c r="U196" s="610"/>
      <c r="V196" s="610"/>
      <c r="W196" s="610"/>
      <c r="X196" s="610"/>
      <c r="Y196" s="610"/>
      <c r="Z196" s="610"/>
      <c r="AA196" s="610"/>
      <c r="AB196" s="610"/>
      <c r="AC196" s="610"/>
      <c r="AD196" s="610"/>
      <c r="AG196" s="610"/>
      <c r="AH196" s="610"/>
    </row>
    <row r="197">
      <c r="B197" s="610"/>
      <c r="C197" s="610"/>
      <c r="D197" s="610"/>
      <c r="E197" s="610"/>
      <c r="F197" s="610"/>
      <c r="G197" s="610"/>
      <c r="H197" s="610"/>
      <c r="I197" s="610"/>
      <c r="J197" s="610"/>
      <c r="K197" s="610"/>
      <c r="L197" s="610"/>
      <c r="M197" s="610"/>
      <c r="N197" s="610"/>
      <c r="O197" s="610"/>
      <c r="P197" s="610"/>
      <c r="Q197" s="610"/>
      <c r="R197" s="610"/>
      <c r="S197" s="610"/>
      <c r="T197" s="610"/>
      <c r="U197" s="610"/>
      <c r="V197" s="610"/>
      <c r="W197" s="610"/>
      <c r="X197" s="610"/>
      <c r="Y197" s="610"/>
      <c r="Z197" s="610"/>
      <c r="AA197" s="610"/>
      <c r="AB197" s="610"/>
      <c r="AC197" s="610"/>
      <c r="AD197" s="610"/>
      <c r="AG197" s="610"/>
      <c r="AH197" s="610"/>
    </row>
    <row r="198">
      <c r="B198" s="610"/>
      <c r="C198" s="610"/>
      <c r="D198" s="610"/>
      <c r="E198" s="610"/>
      <c r="F198" s="610"/>
      <c r="G198" s="610"/>
      <c r="H198" s="610"/>
      <c r="I198" s="610"/>
      <c r="J198" s="610"/>
      <c r="K198" s="610"/>
      <c r="L198" s="610"/>
      <c r="M198" s="610"/>
      <c r="N198" s="610"/>
      <c r="O198" s="610"/>
      <c r="P198" s="610"/>
      <c r="Q198" s="610"/>
      <c r="R198" s="610"/>
      <c r="S198" s="610"/>
      <c r="T198" s="610"/>
      <c r="U198" s="610"/>
      <c r="V198" s="610"/>
      <c r="W198" s="610"/>
      <c r="X198" s="610"/>
      <c r="Y198" s="610"/>
      <c r="Z198" s="610"/>
      <c r="AA198" s="610"/>
      <c r="AB198" s="610"/>
      <c r="AC198" s="610"/>
      <c r="AD198" s="610"/>
      <c r="AG198" s="610"/>
      <c r="AH198" s="610"/>
    </row>
    <row r="199">
      <c r="B199" s="610"/>
      <c r="C199" s="610"/>
      <c r="D199" s="610"/>
      <c r="E199" s="610"/>
      <c r="F199" s="610"/>
      <c r="G199" s="610"/>
      <c r="H199" s="610"/>
      <c r="I199" s="610"/>
      <c r="J199" s="610"/>
      <c r="K199" s="610"/>
      <c r="L199" s="610"/>
      <c r="M199" s="610"/>
      <c r="N199" s="610"/>
      <c r="O199" s="610"/>
      <c r="P199" s="610"/>
      <c r="Q199" s="610"/>
      <c r="R199" s="610"/>
      <c r="S199" s="610"/>
      <c r="T199" s="610"/>
      <c r="U199" s="610"/>
      <c r="V199" s="610"/>
      <c r="W199" s="610"/>
      <c r="X199" s="610"/>
      <c r="Y199" s="610"/>
      <c r="Z199" s="610"/>
      <c r="AA199" s="610"/>
      <c r="AB199" s="610"/>
      <c r="AC199" s="610"/>
      <c r="AD199" s="610"/>
      <c r="AG199" s="610"/>
      <c r="AH199" s="610"/>
    </row>
    <row r="200">
      <c r="B200" s="610"/>
      <c r="C200" s="610"/>
      <c r="D200" s="610"/>
      <c r="E200" s="610"/>
      <c r="F200" s="610"/>
      <c r="G200" s="610"/>
      <c r="H200" s="610"/>
      <c r="I200" s="610"/>
      <c r="J200" s="610"/>
      <c r="K200" s="610"/>
      <c r="L200" s="610"/>
      <c r="M200" s="610"/>
      <c r="N200" s="610"/>
      <c r="O200" s="610"/>
      <c r="P200" s="610"/>
      <c r="Q200" s="610"/>
      <c r="R200" s="610"/>
      <c r="S200" s="610"/>
      <c r="T200" s="610"/>
      <c r="U200" s="610"/>
      <c r="V200" s="610"/>
      <c r="W200" s="610"/>
      <c r="X200" s="610"/>
      <c r="Y200" s="610"/>
      <c r="Z200" s="610"/>
      <c r="AA200" s="610"/>
      <c r="AB200" s="610"/>
      <c r="AC200" s="610"/>
      <c r="AD200" s="610"/>
      <c r="AG200" s="610"/>
      <c r="AH200" s="610"/>
    </row>
    <row r="201">
      <c r="B201" s="610"/>
      <c r="C201" s="610"/>
      <c r="D201" s="610"/>
      <c r="E201" s="610"/>
      <c r="F201" s="610"/>
      <c r="G201" s="610"/>
      <c r="H201" s="610"/>
      <c r="I201" s="610"/>
      <c r="J201" s="610"/>
      <c r="K201" s="610"/>
      <c r="L201" s="610"/>
      <c r="M201" s="610"/>
      <c r="N201" s="610"/>
      <c r="O201" s="610"/>
      <c r="P201" s="610"/>
      <c r="Q201" s="610"/>
      <c r="R201" s="610"/>
      <c r="S201" s="610"/>
      <c r="T201" s="610"/>
      <c r="U201" s="610"/>
      <c r="V201" s="610"/>
      <c r="W201" s="610"/>
      <c r="X201" s="610"/>
      <c r="Y201" s="610"/>
      <c r="Z201" s="610"/>
      <c r="AA201" s="610"/>
      <c r="AB201" s="610"/>
      <c r="AC201" s="610"/>
      <c r="AD201" s="610"/>
      <c r="AG201" s="610"/>
      <c r="AH201" s="610"/>
    </row>
    <row r="202">
      <c r="B202" s="610"/>
      <c r="C202" s="610"/>
      <c r="D202" s="610"/>
      <c r="E202" s="610"/>
      <c r="F202" s="610"/>
      <c r="G202" s="610"/>
      <c r="H202" s="610"/>
      <c r="I202" s="610"/>
      <c r="J202" s="610"/>
      <c r="K202" s="610"/>
      <c r="L202" s="610"/>
      <c r="M202" s="610"/>
      <c r="N202" s="610"/>
      <c r="O202" s="610"/>
      <c r="P202" s="610"/>
      <c r="Q202" s="610"/>
      <c r="R202" s="610"/>
      <c r="S202" s="610"/>
      <c r="T202" s="610"/>
      <c r="U202" s="610"/>
      <c r="V202" s="610"/>
      <c r="W202" s="610"/>
      <c r="X202" s="610"/>
      <c r="Y202" s="610"/>
      <c r="Z202" s="610"/>
      <c r="AA202" s="610"/>
      <c r="AB202" s="610"/>
      <c r="AC202" s="610"/>
      <c r="AD202" s="610"/>
      <c r="AG202" s="610"/>
      <c r="AH202" s="610"/>
    </row>
    <row r="203">
      <c r="B203" s="610"/>
      <c r="C203" s="610"/>
      <c r="D203" s="610"/>
      <c r="E203" s="610"/>
      <c r="F203" s="610"/>
      <c r="G203" s="610"/>
      <c r="H203" s="610"/>
      <c r="I203" s="610"/>
      <c r="J203" s="610"/>
      <c r="K203" s="610"/>
      <c r="L203" s="610"/>
      <c r="M203" s="610"/>
      <c r="N203" s="610"/>
      <c r="O203" s="610"/>
      <c r="P203" s="610"/>
      <c r="Q203" s="610"/>
      <c r="R203" s="610"/>
      <c r="S203" s="610"/>
      <c r="T203" s="610"/>
      <c r="U203" s="610"/>
      <c r="V203" s="610"/>
      <c r="W203" s="610"/>
      <c r="X203" s="610"/>
      <c r="Y203" s="610"/>
      <c r="Z203" s="610"/>
      <c r="AA203" s="610"/>
      <c r="AB203" s="610"/>
      <c r="AC203" s="610"/>
      <c r="AD203" s="610"/>
      <c r="AG203" s="610"/>
      <c r="AH203" s="610"/>
    </row>
    <row r="204">
      <c r="B204" s="610"/>
      <c r="C204" s="610"/>
      <c r="D204" s="610"/>
      <c r="E204" s="610"/>
      <c r="F204" s="610"/>
      <c r="G204" s="610"/>
      <c r="H204" s="610"/>
      <c r="I204" s="610"/>
      <c r="J204" s="610"/>
      <c r="K204" s="610"/>
      <c r="L204" s="610"/>
      <c r="M204" s="610"/>
      <c r="N204" s="610"/>
      <c r="O204" s="610"/>
      <c r="P204" s="610"/>
      <c r="Q204" s="610"/>
      <c r="R204" s="610"/>
      <c r="S204" s="610"/>
      <c r="T204" s="610"/>
      <c r="U204" s="610"/>
      <c r="V204" s="610"/>
      <c r="W204" s="610"/>
      <c r="X204" s="610"/>
      <c r="Y204" s="610"/>
      <c r="Z204" s="610"/>
      <c r="AA204" s="610"/>
      <c r="AB204" s="610"/>
      <c r="AC204" s="610"/>
      <c r="AD204" s="610"/>
      <c r="AG204" s="610"/>
      <c r="AH204" s="610"/>
    </row>
    <row r="205">
      <c r="B205" s="610"/>
      <c r="C205" s="610"/>
      <c r="D205" s="610"/>
      <c r="E205" s="610"/>
      <c r="F205" s="610"/>
      <c r="G205" s="610"/>
      <c r="H205" s="610"/>
      <c r="I205" s="610"/>
      <c r="J205" s="610"/>
      <c r="K205" s="610"/>
      <c r="L205" s="610"/>
      <c r="M205" s="610"/>
      <c r="N205" s="610"/>
      <c r="O205" s="610"/>
      <c r="P205" s="610"/>
      <c r="Q205" s="610"/>
      <c r="R205" s="610"/>
      <c r="S205" s="610"/>
      <c r="T205" s="610"/>
      <c r="U205" s="610"/>
      <c r="V205" s="610"/>
      <c r="W205" s="610"/>
      <c r="X205" s="610"/>
      <c r="Y205" s="610"/>
      <c r="Z205" s="610"/>
      <c r="AA205" s="610"/>
      <c r="AB205" s="610"/>
      <c r="AC205" s="610"/>
      <c r="AD205" s="610"/>
      <c r="AG205" s="610"/>
      <c r="AH205" s="610"/>
    </row>
    <row r="206">
      <c r="B206" s="610"/>
      <c r="C206" s="610"/>
      <c r="D206" s="610"/>
      <c r="E206" s="610"/>
      <c r="F206" s="610"/>
      <c r="G206" s="610"/>
      <c r="H206" s="610"/>
      <c r="I206" s="610"/>
      <c r="J206" s="610"/>
      <c r="K206" s="610"/>
      <c r="L206" s="610"/>
      <c r="M206" s="610"/>
      <c r="N206" s="610"/>
      <c r="O206" s="610"/>
      <c r="P206" s="610"/>
      <c r="Q206" s="610"/>
      <c r="R206" s="610"/>
      <c r="S206" s="610"/>
      <c r="T206" s="610"/>
      <c r="U206" s="610"/>
      <c r="V206" s="610"/>
      <c r="W206" s="610"/>
      <c r="X206" s="610"/>
      <c r="Y206" s="610"/>
      <c r="Z206" s="610"/>
      <c r="AA206" s="610"/>
      <c r="AB206" s="610"/>
      <c r="AC206" s="610"/>
      <c r="AD206" s="610"/>
      <c r="AG206" s="610"/>
      <c r="AH206" s="610"/>
    </row>
    <row r="207">
      <c r="B207" s="610"/>
      <c r="C207" s="610"/>
      <c r="D207" s="610"/>
      <c r="E207" s="610"/>
      <c r="F207" s="610"/>
      <c r="G207" s="610"/>
      <c r="H207" s="610"/>
      <c r="I207" s="610"/>
      <c r="J207" s="610"/>
      <c r="K207" s="610"/>
      <c r="L207" s="610"/>
      <c r="M207" s="610"/>
      <c r="N207" s="610"/>
      <c r="O207" s="610"/>
      <c r="P207" s="610"/>
      <c r="Q207" s="610"/>
      <c r="R207" s="610"/>
      <c r="S207" s="610"/>
      <c r="T207" s="610"/>
      <c r="U207" s="610"/>
      <c r="V207" s="610"/>
      <c r="W207" s="610"/>
      <c r="X207" s="610"/>
      <c r="Y207" s="610"/>
      <c r="Z207" s="610"/>
      <c r="AA207" s="610"/>
      <c r="AB207" s="610"/>
      <c r="AC207" s="610"/>
      <c r="AD207" s="610"/>
      <c r="AG207" s="610"/>
      <c r="AH207" s="610"/>
    </row>
    <row r="208">
      <c r="B208" s="610"/>
      <c r="C208" s="610"/>
      <c r="D208" s="610"/>
      <c r="E208" s="610"/>
      <c r="F208" s="610"/>
      <c r="G208" s="610"/>
      <c r="H208" s="610"/>
      <c r="I208" s="610"/>
      <c r="J208" s="610"/>
      <c r="K208" s="610"/>
      <c r="L208" s="610"/>
      <c r="M208" s="610"/>
      <c r="N208" s="610"/>
      <c r="O208" s="610"/>
      <c r="P208" s="610"/>
      <c r="Q208" s="610"/>
      <c r="R208" s="610"/>
      <c r="S208" s="610"/>
      <c r="T208" s="610"/>
      <c r="U208" s="610"/>
      <c r="V208" s="610"/>
      <c r="W208" s="610"/>
      <c r="X208" s="610"/>
      <c r="Y208" s="610"/>
      <c r="Z208" s="610"/>
      <c r="AA208" s="610"/>
      <c r="AB208" s="610"/>
      <c r="AC208" s="610"/>
      <c r="AD208" s="610"/>
      <c r="AG208" s="610"/>
      <c r="AH208" s="610"/>
    </row>
    <row r="209">
      <c r="B209" s="610"/>
      <c r="C209" s="610"/>
      <c r="D209" s="610"/>
      <c r="E209" s="610"/>
      <c r="F209" s="610"/>
      <c r="G209" s="610"/>
      <c r="H209" s="610"/>
      <c r="I209" s="610"/>
      <c r="J209" s="610"/>
      <c r="K209" s="610"/>
      <c r="L209" s="610"/>
      <c r="M209" s="610"/>
      <c r="N209" s="610"/>
      <c r="O209" s="610"/>
      <c r="P209" s="610"/>
      <c r="Q209" s="610"/>
      <c r="R209" s="610"/>
      <c r="S209" s="610"/>
      <c r="T209" s="610"/>
      <c r="U209" s="610"/>
      <c r="V209" s="610"/>
      <c r="W209" s="610"/>
      <c r="X209" s="610"/>
      <c r="Y209" s="610"/>
      <c r="Z209" s="610"/>
      <c r="AA209" s="610"/>
      <c r="AB209" s="610"/>
      <c r="AC209" s="610"/>
      <c r="AD209" s="610"/>
      <c r="AG209" s="610"/>
      <c r="AH209" s="610"/>
    </row>
    <row r="210">
      <c r="B210" s="610"/>
      <c r="C210" s="610"/>
      <c r="D210" s="610"/>
      <c r="E210" s="610"/>
      <c r="F210" s="610"/>
      <c r="G210" s="610"/>
      <c r="H210" s="610"/>
      <c r="I210" s="610"/>
      <c r="J210" s="610"/>
      <c r="K210" s="610"/>
      <c r="L210" s="610"/>
      <c r="M210" s="610"/>
      <c r="N210" s="610"/>
      <c r="O210" s="610"/>
      <c r="P210" s="610"/>
      <c r="Q210" s="610"/>
      <c r="R210" s="610"/>
      <c r="S210" s="610"/>
      <c r="T210" s="610"/>
      <c r="U210" s="610"/>
      <c r="V210" s="610"/>
      <c r="W210" s="610"/>
      <c r="X210" s="610"/>
      <c r="Y210" s="610"/>
      <c r="Z210" s="610"/>
      <c r="AA210" s="610"/>
      <c r="AB210" s="610"/>
      <c r="AC210" s="610"/>
      <c r="AD210" s="610"/>
      <c r="AG210" s="610"/>
      <c r="AH210" s="610"/>
    </row>
    <row r="211">
      <c r="B211" s="610"/>
      <c r="C211" s="610"/>
      <c r="D211" s="610"/>
      <c r="E211" s="610"/>
      <c r="F211" s="610"/>
      <c r="G211" s="610"/>
      <c r="H211" s="610"/>
      <c r="I211" s="610"/>
      <c r="J211" s="610"/>
      <c r="K211" s="610"/>
      <c r="L211" s="610"/>
      <c r="M211" s="610"/>
      <c r="N211" s="610"/>
      <c r="O211" s="610"/>
      <c r="P211" s="610"/>
      <c r="Q211" s="610"/>
      <c r="R211" s="610"/>
      <c r="S211" s="610"/>
      <c r="T211" s="610"/>
      <c r="U211" s="610"/>
      <c r="V211" s="610"/>
      <c r="W211" s="610"/>
      <c r="X211" s="610"/>
      <c r="Y211" s="610"/>
      <c r="Z211" s="610"/>
      <c r="AA211" s="610"/>
      <c r="AB211" s="610"/>
      <c r="AC211" s="610"/>
      <c r="AD211" s="610"/>
      <c r="AG211" s="610"/>
      <c r="AH211" s="610"/>
    </row>
    <row r="212">
      <c r="B212" s="610"/>
      <c r="C212" s="610"/>
      <c r="D212" s="610"/>
      <c r="E212" s="610"/>
      <c r="F212" s="610"/>
      <c r="G212" s="610"/>
      <c r="H212" s="610"/>
      <c r="I212" s="610"/>
      <c r="J212" s="610"/>
      <c r="K212" s="610"/>
      <c r="L212" s="610"/>
      <c r="M212" s="610"/>
      <c r="N212" s="610"/>
      <c r="O212" s="610"/>
      <c r="P212" s="610"/>
      <c r="Q212" s="610"/>
      <c r="R212" s="610"/>
      <c r="S212" s="610"/>
      <c r="T212" s="610"/>
      <c r="U212" s="610"/>
      <c r="V212" s="610"/>
      <c r="W212" s="610"/>
      <c r="X212" s="610"/>
      <c r="Y212" s="610"/>
      <c r="Z212" s="610"/>
      <c r="AA212" s="610"/>
      <c r="AB212" s="610"/>
      <c r="AC212" s="610"/>
      <c r="AD212" s="610"/>
      <c r="AG212" s="610"/>
      <c r="AH212" s="610"/>
    </row>
    <row r="213">
      <c r="B213" s="610"/>
      <c r="C213" s="610"/>
      <c r="D213" s="610"/>
      <c r="E213" s="610"/>
      <c r="F213" s="610"/>
      <c r="G213" s="610"/>
      <c r="H213" s="610"/>
      <c r="I213" s="610"/>
      <c r="J213" s="610"/>
      <c r="K213" s="610"/>
      <c r="L213" s="610"/>
      <c r="M213" s="610"/>
      <c r="N213" s="610"/>
      <c r="O213" s="610"/>
      <c r="P213" s="610"/>
      <c r="Q213" s="610"/>
      <c r="R213" s="610"/>
      <c r="S213" s="610"/>
      <c r="T213" s="610"/>
      <c r="U213" s="610"/>
      <c r="V213" s="610"/>
      <c r="W213" s="610"/>
      <c r="X213" s="610"/>
      <c r="Y213" s="610"/>
      <c r="Z213" s="610"/>
      <c r="AA213" s="610"/>
      <c r="AB213" s="610"/>
      <c r="AC213" s="610"/>
      <c r="AD213" s="610"/>
      <c r="AG213" s="610"/>
      <c r="AH213" s="610"/>
    </row>
    <row r="214">
      <c r="B214" s="610"/>
      <c r="C214" s="610"/>
      <c r="D214" s="610"/>
      <c r="E214" s="610"/>
      <c r="F214" s="610"/>
      <c r="G214" s="610"/>
      <c r="H214" s="610"/>
      <c r="I214" s="610"/>
      <c r="J214" s="610"/>
      <c r="K214" s="610"/>
      <c r="L214" s="610"/>
      <c r="M214" s="610"/>
      <c r="N214" s="610"/>
      <c r="O214" s="610"/>
      <c r="P214" s="610"/>
      <c r="Q214" s="610"/>
      <c r="R214" s="610"/>
      <c r="S214" s="610"/>
      <c r="T214" s="610"/>
      <c r="U214" s="610"/>
      <c r="V214" s="610"/>
      <c r="W214" s="610"/>
      <c r="X214" s="610"/>
      <c r="Y214" s="610"/>
      <c r="Z214" s="610"/>
      <c r="AA214" s="610"/>
      <c r="AB214" s="610"/>
      <c r="AC214" s="610"/>
      <c r="AD214" s="610"/>
      <c r="AG214" s="610"/>
      <c r="AH214" s="610"/>
    </row>
    <row r="215">
      <c r="B215" s="610"/>
      <c r="C215" s="610"/>
      <c r="D215" s="610"/>
      <c r="E215" s="610"/>
      <c r="F215" s="610"/>
      <c r="G215" s="610"/>
      <c r="H215" s="610"/>
      <c r="I215" s="610"/>
      <c r="J215" s="610"/>
      <c r="K215" s="610"/>
      <c r="L215" s="610"/>
      <c r="M215" s="610"/>
      <c r="N215" s="610"/>
      <c r="O215" s="610"/>
      <c r="P215" s="610"/>
      <c r="Q215" s="610"/>
      <c r="R215" s="610"/>
      <c r="S215" s="610"/>
      <c r="T215" s="610"/>
      <c r="U215" s="610"/>
      <c r="V215" s="610"/>
      <c r="W215" s="610"/>
      <c r="X215" s="610"/>
      <c r="Y215" s="610"/>
      <c r="Z215" s="610"/>
      <c r="AA215" s="610"/>
      <c r="AB215" s="610"/>
      <c r="AC215" s="610"/>
      <c r="AD215" s="610"/>
      <c r="AG215" s="610"/>
      <c r="AH215" s="610"/>
    </row>
    <row r="216">
      <c r="B216" s="610"/>
      <c r="C216" s="610"/>
      <c r="D216" s="610"/>
      <c r="E216" s="610"/>
      <c r="F216" s="610"/>
      <c r="G216" s="610"/>
      <c r="H216" s="610"/>
      <c r="I216" s="610"/>
      <c r="J216" s="610"/>
      <c r="K216" s="610"/>
      <c r="L216" s="610"/>
      <c r="M216" s="610"/>
      <c r="N216" s="610"/>
      <c r="O216" s="610"/>
      <c r="P216" s="610"/>
      <c r="Q216" s="610"/>
      <c r="R216" s="610"/>
      <c r="S216" s="610"/>
      <c r="T216" s="610"/>
      <c r="U216" s="610"/>
      <c r="V216" s="610"/>
      <c r="W216" s="610"/>
      <c r="X216" s="610"/>
      <c r="Y216" s="610"/>
      <c r="Z216" s="610"/>
      <c r="AA216" s="610"/>
      <c r="AB216" s="610"/>
      <c r="AC216" s="610"/>
      <c r="AD216" s="610"/>
      <c r="AG216" s="610"/>
      <c r="AH216" s="610"/>
    </row>
    <row r="217">
      <c r="B217" s="610"/>
      <c r="C217" s="610"/>
      <c r="D217" s="610"/>
      <c r="E217" s="610"/>
      <c r="F217" s="610"/>
      <c r="G217" s="610"/>
      <c r="H217" s="610"/>
      <c r="I217" s="610"/>
      <c r="J217" s="610"/>
      <c r="K217" s="610"/>
      <c r="L217" s="610"/>
      <c r="M217" s="610"/>
      <c r="N217" s="610"/>
      <c r="O217" s="610"/>
      <c r="P217" s="610"/>
      <c r="Q217" s="610"/>
      <c r="R217" s="610"/>
      <c r="S217" s="610"/>
      <c r="T217" s="610"/>
      <c r="U217" s="610"/>
      <c r="V217" s="610"/>
      <c r="W217" s="610"/>
      <c r="X217" s="610"/>
      <c r="Y217" s="610"/>
      <c r="Z217" s="610"/>
      <c r="AA217" s="610"/>
      <c r="AB217" s="610"/>
      <c r="AC217" s="610"/>
      <c r="AD217" s="610"/>
      <c r="AG217" s="610"/>
      <c r="AH217" s="610"/>
    </row>
    <row r="218">
      <c r="B218" s="610"/>
      <c r="C218" s="610"/>
      <c r="D218" s="610"/>
      <c r="E218" s="610"/>
      <c r="F218" s="610"/>
      <c r="G218" s="610"/>
      <c r="H218" s="610"/>
      <c r="I218" s="610"/>
      <c r="J218" s="610"/>
      <c r="K218" s="610"/>
      <c r="L218" s="610"/>
      <c r="M218" s="610"/>
      <c r="N218" s="610"/>
      <c r="O218" s="610"/>
      <c r="P218" s="610"/>
      <c r="Q218" s="610"/>
      <c r="R218" s="610"/>
      <c r="S218" s="610"/>
      <c r="T218" s="610"/>
      <c r="U218" s="610"/>
      <c r="V218" s="610"/>
      <c r="W218" s="610"/>
      <c r="X218" s="610"/>
      <c r="Y218" s="610"/>
      <c r="Z218" s="610"/>
      <c r="AA218" s="610"/>
      <c r="AB218" s="610"/>
      <c r="AC218" s="610"/>
      <c r="AD218" s="610"/>
      <c r="AG218" s="610"/>
      <c r="AH218" s="610"/>
    </row>
    <row r="219">
      <c r="B219" s="610"/>
      <c r="C219" s="610"/>
      <c r="D219" s="610"/>
      <c r="E219" s="610"/>
      <c r="F219" s="610"/>
      <c r="G219" s="610"/>
      <c r="H219" s="610"/>
      <c r="I219" s="610"/>
      <c r="J219" s="610"/>
      <c r="K219" s="610"/>
      <c r="L219" s="610"/>
      <c r="M219" s="610"/>
      <c r="N219" s="610"/>
      <c r="O219" s="610"/>
      <c r="P219" s="610"/>
      <c r="Q219" s="610"/>
      <c r="R219" s="610"/>
      <c r="S219" s="610"/>
      <c r="T219" s="610"/>
      <c r="U219" s="610"/>
      <c r="V219" s="610"/>
      <c r="W219" s="610"/>
      <c r="X219" s="610"/>
      <c r="Y219" s="610"/>
      <c r="Z219" s="610"/>
      <c r="AA219" s="610"/>
      <c r="AB219" s="610"/>
      <c r="AC219" s="610"/>
      <c r="AD219" s="610"/>
      <c r="AG219" s="610"/>
      <c r="AH219" s="610"/>
    </row>
    <row r="220">
      <c r="B220" s="610"/>
      <c r="C220" s="610"/>
      <c r="D220" s="610"/>
      <c r="E220" s="610"/>
      <c r="F220" s="610"/>
      <c r="G220" s="610"/>
      <c r="H220" s="610"/>
      <c r="I220" s="610"/>
      <c r="J220" s="610"/>
      <c r="K220" s="610"/>
      <c r="L220" s="610"/>
      <c r="M220" s="610"/>
      <c r="N220" s="610"/>
      <c r="O220" s="610"/>
      <c r="P220" s="610"/>
      <c r="Q220" s="610"/>
      <c r="R220" s="610"/>
      <c r="S220" s="610"/>
      <c r="T220" s="610"/>
      <c r="U220" s="610"/>
      <c r="V220" s="610"/>
      <c r="W220" s="610"/>
      <c r="X220" s="610"/>
      <c r="Y220" s="610"/>
      <c r="Z220" s="610"/>
      <c r="AA220" s="610"/>
      <c r="AB220" s="610"/>
      <c r="AC220" s="610"/>
      <c r="AD220" s="610"/>
      <c r="AG220" s="610"/>
      <c r="AH220" s="610"/>
    </row>
    <row r="221">
      <c r="B221" s="610"/>
      <c r="C221" s="610"/>
      <c r="D221" s="610"/>
      <c r="E221" s="610"/>
      <c r="F221" s="610"/>
      <c r="G221" s="610"/>
      <c r="H221" s="610"/>
      <c r="I221" s="610"/>
      <c r="J221" s="610"/>
      <c r="K221" s="610"/>
      <c r="L221" s="610"/>
      <c r="M221" s="610"/>
      <c r="N221" s="610"/>
      <c r="O221" s="610"/>
      <c r="P221" s="610"/>
      <c r="Q221" s="610"/>
      <c r="R221" s="610"/>
      <c r="S221" s="610"/>
      <c r="T221" s="610"/>
      <c r="U221" s="610"/>
      <c r="V221" s="610"/>
      <c r="W221" s="610"/>
      <c r="X221" s="610"/>
      <c r="Y221" s="610"/>
      <c r="Z221" s="610"/>
      <c r="AA221" s="610"/>
      <c r="AB221" s="610"/>
      <c r="AC221" s="610"/>
      <c r="AD221" s="610"/>
      <c r="AG221" s="610"/>
      <c r="AH221" s="610"/>
    </row>
    <row r="222">
      <c r="B222" s="610"/>
      <c r="C222" s="610"/>
      <c r="D222" s="610"/>
      <c r="E222" s="610"/>
      <c r="F222" s="610"/>
      <c r="G222" s="610"/>
      <c r="H222" s="610"/>
      <c r="I222" s="610"/>
      <c r="J222" s="610"/>
      <c r="K222" s="610"/>
      <c r="L222" s="610"/>
      <c r="M222" s="610"/>
      <c r="N222" s="610"/>
      <c r="O222" s="610"/>
      <c r="P222" s="610"/>
      <c r="Q222" s="610"/>
      <c r="R222" s="610"/>
      <c r="S222" s="610"/>
      <c r="T222" s="610"/>
      <c r="U222" s="610"/>
      <c r="V222" s="610"/>
      <c r="W222" s="610"/>
      <c r="X222" s="610"/>
      <c r="Y222" s="610"/>
      <c r="Z222" s="610"/>
      <c r="AA222" s="610"/>
      <c r="AB222" s="610"/>
      <c r="AC222" s="610"/>
      <c r="AD222" s="610"/>
      <c r="AG222" s="610"/>
      <c r="AH222" s="610"/>
    </row>
    <row r="223">
      <c r="B223" s="610"/>
      <c r="C223" s="610"/>
      <c r="D223" s="610"/>
      <c r="E223" s="610"/>
      <c r="F223" s="610"/>
      <c r="G223" s="610"/>
      <c r="H223" s="610"/>
      <c r="I223" s="610"/>
      <c r="J223" s="610"/>
      <c r="K223" s="610"/>
      <c r="L223" s="610"/>
      <c r="M223" s="610"/>
      <c r="N223" s="610"/>
      <c r="O223" s="610"/>
      <c r="P223" s="610"/>
      <c r="Q223" s="610"/>
      <c r="R223" s="610"/>
      <c r="S223" s="610"/>
      <c r="T223" s="610"/>
      <c r="U223" s="610"/>
      <c r="V223" s="610"/>
      <c r="W223" s="610"/>
      <c r="X223" s="610"/>
      <c r="Y223" s="610"/>
      <c r="Z223" s="610"/>
      <c r="AA223" s="610"/>
      <c r="AB223" s="610"/>
      <c r="AC223" s="610"/>
      <c r="AD223" s="610"/>
      <c r="AG223" s="610"/>
      <c r="AH223" s="610"/>
    </row>
    <row r="224">
      <c r="B224" s="610"/>
      <c r="C224" s="610"/>
      <c r="D224" s="610"/>
      <c r="E224" s="610"/>
      <c r="F224" s="610"/>
      <c r="G224" s="610"/>
      <c r="H224" s="610"/>
      <c r="I224" s="610"/>
      <c r="J224" s="610"/>
      <c r="K224" s="610"/>
      <c r="L224" s="610"/>
      <c r="M224" s="610"/>
      <c r="N224" s="610"/>
      <c r="O224" s="610"/>
      <c r="P224" s="610"/>
      <c r="Q224" s="610"/>
      <c r="R224" s="610"/>
      <c r="S224" s="610"/>
      <c r="T224" s="610"/>
      <c r="U224" s="610"/>
      <c r="V224" s="610"/>
      <c r="W224" s="610"/>
      <c r="X224" s="610"/>
      <c r="Y224" s="610"/>
      <c r="Z224" s="610"/>
      <c r="AA224" s="610"/>
      <c r="AB224" s="610"/>
      <c r="AC224" s="610"/>
      <c r="AD224" s="610"/>
      <c r="AG224" s="610"/>
      <c r="AH224" s="610"/>
    </row>
    <row r="225">
      <c r="B225" s="610"/>
      <c r="C225" s="610"/>
      <c r="D225" s="610"/>
      <c r="E225" s="610"/>
      <c r="F225" s="610"/>
      <c r="G225" s="610"/>
      <c r="H225" s="610"/>
      <c r="I225" s="610"/>
      <c r="J225" s="610"/>
      <c r="K225" s="610"/>
      <c r="L225" s="610"/>
      <c r="M225" s="610"/>
      <c r="N225" s="610"/>
      <c r="O225" s="610"/>
      <c r="P225" s="610"/>
      <c r="Q225" s="610"/>
      <c r="R225" s="610"/>
      <c r="S225" s="610"/>
      <c r="T225" s="610"/>
      <c r="U225" s="610"/>
      <c r="V225" s="610"/>
      <c r="W225" s="610"/>
      <c r="X225" s="610"/>
      <c r="Y225" s="610"/>
      <c r="Z225" s="610"/>
      <c r="AA225" s="610"/>
      <c r="AB225" s="610"/>
      <c r="AC225" s="610"/>
      <c r="AD225" s="610"/>
      <c r="AG225" s="610"/>
      <c r="AH225" s="610"/>
    </row>
    <row r="226">
      <c r="B226" s="610"/>
      <c r="C226" s="610"/>
      <c r="D226" s="610"/>
      <c r="E226" s="610"/>
      <c r="F226" s="610"/>
      <c r="G226" s="610"/>
      <c r="H226" s="610"/>
      <c r="I226" s="610"/>
      <c r="J226" s="610"/>
      <c r="K226" s="610"/>
      <c r="L226" s="610"/>
      <c r="M226" s="610"/>
      <c r="N226" s="610"/>
      <c r="O226" s="610"/>
      <c r="P226" s="610"/>
      <c r="Q226" s="610"/>
      <c r="R226" s="610"/>
      <c r="S226" s="610"/>
      <c r="T226" s="610"/>
      <c r="U226" s="610"/>
      <c r="V226" s="610"/>
      <c r="W226" s="610"/>
      <c r="X226" s="610"/>
      <c r="Y226" s="610"/>
      <c r="Z226" s="610"/>
      <c r="AA226" s="610"/>
      <c r="AB226" s="610"/>
      <c r="AC226" s="610"/>
      <c r="AD226" s="610"/>
      <c r="AG226" s="610"/>
      <c r="AH226" s="610"/>
    </row>
    <row r="227">
      <c r="B227" s="610"/>
      <c r="C227" s="610"/>
      <c r="D227" s="610"/>
      <c r="E227" s="610"/>
      <c r="F227" s="610"/>
      <c r="G227" s="610"/>
      <c r="H227" s="610"/>
      <c r="I227" s="610"/>
      <c r="J227" s="610"/>
      <c r="K227" s="610"/>
      <c r="L227" s="610"/>
      <c r="M227" s="610"/>
      <c r="N227" s="610"/>
      <c r="O227" s="610"/>
      <c r="P227" s="610"/>
      <c r="Q227" s="610"/>
      <c r="R227" s="610"/>
      <c r="S227" s="610"/>
      <c r="T227" s="610"/>
      <c r="U227" s="610"/>
      <c r="V227" s="610"/>
      <c r="W227" s="610"/>
      <c r="X227" s="610"/>
      <c r="Y227" s="610"/>
      <c r="Z227" s="610"/>
      <c r="AA227" s="610"/>
      <c r="AB227" s="610"/>
      <c r="AC227" s="610"/>
      <c r="AD227" s="610"/>
      <c r="AG227" s="610"/>
      <c r="AH227" s="610"/>
    </row>
    <row r="228">
      <c r="B228" s="610"/>
      <c r="C228" s="610"/>
      <c r="D228" s="610"/>
      <c r="E228" s="610"/>
      <c r="F228" s="610"/>
      <c r="G228" s="610"/>
      <c r="H228" s="610"/>
      <c r="I228" s="610"/>
      <c r="J228" s="610"/>
      <c r="K228" s="610"/>
      <c r="L228" s="610"/>
      <c r="M228" s="610"/>
      <c r="N228" s="610"/>
      <c r="O228" s="610"/>
      <c r="P228" s="610"/>
      <c r="Q228" s="610"/>
      <c r="R228" s="610"/>
      <c r="S228" s="610"/>
      <c r="T228" s="610"/>
      <c r="U228" s="610"/>
      <c r="V228" s="610"/>
      <c r="W228" s="610"/>
      <c r="X228" s="610"/>
      <c r="Y228" s="610"/>
      <c r="Z228" s="610"/>
      <c r="AA228" s="610"/>
      <c r="AB228" s="610"/>
      <c r="AC228" s="610"/>
      <c r="AD228" s="610"/>
      <c r="AG228" s="610"/>
      <c r="AH228" s="610"/>
    </row>
    <row r="229">
      <c r="B229" s="610"/>
      <c r="C229" s="610"/>
      <c r="D229" s="610"/>
      <c r="E229" s="610"/>
      <c r="F229" s="610"/>
      <c r="G229" s="610"/>
      <c r="H229" s="610"/>
      <c r="I229" s="610"/>
      <c r="J229" s="610"/>
      <c r="K229" s="610"/>
      <c r="L229" s="610"/>
      <c r="M229" s="610"/>
      <c r="N229" s="610"/>
      <c r="O229" s="610"/>
      <c r="P229" s="610"/>
      <c r="Q229" s="610"/>
      <c r="R229" s="610"/>
      <c r="S229" s="610"/>
      <c r="T229" s="610"/>
      <c r="U229" s="610"/>
      <c r="V229" s="610"/>
      <c r="W229" s="610"/>
      <c r="X229" s="610"/>
      <c r="Y229" s="610"/>
      <c r="Z229" s="610"/>
      <c r="AA229" s="610"/>
      <c r="AB229" s="610"/>
      <c r="AC229" s="610"/>
      <c r="AD229" s="610"/>
      <c r="AG229" s="610"/>
      <c r="AH229" s="610"/>
    </row>
    <row r="230">
      <c r="B230" s="610"/>
      <c r="C230" s="610"/>
      <c r="D230" s="610"/>
      <c r="E230" s="610"/>
      <c r="F230" s="610"/>
      <c r="G230" s="610"/>
      <c r="H230" s="610"/>
      <c r="I230" s="610"/>
      <c r="J230" s="610"/>
      <c r="K230" s="610"/>
      <c r="L230" s="610"/>
      <c r="M230" s="610"/>
      <c r="N230" s="610"/>
      <c r="O230" s="610"/>
      <c r="P230" s="610"/>
      <c r="Q230" s="610"/>
      <c r="R230" s="610"/>
      <c r="S230" s="610"/>
      <c r="T230" s="610"/>
      <c r="U230" s="610"/>
      <c r="V230" s="610"/>
      <c r="W230" s="610"/>
      <c r="X230" s="610"/>
      <c r="Y230" s="610"/>
      <c r="Z230" s="610"/>
      <c r="AA230" s="610"/>
      <c r="AB230" s="610"/>
      <c r="AC230" s="610"/>
      <c r="AD230" s="610"/>
      <c r="AG230" s="610"/>
      <c r="AH230" s="610"/>
    </row>
    <row r="231">
      <c r="B231" s="610"/>
      <c r="C231" s="610"/>
      <c r="D231" s="610"/>
      <c r="E231" s="610"/>
      <c r="F231" s="610"/>
      <c r="G231" s="610"/>
      <c r="H231" s="610"/>
      <c r="I231" s="610"/>
      <c r="J231" s="610"/>
      <c r="K231" s="610"/>
      <c r="L231" s="610"/>
      <c r="M231" s="610"/>
      <c r="N231" s="610"/>
      <c r="O231" s="610"/>
      <c r="P231" s="610"/>
      <c r="Q231" s="610"/>
      <c r="R231" s="610"/>
      <c r="S231" s="610"/>
      <c r="T231" s="610"/>
      <c r="U231" s="610"/>
      <c r="V231" s="610"/>
      <c r="W231" s="610"/>
      <c r="X231" s="610"/>
      <c r="Y231" s="610"/>
      <c r="Z231" s="610"/>
      <c r="AA231" s="610"/>
      <c r="AB231" s="610"/>
      <c r="AC231" s="610"/>
      <c r="AD231" s="610"/>
      <c r="AG231" s="610"/>
      <c r="AH231" s="610"/>
    </row>
    <row r="232">
      <c r="B232" s="610"/>
      <c r="C232" s="610"/>
      <c r="D232" s="610"/>
      <c r="E232" s="610"/>
      <c r="F232" s="610"/>
      <c r="G232" s="610"/>
      <c r="H232" s="610"/>
      <c r="I232" s="610"/>
      <c r="J232" s="610"/>
      <c r="K232" s="610"/>
      <c r="L232" s="610"/>
      <c r="M232" s="610"/>
      <c r="N232" s="610"/>
      <c r="O232" s="610"/>
      <c r="P232" s="610"/>
      <c r="Q232" s="610"/>
      <c r="R232" s="610"/>
      <c r="S232" s="610"/>
      <c r="T232" s="610"/>
      <c r="U232" s="610"/>
      <c r="V232" s="610"/>
      <c r="W232" s="610"/>
      <c r="X232" s="610"/>
      <c r="Y232" s="610"/>
      <c r="Z232" s="610"/>
      <c r="AA232" s="610"/>
      <c r="AB232" s="610"/>
      <c r="AC232" s="610"/>
      <c r="AD232" s="610"/>
      <c r="AG232" s="610"/>
      <c r="AH232" s="610"/>
    </row>
    <row r="233">
      <c r="B233" s="610"/>
      <c r="C233" s="610"/>
      <c r="D233" s="610"/>
      <c r="E233" s="610"/>
      <c r="F233" s="610"/>
      <c r="G233" s="610"/>
      <c r="H233" s="610"/>
      <c r="I233" s="610"/>
      <c r="J233" s="610"/>
      <c r="K233" s="610"/>
      <c r="L233" s="610"/>
      <c r="M233" s="610"/>
      <c r="N233" s="610"/>
      <c r="O233" s="610"/>
      <c r="P233" s="610"/>
      <c r="Q233" s="610"/>
      <c r="R233" s="610"/>
      <c r="S233" s="610"/>
      <c r="T233" s="610"/>
      <c r="U233" s="610"/>
      <c r="V233" s="610"/>
      <c r="W233" s="610"/>
      <c r="X233" s="610"/>
      <c r="Y233" s="610"/>
      <c r="Z233" s="610"/>
      <c r="AA233" s="610"/>
      <c r="AB233" s="610"/>
      <c r="AC233" s="610"/>
      <c r="AD233" s="610"/>
      <c r="AG233" s="610"/>
      <c r="AH233" s="610"/>
    </row>
    <row r="234">
      <c r="B234" s="610"/>
      <c r="C234" s="610"/>
      <c r="D234" s="610"/>
      <c r="E234" s="610"/>
      <c r="F234" s="610"/>
      <c r="G234" s="610"/>
      <c r="H234" s="610"/>
      <c r="I234" s="610"/>
      <c r="J234" s="610"/>
      <c r="K234" s="610"/>
      <c r="L234" s="610"/>
      <c r="M234" s="610"/>
      <c r="N234" s="610"/>
      <c r="O234" s="610"/>
      <c r="P234" s="610"/>
      <c r="Q234" s="610"/>
      <c r="R234" s="610"/>
      <c r="S234" s="610"/>
      <c r="T234" s="610"/>
      <c r="U234" s="610"/>
      <c r="V234" s="610"/>
      <c r="W234" s="610"/>
      <c r="X234" s="610"/>
      <c r="Y234" s="610"/>
      <c r="Z234" s="610"/>
      <c r="AA234" s="610"/>
      <c r="AB234" s="610"/>
      <c r="AC234" s="610"/>
      <c r="AD234" s="610"/>
      <c r="AG234" s="610"/>
      <c r="AH234" s="610"/>
    </row>
    <row r="235">
      <c r="B235" s="610"/>
      <c r="C235" s="610"/>
      <c r="D235" s="610"/>
      <c r="E235" s="610"/>
      <c r="F235" s="610"/>
      <c r="G235" s="610"/>
      <c r="H235" s="610"/>
      <c r="I235" s="610"/>
      <c r="J235" s="610"/>
      <c r="K235" s="610"/>
      <c r="L235" s="610"/>
      <c r="M235" s="610"/>
      <c r="N235" s="610"/>
      <c r="O235" s="610"/>
      <c r="P235" s="610"/>
      <c r="Q235" s="610"/>
      <c r="R235" s="610"/>
      <c r="S235" s="610"/>
      <c r="T235" s="610"/>
      <c r="U235" s="610"/>
      <c r="V235" s="610"/>
      <c r="W235" s="610"/>
      <c r="X235" s="610"/>
      <c r="Y235" s="610"/>
      <c r="Z235" s="610"/>
      <c r="AA235" s="610"/>
      <c r="AB235" s="610"/>
      <c r="AC235" s="610"/>
      <c r="AD235" s="610"/>
      <c r="AG235" s="610"/>
      <c r="AH235" s="610"/>
    </row>
    <row r="236">
      <c r="B236" s="610"/>
      <c r="C236" s="610"/>
      <c r="D236" s="610"/>
      <c r="E236" s="610"/>
      <c r="F236" s="610"/>
      <c r="G236" s="610"/>
      <c r="H236" s="610"/>
      <c r="I236" s="610"/>
      <c r="J236" s="610"/>
      <c r="K236" s="610"/>
      <c r="L236" s="610"/>
      <c r="M236" s="610"/>
      <c r="N236" s="610"/>
      <c r="O236" s="610"/>
      <c r="P236" s="610"/>
      <c r="Q236" s="610"/>
      <c r="R236" s="610"/>
      <c r="S236" s="610"/>
      <c r="T236" s="610"/>
      <c r="U236" s="610"/>
      <c r="V236" s="610"/>
      <c r="W236" s="610"/>
      <c r="X236" s="610"/>
      <c r="Y236" s="610"/>
      <c r="Z236" s="610"/>
      <c r="AA236" s="610"/>
      <c r="AB236" s="610"/>
      <c r="AC236" s="610"/>
      <c r="AD236" s="610"/>
      <c r="AG236" s="610"/>
      <c r="AH236" s="610"/>
    </row>
    <row r="237">
      <c r="B237" s="610"/>
      <c r="C237" s="610"/>
      <c r="D237" s="610"/>
      <c r="E237" s="610"/>
      <c r="F237" s="610"/>
      <c r="G237" s="610"/>
      <c r="H237" s="610"/>
      <c r="I237" s="610"/>
      <c r="J237" s="610"/>
      <c r="K237" s="610"/>
      <c r="L237" s="610"/>
      <c r="M237" s="610"/>
      <c r="N237" s="610"/>
      <c r="O237" s="610"/>
      <c r="P237" s="610"/>
      <c r="Q237" s="610"/>
      <c r="R237" s="610"/>
      <c r="S237" s="610"/>
      <c r="T237" s="610"/>
      <c r="U237" s="610"/>
      <c r="V237" s="610"/>
      <c r="W237" s="610"/>
      <c r="X237" s="610"/>
      <c r="Y237" s="610"/>
      <c r="Z237" s="610"/>
      <c r="AA237" s="610"/>
      <c r="AB237" s="610"/>
      <c r="AC237" s="610"/>
      <c r="AD237" s="610"/>
      <c r="AG237" s="610"/>
      <c r="AH237" s="610"/>
    </row>
    <row r="238">
      <c r="B238" s="610"/>
      <c r="C238" s="610"/>
      <c r="D238" s="610"/>
      <c r="E238" s="610"/>
      <c r="F238" s="610"/>
      <c r="G238" s="610"/>
      <c r="H238" s="610"/>
      <c r="I238" s="610"/>
      <c r="J238" s="610"/>
      <c r="K238" s="610"/>
      <c r="L238" s="610"/>
      <c r="M238" s="610"/>
      <c r="N238" s="610"/>
      <c r="O238" s="610"/>
      <c r="P238" s="610"/>
      <c r="Q238" s="610"/>
      <c r="R238" s="610"/>
      <c r="S238" s="610"/>
      <c r="T238" s="610"/>
      <c r="U238" s="610"/>
      <c r="V238" s="610"/>
      <c r="W238" s="610"/>
      <c r="X238" s="610"/>
      <c r="Y238" s="610"/>
      <c r="Z238" s="610"/>
      <c r="AA238" s="610"/>
      <c r="AB238" s="610"/>
      <c r="AC238" s="610"/>
      <c r="AD238" s="610"/>
      <c r="AG238" s="610"/>
      <c r="AH238" s="610"/>
    </row>
    <row r="239">
      <c r="B239" s="610"/>
      <c r="C239" s="610"/>
      <c r="D239" s="610"/>
      <c r="E239" s="610"/>
      <c r="F239" s="610"/>
      <c r="G239" s="610"/>
      <c r="H239" s="610"/>
      <c r="I239" s="610"/>
      <c r="J239" s="610"/>
      <c r="K239" s="610"/>
      <c r="L239" s="610"/>
      <c r="M239" s="610"/>
      <c r="N239" s="610"/>
      <c r="O239" s="610"/>
      <c r="P239" s="610"/>
      <c r="Q239" s="610"/>
      <c r="R239" s="610"/>
      <c r="S239" s="610"/>
      <c r="T239" s="610"/>
      <c r="U239" s="610"/>
      <c r="V239" s="610"/>
      <c r="W239" s="610"/>
      <c r="X239" s="610"/>
      <c r="Y239" s="610"/>
      <c r="Z239" s="610"/>
      <c r="AA239" s="610"/>
      <c r="AB239" s="610"/>
      <c r="AC239" s="610"/>
      <c r="AD239" s="610"/>
      <c r="AG239" s="610"/>
      <c r="AH239" s="610"/>
    </row>
    <row r="240">
      <c r="B240" s="610"/>
      <c r="C240" s="610"/>
      <c r="D240" s="610"/>
      <c r="E240" s="610"/>
      <c r="F240" s="610"/>
      <c r="G240" s="610"/>
      <c r="H240" s="610"/>
      <c r="I240" s="610"/>
      <c r="J240" s="610"/>
      <c r="K240" s="610"/>
      <c r="L240" s="610"/>
      <c r="M240" s="610"/>
      <c r="N240" s="610"/>
      <c r="O240" s="610"/>
      <c r="P240" s="610"/>
      <c r="Q240" s="610"/>
      <c r="R240" s="610"/>
      <c r="S240" s="610"/>
      <c r="T240" s="610"/>
      <c r="U240" s="610"/>
      <c r="V240" s="610"/>
      <c r="W240" s="610"/>
      <c r="X240" s="610"/>
      <c r="Y240" s="610"/>
      <c r="Z240" s="610"/>
      <c r="AA240" s="610"/>
      <c r="AB240" s="610"/>
      <c r="AC240" s="610"/>
      <c r="AD240" s="610"/>
      <c r="AG240" s="610"/>
      <c r="AH240" s="610"/>
    </row>
    <row r="241">
      <c r="B241" s="610"/>
      <c r="C241" s="610"/>
      <c r="D241" s="610"/>
      <c r="E241" s="610"/>
      <c r="F241" s="610"/>
      <c r="G241" s="610"/>
      <c r="H241" s="610"/>
      <c r="I241" s="610"/>
      <c r="J241" s="610"/>
      <c r="K241" s="610"/>
      <c r="L241" s="610"/>
      <c r="M241" s="610"/>
      <c r="N241" s="610"/>
      <c r="O241" s="610"/>
      <c r="P241" s="610"/>
      <c r="Q241" s="610"/>
      <c r="R241" s="610"/>
      <c r="S241" s="610"/>
      <c r="T241" s="610"/>
      <c r="U241" s="610"/>
      <c r="V241" s="610"/>
      <c r="W241" s="610"/>
      <c r="X241" s="610"/>
      <c r="Y241" s="610"/>
      <c r="Z241" s="610"/>
      <c r="AA241" s="610"/>
      <c r="AB241" s="610"/>
      <c r="AC241" s="610"/>
      <c r="AD241" s="610"/>
      <c r="AG241" s="610"/>
      <c r="AH241" s="610"/>
    </row>
    <row r="242">
      <c r="B242" s="610"/>
      <c r="C242" s="610"/>
      <c r="D242" s="610"/>
      <c r="E242" s="610"/>
      <c r="F242" s="610"/>
      <c r="G242" s="610"/>
      <c r="H242" s="610"/>
      <c r="I242" s="610"/>
      <c r="J242" s="610"/>
      <c r="K242" s="610"/>
      <c r="L242" s="610"/>
      <c r="M242" s="610"/>
      <c r="N242" s="610"/>
      <c r="O242" s="610"/>
      <c r="P242" s="610"/>
      <c r="Q242" s="610"/>
      <c r="R242" s="610"/>
      <c r="S242" s="610"/>
      <c r="T242" s="610"/>
      <c r="U242" s="610"/>
      <c r="V242" s="610"/>
      <c r="W242" s="610"/>
      <c r="X242" s="610"/>
      <c r="Y242" s="610"/>
      <c r="Z242" s="610"/>
      <c r="AA242" s="610"/>
      <c r="AB242" s="610"/>
      <c r="AC242" s="610"/>
      <c r="AD242" s="610"/>
      <c r="AG242" s="610"/>
      <c r="AH242" s="610"/>
    </row>
    <row r="243">
      <c r="B243" s="610"/>
      <c r="C243" s="610"/>
      <c r="D243" s="610"/>
      <c r="E243" s="610"/>
      <c r="F243" s="610"/>
      <c r="G243" s="610"/>
      <c r="H243" s="610"/>
      <c r="I243" s="610"/>
      <c r="J243" s="610"/>
      <c r="K243" s="610"/>
      <c r="L243" s="610"/>
      <c r="M243" s="610"/>
      <c r="N243" s="610"/>
      <c r="O243" s="610"/>
      <c r="P243" s="610"/>
      <c r="Q243" s="610"/>
      <c r="R243" s="610"/>
      <c r="S243" s="610"/>
      <c r="T243" s="610"/>
      <c r="U243" s="610"/>
      <c r="V243" s="610"/>
      <c r="W243" s="610"/>
      <c r="X243" s="610"/>
      <c r="Y243" s="610"/>
      <c r="Z243" s="610"/>
      <c r="AA243" s="610"/>
      <c r="AB243" s="610"/>
      <c r="AC243" s="610"/>
      <c r="AD243" s="610"/>
      <c r="AG243" s="610"/>
      <c r="AH243" s="610"/>
    </row>
    <row r="244">
      <c r="B244" s="610"/>
      <c r="C244" s="610"/>
      <c r="D244" s="610"/>
      <c r="E244" s="610"/>
      <c r="F244" s="610"/>
      <c r="G244" s="610"/>
      <c r="H244" s="610"/>
      <c r="I244" s="610"/>
      <c r="J244" s="610"/>
      <c r="K244" s="610"/>
      <c r="L244" s="610"/>
      <c r="M244" s="610"/>
      <c r="N244" s="610"/>
      <c r="O244" s="610"/>
      <c r="P244" s="610"/>
      <c r="Q244" s="610"/>
      <c r="R244" s="610"/>
      <c r="S244" s="610"/>
      <c r="T244" s="610"/>
      <c r="U244" s="610"/>
      <c r="V244" s="610"/>
      <c r="W244" s="610"/>
      <c r="X244" s="610"/>
      <c r="Y244" s="610"/>
      <c r="Z244" s="610"/>
      <c r="AA244" s="610"/>
      <c r="AB244" s="610"/>
      <c r="AC244" s="610"/>
      <c r="AD244" s="610"/>
      <c r="AG244" s="610"/>
      <c r="AH244" s="610"/>
    </row>
    <row r="245">
      <c r="B245" s="610"/>
      <c r="C245" s="610"/>
      <c r="D245" s="610"/>
      <c r="E245" s="610"/>
      <c r="F245" s="610"/>
      <c r="G245" s="610"/>
      <c r="H245" s="610"/>
      <c r="I245" s="610"/>
      <c r="J245" s="610"/>
      <c r="K245" s="610"/>
      <c r="L245" s="610"/>
      <c r="M245" s="610"/>
      <c r="N245" s="610"/>
      <c r="O245" s="610"/>
      <c r="P245" s="610"/>
      <c r="Q245" s="610"/>
      <c r="R245" s="610"/>
      <c r="S245" s="610"/>
      <c r="T245" s="610"/>
      <c r="U245" s="610"/>
      <c r="V245" s="610"/>
      <c r="W245" s="610"/>
      <c r="X245" s="610"/>
      <c r="Y245" s="610"/>
      <c r="Z245" s="610"/>
      <c r="AA245" s="610"/>
      <c r="AB245" s="610"/>
      <c r="AC245" s="610"/>
      <c r="AD245" s="610"/>
      <c r="AG245" s="610"/>
      <c r="AH245" s="610"/>
    </row>
    <row r="246">
      <c r="B246" s="610"/>
      <c r="C246" s="610"/>
      <c r="D246" s="610"/>
      <c r="E246" s="610"/>
      <c r="F246" s="610"/>
      <c r="G246" s="610"/>
      <c r="H246" s="610"/>
      <c r="I246" s="610"/>
      <c r="J246" s="610"/>
      <c r="K246" s="610"/>
      <c r="L246" s="610"/>
      <c r="M246" s="610"/>
      <c r="N246" s="610"/>
      <c r="O246" s="610"/>
      <c r="P246" s="610"/>
      <c r="Q246" s="610"/>
      <c r="R246" s="610"/>
      <c r="S246" s="610"/>
      <c r="T246" s="610"/>
      <c r="U246" s="610"/>
      <c r="V246" s="610"/>
      <c r="W246" s="610"/>
      <c r="X246" s="610"/>
      <c r="Y246" s="610"/>
      <c r="Z246" s="610"/>
      <c r="AA246" s="610"/>
      <c r="AB246" s="610"/>
      <c r="AC246" s="610"/>
      <c r="AD246" s="610"/>
      <c r="AG246" s="610"/>
      <c r="AH246" s="610"/>
    </row>
    <row r="247">
      <c r="B247" s="610"/>
      <c r="C247" s="610"/>
      <c r="D247" s="610"/>
      <c r="E247" s="610"/>
      <c r="F247" s="610"/>
      <c r="G247" s="610"/>
      <c r="H247" s="610"/>
      <c r="I247" s="610"/>
      <c r="J247" s="610"/>
      <c r="K247" s="610"/>
      <c r="L247" s="610"/>
      <c r="M247" s="610"/>
      <c r="N247" s="610"/>
      <c r="O247" s="610"/>
      <c r="P247" s="610"/>
      <c r="Q247" s="610"/>
      <c r="R247" s="610"/>
      <c r="S247" s="610"/>
      <c r="T247" s="610"/>
      <c r="U247" s="610"/>
      <c r="V247" s="610"/>
      <c r="W247" s="610"/>
      <c r="X247" s="610"/>
      <c r="Y247" s="610"/>
      <c r="Z247" s="610"/>
      <c r="AA247" s="610"/>
      <c r="AB247" s="610"/>
      <c r="AC247" s="610"/>
      <c r="AD247" s="610"/>
      <c r="AG247" s="610"/>
      <c r="AH247" s="610"/>
    </row>
    <row r="248">
      <c r="B248" s="610"/>
      <c r="C248" s="610"/>
      <c r="D248" s="610"/>
      <c r="E248" s="610"/>
      <c r="F248" s="610"/>
      <c r="G248" s="610"/>
      <c r="H248" s="610"/>
      <c r="I248" s="610"/>
      <c r="J248" s="610"/>
      <c r="K248" s="610"/>
      <c r="L248" s="610"/>
      <c r="M248" s="610"/>
      <c r="N248" s="610"/>
      <c r="O248" s="610"/>
      <c r="P248" s="610"/>
      <c r="Q248" s="610"/>
      <c r="R248" s="610"/>
      <c r="S248" s="610"/>
      <c r="T248" s="610"/>
      <c r="U248" s="610"/>
      <c r="V248" s="610"/>
      <c r="W248" s="610"/>
      <c r="X248" s="610"/>
      <c r="Y248" s="610"/>
      <c r="Z248" s="610"/>
      <c r="AA248" s="610"/>
      <c r="AB248" s="610"/>
      <c r="AC248" s="610"/>
      <c r="AD248" s="610"/>
      <c r="AG248" s="610"/>
      <c r="AH248" s="610"/>
    </row>
    <row r="249">
      <c r="B249" s="610"/>
      <c r="C249" s="610"/>
      <c r="D249" s="610"/>
      <c r="E249" s="610"/>
      <c r="F249" s="610"/>
      <c r="G249" s="610"/>
      <c r="H249" s="610"/>
      <c r="I249" s="610"/>
      <c r="J249" s="610"/>
      <c r="K249" s="610"/>
      <c r="L249" s="610"/>
      <c r="M249" s="610"/>
      <c r="N249" s="610"/>
      <c r="O249" s="610"/>
      <c r="P249" s="610"/>
      <c r="Q249" s="610"/>
      <c r="R249" s="610"/>
      <c r="S249" s="610"/>
      <c r="T249" s="610"/>
      <c r="U249" s="610"/>
      <c r="V249" s="610"/>
      <c r="W249" s="610"/>
      <c r="X249" s="610"/>
      <c r="Y249" s="610"/>
      <c r="Z249" s="610"/>
      <c r="AA249" s="610"/>
      <c r="AB249" s="610"/>
      <c r="AC249" s="610"/>
      <c r="AD249" s="610"/>
      <c r="AG249" s="610"/>
      <c r="AH249" s="610"/>
    </row>
    <row r="250">
      <c r="B250" s="610"/>
      <c r="C250" s="610"/>
      <c r="D250" s="610"/>
      <c r="E250" s="610"/>
      <c r="F250" s="610"/>
      <c r="G250" s="610"/>
      <c r="H250" s="610"/>
      <c r="I250" s="610"/>
      <c r="J250" s="610"/>
      <c r="K250" s="610"/>
      <c r="L250" s="610"/>
      <c r="M250" s="610"/>
      <c r="N250" s="610"/>
      <c r="O250" s="610"/>
      <c r="P250" s="610"/>
      <c r="Q250" s="610"/>
      <c r="R250" s="610"/>
      <c r="S250" s="610"/>
      <c r="T250" s="610"/>
      <c r="U250" s="610"/>
      <c r="V250" s="610"/>
      <c r="W250" s="610"/>
      <c r="X250" s="610"/>
      <c r="Y250" s="610"/>
      <c r="Z250" s="610"/>
      <c r="AA250" s="610"/>
      <c r="AB250" s="610"/>
      <c r="AC250" s="610"/>
      <c r="AD250" s="610"/>
      <c r="AG250" s="610"/>
      <c r="AH250" s="610"/>
    </row>
    <row r="251">
      <c r="B251" s="610"/>
      <c r="C251" s="610"/>
      <c r="D251" s="610"/>
      <c r="E251" s="610"/>
      <c r="F251" s="610"/>
      <c r="G251" s="610"/>
      <c r="H251" s="610"/>
      <c r="I251" s="610"/>
      <c r="J251" s="610"/>
      <c r="K251" s="610"/>
      <c r="L251" s="610"/>
      <c r="M251" s="610"/>
      <c r="N251" s="610"/>
      <c r="O251" s="610"/>
      <c r="P251" s="610"/>
      <c r="Q251" s="610"/>
      <c r="R251" s="610"/>
      <c r="S251" s="610"/>
      <c r="T251" s="610"/>
      <c r="U251" s="610"/>
      <c r="V251" s="610"/>
      <c r="W251" s="610"/>
      <c r="X251" s="610"/>
      <c r="Y251" s="610"/>
      <c r="Z251" s="610"/>
      <c r="AA251" s="610"/>
      <c r="AB251" s="610"/>
      <c r="AC251" s="610"/>
      <c r="AD251" s="610"/>
      <c r="AG251" s="610"/>
      <c r="AH251" s="610"/>
    </row>
    <row r="252">
      <c r="B252" s="610"/>
      <c r="C252" s="610"/>
      <c r="D252" s="610"/>
      <c r="E252" s="610"/>
      <c r="F252" s="610"/>
      <c r="G252" s="610"/>
      <c r="H252" s="610"/>
      <c r="I252" s="610"/>
      <c r="J252" s="610"/>
      <c r="K252" s="610"/>
      <c r="L252" s="610"/>
      <c r="M252" s="610"/>
      <c r="N252" s="610"/>
      <c r="O252" s="610"/>
      <c r="P252" s="610"/>
      <c r="Q252" s="610"/>
      <c r="R252" s="610"/>
      <c r="S252" s="610"/>
      <c r="T252" s="610"/>
      <c r="U252" s="610"/>
      <c r="V252" s="610"/>
      <c r="W252" s="610"/>
      <c r="X252" s="610"/>
      <c r="Y252" s="610"/>
      <c r="Z252" s="610"/>
      <c r="AA252" s="610"/>
      <c r="AB252" s="610"/>
      <c r="AC252" s="610"/>
      <c r="AD252" s="610"/>
      <c r="AG252" s="610"/>
      <c r="AH252" s="610"/>
    </row>
    <row r="253">
      <c r="B253" s="610"/>
      <c r="C253" s="610"/>
      <c r="D253" s="610"/>
      <c r="E253" s="610"/>
      <c r="F253" s="610"/>
      <c r="G253" s="610"/>
      <c r="H253" s="610"/>
      <c r="I253" s="610"/>
      <c r="J253" s="610"/>
      <c r="K253" s="610"/>
      <c r="L253" s="610"/>
      <c r="M253" s="610"/>
      <c r="N253" s="610"/>
      <c r="O253" s="610"/>
      <c r="P253" s="610"/>
      <c r="Q253" s="610"/>
      <c r="R253" s="610"/>
      <c r="S253" s="610"/>
      <c r="T253" s="610"/>
      <c r="U253" s="610"/>
      <c r="V253" s="610"/>
      <c r="W253" s="610"/>
      <c r="X253" s="610"/>
      <c r="Y253" s="610"/>
      <c r="Z253" s="610"/>
      <c r="AA253" s="610"/>
      <c r="AB253" s="610"/>
      <c r="AC253" s="610"/>
      <c r="AD253" s="610"/>
      <c r="AG253" s="610"/>
      <c r="AH253" s="610"/>
    </row>
    <row r="254">
      <c r="B254" s="610"/>
      <c r="C254" s="610"/>
      <c r="D254" s="610"/>
      <c r="E254" s="610"/>
      <c r="F254" s="610"/>
      <c r="G254" s="610"/>
      <c r="H254" s="610"/>
      <c r="I254" s="610"/>
      <c r="J254" s="610"/>
      <c r="K254" s="610"/>
      <c r="L254" s="610"/>
      <c r="M254" s="610"/>
      <c r="N254" s="610"/>
      <c r="O254" s="610"/>
      <c r="P254" s="610"/>
      <c r="Q254" s="610"/>
      <c r="R254" s="610"/>
      <c r="S254" s="610"/>
      <c r="T254" s="610"/>
      <c r="U254" s="610"/>
      <c r="V254" s="610"/>
      <c r="W254" s="610"/>
      <c r="X254" s="610"/>
      <c r="Y254" s="610"/>
      <c r="Z254" s="610"/>
      <c r="AA254" s="610"/>
      <c r="AB254" s="610"/>
      <c r="AC254" s="610"/>
      <c r="AD254" s="610"/>
      <c r="AG254" s="610"/>
      <c r="AH254" s="610"/>
    </row>
    <row r="255">
      <c r="B255" s="610"/>
      <c r="C255" s="610"/>
      <c r="D255" s="610"/>
      <c r="E255" s="610"/>
      <c r="F255" s="610"/>
      <c r="G255" s="610"/>
      <c r="H255" s="610"/>
      <c r="I255" s="610"/>
      <c r="J255" s="610"/>
      <c r="K255" s="610"/>
      <c r="L255" s="610"/>
      <c r="M255" s="610"/>
      <c r="N255" s="610"/>
      <c r="O255" s="610"/>
      <c r="P255" s="610"/>
      <c r="Q255" s="610"/>
      <c r="R255" s="610"/>
      <c r="S255" s="610"/>
      <c r="T255" s="610"/>
      <c r="U255" s="610"/>
      <c r="V255" s="610"/>
      <c r="W255" s="610"/>
      <c r="X255" s="610"/>
      <c r="Y255" s="610"/>
      <c r="Z255" s="610"/>
      <c r="AA255" s="610"/>
      <c r="AB255" s="610"/>
      <c r="AC255" s="610"/>
      <c r="AD255" s="610"/>
      <c r="AG255" s="610"/>
      <c r="AH255" s="610"/>
    </row>
    <row r="256">
      <c r="B256" s="610"/>
      <c r="C256" s="610"/>
      <c r="D256" s="610"/>
      <c r="E256" s="610"/>
      <c r="F256" s="610"/>
      <c r="G256" s="610"/>
      <c r="H256" s="610"/>
      <c r="I256" s="610"/>
      <c r="J256" s="610"/>
      <c r="K256" s="610"/>
      <c r="L256" s="610"/>
      <c r="M256" s="610"/>
      <c r="N256" s="610"/>
      <c r="O256" s="610"/>
      <c r="P256" s="610"/>
      <c r="Q256" s="610"/>
      <c r="R256" s="610"/>
      <c r="S256" s="610"/>
      <c r="T256" s="610"/>
      <c r="U256" s="610"/>
      <c r="V256" s="610"/>
      <c r="W256" s="610"/>
      <c r="X256" s="610"/>
      <c r="Y256" s="610"/>
      <c r="Z256" s="610"/>
      <c r="AA256" s="610"/>
      <c r="AB256" s="610"/>
      <c r="AC256" s="610"/>
      <c r="AD256" s="610"/>
      <c r="AG256" s="610"/>
      <c r="AH256" s="610"/>
    </row>
    <row r="257">
      <c r="B257" s="610"/>
      <c r="C257" s="610"/>
      <c r="D257" s="610"/>
      <c r="E257" s="610"/>
      <c r="F257" s="610"/>
      <c r="G257" s="610"/>
      <c r="H257" s="610"/>
      <c r="I257" s="610"/>
      <c r="J257" s="610"/>
      <c r="K257" s="610"/>
      <c r="L257" s="610"/>
      <c r="M257" s="610"/>
      <c r="N257" s="610"/>
      <c r="O257" s="610"/>
      <c r="P257" s="610"/>
      <c r="Q257" s="610"/>
      <c r="R257" s="610"/>
      <c r="S257" s="610"/>
      <c r="T257" s="610"/>
      <c r="U257" s="610"/>
      <c r="V257" s="610"/>
      <c r="W257" s="610"/>
      <c r="X257" s="610"/>
      <c r="Y257" s="610"/>
      <c r="Z257" s="610"/>
      <c r="AA257" s="610"/>
      <c r="AB257" s="610"/>
      <c r="AC257" s="610"/>
      <c r="AD257" s="610"/>
      <c r="AG257" s="610"/>
      <c r="AH257" s="610"/>
    </row>
    <row r="258">
      <c r="B258" s="610"/>
      <c r="C258" s="610"/>
      <c r="D258" s="610"/>
      <c r="E258" s="610"/>
      <c r="F258" s="610"/>
      <c r="G258" s="610"/>
      <c r="H258" s="610"/>
      <c r="I258" s="610"/>
      <c r="J258" s="610"/>
      <c r="K258" s="610"/>
      <c r="L258" s="610"/>
      <c r="M258" s="610"/>
      <c r="N258" s="610"/>
      <c r="O258" s="610"/>
      <c r="P258" s="610"/>
      <c r="Q258" s="610"/>
      <c r="R258" s="610"/>
      <c r="S258" s="610"/>
      <c r="T258" s="610"/>
      <c r="U258" s="610"/>
      <c r="V258" s="610"/>
      <c r="W258" s="610"/>
      <c r="X258" s="610"/>
      <c r="Y258" s="610"/>
      <c r="Z258" s="610"/>
      <c r="AA258" s="610"/>
      <c r="AB258" s="610"/>
      <c r="AC258" s="610"/>
      <c r="AD258" s="610"/>
      <c r="AG258" s="610"/>
      <c r="AH258" s="610"/>
    </row>
    <row r="259">
      <c r="B259" s="610"/>
      <c r="C259" s="610"/>
      <c r="D259" s="610"/>
      <c r="E259" s="610"/>
      <c r="F259" s="610"/>
      <c r="G259" s="610"/>
      <c r="H259" s="610"/>
      <c r="I259" s="610"/>
      <c r="J259" s="610"/>
      <c r="K259" s="610"/>
      <c r="L259" s="610"/>
      <c r="M259" s="610"/>
      <c r="N259" s="610"/>
      <c r="O259" s="610"/>
      <c r="P259" s="610"/>
      <c r="Q259" s="610"/>
      <c r="R259" s="610"/>
      <c r="S259" s="610"/>
      <c r="T259" s="610"/>
      <c r="U259" s="610"/>
      <c r="V259" s="610"/>
      <c r="W259" s="610"/>
      <c r="X259" s="610"/>
      <c r="Y259" s="610"/>
      <c r="Z259" s="610"/>
      <c r="AA259" s="610"/>
      <c r="AB259" s="610"/>
      <c r="AC259" s="610"/>
      <c r="AD259" s="610"/>
      <c r="AG259" s="610"/>
      <c r="AH259" s="610"/>
    </row>
    <row r="260">
      <c r="B260" s="610"/>
      <c r="C260" s="610"/>
      <c r="D260" s="610"/>
      <c r="E260" s="610"/>
      <c r="F260" s="610"/>
      <c r="G260" s="610"/>
      <c r="H260" s="610"/>
      <c r="I260" s="610"/>
      <c r="J260" s="610"/>
      <c r="K260" s="610"/>
      <c r="L260" s="610"/>
      <c r="M260" s="610"/>
      <c r="N260" s="610"/>
      <c r="O260" s="610"/>
      <c r="P260" s="610"/>
      <c r="Q260" s="610"/>
      <c r="R260" s="610"/>
      <c r="S260" s="610"/>
      <c r="T260" s="610"/>
      <c r="U260" s="610"/>
      <c r="V260" s="610"/>
      <c r="W260" s="610"/>
      <c r="X260" s="610"/>
      <c r="Y260" s="610"/>
      <c r="Z260" s="610"/>
      <c r="AA260" s="610"/>
      <c r="AB260" s="610"/>
      <c r="AC260" s="610"/>
      <c r="AD260" s="610"/>
      <c r="AG260" s="610"/>
      <c r="AH260" s="610"/>
    </row>
    <row r="261">
      <c r="B261" s="610"/>
      <c r="C261" s="610"/>
      <c r="D261" s="610"/>
      <c r="E261" s="610"/>
      <c r="F261" s="610"/>
      <c r="G261" s="610"/>
      <c r="H261" s="610"/>
      <c r="I261" s="610"/>
      <c r="J261" s="610"/>
      <c r="K261" s="610"/>
      <c r="L261" s="610"/>
      <c r="M261" s="610"/>
      <c r="N261" s="610"/>
      <c r="O261" s="610"/>
      <c r="P261" s="610"/>
      <c r="Q261" s="610"/>
      <c r="R261" s="610"/>
      <c r="S261" s="610"/>
      <c r="T261" s="610"/>
      <c r="U261" s="610"/>
      <c r="V261" s="610"/>
      <c r="W261" s="610"/>
      <c r="X261" s="610"/>
      <c r="Y261" s="610"/>
      <c r="Z261" s="610"/>
      <c r="AA261" s="610"/>
      <c r="AB261" s="610"/>
      <c r="AC261" s="610"/>
      <c r="AD261" s="610"/>
      <c r="AG261" s="610"/>
      <c r="AH261" s="610"/>
    </row>
    <row r="262">
      <c r="B262" s="610"/>
      <c r="C262" s="610"/>
      <c r="D262" s="610"/>
      <c r="E262" s="610"/>
      <c r="F262" s="610"/>
      <c r="G262" s="610"/>
      <c r="H262" s="610"/>
      <c r="I262" s="610"/>
      <c r="J262" s="610"/>
      <c r="K262" s="610"/>
      <c r="L262" s="610"/>
      <c r="M262" s="610"/>
      <c r="N262" s="610"/>
      <c r="O262" s="610"/>
      <c r="P262" s="610"/>
      <c r="Q262" s="610"/>
      <c r="R262" s="610"/>
      <c r="S262" s="610"/>
      <c r="T262" s="610"/>
      <c r="U262" s="610"/>
      <c r="V262" s="610"/>
      <c r="W262" s="610"/>
      <c r="X262" s="610"/>
      <c r="Y262" s="610"/>
      <c r="Z262" s="610"/>
      <c r="AA262" s="610"/>
      <c r="AB262" s="610"/>
      <c r="AC262" s="610"/>
      <c r="AD262" s="610"/>
      <c r="AG262" s="610"/>
      <c r="AH262" s="610"/>
    </row>
    <row r="263">
      <c r="B263" s="610"/>
      <c r="C263" s="610"/>
      <c r="D263" s="610"/>
      <c r="E263" s="610"/>
      <c r="F263" s="610"/>
      <c r="G263" s="610"/>
      <c r="H263" s="610"/>
      <c r="I263" s="610"/>
      <c r="J263" s="610"/>
      <c r="K263" s="610"/>
      <c r="L263" s="610"/>
      <c r="M263" s="610"/>
      <c r="N263" s="610"/>
      <c r="O263" s="610"/>
      <c r="P263" s="610"/>
      <c r="Q263" s="610"/>
      <c r="R263" s="610"/>
      <c r="S263" s="610"/>
      <c r="T263" s="610"/>
      <c r="U263" s="610"/>
      <c r="V263" s="610"/>
      <c r="W263" s="610"/>
      <c r="X263" s="610"/>
      <c r="Y263" s="610"/>
      <c r="Z263" s="610"/>
      <c r="AA263" s="610"/>
      <c r="AB263" s="610"/>
      <c r="AC263" s="610"/>
      <c r="AD263" s="610"/>
      <c r="AG263" s="610"/>
      <c r="AH263" s="610"/>
    </row>
    <row r="264">
      <c r="B264" s="610"/>
      <c r="C264" s="610"/>
      <c r="D264" s="610"/>
      <c r="E264" s="610"/>
      <c r="F264" s="610"/>
      <c r="G264" s="610"/>
      <c r="H264" s="610"/>
      <c r="I264" s="610"/>
      <c r="J264" s="610"/>
      <c r="K264" s="610"/>
      <c r="L264" s="610"/>
      <c r="M264" s="610"/>
      <c r="N264" s="610"/>
      <c r="O264" s="610"/>
      <c r="P264" s="610"/>
      <c r="Q264" s="610"/>
      <c r="R264" s="610"/>
      <c r="S264" s="610"/>
      <c r="T264" s="610"/>
      <c r="U264" s="610"/>
      <c r="V264" s="610"/>
      <c r="W264" s="610"/>
      <c r="X264" s="610"/>
      <c r="Y264" s="610"/>
      <c r="Z264" s="610"/>
      <c r="AA264" s="610"/>
      <c r="AB264" s="610"/>
      <c r="AC264" s="610"/>
      <c r="AD264" s="610"/>
      <c r="AG264" s="610"/>
      <c r="AH264" s="610"/>
    </row>
    <row r="265">
      <c r="B265" s="610"/>
      <c r="C265" s="610"/>
      <c r="D265" s="610"/>
      <c r="E265" s="610"/>
      <c r="F265" s="610"/>
      <c r="G265" s="610"/>
      <c r="H265" s="610"/>
      <c r="I265" s="610"/>
      <c r="J265" s="610"/>
      <c r="K265" s="610"/>
      <c r="L265" s="610"/>
      <c r="M265" s="610"/>
      <c r="N265" s="610"/>
      <c r="O265" s="610"/>
      <c r="P265" s="610"/>
      <c r="Q265" s="610"/>
      <c r="R265" s="610"/>
      <c r="S265" s="610"/>
      <c r="T265" s="610"/>
      <c r="U265" s="610"/>
      <c r="V265" s="610"/>
      <c r="W265" s="610"/>
      <c r="X265" s="610"/>
      <c r="Y265" s="610"/>
      <c r="Z265" s="610"/>
      <c r="AA265" s="610"/>
      <c r="AB265" s="610"/>
      <c r="AC265" s="610"/>
      <c r="AD265" s="610"/>
      <c r="AG265" s="610"/>
      <c r="AH265" s="610"/>
    </row>
    <row r="266">
      <c r="B266" s="610"/>
      <c r="C266" s="610"/>
      <c r="D266" s="610"/>
      <c r="E266" s="610"/>
      <c r="F266" s="610"/>
      <c r="G266" s="610"/>
      <c r="H266" s="610"/>
      <c r="I266" s="610"/>
      <c r="J266" s="610"/>
      <c r="K266" s="610"/>
      <c r="L266" s="610"/>
      <c r="M266" s="610"/>
      <c r="N266" s="610"/>
      <c r="O266" s="610"/>
      <c r="P266" s="610"/>
      <c r="Q266" s="610"/>
      <c r="R266" s="610"/>
      <c r="S266" s="610"/>
      <c r="T266" s="610"/>
      <c r="U266" s="610"/>
      <c r="V266" s="610"/>
      <c r="W266" s="610"/>
      <c r="X266" s="610"/>
      <c r="Y266" s="610"/>
      <c r="Z266" s="610"/>
      <c r="AA266" s="610"/>
      <c r="AB266" s="610"/>
      <c r="AC266" s="610"/>
      <c r="AD266" s="610"/>
      <c r="AG266" s="610"/>
      <c r="AH266" s="610"/>
    </row>
    <row r="267">
      <c r="B267" s="610"/>
      <c r="C267" s="610"/>
      <c r="D267" s="610"/>
      <c r="E267" s="610"/>
      <c r="F267" s="610"/>
      <c r="G267" s="610"/>
      <c r="H267" s="610"/>
      <c r="I267" s="610"/>
      <c r="J267" s="610"/>
      <c r="K267" s="610"/>
      <c r="L267" s="610"/>
      <c r="M267" s="610"/>
      <c r="N267" s="610"/>
      <c r="O267" s="610"/>
      <c r="P267" s="610"/>
      <c r="Q267" s="610"/>
      <c r="R267" s="610"/>
      <c r="S267" s="610"/>
      <c r="T267" s="610"/>
      <c r="U267" s="610"/>
      <c r="V267" s="610"/>
      <c r="W267" s="610"/>
      <c r="X267" s="610"/>
      <c r="Y267" s="610"/>
      <c r="Z267" s="610"/>
      <c r="AA267" s="610"/>
      <c r="AB267" s="610"/>
      <c r="AC267" s="610"/>
      <c r="AD267" s="610"/>
      <c r="AG267" s="610"/>
      <c r="AH267" s="610"/>
    </row>
    <row r="268">
      <c r="B268" s="610"/>
      <c r="C268" s="610"/>
      <c r="D268" s="610"/>
      <c r="E268" s="610"/>
      <c r="F268" s="610"/>
      <c r="G268" s="610"/>
      <c r="H268" s="610"/>
      <c r="I268" s="610"/>
      <c r="J268" s="610"/>
      <c r="K268" s="610"/>
      <c r="L268" s="610"/>
      <c r="M268" s="610"/>
      <c r="N268" s="610"/>
      <c r="O268" s="610"/>
      <c r="P268" s="610"/>
      <c r="Q268" s="610"/>
      <c r="R268" s="610"/>
      <c r="S268" s="610"/>
      <c r="T268" s="610"/>
      <c r="U268" s="610"/>
      <c r="V268" s="610"/>
      <c r="W268" s="610"/>
      <c r="X268" s="610"/>
      <c r="Y268" s="610"/>
      <c r="Z268" s="610"/>
      <c r="AA268" s="610"/>
      <c r="AB268" s="610"/>
      <c r="AC268" s="610"/>
      <c r="AD268" s="610"/>
      <c r="AG268" s="610"/>
      <c r="AH268" s="610"/>
    </row>
    <row r="269">
      <c r="B269" s="610"/>
      <c r="C269" s="610"/>
      <c r="D269" s="610"/>
      <c r="E269" s="610"/>
      <c r="F269" s="610"/>
      <c r="G269" s="610"/>
      <c r="H269" s="610"/>
      <c r="I269" s="610"/>
      <c r="J269" s="610"/>
      <c r="K269" s="610"/>
      <c r="L269" s="610"/>
      <c r="M269" s="610"/>
      <c r="N269" s="610"/>
      <c r="O269" s="610"/>
      <c r="P269" s="610"/>
      <c r="Q269" s="610"/>
      <c r="R269" s="610"/>
      <c r="S269" s="610"/>
      <c r="T269" s="610"/>
      <c r="U269" s="610"/>
      <c r="V269" s="610"/>
      <c r="W269" s="610"/>
      <c r="X269" s="610"/>
      <c r="Y269" s="610"/>
      <c r="Z269" s="610"/>
      <c r="AA269" s="610"/>
      <c r="AB269" s="610"/>
      <c r="AC269" s="610"/>
      <c r="AD269" s="610"/>
      <c r="AG269" s="610"/>
      <c r="AH269" s="610"/>
    </row>
    <row r="270">
      <c r="B270" s="610"/>
      <c r="C270" s="610"/>
      <c r="D270" s="610"/>
      <c r="E270" s="610"/>
      <c r="F270" s="610"/>
      <c r="G270" s="610"/>
      <c r="H270" s="610"/>
      <c r="I270" s="610"/>
      <c r="J270" s="610"/>
      <c r="K270" s="610"/>
      <c r="L270" s="610"/>
      <c r="M270" s="610"/>
      <c r="N270" s="610"/>
      <c r="O270" s="610"/>
      <c r="P270" s="610"/>
      <c r="Q270" s="610"/>
      <c r="R270" s="610"/>
      <c r="S270" s="610"/>
      <c r="T270" s="610"/>
      <c r="U270" s="610"/>
      <c r="V270" s="610"/>
      <c r="W270" s="610"/>
      <c r="X270" s="610"/>
      <c r="Y270" s="610"/>
      <c r="Z270" s="610"/>
      <c r="AA270" s="610"/>
      <c r="AB270" s="610"/>
      <c r="AC270" s="610"/>
      <c r="AD270" s="610"/>
      <c r="AG270" s="610"/>
      <c r="AH270" s="610"/>
    </row>
    <row r="271">
      <c r="B271" s="610"/>
      <c r="C271" s="610"/>
      <c r="D271" s="610"/>
      <c r="E271" s="610"/>
      <c r="F271" s="610"/>
      <c r="G271" s="610"/>
      <c r="H271" s="610"/>
      <c r="I271" s="610"/>
      <c r="J271" s="610"/>
      <c r="K271" s="610"/>
      <c r="L271" s="610"/>
      <c r="M271" s="610"/>
      <c r="N271" s="610"/>
      <c r="O271" s="610"/>
      <c r="P271" s="610"/>
      <c r="Q271" s="610"/>
      <c r="R271" s="610"/>
      <c r="S271" s="610"/>
      <c r="T271" s="610"/>
      <c r="U271" s="610"/>
      <c r="V271" s="610"/>
      <c r="W271" s="610"/>
      <c r="X271" s="610"/>
      <c r="Y271" s="610"/>
      <c r="Z271" s="610"/>
      <c r="AA271" s="610"/>
      <c r="AB271" s="610"/>
      <c r="AC271" s="610"/>
      <c r="AD271" s="610"/>
      <c r="AG271" s="610"/>
      <c r="AH271" s="610"/>
    </row>
    <row r="272">
      <c r="B272" s="610"/>
      <c r="C272" s="610"/>
      <c r="D272" s="610"/>
      <c r="E272" s="610"/>
      <c r="F272" s="610"/>
      <c r="G272" s="610"/>
      <c r="H272" s="610"/>
      <c r="I272" s="610"/>
      <c r="J272" s="610"/>
      <c r="K272" s="610"/>
      <c r="L272" s="610"/>
      <c r="M272" s="610"/>
      <c r="N272" s="610"/>
      <c r="O272" s="610"/>
      <c r="P272" s="610"/>
      <c r="Q272" s="610"/>
      <c r="R272" s="610"/>
      <c r="S272" s="610"/>
      <c r="T272" s="610"/>
      <c r="U272" s="610"/>
      <c r="V272" s="610"/>
      <c r="W272" s="610"/>
      <c r="X272" s="610"/>
      <c r="Y272" s="610"/>
      <c r="Z272" s="610"/>
      <c r="AA272" s="610"/>
      <c r="AB272" s="610"/>
      <c r="AC272" s="610"/>
      <c r="AD272" s="610"/>
      <c r="AG272" s="610"/>
      <c r="AH272" s="610"/>
    </row>
    <row r="273">
      <c r="B273" s="610"/>
      <c r="C273" s="610"/>
      <c r="D273" s="610"/>
      <c r="E273" s="610"/>
      <c r="F273" s="610"/>
      <c r="G273" s="610"/>
      <c r="H273" s="610"/>
      <c r="I273" s="610"/>
      <c r="J273" s="610"/>
      <c r="K273" s="610"/>
      <c r="L273" s="610"/>
      <c r="M273" s="610"/>
      <c r="N273" s="610"/>
      <c r="O273" s="610"/>
      <c r="P273" s="610"/>
      <c r="Q273" s="610"/>
      <c r="R273" s="610"/>
      <c r="S273" s="610"/>
      <c r="T273" s="610"/>
      <c r="U273" s="610"/>
      <c r="V273" s="610"/>
      <c r="W273" s="610"/>
      <c r="X273" s="610"/>
      <c r="Y273" s="610"/>
      <c r="Z273" s="610"/>
      <c r="AA273" s="610"/>
      <c r="AB273" s="610"/>
      <c r="AC273" s="610"/>
      <c r="AD273" s="610"/>
      <c r="AG273" s="610"/>
      <c r="AH273" s="610"/>
    </row>
    <row r="274">
      <c r="B274" s="610"/>
      <c r="C274" s="610"/>
      <c r="D274" s="610"/>
      <c r="E274" s="610"/>
      <c r="F274" s="610"/>
      <c r="G274" s="610"/>
      <c r="H274" s="610"/>
      <c r="I274" s="610"/>
      <c r="J274" s="610"/>
      <c r="K274" s="610"/>
      <c r="L274" s="610"/>
      <c r="M274" s="610"/>
      <c r="N274" s="610"/>
      <c r="O274" s="610"/>
      <c r="P274" s="610"/>
      <c r="Q274" s="610"/>
      <c r="R274" s="610"/>
      <c r="S274" s="610"/>
      <c r="T274" s="610"/>
      <c r="U274" s="610"/>
      <c r="V274" s="610"/>
      <c r="W274" s="610"/>
      <c r="X274" s="610"/>
      <c r="Y274" s="610"/>
      <c r="Z274" s="610"/>
      <c r="AA274" s="610"/>
      <c r="AB274" s="610"/>
      <c r="AC274" s="610"/>
      <c r="AD274" s="610"/>
      <c r="AG274" s="610"/>
      <c r="AH274" s="610"/>
    </row>
    <row r="275">
      <c r="B275" s="610"/>
      <c r="C275" s="610"/>
      <c r="D275" s="610"/>
      <c r="E275" s="610"/>
      <c r="F275" s="610"/>
      <c r="G275" s="610"/>
      <c r="H275" s="610"/>
      <c r="I275" s="610"/>
      <c r="J275" s="610"/>
      <c r="K275" s="610"/>
      <c r="L275" s="610"/>
      <c r="M275" s="610"/>
      <c r="N275" s="610"/>
      <c r="O275" s="610"/>
      <c r="P275" s="610"/>
      <c r="Q275" s="610"/>
      <c r="R275" s="610"/>
      <c r="S275" s="610"/>
      <c r="T275" s="610"/>
      <c r="U275" s="610"/>
      <c r="V275" s="610"/>
      <c r="W275" s="610"/>
      <c r="X275" s="610"/>
      <c r="Y275" s="610"/>
      <c r="Z275" s="610"/>
      <c r="AA275" s="610"/>
      <c r="AB275" s="610"/>
      <c r="AC275" s="610"/>
      <c r="AD275" s="610"/>
      <c r="AG275" s="610"/>
      <c r="AH275" s="610"/>
    </row>
    <row r="276">
      <c r="B276" s="610"/>
      <c r="C276" s="610"/>
      <c r="D276" s="610"/>
      <c r="E276" s="610"/>
      <c r="F276" s="610"/>
      <c r="G276" s="610"/>
      <c r="H276" s="610"/>
      <c r="I276" s="610"/>
      <c r="J276" s="610"/>
      <c r="K276" s="610"/>
      <c r="L276" s="610"/>
      <c r="M276" s="610"/>
      <c r="N276" s="610"/>
      <c r="O276" s="610"/>
      <c r="P276" s="610"/>
      <c r="Q276" s="610"/>
      <c r="R276" s="610"/>
      <c r="S276" s="610"/>
      <c r="T276" s="610"/>
      <c r="U276" s="610"/>
      <c r="V276" s="610"/>
      <c r="W276" s="610"/>
      <c r="X276" s="610"/>
      <c r="Y276" s="610"/>
      <c r="Z276" s="610"/>
      <c r="AA276" s="610"/>
      <c r="AB276" s="610"/>
      <c r="AC276" s="610"/>
      <c r="AD276" s="610"/>
      <c r="AG276" s="610"/>
      <c r="AH276" s="610"/>
    </row>
    <row r="277">
      <c r="B277" s="610"/>
      <c r="C277" s="610"/>
      <c r="D277" s="610"/>
      <c r="E277" s="610"/>
      <c r="F277" s="610"/>
      <c r="G277" s="610"/>
      <c r="H277" s="610"/>
      <c r="I277" s="610"/>
      <c r="J277" s="610"/>
      <c r="K277" s="610"/>
      <c r="L277" s="610"/>
      <c r="M277" s="610"/>
      <c r="N277" s="610"/>
      <c r="O277" s="610"/>
      <c r="P277" s="610"/>
      <c r="Q277" s="610"/>
      <c r="R277" s="610"/>
      <c r="S277" s="610"/>
      <c r="T277" s="610"/>
      <c r="U277" s="610"/>
      <c r="V277" s="610"/>
      <c r="W277" s="610"/>
      <c r="X277" s="610"/>
      <c r="Y277" s="610"/>
      <c r="Z277" s="610"/>
      <c r="AA277" s="610"/>
      <c r="AB277" s="610"/>
      <c r="AC277" s="610"/>
      <c r="AD277" s="610"/>
      <c r="AG277" s="610"/>
      <c r="AH277" s="610"/>
    </row>
    <row r="278">
      <c r="B278" s="610"/>
      <c r="C278" s="610"/>
      <c r="D278" s="610"/>
      <c r="E278" s="610"/>
      <c r="F278" s="610"/>
      <c r="G278" s="610"/>
      <c r="H278" s="610"/>
      <c r="I278" s="610"/>
      <c r="J278" s="610"/>
      <c r="K278" s="610"/>
      <c r="L278" s="610"/>
      <c r="M278" s="610"/>
      <c r="N278" s="610"/>
      <c r="O278" s="610"/>
      <c r="P278" s="610"/>
      <c r="Q278" s="610"/>
      <c r="R278" s="610"/>
      <c r="S278" s="610"/>
      <c r="T278" s="610"/>
      <c r="U278" s="610"/>
      <c r="V278" s="610"/>
      <c r="W278" s="610"/>
      <c r="X278" s="610"/>
      <c r="Y278" s="610"/>
      <c r="Z278" s="610"/>
      <c r="AA278" s="610"/>
      <c r="AB278" s="610"/>
      <c r="AC278" s="610"/>
      <c r="AD278" s="610"/>
      <c r="AG278" s="610"/>
      <c r="AH278" s="610"/>
    </row>
    <row r="279">
      <c r="B279" s="610"/>
      <c r="C279" s="610"/>
      <c r="D279" s="610"/>
      <c r="E279" s="610"/>
      <c r="F279" s="610"/>
      <c r="G279" s="610"/>
      <c r="H279" s="610"/>
      <c r="I279" s="610"/>
      <c r="J279" s="610"/>
      <c r="K279" s="610"/>
      <c r="L279" s="610"/>
      <c r="M279" s="610"/>
      <c r="N279" s="610"/>
      <c r="O279" s="610"/>
      <c r="P279" s="610"/>
      <c r="Q279" s="610"/>
      <c r="R279" s="610"/>
      <c r="S279" s="610"/>
      <c r="T279" s="610"/>
      <c r="U279" s="610"/>
      <c r="V279" s="610"/>
      <c r="W279" s="610"/>
      <c r="X279" s="610"/>
      <c r="Y279" s="610"/>
      <c r="Z279" s="610"/>
      <c r="AA279" s="610"/>
      <c r="AB279" s="610"/>
      <c r="AC279" s="610"/>
      <c r="AD279" s="610"/>
      <c r="AG279" s="610"/>
      <c r="AH279" s="610"/>
    </row>
    <row r="280">
      <c r="B280" s="610"/>
      <c r="C280" s="610"/>
      <c r="D280" s="610"/>
      <c r="E280" s="610"/>
      <c r="F280" s="610"/>
      <c r="G280" s="610"/>
      <c r="H280" s="610"/>
      <c r="I280" s="610"/>
      <c r="J280" s="610"/>
      <c r="K280" s="610"/>
      <c r="L280" s="610"/>
      <c r="M280" s="610"/>
      <c r="N280" s="610"/>
      <c r="O280" s="610"/>
      <c r="P280" s="610"/>
      <c r="Q280" s="610"/>
      <c r="R280" s="610"/>
      <c r="S280" s="610"/>
      <c r="T280" s="610"/>
      <c r="U280" s="610"/>
      <c r="V280" s="610"/>
      <c r="W280" s="610"/>
      <c r="X280" s="610"/>
      <c r="Y280" s="610"/>
      <c r="Z280" s="610"/>
      <c r="AA280" s="610"/>
      <c r="AB280" s="610"/>
      <c r="AC280" s="610"/>
      <c r="AD280" s="610"/>
      <c r="AG280" s="610"/>
      <c r="AH280" s="610"/>
    </row>
    <row r="281">
      <c r="B281" s="610"/>
      <c r="C281" s="610"/>
      <c r="D281" s="610"/>
      <c r="E281" s="610"/>
      <c r="F281" s="610"/>
      <c r="G281" s="610"/>
      <c r="H281" s="610"/>
      <c r="I281" s="610"/>
      <c r="J281" s="610"/>
      <c r="K281" s="610"/>
      <c r="L281" s="610"/>
      <c r="M281" s="610"/>
      <c r="N281" s="610"/>
      <c r="O281" s="610"/>
      <c r="P281" s="610"/>
      <c r="Q281" s="610"/>
      <c r="R281" s="610"/>
      <c r="S281" s="610"/>
      <c r="T281" s="610"/>
      <c r="U281" s="610"/>
      <c r="V281" s="610"/>
      <c r="W281" s="610"/>
      <c r="X281" s="610"/>
      <c r="Y281" s="610"/>
      <c r="Z281" s="610"/>
      <c r="AA281" s="610"/>
      <c r="AB281" s="610"/>
      <c r="AC281" s="610"/>
      <c r="AD281" s="610"/>
      <c r="AG281" s="610"/>
      <c r="AH281" s="610"/>
    </row>
    <row r="282">
      <c r="B282" s="610"/>
      <c r="C282" s="610"/>
      <c r="D282" s="610"/>
      <c r="E282" s="610"/>
      <c r="F282" s="610"/>
      <c r="G282" s="610"/>
      <c r="H282" s="610"/>
      <c r="I282" s="610"/>
      <c r="J282" s="610"/>
      <c r="K282" s="610"/>
      <c r="L282" s="610"/>
      <c r="M282" s="610"/>
      <c r="N282" s="610"/>
      <c r="O282" s="610"/>
      <c r="P282" s="610"/>
      <c r="Q282" s="610"/>
      <c r="R282" s="610"/>
      <c r="S282" s="610"/>
      <c r="T282" s="610"/>
      <c r="U282" s="610"/>
      <c r="V282" s="610"/>
      <c r="W282" s="610"/>
      <c r="X282" s="610"/>
      <c r="Y282" s="610"/>
      <c r="Z282" s="610"/>
      <c r="AA282" s="610"/>
      <c r="AB282" s="610"/>
      <c r="AC282" s="610"/>
      <c r="AD282" s="610"/>
      <c r="AG282" s="610"/>
      <c r="AH282" s="610"/>
    </row>
    <row r="283">
      <c r="B283" s="610"/>
      <c r="C283" s="610"/>
      <c r="D283" s="610"/>
      <c r="E283" s="610"/>
      <c r="F283" s="610"/>
      <c r="G283" s="610"/>
      <c r="H283" s="610"/>
      <c r="I283" s="610"/>
      <c r="J283" s="610"/>
      <c r="K283" s="610"/>
      <c r="L283" s="610"/>
      <c r="M283" s="610"/>
      <c r="N283" s="610"/>
      <c r="O283" s="610"/>
      <c r="P283" s="610"/>
      <c r="Q283" s="610"/>
      <c r="R283" s="610"/>
      <c r="S283" s="610"/>
      <c r="T283" s="610"/>
      <c r="U283" s="610"/>
      <c r="V283" s="610"/>
      <c r="W283" s="610"/>
      <c r="X283" s="610"/>
      <c r="Y283" s="610"/>
      <c r="Z283" s="610"/>
      <c r="AA283" s="610"/>
      <c r="AB283" s="610"/>
      <c r="AC283" s="610"/>
      <c r="AD283" s="610"/>
      <c r="AG283" s="610"/>
      <c r="AH283" s="610"/>
    </row>
    <row r="284">
      <c r="B284" s="610"/>
      <c r="C284" s="610"/>
      <c r="D284" s="610"/>
      <c r="E284" s="610"/>
      <c r="F284" s="610"/>
      <c r="G284" s="610"/>
      <c r="H284" s="610"/>
      <c r="I284" s="610"/>
      <c r="J284" s="610"/>
      <c r="K284" s="610"/>
      <c r="L284" s="610"/>
      <c r="M284" s="610"/>
      <c r="N284" s="610"/>
      <c r="O284" s="610"/>
      <c r="P284" s="610"/>
      <c r="Q284" s="610"/>
      <c r="R284" s="610"/>
      <c r="S284" s="610"/>
      <c r="T284" s="610"/>
      <c r="U284" s="610"/>
      <c r="V284" s="610"/>
      <c r="W284" s="610"/>
      <c r="X284" s="610"/>
      <c r="Y284" s="610"/>
      <c r="Z284" s="610"/>
      <c r="AA284" s="610"/>
      <c r="AB284" s="610"/>
      <c r="AC284" s="610"/>
      <c r="AD284" s="610"/>
      <c r="AG284" s="610"/>
      <c r="AH284" s="610"/>
    </row>
    <row r="285">
      <c r="B285" s="610"/>
      <c r="C285" s="610"/>
      <c r="D285" s="610"/>
      <c r="E285" s="610"/>
      <c r="F285" s="610"/>
      <c r="G285" s="610"/>
      <c r="H285" s="610"/>
      <c r="I285" s="610"/>
      <c r="J285" s="610"/>
      <c r="K285" s="610"/>
      <c r="L285" s="610"/>
      <c r="M285" s="610"/>
      <c r="N285" s="610"/>
      <c r="O285" s="610"/>
      <c r="P285" s="610"/>
      <c r="Q285" s="610"/>
      <c r="R285" s="610"/>
      <c r="S285" s="610"/>
      <c r="T285" s="610"/>
      <c r="U285" s="610"/>
      <c r="V285" s="610"/>
      <c r="W285" s="610"/>
      <c r="X285" s="610"/>
      <c r="Y285" s="610"/>
      <c r="Z285" s="610"/>
      <c r="AA285" s="610"/>
      <c r="AB285" s="610"/>
      <c r="AC285" s="610"/>
      <c r="AD285" s="610"/>
      <c r="AG285" s="610"/>
      <c r="AH285" s="610"/>
    </row>
    <row r="286">
      <c r="B286" s="610"/>
      <c r="C286" s="610"/>
      <c r="D286" s="610"/>
      <c r="E286" s="610"/>
      <c r="F286" s="610"/>
      <c r="G286" s="610"/>
      <c r="H286" s="610"/>
      <c r="I286" s="610"/>
      <c r="J286" s="610"/>
      <c r="K286" s="610"/>
      <c r="L286" s="610"/>
      <c r="M286" s="610"/>
      <c r="N286" s="610"/>
      <c r="O286" s="610"/>
      <c r="P286" s="610"/>
      <c r="Q286" s="610"/>
      <c r="R286" s="610"/>
      <c r="S286" s="610"/>
      <c r="T286" s="610"/>
      <c r="U286" s="610"/>
      <c r="V286" s="610"/>
      <c r="W286" s="610"/>
      <c r="X286" s="610"/>
      <c r="Y286" s="610"/>
      <c r="Z286" s="610"/>
      <c r="AA286" s="610"/>
      <c r="AB286" s="610"/>
      <c r="AC286" s="610"/>
      <c r="AD286" s="610"/>
      <c r="AG286" s="610"/>
      <c r="AH286" s="610"/>
    </row>
    <row r="287">
      <c r="B287" s="610"/>
      <c r="C287" s="610"/>
      <c r="D287" s="610"/>
      <c r="E287" s="610"/>
      <c r="F287" s="610"/>
      <c r="G287" s="610"/>
      <c r="H287" s="610"/>
      <c r="I287" s="610"/>
      <c r="J287" s="610"/>
      <c r="K287" s="610"/>
      <c r="L287" s="610"/>
      <c r="M287" s="610"/>
      <c r="N287" s="610"/>
      <c r="O287" s="610"/>
      <c r="P287" s="610"/>
      <c r="Q287" s="610"/>
      <c r="R287" s="610"/>
      <c r="S287" s="610"/>
      <c r="T287" s="610"/>
      <c r="U287" s="610"/>
      <c r="V287" s="610"/>
      <c r="W287" s="610"/>
      <c r="X287" s="610"/>
      <c r="Y287" s="610"/>
      <c r="Z287" s="610"/>
      <c r="AA287" s="610"/>
      <c r="AB287" s="610"/>
      <c r="AC287" s="610"/>
      <c r="AD287" s="610"/>
      <c r="AG287" s="610"/>
      <c r="AH287" s="610"/>
    </row>
    <row r="288">
      <c r="B288" s="610"/>
      <c r="C288" s="610"/>
      <c r="D288" s="610"/>
      <c r="E288" s="610"/>
      <c r="F288" s="610"/>
      <c r="G288" s="610"/>
      <c r="H288" s="610"/>
      <c r="I288" s="610"/>
      <c r="J288" s="610"/>
      <c r="K288" s="610"/>
      <c r="L288" s="610"/>
      <c r="M288" s="610"/>
      <c r="N288" s="610"/>
      <c r="O288" s="610"/>
      <c r="P288" s="610"/>
      <c r="Q288" s="610"/>
      <c r="R288" s="610"/>
      <c r="S288" s="610"/>
      <c r="T288" s="610"/>
      <c r="U288" s="610"/>
      <c r="V288" s="610"/>
      <c r="W288" s="610"/>
      <c r="X288" s="610"/>
      <c r="Y288" s="610"/>
      <c r="Z288" s="610"/>
      <c r="AA288" s="610"/>
      <c r="AB288" s="610"/>
      <c r="AC288" s="610"/>
      <c r="AD288" s="610"/>
      <c r="AG288" s="610"/>
      <c r="AH288" s="610"/>
    </row>
    <row r="289">
      <c r="B289" s="610"/>
      <c r="C289" s="610"/>
      <c r="D289" s="610"/>
      <c r="E289" s="610"/>
      <c r="F289" s="610"/>
      <c r="G289" s="610"/>
      <c r="H289" s="610"/>
      <c r="I289" s="610"/>
      <c r="J289" s="610"/>
      <c r="K289" s="610"/>
      <c r="L289" s="610"/>
      <c r="M289" s="610"/>
      <c r="N289" s="610"/>
      <c r="O289" s="610"/>
      <c r="P289" s="610"/>
      <c r="Q289" s="610"/>
      <c r="R289" s="610"/>
      <c r="S289" s="610"/>
      <c r="T289" s="610"/>
      <c r="U289" s="610"/>
      <c r="V289" s="610"/>
      <c r="W289" s="610"/>
      <c r="X289" s="610"/>
      <c r="Y289" s="610"/>
      <c r="Z289" s="610"/>
      <c r="AA289" s="610"/>
      <c r="AB289" s="610"/>
      <c r="AC289" s="610"/>
      <c r="AD289" s="610"/>
      <c r="AG289" s="610"/>
      <c r="AH289" s="610"/>
    </row>
    <row r="290">
      <c r="B290" s="610"/>
      <c r="C290" s="610"/>
      <c r="D290" s="610"/>
      <c r="E290" s="610"/>
      <c r="F290" s="610"/>
      <c r="G290" s="610"/>
      <c r="H290" s="610"/>
      <c r="I290" s="610"/>
      <c r="J290" s="610"/>
      <c r="K290" s="610"/>
      <c r="L290" s="610"/>
      <c r="M290" s="610"/>
      <c r="N290" s="610"/>
      <c r="O290" s="610"/>
      <c r="P290" s="610"/>
      <c r="Q290" s="610"/>
      <c r="R290" s="610"/>
      <c r="S290" s="610"/>
      <c r="T290" s="610"/>
      <c r="U290" s="610"/>
      <c r="V290" s="610"/>
      <c r="W290" s="610"/>
      <c r="X290" s="610"/>
      <c r="Y290" s="610"/>
      <c r="Z290" s="610"/>
      <c r="AA290" s="610"/>
      <c r="AB290" s="610"/>
      <c r="AC290" s="610"/>
      <c r="AD290" s="610"/>
      <c r="AG290" s="610"/>
      <c r="AH290" s="610"/>
    </row>
    <row r="291">
      <c r="B291" s="610"/>
      <c r="C291" s="610"/>
      <c r="D291" s="610"/>
      <c r="E291" s="610"/>
      <c r="F291" s="610"/>
      <c r="G291" s="610"/>
      <c r="H291" s="610"/>
      <c r="I291" s="610"/>
      <c r="J291" s="610"/>
      <c r="K291" s="610"/>
      <c r="L291" s="610"/>
      <c r="M291" s="610"/>
      <c r="N291" s="610"/>
      <c r="O291" s="610"/>
      <c r="P291" s="610"/>
      <c r="Q291" s="610"/>
      <c r="R291" s="610"/>
      <c r="S291" s="610"/>
      <c r="T291" s="610"/>
      <c r="U291" s="610"/>
      <c r="V291" s="610"/>
      <c r="W291" s="610"/>
      <c r="X291" s="610"/>
      <c r="Y291" s="610"/>
      <c r="Z291" s="610"/>
      <c r="AA291" s="610"/>
      <c r="AB291" s="610"/>
      <c r="AC291" s="610"/>
      <c r="AD291" s="610"/>
      <c r="AG291" s="610"/>
      <c r="AH291" s="610"/>
    </row>
    <row r="292">
      <c r="B292" s="610"/>
      <c r="C292" s="610"/>
      <c r="D292" s="610"/>
      <c r="E292" s="610"/>
      <c r="F292" s="610"/>
      <c r="G292" s="610"/>
      <c r="H292" s="610"/>
      <c r="I292" s="610"/>
      <c r="J292" s="610"/>
      <c r="K292" s="610"/>
      <c r="L292" s="610"/>
      <c r="M292" s="610"/>
      <c r="N292" s="610"/>
      <c r="O292" s="610"/>
      <c r="P292" s="610"/>
      <c r="Q292" s="610"/>
      <c r="R292" s="610"/>
      <c r="S292" s="610"/>
      <c r="T292" s="610"/>
      <c r="U292" s="610"/>
      <c r="V292" s="610"/>
      <c r="W292" s="610"/>
      <c r="X292" s="610"/>
      <c r="Y292" s="610"/>
      <c r="Z292" s="610"/>
      <c r="AA292" s="610"/>
      <c r="AB292" s="610"/>
      <c r="AC292" s="610"/>
      <c r="AD292" s="610"/>
      <c r="AG292" s="610"/>
      <c r="AH292" s="610"/>
    </row>
    <row r="293">
      <c r="B293" s="610"/>
      <c r="C293" s="610"/>
      <c r="D293" s="610"/>
      <c r="E293" s="610"/>
      <c r="F293" s="610"/>
      <c r="G293" s="610"/>
      <c r="H293" s="610"/>
      <c r="I293" s="610"/>
      <c r="J293" s="610"/>
      <c r="K293" s="610"/>
      <c r="L293" s="610"/>
      <c r="M293" s="610"/>
      <c r="N293" s="610"/>
      <c r="O293" s="610"/>
      <c r="P293" s="610"/>
      <c r="Q293" s="610"/>
      <c r="R293" s="610"/>
      <c r="S293" s="610"/>
      <c r="T293" s="610"/>
      <c r="U293" s="610"/>
      <c r="V293" s="610"/>
      <c r="W293" s="610"/>
      <c r="X293" s="610"/>
      <c r="Y293" s="610"/>
      <c r="Z293" s="610"/>
      <c r="AA293" s="610"/>
      <c r="AB293" s="610"/>
      <c r="AC293" s="610"/>
      <c r="AD293" s="610"/>
      <c r="AG293" s="610"/>
      <c r="AH293" s="610"/>
    </row>
    <row r="294">
      <c r="B294" s="610"/>
      <c r="C294" s="610"/>
      <c r="D294" s="610"/>
      <c r="E294" s="610"/>
      <c r="F294" s="610"/>
      <c r="G294" s="610"/>
      <c r="H294" s="610"/>
      <c r="I294" s="610"/>
      <c r="J294" s="610"/>
      <c r="K294" s="610"/>
      <c r="L294" s="610"/>
      <c r="M294" s="610"/>
      <c r="N294" s="610"/>
      <c r="O294" s="610"/>
      <c r="P294" s="610"/>
      <c r="Q294" s="610"/>
      <c r="R294" s="610"/>
      <c r="S294" s="610"/>
      <c r="T294" s="610"/>
      <c r="U294" s="610"/>
      <c r="V294" s="610"/>
      <c r="W294" s="610"/>
      <c r="X294" s="610"/>
      <c r="Y294" s="610"/>
      <c r="Z294" s="610"/>
      <c r="AA294" s="610"/>
      <c r="AB294" s="610"/>
      <c r="AC294" s="610"/>
      <c r="AD294" s="610"/>
      <c r="AG294" s="610"/>
      <c r="AH294" s="610"/>
    </row>
    <row r="295">
      <c r="B295" s="610"/>
      <c r="C295" s="610"/>
      <c r="D295" s="610"/>
      <c r="E295" s="610"/>
      <c r="F295" s="610"/>
      <c r="G295" s="610"/>
      <c r="H295" s="610"/>
      <c r="I295" s="610"/>
      <c r="J295" s="610"/>
      <c r="K295" s="610"/>
      <c r="L295" s="610"/>
      <c r="M295" s="610"/>
      <c r="N295" s="610"/>
      <c r="O295" s="610"/>
      <c r="P295" s="610"/>
      <c r="Q295" s="610"/>
      <c r="R295" s="610"/>
      <c r="S295" s="610"/>
      <c r="T295" s="610"/>
      <c r="U295" s="610"/>
      <c r="V295" s="610"/>
      <c r="W295" s="610"/>
      <c r="X295" s="610"/>
      <c r="Y295" s="610"/>
      <c r="Z295" s="610"/>
      <c r="AA295" s="610"/>
      <c r="AB295" s="610"/>
      <c r="AC295" s="610"/>
      <c r="AD295" s="610"/>
      <c r="AG295" s="610"/>
      <c r="AH295" s="610"/>
    </row>
    <row r="296">
      <c r="B296" s="610"/>
      <c r="C296" s="610"/>
      <c r="D296" s="610"/>
      <c r="E296" s="610"/>
      <c r="F296" s="610"/>
      <c r="G296" s="610"/>
      <c r="H296" s="610"/>
      <c r="I296" s="610"/>
      <c r="J296" s="610"/>
      <c r="K296" s="610"/>
      <c r="L296" s="610"/>
      <c r="M296" s="610"/>
      <c r="N296" s="610"/>
      <c r="O296" s="610"/>
      <c r="P296" s="610"/>
      <c r="Q296" s="610"/>
      <c r="R296" s="610"/>
      <c r="S296" s="610"/>
      <c r="T296" s="610"/>
      <c r="U296" s="610"/>
      <c r="V296" s="610"/>
      <c r="W296" s="610"/>
      <c r="X296" s="610"/>
      <c r="Y296" s="610"/>
      <c r="Z296" s="610"/>
      <c r="AA296" s="610"/>
      <c r="AB296" s="610"/>
      <c r="AC296" s="610"/>
      <c r="AD296" s="610"/>
      <c r="AG296" s="610"/>
      <c r="AH296" s="610"/>
    </row>
    <row r="297">
      <c r="B297" s="610"/>
      <c r="C297" s="610"/>
      <c r="D297" s="610"/>
      <c r="E297" s="610"/>
      <c r="F297" s="610"/>
      <c r="G297" s="610"/>
      <c r="H297" s="610"/>
      <c r="I297" s="610"/>
      <c r="J297" s="610"/>
      <c r="K297" s="610"/>
      <c r="L297" s="610"/>
      <c r="M297" s="610"/>
      <c r="N297" s="610"/>
      <c r="O297" s="610"/>
      <c r="P297" s="610"/>
      <c r="Q297" s="610"/>
      <c r="R297" s="610"/>
      <c r="S297" s="610"/>
      <c r="T297" s="610"/>
      <c r="U297" s="610"/>
      <c r="V297" s="610"/>
      <c r="W297" s="610"/>
      <c r="X297" s="610"/>
      <c r="Y297" s="610"/>
      <c r="Z297" s="610"/>
      <c r="AA297" s="610"/>
      <c r="AB297" s="610"/>
      <c r="AC297" s="610"/>
      <c r="AD297" s="610"/>
      <c r="AG297" s="610"/>
      <c r="AH297" s="610"/>
    </row>
    <row r="298">
      <c r="B298" s="610"/>
      <c r="C298" s="610"/>
      <c r="D298" s="610"/>
      <c r="E298" s="610"/>
      <c r="F298" s="610"/>
      <c r="G298" s="610"/>
      <c r="H298" s="610"/>
      <c r="I298" s="610"/>
      <c r="J298" s="610"/>
      <c r="K298" s="610"/>
      <c r="L298" s="610"/>
      <c r="M298" s="610"/>
      <c r="N298" s="610"/>
      <c r="O298" s="610"/>
      <c r="P298" s="610"/>
      <c r="Q298" s="610"/>
      <c r="R298" s="610"/>
      <c r="S298" s="610"/>
      <c r="T298" s="610"/>
      <c r="U298" s="610"/>
      <c r="V298" s="610"/>
      <c r="W298" s="610"/>
      <c r="X298" s="610"/>
      <c r="Y298" s="610"/>
      <c r="Z298" s="610"/>
      <c r="AA298" s="610"/>
      <c r="AB298" s="610"/>
      <c r="AC298" s="610"/>
      <c r="AD298" s="610"/>
      <c r="AG298" s="610"/>
      <c r="AH298" s="610"/>
    </row>
    <row r="299">
      <c r="B299" s="610"/>
      <c r="C299" s="610"/>
      <c r="D299" s="610"/>
      <c r="E299" s="610"/>
      <c r="F299" s="610"/>
      <c r="G299" s="610"/>
      <c r="H299" s="610"/>
      <c r="I299" s="610"/>
      <c r="J299" s="610"/>
      <c r="K299" s="610"/>
      <c r="L299" s="610"/>
      <c r="M299" s="610"/>
      <c r="N299" s="610"/>
      <c r="O299" s="610"/>
      <c r="P299" s="610"/>
      <c r="Q299" s="610"/>
      <c r="R299" s="610"/>
      <c r="S299" s="610"/>
      <c r="T299" s="610"/>
      <c r="U299" s="610"/>
      <c r="V299" s="610"/>
      <c r="W299" s="610"/>
      <c r="X299" s="610"/>
      <c r="Y299" s="610"/>
      <c r="Z299" s="610"/>
      <c r="AA299" s="610"/>
      <c r="AB299" s="610"/>
      <c r="AC299" s="610"/>
      <c r="AD299" s="610"/>
      <c r="AG299" s="610"/>
      <c r="AH299" s="610"/>
    </row>
    <row r="300">
      <c r="B300" s="610"/>
      <c r="C300" s="610"/>
      <c r="D300" s="610"/>
      <c r="E300" s="610"/>
      <c r="F300" s="610"/>
      <c r="G300" s="610"/>
      <c r="H300" s="610"/>
      <c r="I300" s="610"/>
      <c r="J300" s="610"/>
      <c r="K300" s="610"/>
      <c r="L300" s="610"/>
      <c r="M300" s="610"/>
      <c r="N300" s="610"/>
      <c r="O300" s="610"/>
      <c r="P300" s="610"/>
      <c r="Q300" s="610"/>
      <c r="R300" s="610"/>
      <c r="S300" s="610"/>
      <c r="T300" s="610"/>
      <c r="U300" s="610"/>
      <c r="V300" s="610"/>
      <c r="W300" s="610"/>
      <c r="X300" s="610"/>
      <c r="Y300" s="610"/>
      <c r="Z300" s="610"/>
      <c r="AA300" s="610"/>
      <c r="AB300" s="610"/>
      <c r="AC300" s="610"/>
      <c r="AD300" s="610"/>
      <c r="AG300" s="610"/>
      <c r="AH300" s="610"/>
    </row>
    <row r="301">
      <c r="B301" s="610"/>
      <c r="C301" s="610"/>
      <c r="D301" s="610"/>
      <c r="E301" s="610"/>
      <c r="F301" s="610"/>
      <c r="G301" s="610"/>
      <c r="H301" s="610"/>
      <c r="I301" s="610"/>
      <c r="J301" s="610"/>
      <c r="K301" s="610"/>
      <c r="L301" s="610"/>
      <c r="M301" s="610"/>
      <c r="N301" s="610"/>
      <c r="O301" s="610"/>
      <c r="P301" s="610"/>
      <c r="Q301" s="610"/>
      <c r="R301" s="610"/>
      <c r="S301" s="610"/>
      <c r="T301" s="610"/>
      <c r="U301" s="610"/>
      <c r="V301" s="610"/>
      <c r="W301" s="610"/>
      <c r="X301" s="610"/>
      <c r="Y301" s="610"/>
      <c r="Z301" s="610"/>
      <c r="AA301" s="610"/>
      <c r="AB301" s="610"/>
      <c r="AC301" s="610"/>
      <c r="AD301" s="610"/>
      <c r="AG301" s="610"/>
      <c r="AH301" s="610"/>
    </row>
    <row r="302">
      <c r="B302" s="610"/>
      <c r="C302" s="610"/>
      <c r="D302" s="610"/>
      <c r="E302" s="610"/>
      <c r="F302" s="610"/>
      <c r="G302" s="610"/>
      <c r="H302" s="610"/>
      <c r="I302" s="610"/>
      <c r="J302" s="610"/>
      <c r="K302" s="610"/>
      <c r="L302" s="610"/>
      <c r="M302" s="610"/>
      <c r="N302" s="610"/>
      <c r="O302" s="610"/>
      <c r="P302" s="610"/>
      <c r="Q302" s="610"/>
      <c r="R302" s="610"/>
      <c r="S302" s="610"/>
      <c r="T302" s="610"/>
      <c r="U302" s="610"/>
      <c r="V302" s="610"/>
      <c r="W302" s="610"/>
      <c r="X302" s="610"/>
      <c r="Y302" s="610"/>
      <c r="Z302" s="610"/>
      <c r="AA302" s="610"/>
      <c r="AB302" s="610"/>
      <c r="AC302" s="610"/>
      <c r="AD302" s="610"/>
      <c r="AG302" s="610"/>
      <c r="AH302" s="610"/>
    </row>
    <row r="303">
      <c r="B303" s="610"/>
      <c r="C303" s="610"/>
      <c r="D303" s="610"/>
      <c r="E303" s="610"/>
      <c r="F303" s="610"/>
      <c r="G303" s="610"/>
      <c r="H303" s="610"/>
      <c r="I303" s="610"/>
      <c r="J303" s="610"/>
      <c r="K303" s="610"/>
      <c r="L303" s="610"/>
      <c r="M303" s="610"/>
      <c r="N303" s="610"/>
      <c r="O303" s="610"/>
      <c r="P303" s="610"/>
      <c r="Q303" s="610"/>
      <c r="R303" s="610"/>
      <c r="S303" s="610"/>
      <c r="T303" s="610"/>
      <c r="U303" s="610"/>
      <c r="V303" s="610"/>
      <c r="W303" s="610"/>
      <c r="X303" s="610"/>
      <c r="Y303" s="610"/>
      <c r="Z303" s="610"/>
      <c r="AA303" s="610"/>
      <c r="AB303" s="610"/>
      <c r="AC303" s="610"/>
      <c r="AD303" s="610"/>
      <c r="AG303" s="610"/>
      <c r="AH303" s="610"/>
    </row>
    <row r="304">
      <c r="B304" s="610"/>
      <c r="C304" s="610"/>
      <c r="D304" s="610"/>
      <c r="E304" s="610"/>
      <c r="F304" s="610"/>
      <c r="G304" s="610"/>
      <c r="H304" s="610"/>
      <c r="I304" s="610"/>
      <c r="J304" s="610"/>
      <c r="K304" s="610"/>
      <c r="L304" s="610"/>
      <c r="M304" s="610"/>
      <c r="N304" s="610"/>
      <c r="O304" s="610"/>
      <c r="P304" s="610"/>
      <c r="Q304" s="610"/>
      <c r="R304" s="610"/>
      <c r="S304" s="610"/>
      <c r="T304" s="610"/>
      <c r="U304" s="610"/>
      <c r="V304" s="610"/>
      <c r="W304" s="610"/>
      <c r="X304" s="610"/>
      <c r="Y304" s="610"/>
      <c r="Z304" s="610"/>
      <c r="AA304" s="610"/>
      <c r="AB304" s="610"/>
      <c r="AC304" s="610"/>
      <c r="AD304" s="610"/>
      <c r="AG304" s="610"/>
      <c r="AH304" s="610"/>
    </row>
    <row r="305">
      <c r="B305" s="610"/>
      <c r="C305" s="610"/>
      <c r="D305" s="610"/>
      <c r="E305" s="610"/>
      <c r="F305" s="610"/>
      <c r="G305" s="610"/>
      <c r="H305" s="610"/>
      <c r="I305" s="610"/>
      <c r="J305" s="610"/>
      <c r="K305" s="610"/>
      <c r="L305" s="610"/>
      <c r="M305" s="610"/>
      <c r="N305" s="610"/>
      <c r="O305" s="610"/>
      <c r="P305" s="610"/>
      <c r="Q305" s="610"/>
      <c r="R305" s="610"/>
      <c r="S305" s="610"/>
      <c r="T305" s="610"/>
      <c r="U305" s="610"/>
      <c r="V305" s="610"/>
      <c r="W305" s="610"/>
      <c r="X305" s="610"/>
      <c r="Y305" s="610"/>
      <c r="Z305" s="610"/>
      <c r="AA305" s="610"/>
      <c r="AB305" s="610"/>
      <c r="AC305" s="610"/>
      <c r="AD305" s="610"/>
      <c r="AG305" s="610"/>
      <c r="AH305" s="610"/>
    </row>
    <row r="306">
      <c r="B306" s="610"/>
      <c r="C306" s="610"/>
      <c r="D306" s="610"/>
      <c r="E306" s="610"/>
      <c r="F306" s="610"/>
      <c r="G306" s="610"/>
      <c r="H306" s="610"/>
      <c r="I306" s="610"/>
      <c r="J306" s="610"/>
      <c r="K306" s="610"/>
      <c r="L306" s="610"/>
      <c r="M306" s="610"/>
      <c r="N306" s="610"/>
      <c r="O306" s="610"/>
      <c r="P306" s="610"/>
      <c r="Q306" s="610"/>
      <c r="R306" s="610"/>
      <c r="S306" s="610"/>
      <c r="T306" s="610"/>
      <c r="U306" s="610"/>
      <c r="V306" s="610"/>
      <c r="W306" s="610"/>
      <c r="X306" s="610"/>
      <c r="Y306" s="610"/>
      <c r="Z306" s="610"/>
      <c r="AA306" s="610"/>
      <c r="AB306" s="610"/>
      <c r="AC306" s="610"/>
      <c r="AD306" s="610"/>
      <c r="AG306" s="610"/>
      <c r="AH306" s="610"/>
    </row>
    <row r="307">
      <c r="B307" s="610"/>
      <c r="C307" s="610"/>
      <c r="D307" s="610"/>
      <c r="E307" s="610"/>
      <c r="F307" s="610"/>
      <c r="G307" s="610"/>
      <c r="H307" s="610"/>
      <c r="I307" s="610"/>
      <c r="J307" s="610"/>
      <c r="K307" s="610"/>
      <c r="L307" s="610"/>
      <c r="M307" s="610"/>
      <c r="N307" s="610"/>
      <c r="O307" s="610"/>
      <c r="P307" s="610"/>
      <c r="Q307" s="610"/>
      <c r="R307" s="610"/>
      <c r="S307" s="610"/>
      <c r="T307" s="610"/>
      <c r="U307" s="610"/>
      <c r="V307" s="610"/>
      <c r="W307" s="610"/>
      <c r="X307" s="610"/>
      <c r="Y307" s="610"/>
      <c r="Z307" s="610"/>
      <c r="AA307" s="610"/>
      <c r="AB307" s="610"/>
      <c r="AC307" s="610"/>
      <c r="AD307" s="610"/>
      <c r="AG307" s="610"/>
      <c r="AH307" s="610"/>
    </row>
    <row r="308">
      <c r="B308" s="610"/>
      <c r="C308" s="610"/>
      <c r="D308" s="610"/>
      <c r="E308" s="610"/>
      <c r="F308" s="610"/>
      <c r="G308" s="610"/>
      <c r="H308" s="610"/>
      <c r="I308" s="610"/>
      <c r="J308" s="610"/>
      <c r="K308" s="610"/>
      <c r="L308" s="610"/>
      <c r="M308" s="610"/>
      <c r="N308" s="610"/>
      <c r="O308" s="610"/>
      <c r="P308" s="610"/>
      <c r="Q308" s="610"/>
      <c r="R308" s="610"/>
      <c r="S308" s="610"/>
      <c r="T308" s="610"/>
      <c r="U308" s="610"/>
      <c r="V308" s="610"/>
      <c r="W308" s="610"/>
      <c r="X308" s="610"/>
      <c r="Y308" s="610"/>
      <c r="Z308" s="610"/>
      <c r="AA308" s="610"/>
      <c r="AB308" s="610"/>
      <c r="AC308" s="610"/>
      <c r="AD308" s="610"/>
      <c r="AG308" s="610"/>
      <c r="AH308" s="610"/>
    </row>
    <row r="309">
      <c r="B309" s="610"/>
      <c r="C309" s="610"/>
      <c r="D309" s="610"/>
      <c r="E309" s="610"/>
      <c r="F309" s="610"/>
      <c r="G309" s="610"/>
      <c r="H309" s="610"/>
      <c r="I309" s="610"/>
      <c r="J309" s="610"/>
      <c r="K309" s="610"/>
      <c r="L309" s="610"/>
      <c r="M309" s="610"/>
      <c r="N309" s="610"/>
      <c r="O309" s="610"/>
      <c r="P309" s="610"/>
      <c r="Q309" s="610"/>
      <c r="R309" s="610"/>
      <c r="S309" s="610"/>
      <c r="T309" s="610"/>
      <c r="U309" s="610"/>
      <c r="V309" s="610"/>
      <c r="W309" s="610"/>
      <c r="X309" s="610"/>
      <c r="Y309" s="610"/>
      <c r="Z309" s="610"/>
      <c r="AA309" s="610"/>
      <c r="AB309" s="610"/>
      <c r="AC309" s="610"/>
      <c r="AD309" s="610"/>
      <c r="AG309" s="610"/>
      <c r="AH309" s="610"/>
    </row>
    <row r="310">
      <c r="B310" s="610"/>
      <c r="C310" s="610"/>
      <c r="D310" s="610"/>
      <c r="E310" s="610"/>
      <c r="F310" s="610"/>
      <c r="G310" s="610"/>
      <c r="H310" s="610"/>
      <c r="I310" s="610"/>
      <c r="J310" s="610"/>
      <c r="K310" s="610"/>
      <c r="L310" s="610"/>
      <c r="M310" s="610"/>
      <c r="N310" s="610"/>
      <c r="O310" s="610"/>
      <c r="P310" s="610"/>
      <c r="Q310" s="610"/>
      <c r="R310" s="610"/>
      <c r="S310" s="610"/>
      <c r="T310" s="610"/>
      <c r="U310" s="610"/>
      <c r="V310" s="610"/>
      <c r="W310" s="610"/>
      <c r="X310" s="610"/>
      <c r="Y310" s="610"/>
      <c r="Z310" s="610"/>
      <c r="AA310" s="610"/>
      <c r="AB310" s="610"/>
      <c r="AC310" s="610"/>
      <c r="AD310" s="610"/>
      <c r="AG310" s="610"/>
      <c r="AH310" s="610"/>
    </row>
    <row r="311">
      <c r="B311" s="610"/>
      <c r="C311" s="610"/>
      <c r="D311" s="610"/>
      <c r="E311" s="610"/>
      <c r="F311" s="610"/>
      <c r="G311" s="610"/>
      <c r="H311" s="610"/>
      <c r="I311" s="610"/>
      <c r="J311" s="610"/>
      <c r="K311" s="610"/>
      <c r="L311" s="610"/>
      <c r="M311" s="610"/>
      <c r="N311" s="610"/>
      <c r="O311" s="610"/>
      <c r="P311" s="610"/>
      <c r="Q311" s="610"/>
      <c r="R311" s="610"/>
      <c r="S311" s="610"/>
      <c r="T311" s="610"/>
      <c r="U311" s="610"/>
      <c r="V311" s="610"/>
      <c r="W311" s="610"/>
      <c r="X311" s="610"/>
      <c r="Y311" s="610"/>
      <c r="Z311" s="610"/>
      <c r="AA311" s="610"/>
      <c r="AB311" s="610"/>
      <c r="AC311" s="610"/>
      <c r="AD311" s="610"/>
      <c r="AG311" s="610"/>
      <c r="AH311" s="610"/>
    </row>
    <row r="312">
      <c r="B312" s="610"/>
      <c r="C312" s="610"/>
      <c r="D312" s="610"/>
      <c r="E312" s="610"/>
      <c r="F312" s="610"/>
      <c r="G312" s="610"/>
      <c r="H312" s="610"/>
      <c r="I312" s="610"/>
      <c r="J312" s="610"/>
      <c r="K312" s="610"/>
      <c r="L312" s="610"/>
      <c r="M312" s="610"/>
      <c r="N312" s="610"/>
      <c r="O312" s="610"/>
      <c r="P312" s="610"/>
      <c r="Q312" s="610"/>
      <c r="R312" s="610"/>
      <c r="S312" s="610"/>
      <c r="T312" s="610"/>
      <c r="U312" s="610"/>
      <c r="V312" s="610"/>
      <c r="W312" s="610"/>
      <c r="X312" s="610"/>
      <c r="Y312" s="610"/>
      <c r="Z312" s="610"/>
      <c r="AA312" s="610"/>
      <c r="AB312" s="610"/>
      <c r="AC312" s="610"/>
      <c r="AD312" s="610"/>
      <c r="AG312" s="610"/>
      <c r="AH312" s="610"/>
    </row>
    <row r="313">
      <c r="B313" s="610"/>
      <c r="C313" s="610"/>
      <c r="D313" s="610"/>
      <c r="E313" s="610"/>
      <c r="F313" s="610"/>
      <c r="G313" s="610"/>
      <c r="H313" s="610"/>
      <c r="I313" s="610"/>
      <c r="J313" s="610"/>
      <c r="K313" s="610"/>
      <c r="L313" s="610"/>
      <c r="M313" s="610"/>
      <c r="N313" s="610"/>
      <c r="O313" s="610"/>
      <c r="P313" s="610"/>
      <c r="Q313" s="610"/>
      <c r="R313" s="610"/>
      <c r="S313" s="610"/>
      <c r="T313" s="610"/>
      <c r="U313" s="610"/>
      <c r="V313" s="610"/>
      <c r="W313" s="610"/>
      <c r="X313" s="610"/>
      <c r="Y313" s="610"/>
      <c r="Z313" s="610"/>
      <c r="AA313" s="610"/>
      <c r="AB313" s="610"/>
      <c r="AC313" s="610"/>
      <c r="AD313" s="610"/>
      <c r="AG313" s="610"/>
      <c r="AH313" s="610"/>
    </row>
    <row r="314">
      <c r="B314" s="610"/>
      <c r="C314" s="610"/>
      <c r="D314" s="610"/>
      <c r="E314" s="610"/>
      <c r="F314" s="610"/>
      <c r="G314" s="610"/>
      <c r="H314" s="610"/>
      <c r="I314" s="610"/>
      <c r="J314" s="610"/>
      <c r="K314" s="610"/>
      <c r="L314" s="610"/>
      <c r="M314" s="610"/>
      <c r="N314" s="610"/>
      <c r="O314" s="610"/>
      <c r="P314" s="610"/>
      <c r="Q314" s="610"/>
      <c r="R314" s="610"/>
      <c r="S314" s="610"/>
      <c r="T314" s="610"/>
      <c r="U314" s="610"/>
      <c r="V314" s="610"/>
      <c r="W314" s="610"/>
      <c r="X314" s="610"/>
      <c r="Y314" s="610"/>
      <c r="Z314" s="610"/>
      <c r="AA314" s="610"/>
      <c r="AB314" s="610"/>
      <c r="AC314" s="610"/>
      <c r="AD314" s="610"/>
      <c r="AG314" s="610"/>
      <c r="AH314" s="610"/>
    </row>
    <row r="315">
      <c r="B315" s="610"/>
      <c r="C315" s="610"/>
      <c r="D315" s="610"/>
      <c r="E315" s="610"/>
      <c r="F315" s="610"/>
      <c r="G315" s="610"/>
      <c r="H315" s="610"/>
      <c r="I315" s="610"/>
      <c r="J315" s="610"/>
      <c r="K315" s="610"/>
      <c r="L315" s="610"/>
      <c r="M315" s="610"/>
      <c r="N315" s="610"/>
      <c r="O315" s="610"/>
      <c r="P315" s="610"/>
      <c r="Q315" s="610"/>
      <c r="R315" s="610"/>
      <c r="S315" s="610"/>
      <c r="T315" s="610"/>
      <c r="U315" s="610"/>
      <c r="V315" s="610"/>
      <c r="W315" s="610"/>
      <c r="X315" s="610"/>
      <c r="Y315" s="610"/>
      <c r="Z315" s="610"/>
      <c r="AA315" s="610"/>
      <c r="AB315" s="610"/>
      <c r="AC315" s="610"/>
      <c r="AD315" s="610"/>
      <c r="AG315" s="610"/>
      <c r="AH315" s="610"/>
    </row>
    <row r="316">
      <c r="B316" s="610"/>
      <c r="C316" s="610"/>
      <c r="D316" s="610"/>
      <c r="E316" s="610"/>
      <c r="F316" s="610"/>
      <c r="G316" s="610"/>
      <c r="H316" s="610"/>
      <c r="I316" s="610"/>
      <c r="J316" s="610"/>
      <c r="K316" s="610"/>
      <c r="L316" s="610"/>
      <c r="M316" s="610"/>
      <c r="N316" s="610"/>
      <c r="O316" s="610"/>
      <c r="P316" s="610"/>
      <c r="Q316" s="610"/>
      <c r="R316" s="610"/>
      <c r="S316" s="610"/>
      <c r="T316" s="610"/>
      <c r="U316" s="610"/>
      <c r="V316" s="610"/>
      <c r="W316" s="610"/>
      <c r="X316" s="610"/>
      <c r="Y316" s="610"/>
      <c r="Z316" s="610"/>
      <c r="AA316" s="610"/>
      <c r="AB316" s="610"/>
      <c r="AC316" s="610"/>
      <c r="AD316" s="610"/>
      <c r="AG316" s="610"/>
      <c r="AH316" s="610"/>
    </row>
    <row r="317">
      <c r="B317" s="610"/>
      <c r="C317" s="610"/>
      <c r="D317" s="610"/>
      <c r="E317" s="610"/>
      <c r="F317" s="610"/>
      <c r="G317" s="610"/>
      <c r="H317" s="610"/>
      <c r="I317" s="610"/>
      <c r="J317" s="610"/>
      <c r="K317" s="610"/>
      <c r="L317" s="610"/>
      <c r="M317" s="610"/>
      <c r="N317" s="610"/>
      <c r="O317" s="610"/>
      <c r="P317" s="610"/>
      <c r="Q317" s="610"/>
      <c r="R317" s="610"/>
      <c r="S317" s="610"/>
      <c r="T317" s="610"/>
      <c r="U317" s="610"/>
      <c r="V317" s="610"/>
      <c r="W317" s="610"/>
      <c r="X317" s="610"/>
      <c r="Y317" s="610"/>
      <c r="Z317" s="610"/>
      <c r="AA317" s="610"/>
      <c r="AB317" s="610"/>
      <c r="AC317" s="610"/>
      <c r="AD317" s="610"/>
      <c r="AG317" s="610"/>
      <c r="AH317" s="610"/>
    </row>
    <row r="318">
      <c r="B318" s="610"/>
      <c r="C318" s="610"/>
      <c r="D318" s="610"/>
      <c r="E318" s="610"/>
      <c r="F318" s="610"/>
      <c r="G318" s="610"/>
      <c r="H318" s="610"/>
      <c r="I318" s="610"/>
      <c r="J318" s="610"/>
      <c r="K318" s="610"/>
      <c r="L318" s="610"/>
      <c r="M318" s="610"/>
      <c r="N318" s="610"/>
      <c r="O318" s="610"/>
      <c r="P318" s="610"/>
      <c r="Q318" s="610"/>
      <c r="R318" s="610"/>
      <c r="S318" s="610"/>
      <c r="T318" s="610"/>
      <c r="U318" s="610"/>
      <c r="V318" s="610"/>
      <c r="W318" s="610"/>
      <c r="X318" s="610"/>
      <c r="Y318" s="610"/>
      <c r="Z318" s="610"/>
      <c r="AA318" s="610"/>
      <c r="AB318" s="610"/>
      <c r="AC318" s="610"/>
      <c r="AD318" s="610"/>
      <c r="AG318" s="610"/>
      <c r="AH318" s="610"/>
    </row>
    <row r="319">
      <c r="B319" s="610"/>
      <c r="C319" s="610"/>
      <c r="D319" s="610"/>
      <c r="E319" s="610"/>
      <c r="F319" s="610"/>
      <c r="G319" s="610"/>
      <c r="H319" s="610"/>
      <c r="I319" s="610"/>
      <c r="J319" s="610"/>
      <c r="K319" s="610"/>
      <c r="L319" s="610"/>
      <c r="M319" s="610"/>
      <c r="N319" s="610"/>
      <c r="O319" s="610"/>
      <c r="P319" s="610"/>
      <c r="Q319" s="610"/>
      <c r="R319" s="610"/>
      <c r="S319" s="610"/>
      <c r="T319" s="610"/>
      <c r="U319" s="610"/>
      <c r="V319" s="610"/>
      <c r="W319" s="610"/>
      <c r="X319" s="610"/>
      <c r="Y319" s="610"/>
      <c r="Z319" s="610"/>
      <c r="AA319" s="610"/>
      <c r="AB319" s="610"/>
      <c r="AC319" s="610"/>
      <c r="AD319" s="610"/>
      <c r="AG319" s="610"/>
      <c r="AH319" s="610"/>
    </row>
    <row r="320">
      <c r="B320" s="610"/>
      <c r="C320" s="610"/>
      <c r="D320" s="610"/>
      <c r="E320" s="610"/>
      <c r="F320" s="610"/>
      <c r="G320" s="610"/>
      <c r="H320" s="610"/>
      <c r="I320" s="610"/>
      <c r="J320" s="610"/>
      <c r="K320" s="610"/>
      <c r="L320" s="610"/>
      <c r="M320" s="610"/>
      <c r="N320" s="610"/>
      <c r="O320" s="610"/>
      <c r="P320" s="610"/>
      <c r="Q320" s="610"/>
      <c r="R320" s="610"/>
      <c r="S320" s="610"/>
      <c r="T320" s="610"/>
      <c r="U320" s="610"/>
      <c r="V320" s="610"/>
      <c r="W320" s="610"/>
      <c r="X320" s="610"/>
      <c r="Y320" s="610"/>
      <c r="Z320" s="610"/>
      <c r="AA320" s="610"/>
      <c r="AB320" s="610"/>
      <c r="AC320" s="610"/>
      <c r="AD320" s="610"/>
      <c r="AG320" s="610"/>
      <c r="AH320" s="610"/>
    </row>
    <row r="321">
      <c r="B321" s="610"/>
      <c r="C321" s="610"/>
      <c r="D321" s="610"/>
      <c r="E321" s="610"/>
      <c r="F321" s="610"/>
      <c r="G321" s="610"/>
      <c r="H321" s="610"/>
      <c r="I321" s="610"/>
      <c r="J321" s="610"/>
      <c r="K321" s="610"/>
      <c r="L321" s="610"/>
      <c r="M321" s="610"/>
      <c r="N321" s="610"/>
      <c r="O321" s="610"/>
      <c r="P321" s="610"/>
      <c r="Q321" s="610"/>
      <c r="R321" s="610"/>
      <c r="S321" s="610"/>
      <c r="T321" s="610"/>
      <c r="U321" s="610"/>
      <c r="V321" s="610"/>
      <c r="W321" s="610"/>
      <c r="X321" s="610"/>
      <c r="Y321" s="610"/>
      <c r="Z321" s="610"/>
      <c r="AA321" s="610"/>
      <c r="AB321" s="610"/>
      <c r="AC321" s="610"/>
      <c r="AD321" s="610"/>
      <c r="AG321" s="610"/>
      <c r="AH321" s="610"/>
    </row>
    <row r="322">
      <c r="B322" s="610"/>
      <c r="C322" s="610"/>
      <c r="D322" s="610"/>
      <c r="E322" s="610"/>
      <c r="F322" s="610"/>
      <c r="G322" s="610"/>
      <c r="H322" s="610"/>
      <c r="I322" s="610"/>
      <c r="J322" s="610"/>
      <c r="K322" s="610"/>
      <c r="L322" s="610"/>
      <c r="M322" s="610"/>
      <c r="N322" s="610"/>
      <c r="O322" s="610"/>
      <c r="P322" s="610"/>
      <c r="Q322" s="610"/>
      <c r="R322" s="610"/>
      <c r="S322" s="610"/>
      <c r="T322" s="610"/>
      <c r="U322" s="610"/>
      <c r="V322" s="610"/>
      <c r="W322" s="610"/>
      <c r="X322" s="610"/>
      <c r="Y322" s="610"/>
      <c r="Z322" s="610"/>
      <c r="AA322" s="610"/>
      <c r="AB322" s="610"/>
      <c r="AC322" s="610"/>
      <c r="AD322" s="610"/>
      <c r="AG322" s="610"/>
      <c r="AH322" s="610"/>
    </row>
    <row r="323">
      <c r="B323" s="610"/>
      <c r="C323" s="610"/>
      <c r="D323" s="610"/>
      <c r="E323" s="610"/>
      <c r="F323" s="610"/>
      <c r="G323" s="610"/>
      <c r="H323" s="610"/>
      <c r="I323" s="610"/>
      <c r="J323" s="610"/>
      <c r="K323" s="610"/>
      <c r="L323" s="610"/>
      <c r="M323" s="610"/>
      <c r="N323" s="610"/>
      <c r="O323" s="610"/>
      <c r="P323" s="610"/>
      <c r="Q323" s="610"/>
      <c r="R323" s="610"/>
      <c r="S323" s="610"/>
      <c r="T323" s="610"/>
      <c r="U323" s="610"/>
      <c r="V323" s="610"/>
      <c r="W323" s="610"/>
      <c r="X323" s="610"/>
      <c r="Y323" s="610"/>
      <c r="Z323" s="610"/>
      <c r="AA323" s="610"/>
      <c r="AB323" s="610"/>
      <c r="AC323" s="610"/>
      <c r="AD323" s="610"/>
      <c r="AG323" s="610"/>
      <c r="AH323" s="610"/>
    </row>
    <row r="324">
      <c r="B324" s="610"/>
      <c r="C324" s="610"/>
      <c r="D324" s="610"/>
      <c r="E324" s="610"/>
      <c r="F324" s="610"/>
      <c r="G324" s="610"/>
      <c r="H324" s="610"/>
      <c r="I324" s="610"/>
      <c r="J324" s="610"/>
      <c r="K324" s="610"/>
      <c r="L324" s="610"/>
      <c r="M324" s="610"/>
      <c r="N324" s="610"/>
      <c r="O324" s="610"/>
      <c r="P324" s="610"/>
      <c r="Q324" s="610"/>
      <c r="R324" s="610"/>
      <c r="S324" s="610"/>
      <c r="T324" s="610"/>
      <c r="U324" s="610"/>
      <c r="V324" s="610"/>
      <c r="W324" s="610"/>
      <c r="X324" s="610"/>
      <c r="Y324" s="610"/>
      <c r="Z324" s="610"/>
      <c r="AA324" s="610"/>
      <c r="AB324" s="610"/>
      <c r="AC324" s="610"/>
      <c r="AD324" s="610"/>
      <c r="AG324" s="610"/>
      <c r="AH324" s="610"/>
    </row>
    <row r="325">
      <c r="B325" s="610"/>
      <c r="C325" s="610"/>
      <c r="D325" s="610"/>
      <c r="E325" s="610"/>
      <c r="F325" s="610"/>
      <c r="G325" s="610"/>
      <c r="H325" s="610"/>
      <c r="I325" s="610"/>
      <c r="J325" s="610"/>
      <c r="K325" s="610"/>
      <c r="L325" s="610"/>
      <c r="M325" s="610"/>
      <c r="N325" s="610"/>
      <c r="O325" s="610"/>
      <c r="P325" s="610"/>
      <c r="Q325" s="610"/>
      <c r="R325" s="610"/>
      <c r="S325" s="610"/>
      <c r="T325" s="610"/>
      <c r="U325" s="610"/>
      <c r="V325" s="610"/>
      <c r="W325" s="610"/>
      <c r="X325" s="610"/>
      <c r="Y325" s="610"/>
      <c r="Z325" s="610"/>
      <c r="AA325" s="610"/>
      <c r="AB325" s="610"/>
      <c r="AC325" s="610"/>
      <c r="AD325" s="610"/>
      <c r="AG325" s="610"/>
      <c r="AH325" s="610"/>
    </row>
    <row r="326">
      <c r="B326" s="610"/>
      <c r="C326" s="610"/>
      <c r="D326" s="610"/>
      <c r="E326" s="610"/>
      <c r="F326" s="610"/>
      <c r="G326" s="610"/>
      <c r="H326" s="610"/>
      <c r="I326" s="610"/>
      <c r="J326" s="610"/>
      <c r="K326" s="610"/>
      <c r="L326" s="610"/>
      <c r="M326" s="610"/>
      <c r="N326" s="610"/>
      <c r="O326" s="610"/>
      <c r="P326" s="610"/>
      <c r="Q326" s="610"/>
      <c r="R326" s="610"/>
      <c r="S326" s="610"/>
      <c r="T326" s="610"/>
      <c r="U326" s="610"/>
      <c r="V326" s="610"/>
      <c r="W326" s="610"/>
      <c r="X326" s="610"/>
      <c r="Y326" s="610"/>
      <c r="Z326" s="610"/>
      <c r="AA326" s="610"/>
      <c r="AB326" s="610"/>
      <c r="AC326" s="610"/>
      <c r="AD326" s="610"/>
      <c r="AG326" s="610"/>
      <c r="AH326" s="610"/>
    </row>
    <row r="327">
      <c r="B327" s="610"/>
      <c r="C327" s="610"/>
      <c r="D327" s="610"/>
      <c r="E327" s="610"/>
      <c r="F327" s="610"/>
      <c r="G327" s="610"/>
      <c r="H327" s="610"/>
      <c r="I327" s="610"/>
      <c r="J327" s="610"/>
      <c r="K327" s="610"/>
      <c r="L327" s="610"/>
      <c r="M327" s="610"/>
      <c r="N327" s="610"/>
      <c r="O327" s="610"/>
      <c r="P327" s="610"/>
      <c r="Q327" s="610"/>
      <c r="R327" s="610"/>
      <c r="S327" s="610"/>
      <c r="T327" s="610"/>
      <c r="U327" s="610"/>
      <c r="V327" s="610"/>
      <c r="W327" s="610"/>
      <c r="X327" s="610"/>
      <c r="Y327" s="610"/>
      <c r="Z327" s="610"/>
      <c r="AA327" s="610"/>
      <c r="AB327" s="610"/>
      <c r="AC327" s="610"/>
      <c r="AD327" s="610"/>
      <c r="AG327" s="610"/>
      <c r="AH327" s="610"/>
    </row>
    <row r="328">
      <c r="B328" s="610"/>
      <c r="C328" s="610"/>
      <c r="D328" s="610"/>
      <c r="E328" s="610"/>
      <c r="F328" s="610"/>
      <c r="G328" s="610"/>
      <c r="H328" s="610"/>
      <c r="I328" s="610"/>
      <c r="J328" s="610"/>
      <c r="K328" s="610"/>
      <c r="L328" s="610"/>
      <c r="M328" s="610"/>
      <c r="N328" s="610"/>
      <c r="O328" s="610"/>
      <c r="P328" s="610"/>
      <c r="Q328" s="610"/>
      <c r="R328" s="610"/>
      <c r="S328" s="610"/>
      <c r="T328" s="610"/>
      <c r="U328" s="610"/>
      <c r="V328" s="610"/>
      <c r="W328" s="610"/>
      <c r="X328" s="610"/>
      <c r="Y328" s="610"/>
      <c r="Z328" s="610"/>
      <c r="AA328" s="610"/>
      <c r="AB328" s="610"/>
      <c r="AC328" s="610"/>
      <c r="AD328" s="610"/>
      <c r="AG328" s="610"/>
      <c r="AH328" s="610"/>
    </row>
    <row r="329">
      <c r="B329" s="610"/>
      <c r="C329" s="610"/>
      <c r="D329" s="610"/>
      <c r="E329" s="610"/>
      <c r="F329" s="610"/>
      <c r="G329" s="610"/>
      <c r="H329" s="610"/>
      <c r="I329" s="610"/>
      <c r="J329" s="610"/>
      <c r="K329" s="610"/>
      <c r="L329" s="610"/>
      <c r="M329" s="610"/>
      <c r="N329" s="610"/>
      <c r="O329" s="610"/>
      <c r="P329" s="610"/>
      <c r="Q329" s="610"/>
      <c r="R329" s="610"/>
      <c r="S329" s="610"/>
      <c r="T329" s="610"/>
      <c r="U329" s="610"/>
      <c r="V329" s="610"/>
      <c r="W329" s="610"/>
      <c r="X329" s="610"/>
      <c r="Y329" s="610"/>
      <c r="Z329" s="610"/>
      <c r="AA329" s="610"/>
      <c r="AB329" s="610"/>
      <c r="AC329" s="610"/>
      <c r="AD329" s="610"/>
      <c r="AG329" s="610"/>
      <c r="AH329" s="610"/>
    </row>
    <row r="330">
      <c r="B330" s="610"/>
      <c r="C330" s="610"/>
      <c r="D330" s="610"/>
      <c r="E330" s="610"/>
      <c r="F330" s="610"/>
      <c r="G330" s="610"/>
      <c r="H330" s="610"/>
      <c r="I330" s="610"/>
      <c r="J330" s="610"/>
      <c r="K330" s="610"/>
      <c r="L330" s="610"/>
      <c r="M330" s="610"/>
      <c r="N330" s="610"/>
      <c r="O330" s="610"/>
      <c r="P330" s="610"/>
      <c r="Q330" s="610"/>
      <c r="R330" s="610"/>
      <c r="S330" s="610"/>
      <c r="T330" s="610"/>
      <c r="U330" s="610"/>
      <c r="V330" s="610"/>
      <c r="W330" s="610"/>
      <c r="X330" s="610"/>
      <c r="Y330" s="610"/>
      <c r="Z330" s="610"/>
      <c r="AA330" s="610"/>
      <c r="AB330" s="610"/>
      <c r="AC330" s="610"/>
      <c r="AD330" s="610"/>
      <c r="AG330" s="610"/>
      <c r="AH330" s="610"/>
    </row>
    <row r="331">
      <c r="B331" s="610"/>
      <c r="C331" s="610"/>
      <c r="D331" s="610"/>
      <c r="E331" s="610"/>
      <c r="F331" s="610"/>
      <c r="G331" s="610"/>
      <c r="H331" s="610"/>
      <c r="I331" s="610"/>
      <c r="J331" s="610"/>
      <c r="K331" s="610"/>
      <c r="L331" s="610"/>
      <c r="M331" s="610"/>
      <c r="N331" s="610"/>
      <c r="O331" s="610"/>
      <c r="P331" s="610"/>
      <c r="Q331" s="610"/>
      <c r="R331" s="610"/>
      <c r="S331" s="610"/>
      <c r="T331" s="610"/>
      <c r="U331" s="610"/>
      <c r="V331" s="610"/>
      <c r="W331" s="610"/>
      <c r="X331" s="610"/>
      <c r="Y331" s="610"/>
      <c r="Z331" s="610"/>
      <c r="AA331" s="610"/>
      <c r="AB331" s="610"/>
      <c r="AC331" s="610"/>
      <c r="AD331" s="610"/>
      <c r="AG331" s="610"/>
      <c r="AH331" s="610"/>
    </row>
    <row r="332">
      <c r="B332" s="610"/>
      <c r="C332" s="610"/>
      <c r="D332" s="610"/>
      <c r="E332" s="610"/>
      <c r="F332" s="610"/>
      <c r="G332" s="610"/>
      <c r="H332" s="610"/>
      <c r="I332" s="610"/>
      <c r="J332" s="610"/>
      <c r="K332" s="610"/>
      <c r="L332" s="610"/>
      <c r="M332" s="610"/>
      <c r="N332" s="610"/>
      <c r="O332" s="610"/>
      <c r="P332" s="610"/>
      <c r="Q332" s="610"/>
      <c r="R332" s="610"/>
      <c r="S332" s="610"/>
      <c r="T332" s="610"/>
      <c r="U332" s="610"/>
      <c r="V332" s="610"/>
      <c r="W332" s="610"/>
      <c r="X332" s="610"/>
      <c r="Y332" s="610"/>
      <c r="Z332" s="610"/>
      <c r="AA332" s="610"/>
      <c r="AB332" s="610"/>
      <c r="AC332" s="610"/>
      <c r="AD332" s="610"/>
      <c r="AG332" s="610"/>
      <c r="AH332" s="610"/>
    </row>
    <row r="333">
      <c r="B333" s="610"/>
      <c r="C333" s="610"/>
      <c r="D333" s="610"/>
      <c r="E333" s="610"/>
      <c r="F333" s="610"/>
      <c r="G333" s="610"/>
      <c r="H333" s="610"/>
      <c r="I333" s="610"/>
      <c r="J333" s="610"/>
      <c r="K333" s="610"/>
      <c r="L333" s="610"/>
      <c r="M333" s="610"/>
      <c r="N333" s="610"/>
      <c r="O333" s="610"/>
      <c r="P333" s="610"/>
      <c r="Q333" s="610"/>
      <c r="R333" s="610"/>
      <c r="S333" s="610"/>
      <c r="T333" s="610"/>
      <c r="U333" s="610"/>
      <c r="V333" s="610"/>
      <c r="W333" s="610"/>
      <c r="X333" s="610"/>
      <c r="Y333" s="610"/>
      <c r="Z333" s="610"/>
      <c r="AA333" s="610"/>
      <c r="AB333" s="610"/>
      <c r="AC333" s="610"/>
      <c r="AD333" s="610"/>
      <c r="AG333" s="610"/>
      <c r="AH333" s="610"/>
    </row>
    <row r="334">
      <c r="B334" s="610"/>
      <c r="C334" s="610"/>
      <c r="D334" s="610"/>
      <c r="E334" s="610"/>
      <c r="F334" s="610"/>
      <c r="G334" s="610"/>
      <c r="H334" s="610"/>
      <c r="I334" s="610"/>
      <c r="J334" s="610"/>
      <c r="K334" s="610"/>
      <c r="L334" s="610"/>
      <c r="M334" s="610"/>
      <c r="N334" s="610"/>
      <c r="O334" s="610"/>
      <c r="P334" s="610"/>
      <c r="Q334" s="610"/>
      <c r="R334" s="610"/>
      <c r="S334" s="610"/>
      <c r="T334" s="610"/>
      <c r="U334" s="610"/>
      <c r="V334" s="610"/>
      <c r="W334" s="610"/>
      <c r="X334" s="610"/>
      <c r="Y334" s="610"/>
      <c r="Z334" s="610"/>
      <c r="AA334" s="610"/>
      <c r="AB334" s="610"/>
      <c r="AC334" s="610"/>
      <c r="AD334" s="610"/>
      <c r="AG334" s="610"/>
      <c r="AH334" s="610"/>
    </row>
    <row r="335">
      <c r="B335" s="610"/>
      <c r="C335" s="610"/>
      <c r="D335" s="610"/>
      <c r="E335" s="610"/>
      <c r="F335" s="610"/>
      <c r="G335" s="610"/>
      <c r="H335" s="610"/>
      <c r="I335" s="610"/>
      <c r="J335" s="610"/>
      <c r="K335" s="610"/>
      <c r="L335" s="610"/>
      <c r="M335" s="610"/>
      <c r="N335" s="610"/>
      <c r="O335" s="610"/>
      <c r="P335" s="610"/>
      <c r="Q335" s="610"/>
      <c r="R335" s="610"/>
      <c r="S335" s="610"/>
      <c r="T335" s="610"/>
      <c r="U335" s="610"/>
      <c r="V335" s="610"/>
      <c r="W335" s="610"/>
      <c r="X335" s="610"/>
      <c r="Y335" s="610"/>
      <c r="Z335" s="610"/>
      <c r="AA335" s="610"/>
      <c r="AB335" s="610"/>
      <c r="AC335" s="610"/>
      <c r="AD335" s="610"/>
      <c r="AG335" s="610"/>
      <c r="AH335" s="610"/>
    </row>
    <row r="336">
      <c r="B336" s="610"/>
      <c r="C336" s="610"/>
      <c r="D336" s="610"/>
      <c r="E336" s="610"/>
      <c r="F336" s="610"/>
      <c r="G336" s="610"/>
      <c r="H336" s="610"/>
      <c r="I336" s="610"/>
      <c r="J336" s="610"/>
      <c r="K336" s="610"/>
      <c r="L336" s="610"/>
      <c r="M336" s="610"/>
      <c r="N336" s="610"/>
      <c r="O336" s="610"/>
      <c r="P336" s="610"/>
      <c r="Q336" s="610"/>
      <c r="R336" s="610"/>
      <c r="S336" s="610"/>
      <c r="T336" s="610"/>
      <c r="U336" s="610"/>
      <c r="V336" s="610"/>
      <c r="W336" s="610"/>
      <c r="X336" s="610"/>
      <c r="Y336" s="610"/>
      <c r="Z336" s="610"/>
      <c r="AA336" s="610"/>
      <c r="AB336" s="610"/>
      <c r="AC336" s="610"/>
      <c r="AD336" s="610"/>
      <c r="AG336" s="610"/>
      <c r="AH336" s="610"/>
    </row>
    <row r="337">
      <c r="B337" s="610"/>
      <c r="C337" s="610"/>
      <c r="D337" s="610"/>
      <c r="E337" s="610"/>
      <c r="F337" s="610"/>
      <c r="G337" s="610"/>
      <c r="H337" s="610"/>
      <c r="I337" s="610"/>
      <c r="J337" s="610"/>
      <c r="K337" s="610"/>
      <c r="L337" s="610"/>
      <c r="M337" s="610"/>
      <c r="N337" s="610"/>
      <c r="O337" s="610"/>
      <c r="P337" s="610"/>
      <c r="Q337" s="610"/>
      <c r="R337" s="610"/>
      <c r="S337" s="610"/>
      <c r="T337" s="610"/>
      <c r="U337" s="610"/>
      <c r="V337" s="610"/>
      <c r="W337" s="610"/>
      <c r="X337" s="610"/>
      <c r="Y337" s="610"/>
      <c r="Z337" s="610"/>
      <c r="AA337" s="610"/>
      <c r="AB337" s="610"/>
      <c r="AC337" s="610"/>
      <c r="AD337" s="610"/>
      <c r="AG337" s="610"/>
      <c r="AH337" s="610"/>
    </row>
    <row r="338">
      <c r="B338" s="610"/>
      <c r="C338" s="610"/>
      <c r="D338" s="610"/>
      <c r="E338" s="610"/>
      <c r="F338" s="610"/>
      <c r="G338" s="610"/>
      <c r="H338" s="610"/>
      <c r="I338" s="610"/>
      <c r="J338" s="610"/>
      <c r="K338" s="610"/>
      <c r="L338" s="610"/>
      <c r="M338" s="610"/>
      <c r="N338" s="610"/>
      <c r="O338" s="610"/>
      <c r="P338" s="610"/>
      <c r="Q338" s="610"/>
      <c r="R338" s="610"/>
      <c r="S338" s="610"/>
      <c r="T338" s="610"/>
      <c r="U338" s="610"/>
      <c r="V338" s="610"/>
      <c r="W338" s="610"/>
      <c r="X338" s="610"/>
      <c r="Y338" s="610"/>
      <c r="Z338" s="610"/>
      <c r="AA338" s="610"/>
      <c r="AB338" s="610"/>
      <c r="AC338" s="610"/>
      <c r="AD338" s="610"/>
      <c r="AG338" s="610"/>
      <c r="AH338" s="610"/>
    </row>
    <row r="339">
      <c r="B339" s="610"/>
      <c r="C339" s="610"/>
      <c r="D339" s="610"/>
      <c r="E339" s="610"/>
      <c r="F339" s="610"/>
      <c r="G339" s="610"/>
      <c r="H339" s="610"/>
      <c r="I339" s="610"/>
      <c r="J339" s="610"/>
      <c r="K339" s="610"/>
      <c r="L339" s="610"/>
      <c r="M339" s="610"/>
      <c r="N339" s="610"/>
      <c r="O339" s="610"/>
      <c r="P339" s="610"/>
      <c r="Q339" s="610"/>
      <c r="R339" s="610"/>
      <c r="S339" s="610"/>
      <c r="T339" s="610"/>
      <c r="U339" s="610"/>
      <c r="V339" s="610"/>
      <c r="W339" s="610"/>
      <c r="X339" s="610"/>
      <c r="Y339" s="610"/>
      <c r="Z339" s="610"/>
      <c r="AA339" s="610"/>
      <c r="AB339" s="610"/>
      <c r="AC339" s="610"/>
      <c r="AD339" s="610"/>
      <c r="AG339" s="610"/>
      <c r="AH339" s="610"/>
    </row>
    <row r="340">
      <c r="B340" s="610"/>
      <c r="C340" s="610"/>
      <c r="D340" s="610"/>
      <c r="E340" s="610"/>
      <c r="F340" s="610"/>
      <c r="G340" s="610"/>
      <c r="H340" s="610"/>
      <c r="I340" s="610"/>
      <c r="J340" s="610"/>
      <c r="K340" s="610"/>
      <c r="L340" s="610"/>
      <c r="M340" s="610"/>
      <c r="N340" s="610"/>
      <c r="O340" s="610"/>
      <c r="P340" s="610"/>
      <c r="Q340" s="610"/>
      <c r="R340" s="610"/>
      <c r="S340" s="610"/>
      <c r="T340" s="610"/>
      <c r="U340" s="610"/>
      <c r="V340" s="610"/>
      <c r="W340" s="610"/>
      <c r="X340" s="610"/>
      <c r="Y340" s="610"/>
      <c r="Z340" s="610"/>
      <c r="AA340" s="610"/>
      <c r="AB340" s="610"/>
      <c r="AC340" s="610"/>
      <c r="AD340" s="610"/>
      <c r="AG340" s="610"/>
      <c r="AH340" s="610"/>
    </row>
    <row r="341">
      <c r="B341" s="610"/>
      <c r="C341" s="610"/>
      <c r="D341" s="610"/>
      <c r="E341" s="610"/>
      <c r="F341" s="610"/>
      <c r="G341" s="610"/>
      <c r="H341" s="610"/>
      <c r="I341" s="610"/>
      <c r="J341" s="610"/>
      <c r="K341" s="610"/>
      <c r="L341" s="610"/>
      <c r="M341" s="610"/>
      <c r="N341" s="610"/>
      <c r="O341" s="610"/>
      <c r="P341" s="610"/>
      <c r="Q341" s="610"/>
      <c r="R341" s="610"/>
      <c r="S341" s="610"/>
      <c r="T341" s="610"/>
      <c r="U341" s="610"/>
      <c r="V341" s="610"/>
      <c r="W341" s="610"/>
      <c r="X341" s="610"/>
      <c r="Y341" s="610"/>
      <c r="Z341" s="610"/>
      <c r="AA341" s="610"/>
      <c r="AB341" s="610"/>
      <c r="AC341" s="610"/>
      <c r="AD341" s="610"/>
      <c r="AG341" s="610"/>
      <c r="AH341" s="610"/>
    </row>
    <row r="342">
      <c r="B342" s="610"/>
      <c r="C342" s="610"/>
      <c r="D342" s="610"/>
      <c r="E342" s="610"/>
      <c r="F342" s="610"/>
      <c r="G342" s="610"/>
      <c r="H342" s="610"/>
      <c r="I342" s="610"/>
      <c r="J342" s="610"/>
      <c r="K342" s="610"/>
      <c r="L342" s="610"/>
      <c r="M342" s="610"/>
      <c r="N342" s="610"/>
      <c r="O342" s="610"/>
      <c r="P342" s="610"/>
      <c r="Q342" s="610"/>
      <c r="R342" s="610"/>
      <c r="S342" s="610"/>
      <c r="T342" s="610"/>
      <c r="U342" s="610"/>
      <c r="V342" s="610"/>
      <c r="W342" s="610"/>
      <c r="X342" s="610"/>
      <c r="Y342" s="610"/>
      <c r="Z342" s="610"/>
      <c r="AA342" s="610"/>
      <c r="AB342" s="610"/>
      <c r="AC342" s="610"/>
      <c r="AD342" s="610"/>
      <c r="AG342" s="610"/>
      <c r="AH342" s="610"/>
    </row>
    <row r="343">
      <c r="B343" s="610"/>
      <c r="C343" s="610"/>
      <c r="D343" s="610"/>
      <c r="E343" s="610"/>
      <c r="F343" s="610"/>
      <c r="G343" s="610"/>
      <c r="H343" s="610"/>
      <c r="I343" s="610"/>
      <c r="J343" s="610"/>
      <c r="K343" s="610"/>
      <c r="L343" s="610"/>
      <c r="M343" s="610"/>
      <c r="N343" s="610"/>
      <c r="O343" s="610"/>
      <c r="P343" s="610"/>
      <c r="Q343" s="610"/>
      <c r="R343" s="610"/>
      <c r="S343" s="610"/>
      <c r="T343" s="610"/>
      <c r="U343" s="610"/>
      <c r="V343" s="610"/>
      <c r="W343" s="610"/>
      <c r="X343" s="610"/>
      <c r="Y343" s="610"/>
      <c r="Z343" s="610"/>
      <c r="AA343" s="610"/>
      <c r="AB343" s="610"/>
      <c r="AC343" s="610"/>
      <c r="AD343" s="610"/>
      <c r="AG343" s="610"/>
      <c r="AH343" s="610"/>
    </row>
    <row r="344">
      <c r="B344" s="610"/>
      <c r="C344" s="610"/>
      <c r="D344" s="610"/>
      <c r="E344" s="610"/>
      <c r="F344" s="610"/>
      <c r="G344" s="610"/>
      <c r="H344" s="610"/>
      <c r="I344" s="610"/>
      <c r="J344" s="610"/>
      <c r="K344" s="610"/>
      <c r="L344" s="610"/>
      <c r="M344" s="610"/>
      <c r="N344" s="610"/>
      <c r="O344" s="610"/>
      <c r="P344" s="610"/>
      <c r="Q344" s="610"/>
      <c r="R344" s="610"/>
      <c r="S344" s="610"/>
      <c r="T344" s="610"/>
      <c r="U344" s="610"/>
      <c r="V344" s="610"/>
      <c r="W344" s="610"/>
      <c r="X344" s="610"/>
      <c r="Y344" s="610"/>
      <c r="Z344" s="610"/>
      <c r="AA344" s="610"/>
      <c r="AB344" s="610"/>
      <c r="AC344" s="610"/>
      <c r="AD344" s="610"/>
      <c r="AG344" s="610"/>
      <c r="AH344" s="610"/>
    </row>
    <row r="345">
      <c r="B345" s="610"/>
      <c r="C345" s="610"/>
      <c r="D345" s="610"/>
      <c r="E345" s="610"/>
      <c r="F345" s="610"/>
      <c r="G345" s="610"/>
      <c r="H345" s="610"/>
      <c r="I345" s="610"/>
      <c r="J345" s="610"/>
      <c r="K345" s="610"/>
      <c r="L345" s="610"/>
      <c r="M345" s="610"/>
      <c r="N345" s="610"/>
      <c r="O345" s="610"/>
      <c r="P345" s="610"/>
      <c r="Q345" s="610"/>
      <c r="R345" s="610"/>
      <c r="S345" s="610"/>
      <c r="T345" s="610"/>
      <c r="U345" s="610"/>
      <c r="V345" s="610"/>
      <c r="W345" s="610"/>
      <c r="X345" s="610"/>
      <c r="Y345" s="610"/>
      <c r="Z345" s="610"/>
      <c r="AA345" s="610"/>
      <c r="AB345" s="610"/>
      <c r="AC345" s="610"/>
      <c r="AD345" s="610"/>
      <c r="AG345" s="610"/>
      <c r="AH345" s="610"/>
    </row>
    <row r="346">
      <c r="B346" s="610"/>
      <c r="C346" s="610"/>
      <c r="D346" s="610"/>
      <c r="E346" s="610"/>
      <c r="F346" s="610"/>
      <c r="G346" s="610"/>
      <c r="H346" s="610"/>
      <c r="I346" s="610"/>
      <c r="J346" s="610"/>
      <c r="K346" s="610"/>
      <c r="L346" s="610"/>
      <c r="M346" s="610"/>
      <c r="N346" s="610"/>
      <c r="O346" s="610"/>
      <c r="P346" s="610"/>
      <c r="Q346" s="610"/>
      <c r="R346" s="610"/>
      <c r="S346" s="610"/>
      <c r="T346" s="610"/>
      <c r="U346" s="610"/>
      <c r="V346" s="610"/>
      <c r="W346" s="610"/>
      <c r="X346" s="610"/>
      <c r="Y346" s="610"/>
      <c r="Z346" s="610"/>
      <c r="AA346" s="610"/>
      <c r="AB346" s="610"/>
      <c r="AC346" s="610"/>
      <c r="AD346" s="610"/>
      <c r="AG346" s="610"/>
      <c r="AH346" s="610"/>
    </row>
    <row r="347">
      <c r="B347" s="610"/>
      <c r="C347" s="610"/>
      <c r="D347" s="610"/>
      <c r="E347" s="610"/>
      <c r="F347" s="610"/>
      <c r="G347" s="610"/>
      <c r="H347" s="610"/>
      <c r="I347" s="610"/>
      <c r="J347" s="610"/>
      <c r="K347" s="610"/>
      <c r="L347" s="610"/>
      <c r="M347" s="610"/>
      <c r="N347" s="610"/>
      <c r="O347" s="610"/>
      <c r="P347" s="610"/>
      <c r="Q347" s="610"/>
      <c r="R347" s="610"/>
      <c r="S347" s="610"/>
      <c r="T347" s="610"/>
      <c r="U347" s="610"/>
      <c r="V347" s="610"/>
      <c r="W347" s="610"/>
      <c r="X347" s="610"/>
      <c r="Y347" s="610"/>
      <c r="Z347" s="610"/>
      <c r="AA347" s="610"/>
      <c r="AB347" s="610"/>
      <c r="AC347" s="610"/>
      <c r="AD347" s="610"/>
      <c r="AG347" s="610"/>
      <c r="AH347" s="610"/>
    </row>
    <row r="348">
      <c r="B348" s="610"/>
      <c r="C348" s="610"/>
      <c r="D348" s="610"/>
      <c r="E348" s="610"/>
      <c r="F348" s="610"/>
      <c r="G348" s="610"/>
      <c r="H348" s="610"/>
      <c r="I348" s="610"/>
      <c r="J348" s="610"/>
      <c r="K348" s="610"/>
      <c r="L348" s="610"/>
      <c r="M348" s="610"/>
      <c r="N348" s="610"/>
      <c r="O348" s="610"/>
      <c r="P348" s="610"/>
      <c r="Q348" s="610"/>
      <c r="R348" s="610"/>
      <c r="S348" s="610"/>
      <c r="T348" s="610"/>
      <c r="U348" s="610"/>
      <c r="V348" s="610"/>
      <c r="W348" s="610"/>
      <c r="X348" s="610"/>
      <c r="Y348" s="610"/>
      <c r="Z348" s="610"/>
      <c r="AA348" s="610"/>
      <c r="AB348" s="610"/>
      <c r="AC348" s="610"/>
      <c r="AD348" s="610"/>
      <c r="AG348" s="610"/>
      <c r="AH348" s="610"/>
    </row>
    <row r="349">
      <c r="B349" s="610"/>
      <c r="C349" s="610"/>
      <c r="D349" s="610"/>
      <c r="E349" s="610"/>
      <c r="F349" s="610"/>
      <c r="G349" s="610"/>
      <c r="H349" s="610"/>
      <c r="I349" s="610"/>
      <c r="J349" s="610"/>
      <c r="K349" s="610"/>
      <c r="L349" s="610"/>
      <c r="M349" s="610"/>
      <c r="N349" s="610"/>
      <c r="O349" s="610"/>
      <c r="P349" s="610"/>
      <c r="Q349" s="610"/>
      <c r="R349" s="610"/>
      <c r="S349" s="610"/>
      <c r="T349" s="610"/>
      <c r="U349" s="610"/>
      <c r="V349" s="610"/>
      <c r="W349" s="610"/>
      <c r="X349" s="610"/>
      <c r="Y349" s="610"/>
      <c r="Z349" s="610"/>
      <c r="AA349" s="610"/>
      <c r="AB349" s="610"/>
      <c r="AC349" s="610"/>
      <c r="AD349" s="610"/>
      <c r="AG349" s="610"/>
      <c r="AH349" s="610"/>
    </row>
    <row r="350">
      <c r="B350" s="610"/>
      <c r="C350" s="610"/>
      <c r="D350" s="610"/>
      <c r="E350" s="610"/>
      <c r="F350" s="610"/>
      <c r="G350" s="610"/>
      <c r="H350" s="610"/>
      <c r="I350" s="610"/>
      <c r="J350" s="610"/>
      <c r="K350" s="610"/>
      <c r="L350" s="610"/>
      <c r="M350" s="610"/>
      <c r="N350" s="610"/>
      <c r="O350" s="610"/>
      <c r="P350" s="610"/>
      <c r="Q350" s="610"/>
      <c r="R350" s="610"/>
      <c r="S350" s="610"/>
      <c r="T350" s="610"/>
      <c r="U350" s="610"/>
      <c r="V350" s="610"/>
      <c r="W350" s="610"/>
      <c r="X350" s="610"/>
      <c r="Y350" s="610"/>
      <c r="Z350" s="610"/>
      <c r="AA350" s="610"/>
      <c r="AB350" s="610"/>
      <c r="AC350" s="610"/>
      <c r="AD350" s="610"/>
      <c r="AG350" s="610"/>
      <c r="AH350" s="610"/>
    </row>
    <row r="351">
      <c r="B351" s="610"/>
      <c r="C351" s="610"/>
      <c r="D351" s="610"/>
      <c r="E351" s="610"/>
      <c r="F351" s="610"/>
      <c r="G351" s="610"/>
      <c r="H351" s="610"/>
      <c r="I351" s="610"/>
      <c r="J351" s="610"/>
      <c r="K351" s="610"/>
      <c r="L351" s="610"/>
      <c r="M351" s="610"/>
      <c r="N351" s="610"/>
      <c r="O351" s="610"/>
      <c r="P351" s="610"/>
      <c r="Q351" s="610"/>
      <c r="R351" s="610"/>
      <c r="S351" s="610"/>
      <c r="T351" s="610"/>
      <c r="U351" s="610"/>
      <c r="V351" s="610"/>
      <c r="W351" s="610"/>
      <c r="X351" s="610"/>
      <c r="Y351" s="610"/>
      <c r="Z351" s="610"/>
      <c r="AA351" s="610"/>
      <c r="AB351" s="610"/>
      <c r="AC351" s="610"/>
      <c r="AD351" s="610"/>
      <c r="AG351" s="610"/>
      <c r="AH351" s="610"/>
    </row>
    <row r="352">
      <c r="B352" s="610"/>
      <c r="C352" s="610"/>
      <c r="D352" s="610"/>
      <c r="E352" s="610"/>
      <c r="F352" s="610"/>
      <c r="G352" s="610"/>
      <c r="H352" s="610"/>
      <c r="I352" s="610"/>
      <c r="J352" s="610"/>
      <c r="K352" s="610"/>
      <c r="L352" s="610"/>
      <c r="M352" s="610"/>
      <c r="N352" s="610"/>
      <c r="O352" s="610"/>
      <c r="P352" s="610"/>
      <c r="Q352" s="610"/>
      <c r="R352" s="610"/>
      <c r="S352" s="610"/>
      <c r="T352" s="610"/>
      <c r="U352" s="610"/>
      <c r="V352" s="610"/>
      <c r="W352" s="610"/>
      <c r="X352" s="610"/>
      <c r="Y352" s="610"/>
      <c r="Z352" s="610"/>
      <c r="AA352" s="610"/>
      <c r="AB352" s="610"/>
      <c r="AC352" s="610"/>
      <c r="AD352" s="610"/>
      <c r="AG352" s="610"/>
      <c r="AH352" s="610"/>
    </row>
    <row r="353">
      <c r="B353" s="610"/>
      <c r="C353" s="610"/>
      <c r="D353" s="610"/>
      <c r="E353" s="610"/>
      <c r="F353" s="610"/>
      <c r="G353" s="610"/>
      <c r="H353" s="610"/>
      <c r="I353" s="610"/>
      <c r="J353" s="610"/>
      <c r="K353" s="610"/>
      <c r="L353" s="610"/>
      <c r="M353" s="610"/>
      <c r="N353" s="610"/>
      <c r="O353" s="610"/>
      <c r="P353" s="610"/>
      <c r="Q353" s="610"/>
      <c r="R353" s="610"/>
      <c r="S353" s="610"/>
      <c r="T353" s="610"/>
      <c r="U353" s="610"/>
      <c r="V353" s="610"/>
      <c r="W353" s="610"/>
      <c r="X353" s="610"/>
      <c r="Y353" s="610"/>
      <c r="Z353" s="610"/>
      <c r="AA353" s="610"/>
      <c r="AB353" s="610"/>
      <c r="AC353" s="610"/>
      <c r="AD353" s="610"/>
      <c r="AG353" s="610"/>
      <c r="AH353" s="610"/>
    </row>
    <row r="354">
      <c r="B354" s="610"/>
      <c r="C354" s="610"/>
      <c r="D354" s="610"/>
      <c r="E354" s="610"/>
      <c r="F354" s="610"/>
      <c r="G354" s="610"/>
      <c r="H354" s="610"/>
      <c r="I354" s="610"/>
      <c r="J354" s="610"/>
      <c r="K354" s="610"/>
      <c r="L354" s="610"/>
      <c r="M354" s="610"/>
      <c r="N354" s="610"/>
      <c r="O354" s="610"/>
      <c r="P354" s="610"/>
      <c r="Q354" s="610"/>
      <c r="R354" s="610"/>
      <c r="S354" s="610"/>
      <c r="T354" s="610"/>
      <c r="U354" s="610"/>
      <c r="V354" s="610"/>
      <c r="W354" s="610"/>
      <c r="X354" s="610"/>
      <c r="Y354" s="610"/>
      <c r="Z354" s="610"/>
      <c r="AA354" s="610"/>
      <c r="AB354" s="610"/>
      <c r="AC354" s="610"/>
      <c r="AD354" s="610"/>
      <c r="AG354" s="610"/>
      <c r="AH354" s="610"/>
    </row>
    <row r="355">
      <c r="B355" s="610"/>
      <c r="C355" s="610"/>
      <c r="D355" s="610"/>
      <c r="E355" s="610"/>
      <c r="F355" s="610"/>
      <c r="G355" s="610"/>
      <c r="H355" s="610"/>
      <c r="I355" s="610"/>
      <c r="J355" s="610"/>
      <c r="K355" s="610"/>
      <c r="L355" s="610"/>
      <c r="M355" s="610"/>
      <c r="N355" s="610"/>
      <c r="O355" s="610"/>
      <c r="P355" s="610"/>
      <c r="Q355" s="610"/>
      <c r="R355" s="610"/>
      <c r="S355" s="610"/>
      <c r="T355" s="610"/>
      <c r="U355" s="610"/>
      <c r="V355" s="610"/>
      <c r="W355" s="610"/>
      <c r="X355" s="610"/>
      <c r="Y355" s="610"/>
      <c r="Z355" s="610"/>
      <c r="AA355" s="610"/>
      <c r="AB355" s="610"/>
      <c r="AC355" s="610"/>
      <c r="AD355" s="610"/>
      <c r="AG355" s="610"/>
      <c r="AH355" s="610"/>
    </row>
    <row r="356">
      <c r="B356" s="610"/>
      <c r="C356" s="610"/>
      <c r="D356" s="610"/>
      <c r="E356" s="610"/>
      <c r="F356" s="610"/>
      <c r="G356" s="610"/>
      <c r="H356" s="610"/>
      <c r="I356" s="610"/>
      <c r="J356" s="610"/>
      <c r="K356" s="610"/>
      <c r="L356" s="610"/>
      <c r="M356" s="610"/>
      <c r="N356" s="610"/>
      <c r="O356" s="610"/>
      <c r="P356" s="610"/>
      <c r="Q356" s="610"/>
      <c r="R356" s="610"/>
      <c r="S356" s="610"/>
      <c r="T356" s="610"/>
      <c r="U356" s="610"/>
      <c r="V356" s="610"/>
      <c r="W356" s="610"/>
      <c r="X356" s="610"/>
      <c r="Y356" s="610"/>
      <c r="Z356" s="610"/>
      <c r="AA356" s="610"/>
      <c r="AB356" s="610"/>
      <c r="AC356" s="610"/>
      <c r="AD356" s="610"/>
      <c r="AG356" s="610"/>
      <c r="AH356" s="610"/>
    </row>
    <row r="357">
      <c r="B357" s="610"/>
      <c r="C357" s="610"/>
      <c r="D357" s="610"/>
      <c r="E357" s="610"/>
      <c r="F357" s="610"/>
      <c r="G357" s="610"/>
      <c r="H357" s="610"/>
      <c r="I357" s="610"/>
      <c r="J357" s="610"/>
      <c r="K357" s="610"/>
      <c r="L357" s="610"/>
      <c r="M357" s="610"/>
      <c r="N357" s="610"/>
      <c r="O357" s="610"/>
      <c r="P357" s="610"/>
      <c r="Q357" s="610"/>
      <c r="R357" s="610"/>
      <c r="S357" s="610"/>
      <c r="T357" s="610"/>
      <c r="U357" s="610"/>
      <c r="V357" s="610"/>
      <c r="W357" s="610"/>
      <c r="X357" s="610"/>
      <c r="Y357" s="610"/>
      <c r="Z357" s="610"/>
      <c r="AA357" s="610"/>
      <c r="AB357" s="610"/>
      <c r="AC357" s="610"/>
      <c r="AD357" s="610"/>
      <c r="AG357" s="610"/>
      <c r="AH357" s="610"/>
    </row>
    <row r="358">
      <c r="B358" s="610"/>
      <c r="C358" s="610"/>
      <c r="D358" s="610"/>
      <c r="E358" s="610"/>
      <c r="F358" s="610"/>
      <c r="G358" s="610"/>
      <c r="H358" s="610"/>
      <c r="I358" s="610"/>
      <c r="J358" s="610"/>
      <c r="K358" s="610"/>
      <c r="L358" s="610"/>
      <c r="M358" s="610"/>
      <c r="N358" s="610"/>
      <c r="O358" s="610"/>
      <c r="P358" s="610"/>
      <c r="Q358" s="610"/>
      <c r="R358" s="610"/>
      <c r="S358" s="610"/>
      <c r="T358" s="610"/>
      <c r="U358" s="610"/>
      <c r="V358" s="610"/>
      <c r="W358" s="610"/>
      <c r="X358" s="610"/>
      <c r="Y358" s="610"/>
      <c r="Z358" s="610"/>
      <c r="AA358" s="610"/>
      <c r="AB358" s="610"/>
      <c r="AC358" s="610"/>
      <c r="AD358" s="610"/>
      <c r="AG358" s="610"/>
      <c r="AH358" s="610"/>
    </row>
    <row r="359">
      <c r="B359" s="610"/>
      <c r="C359" s="610"/>
      <c r="D359" s="610"/>
      <c r="E359" s="610"/>
      <c r="F359" s="610"/>
      <c r="G359" s="610"/>
      <c r="H359" s="610"/>
      <c r="I359" s="610"/>
      <c r="J359" s="610"/>
      <c r="K359" s="610"/>
      <c r="L359" s="610"/>
      <c r="M359" s="610"/>
      <c r="N359" s="610"/>
      <c r="O359" s="610"/>
      <c r="P359" s="610"/>
      <c r="Q359" s="610"/>
      <c r="R359" s="610"/>
      <c r="S359" s="610"/>
      <c r="T359" s="610"/>
      <c r="U359" s="610"/>
      <c r="V359" s="610"/>
      <c r="W359" s="610"/>
      <c r="X359" s="610"/>
      <c r="Y359" s="610"/>
      <c r="Z359" s="610"/>
      <c r="AA359" s="610"/>
      <c r="AB359" s="610"/>
      <c r="AC359" s="610"/>
      <c r="AD359" s="610"/>
      <c r="AG359" s="610"/>
      <c r="AH359" s="610"/>
    </row>
    <row r="360">
      <c r="B360" s="610"/>
      <c r="C360" s="610"/>
      <c r="D360" s="610"/>
      <c r="E360" s="610"/>
      <c r="F360" s="610"/>
      <c r="G360" s="610"/>
      <c r="H360" s="610"/>
      <c r="I360" s="610"/>
      <c r="J360" s="610"/>
      <c r="K360" s="610"/>
      <c r="L360" s="610"/>
      <c r="M360" s="610"/>
      <c r="N360" s="610"/>
      <c r="O360" s="610"/>
      <c r="P360" s="610"/>
      <c r="Q360" s="610"/>
      <c r="R360" s="610"/>
      <c r="S360" s="610"/>
      <c r="T360" s="610"/>
      <c r="U360" s="610"/>
      <c r="V360" s="610"/>
      <c r="W360" s="610"/>
      <c r="X360" s="610"/>
      <c r="Y360" s="610"/>
      <c r="Z360" s="610"/>
      <c r="AA360" s="610"/>
      <c r="AB360" s="610"/>
      <c r="AC360" s="610"/>
      <c r="AD360" s="610"/>
      <c r="AG360" s="610"/>
      <c r="AH360" s="610"/>
    </row>
    <row r="361">
      <c r="B361" s="610"/>
      <c r="C361" s="610"/>
      <c r="D361" s="610"/>
      <c r="E361" s="610"/>
      <c r="F361" s="610"/>
      <c r="G361" s="610"/>
      <c r="H361" s="610"/>
      <c r="I361" s="610"/>
      <c r="J361" s="610"/>
      <c r="K361" s="610"/>
      <c r="L361" s="610"/>
      <c r="M361" s="610"/>
      <c r="N361" s="610"/>
      <c r="O361" s="610"/>
      <c r="P361" s="610"/>
      <c r="Q361" s="610"/>
      <c r="R361" s="610"/>
      <c r="S361" s="610"/>
      <c r="T361" s="610"/>
      <c r="U361" s="610"/>
      <c r="V361" s="610"/>
      <c r="W361" s="610"/>
      <c r="X361" s="610"/>
      <c r="Y361" s="610"/>
      <c r="Z361" s="610"/>
      <c r="AA361" s="610"/>
      <c r="AB361" s="610"/>
      <c r="AC361" s="610"/>
      <c r="AD361" s="610"/>
      <c r="AG361" s="610"/>
      <c r="AH361" s="610"/>
    </row>
    <row r="362">
      <c r="B362" s="610"/>
      <c r="C362" s="610"/>
      <c r="D362" s="610"/>
      <c r="E362" s="610"/>
      <c r="F362" s="610"/>
      <c r="G362" s="610"/>
      <c r="H362" s="610"/>
      <c r="I362" s="610"/>
      <c r="J362" s="610"/>
      <c r="K362" s="610"/>
      <c r="L362" s="610"/>
      <c r="M362" s="610"/>
      <c r="N362" s="610"/>
      <c r="O362" s="610"/>
      <c r="P362" s="610"/>
      <c r="Q362" s="610"/>
      <c r="R362" s="610"/>
      <c r="S362" s="610"/>
      <c r="T362" s="610"/>
      <c r="U362" s="610"/>
      <c r="V362" s="610"/>
      <c r="W362" s="610"/>
      <c r="X362" s="610"/>
      <c r="Y362" s="610"/>
      <c r="Z362" s="610"/>
      <c r="AA362" s="610"/>
      <c r="AB362" s="610"/>
      <c r="AC362" s="610"/>
      <c r="AD362" s="610"/>
      <c r="AG362" s="610"/>
      <c r="AH362" s="610"/>
    </row>
    <row r="363">
      <c r="B363" s="610"/>
      <c r="C363" s="610"/>
      <c r="D363" s="610"/>
      <c r="E363" s="610"/>
      <c r="F363" s="610"/>
      <c r="G363" s="610"/>
      <c r="H363" s="610"/>
      <c r="I363" s="610"/>
      <c r="J363" s="610"/>
      <c r="K363" s="610"/>
      <c r="L363" s="610"/>
      <c r="M363" s="610"/>
      <c r="N363" s="610"/>
      <c r="O363" s="610"/>
      <c r="P363" s="610"/>
      <c r="Q363" s="610"/>
      <c r="R363" s="610"/>
      <c r="S363" s="610"/>
      <c r="T363" s="610"/>
      <c r="U363" s="610"/>
      <c r="V363" s="610"/>
      <c r="W363" s="610"/>
      <c r="X363" s="610"/>
      <c r="Y363" s="610"/>
      <c r="Z363" s="610"/>
      <c r="AA363" s="610"/>
      <c r="AB363" s="610"/>
      <c r="AC363" s="610"/>
      <c r="AD363" s="610"/>
      <c r="AG363" s="610"/>
      <c r="AH363" s="610"/>
    </row>
    <row r="364">
      <c r="B364" s="610"/>
      <c r="C364" s="610"/>
      <c r="D364" s="610"/>
      <c r="E364" s="610"/>
      <c r="F364" s="610"/>
      <c r="G364" s="610"/>
      <c r="H364" s="610"/>
      <c r="I364" s="610"/>
      <c r="J364" s="610"/>
      <c r="K364" s="610"/>
      <c r="L364" s="610"/>
      <c r="M364" s="610"/>
      <c r="N364" s="610"/>
      <c r="O364" s="610"/>
      <c r="P364" s="610"/>
      <c r="Q364" s="610"/>
      <c r="R364" s="610"/>
      <c r="S364" s="610"/>
      <c r="T364" s="610"/>
      <c r="U364" s="610"/>
      <c r="V364" s="610"/>
      <c r="W364" s="610"/>
      <c r="X364" s="610"/>
      <c r="Y364" s="610"/>
      <c r="Z364" s="610"/>
      <c r="AA364" s="610"/>
      <c r="AB364" s="610"/>
      <c r="AC364" s="610"/>
      <c r="AD364" s="610"/>
      <c r="AG364" s="610"/>
      <c r="AH364" s="610"/>
    </row>
    <row r="365">
      <c r="B365" s="610"/>
      <c r="C365" s="610"/>
      <c r="D365" s="610"/>
      <c r="E365" s="610"/>
      <c r="F365" s="610"/>
      <c r="G365" s="610"/>
      <c r="H365" s="610"/>
      <c r="I365" s="610"/>
      <c r="J365" s="610"/>
      <c r="K365" s="610"/>
      <c r="L365" s="610"/>
      <c r="M365" s="610"/>
      <c r="N365" s="610"/>
      <c r="O365" s="610"/>
      <c r="P365" s="610"/>
      <c r="Q365" s="610"/>
      <c r="R365" s="610"/>
      <c r="S365" s="610"/>
      <c r="T365" s="610"/>
      <c r="U365" s="610"/>
      <c r="V365" s="610"/>
      <c r="W365" s="610"/>
      <c r="X365" s="610"/>
      <c r="Y365" s="610"/>
      <c r="Z365" s="610"/>
      <c r="AA365" s="610"/>
      <c r="AB365" s="610"/>
      <c r="AC365" s="610"/>
      <c r="AD365" s="610"/>
      <c r="AG365" s="610"/>
      <c r="AH365" s="610"/>
    </row>
    <row r="366">
      <c r="B366" s="610"/>
      <c r="C366" s="610"/>
      <c r="D366" s="610"/>
      <c r="E366" s="610"/>
      <c r="F366" s="610"/>
      <c r="G366" s="610"/>
      <c r="H366" s="610"/>
      <c r="I366" s="610"/>
      <c r="J366" s="610"/>
      <c r="K366" s="610"/>
      <c r="L366" s="610"/>
      <c r="M366" s="610"/>
      <c r="N366" s="610"/>
      <c r="O366" s="610"/>
      <c r="P366" s="610"/>
      <c r="Q366" s="610"/>
      <c r="R366" s="610"/>
      <c r="S366" s="610"/>
      <c r="T366" s="610"/>
      <c r="U366" s="610"/>
      <c r="V366" s="610"/>
      <c r="W366" s="610"/>
      <c r="X366" s="610"/>
      <c r="Y366" s="610"/>
      <c r="Z366" s="610"/>
      <c r="AA366" s="610"/>
      <c r="AB366" s="610"/>
      <c r="AC366" s="610"/>
      <c r="AD366" s="610"/>
      <c r="AG366" s="610"/>
      <c r="AH366" s="610"/>
    </row>
    <row r="367">
      <c r="B367" s="610"/>
      <c r="C367" s="610"/>
      <c r="D367" s="610"/>
      <c r="E367" s="610"/>
      <c r="F367" s="610"/>
      <c r="G367" s="610"/>
      <c r="H367" s="610"/>
      <c r="I367" s="610"/>
      <c r="J367" s="610"/>
      <c r="K367" s="610"/>
      <c r="L367" s="610"/>
      <c r="M367" s="610"/>
      <c r="N367" s="610"/>
      <c r="O367" s="610"/>
      <c r="P367" s="610"/>
      <c r="Q367" s="610"/>
      <c r="R367" s="610"/>
      <c r="S367" s="610"/>
      <c r="T367" s="610"/>
      <c r="U367" s="610"/>
      <c r="V367" s="610"/>
      <c r="W367" s="610"/>
      <c r="X367" s="610"/>
      <c r="Y367" s="610"/>
      <c r="Z367" s="610"/>
      <c r="AA367" s="610"/>
      <c r="AB367" s="610"/>
      <c r="AC367" s="610"/>
      <c r="AD367" s="610"/>
      <c r="AG367" s="610"/>
      <c r="AH367" s="610"/>
    </row>
    <row r="368">
      <c r="B368" s="610"/>
      <c r="C368" s="610"/>
      <c r="D368" s="610"/>
      <c r="E368" s="610"/>
      <c r="F368" s="610"/>
      <c r="G368" s="610"/>
      <c r="H368" s="610"/>
      <c r="I368" s="610"/>
      <c r="J368" s="610"/>
      <c r="K368" s="610"/>
      <c r="L368" s="610"/>
      <c r="M368" s="610"/>
      <c r="N368" s="610"/>
      <c r="O368" s="610"/>
      <c r="P368" s="610"/>
      <c r="Q368" s="610"/>
      <c r="R368" s="610"/>
      <c r="S368" s="610"/>
      <c r="T368" s="610"/>
      <c r="U368" s="610"/>
      <c r="V368" s="610"/>
      <c r="W368" s="610"/>
      <c r="X368" s="610"/>
      <c r="Y368" s="610"/>
      <c r="Z368" s="610"/>
      <c r="AA368" s="610"/>
      <c r="AB368" s="610"/>
      <c r="AC368" s="610"/>
      <c r="AD368" s="610"/>
      <c r="AG368" s="610"/>
      <c r="AH368" s="610"/>
    </row>
    <row r="369">
      <c r="B369" s="610"/>
      <c r="C369" s="610"/>
      <c r="D369" s="610"/>
      <c r="E369" s="610"/>
      <c r="F369" s="610"/>
      <c r="G369" s="610"/>
      <c r="H369" s="610"/>
      <c r="I369" s="610"/>
      <c r="J369" s="610"/>
      <c r="K369" s="610"/>
      <c r="L369" s="610"/>
      <c r="M369" s="610"/>
      <c r="N369" s="610"/>
      <c r="O369" s="610"/>
      <c r="P369" s="610"/>
      <c r="Q369" s="610"/>
      <c r="R369" s="610"/>
      <c r="S369" s="610"/>
      <c r="T369" s="610"/>
      <c r="U369" s="610"/>
      <c r="V369" s="610"/>
      <c r="W369" s="610"/>
      <c r="X369" s="610"/>
      <c r="Y369" s="610"/>
      <c r="Z369" s="610"/>
      <c r="AA369" s="610"/>
      <c r="AB369" s="610"/>
      <c r="AC369" s="610"/>
      <c r="AD369" s="610"/>
      <c r="AG369" s="610"/>
      <c r="AH369" s="610"/>
    </row>
    <row r="370">
      <c r="B370" s="610"/>
      <c r="C370" s="610"/>
      <c r="D370" s="610"/>
      <c r="E370" s="610"/>
      <c r="F370" s="610"/>
      <c r="G370" s="610"/>
      <c r="H370" s="610"/>
      <c r="I370" s="610"/>
      <c r="J370" s="610"/>
      <c r="K370" s="610"/>
      <c r="L370" s="610"/>
      <c r="M370" s="610"/>
      <c r="N370" s="610"/>
      <c r="O370" s="610"/>
      <c r="P370" s="610"/>
      <c r="Q370" s="610"/>
      <c r="R370" s="610"/>
      <c r="S370" s="610"/>
      <c r="T370" s="610"/>
      <c r="U370" s="610"/>
      <c r="V370" s="610"/>
      <c r="W370" s="610"/>
      <c r="X370" s="610"/>
      <c r="Y370" s="610"/>
      <c r="Z370" s="610"/>
      <c r="AA370" s="610"/>
      <c r="AB370" s="610"/>
      <c r="AC370" s="610"/>
      <c r="AD370" s="610"/>
      <c r="AG370" s="610"/>
      <c r="AH370" s="610"/>
    </row>
    <row r="371">
      <c r="B371" s="610"/>
      <c r="C371" s="610"/>
      <c r="D371" s="610"/>
      <c r="E371" s="610"/>
      <c r="F371" s="610"/>
      <c r="G371" s="610"/>
      <c r="H371" s="610"/>
      <c r="I371" s="610"/>
      <c r="J371" s="610"/>
      <c r="K371" s="610"/>
      <c r="L371" s="610"/>
      <c r="M371" s="610"/>
      <c r="N371" s="610"/>
      <c r="O371" s="610"/>
      <c r="P371" s="610"/>
      <c r="Q371" s="610"/>
      <c r="R371" s="610"/>
      <c r="S371" s="610"/>
      <c r="T371" s="610"/>
      <c r="U371" s="610"/>
      <c r="V371" s="610"/>
      <c r="W371" s="610"/>
      <c r="X371" s="610"/>
      <c r="Y371" s="610"/>
      <c r="Z371" s="610"/>
      <c r="AA371" s="610"/>
      <c r="AB371" s="610"/>
      <c r="AC371" s="610"/>
      <c r="AD371" s="610"/>
      <c r="AG371" s="610"/>
      <c r="AH371" s="610"/>
    </row>
    <row r="372">
      <c r="B372" s="610"/>
      <c r="C372" s="610"/>
      <c r="D372" s="610"/>
      <c r="E372" s="610"/>
      <c r="F372" s="610"/>
      <c r="G372" s="610"/>
      <c r="H372" s="610"/>
      <c r="I372" s="610"/>
      <c r="J372" s="610"/>
      <c r="K372" s="610"/>
      <c r="L372" s="610"/>
      <c r="M372" s="610"/>
      <c r="N372" s="610"/>
      <c r="O372" s="610"/>
      <c r="P372" s="610"/>
      <c r="Q372" s="610"/>
      <c r="R372" s="610"/>
      <c r="S372" s="610"/>
      <c r="T372" s="610"/>
      <c r="U372" s="610"/>
      <c r="V372" s="610"/>
      <c r="W372" s="610"/>
      <c r="X372" s="610"/>
      <c r="Y372" s="610"/>
      <c r="Z372" s="610"/>
      <c r="AA372" s="610"/>
      <c r="AB372" s="610"/>
      <c r="AC372" s="610"/>
      <c r="AD372" s="610"/>
      <c r="AG372" s="610"/>
      <c r="AH372" s="610"/>
    </row>
    <row r="373">
      <c r="B373" s="610"/>
      <c r="C373" s="610"/>
      <c r="D373" s="610"/>
      <c r="E373" s="610"/>
      <c r="F373" s="610"/>
      <c r="G373" s="610"/>
      <c r="H373" s="610"/>
      <c r="I373" s="610"/>
      <c r="J373" s="610"/>
      <c r="K373" s="610"/>
      <c r="L373" s="610"/>
      <c r="M373" s="610"/>
      <c r="N373" s="610"/>
      <c r="O373" s="610"/>
      <c r="P373" s="610"/>
      <c r="Q373" s="610"/>
      <c r="R373" s="610"/>
      <c r="S373" s="610"/>
      <c r="T373" s="610"/>
      <c r="U373" s="610"/>
      <c r="V373" s="610"/>
      <c r="W373" s="610"/>
      <c r="X373" s="610"/>
      <c r="Y373" s="610"/>
      <c r="Z373" s="610"/>
      <c r="AA373" s="610"/>
      <c r="AB373" s="610"/>
      <c r="AC373" s="610"/>
      <c r="AD373" s="610"/>
      <c r="AG373" s="610"/>
      <c r="AH373" s="610"/>
    </row>
    <row r="374">
      <c r="B374" s="610"/>
      <c r="C374" s="610"/>
      <c r="D374" s="610"/>
      <c r="E374" s="610"/>
      <c r="F374" s="610"/>
      <c r="G374" s="610"/>
      <c r="H374" s="610"/>
      <c r="I374" s="610"/>
      <c r="J374" s="610"/>
      <c r="K374" s="610"/>
      <c r="L374" s="610"/>
      <c r="M374" s="610"/>
      <c r="N374" s="610"/>
      <c r="O374" s="610"/>
      <c r="P374" s="610"/>
      <c r="Q374" s="610"/>
      <c r="R374" s="610"/>
      <c r="S374" s="610"/>
      <c r="T374" s="610"/>
      <c r="U374" s="610"/>
      <c r="V374" s="610"/>
      <c r="W374" s="610"/>
      <c r="X374" s="610"/>
      <c r="Y374" s="610"/>
      <c r="Z374" s="610"/>
      <c r="AA374" s="610"/>
      <c r="AB374" s="610"/>
      <c r="AC374" s="610"/>
      <c r="AD374" s="610"/>
      <c r="AG374" s="610"/>
      <c r="AH374" s="610"/>
    </row>
    <row r="375">
      <c r="B375" s="610"/>
      <c r="C375" s="610"/>
      <c r="D375" s="610"/>
      <c r="E375" s="610"/>
      <c r="F375" s="610"/>
      <c r="G375" s="610"/>
      <c r="H375" s="610"/>
      <c r="I375" s="610"/>
      <c r="J375" s="610"/>
      <c r="K375" s="610"/>
      <c r="L375" s="610"/>
      <c r="M375" s="610"/>
      <c r="N375" s="610"/>
      <c r="O375" s="610"/>
      <c r="P375" s="610"/>
      <c r="Q375" s="610"/>
      <c r="R375" s="610"/>
      <c r="S375" s="610"/>
      <c r="T375" s="610"/>
      <c r="U375" s="610"/>
      <c r="V375" s="610"/>
      <c r="W375" s="610"/>
      <c r="X375" s="610"/>
      <c r="Y375" s="610"/>
      <c r="Z375" s="610"/>
      <c r="AA375" s="610"/>
      <c r="AB375" s="610"/>
      <c r="AC375" s="610"/>
      <c r="AD375" s="610"/>
      <c r="AG375" s="610"/>
      <c r="AH375" s="610"/>
    </row>
    <row r="376">
      <c r="B376" s="610"/>
      <c r="C376" s="610"/>
      <c r="D376" s="610"/>
      <c r="E376" s="610"/>
      <c r="F376" s="610"/>
      <c r="G376" s="610"/>
      <c r="H376" s="610"/>
      <c r="I376" s="610"/>
      <c r="J376" s="610"/>
      <c r="K376" s="610"/>
      <c r="L376" s="610"/>
      <c r="M376" s="610"/>
      <c r="N376" s="610"/>
      <c r="O376" s="610"/>
      <c r="P376" s="610"/>
      <c r="Q376" s="610"/>
      <c r="R376" s="610"/>
      <c r="S376" s="610"/>
      <c r="T376" s="610"/>
      <c r="U376" s="610"/>
      <c r="V376" s="610"/>
      <c r="W376" s="610"/>
      <c r="X376" s="610"/>
      <c r="Y376" s="610"/>
      <c r="Z376" s="610"/>
      <c r="AA376" s="610"/>
      <c r="AB376" s="610"/>
      <c r="AC376" s="610"/>
      <c r="AD376" s="610"/>
      <c r="AG376" s="610"/>
      <c r="AH376" s="610"/>
    </row>
    <row r="377">
      <c r="B377" s="610"/>
      <c r="C377" s="610"/>
      <c r="D377" s="610"/>
      <c r="E377" s="610"/>
      <c r="F377" s="610"/>
      <c r="G377" s="610"/>
      <c r="H377" s="610"/>
      <c r="I377" s="610"/>
      <c r="J377" s="610"/>
      <c r="K377" s="610"/>
      <c r="L377" s="610"/>
      <c r="M377" s="610"/>
      <c r="N377" s="610"/>
      <c r="O377" s="610"/>
      <c r="P377" s="610"/>
      <c r="Q377" s="610"/>
      <c r="R377" s="610"/>
      <c r="S377" s="610"/>
      <c r="T377" s="610"/>
      <c r="U377" s="610"/>
      <c r="V377" s="610"/>
      <c r="W377" s="610"/>
      <c r="X377" s="610"/>
      <c r="Y377" s="610"/>
      <c r="Z377" s="610"/>
      <c r="AA377" s="610"/>
      <c r="AB377" s="610"/>
      <c r="AC377" s="610"/>
      <c r="AD377" s="610"/>
      <c r="AG377" s="610"/>
      <c r="AH377" s="610"/>
    </row>
    <row r="378">
      <c r="B378" s="610"/>
      <c r="C378" s="610"/>
      <c r="D378" s="610"/>
      <c r="E378" s="610"/>
      <c r="F378" s="610"/>
      <c r="G378" s="610"/>
      <c r="H378" s="610"/>
      <c r="I378" s="610"/>
      <c r="J378" s="610"/>
      <c r="K378" s="610"/>
      <c r="L378" s="610"/>
      <c r="M378" s="610"/>
      <c r="N378" s="610"/>
      <c r="O378" s="610"/>
      <c r="P378" s="610"/>
      <c r="Q378" s="610"/>
      <c r="R378" s="610"/>
      <c r="S378" s="610"/>
      <c r="T378" s="610"/>
      <c r="U378" s="610"/>
      <c r="V378" s="610"/>
      <c r="W378" s="610"/>
      <c r="X378" s="610"/>
      <c r="Y378" s="610"/>
      <c r="Z378" s="610"/>
      <c r="AA378" s="610"/>
      <c r="AB378" s="610"/>
      <c r="AC378" s="610"/>
      <c r="AD378" s="610"/>
      <c r="AG378" s="610"/>
      <c r="AH378" s="610"/>
    </row>
    <row r="379">
      <c r="B379" s="610"/>
      <c r="C379" s="610"/>
      <c r="D379" s="610"/>
      <c r="E379" s="610"/>
      <c r="F379" s="610"/>
      <c r="G379" s="610"/>
      <c r="H379" s="610"/>
      <c r="I379" s="610"/>
      <c r="J379" s="610"/>
      <c r="K379" s="610"/>
      <c r="L379" s="610"/>
      <c r="M379" s="610"/>
      <c r="N379" s="610"/>
      <c r="O379" s="610"/>
      <c r="P379" s="610"/>
      <c r="Q379" s="610"/>
      <c r="R379" s="610"/>
      <c r="S379" s="610"/>
      <c r="T379" s="610"/>
      <c r="U379" s="610"/>
      <c r="V379" s="610"/>
      <c r="W379" s="610"/>
      <c r="X379" s="610"/>
      <c r="Y379" s="610"/>
      <c r="Z379" s="610"/>
      <c r="AA379" s="610"/>
      <c r="AB379" s="610"/>
      <c r="AC379" s="610"/>
      <c r="AD379" s="610"/>
      <c r="AG379" s="610"/>
      <c r="AH379" s="610"/>
    </row>
    <row r="380">
      <c r="B380" s="610"/>
      <c r="C380" s="610"/>
      <c r="D380" s="610"/>
      <c r="E380" s="610"/>
      <c r="F380" s="610"/>
      <c r="G380" s="610"/>
      <c r="H380" s="610"/>
      <c r="I380" s="610"/>
      <c r="J380" s="610"/>
      <c r="K380" s="610"/>
      <c r="L380" s="610"/>
      <c r="M380" s="610"/>
      <c r="N380" s="610"/>
      <c r="O380" s="610"/>
      <c r="P380" s="610"/>
      <c r="Q380" s="610"/>
      <c r="R380" s="610"/>
      <c r="S380" s="610"/>
      <c r="T380" s="610"/>
      <c r="U380" s="610"/>
      <c r="V380" s="610"/>
      <c r="W380" s="610"/>
      <c r="X380" s="610"/>
      <c r="Y380" s="610"/>
      <c r="Z380" s="610"/>
      <c r="AA380" s="610"/>
      <c r="AB380" s="610"/>
      <c r="AC380" s="610"/>
      <c r="AD380" s="610"/>
      <c r="AG380" s="610"/>
      <c r="AH380" s="610"/>
    </row>
    <row r="381">
      <c r="B381" s="610"/>
      <c r="C381" s="610"/>
      <c r="D381" s="610"/>
      <c r="E381" s="610"/>
      <c r="F381" s="610"/>
      <c r="G381" s="610"/>
      <c r="H381" s="610"/>
      <c r="I381" s="610"/>
      <c r="J381" s="610"/>
      <c r="K381" s="610"/>
      <c r="L381" s="610"/>
      <c r="M381" s="610"/>
      <c r="N381" s="610"/>
      <c r="O381" s="610"/>
      <c r="P381" s="610"/>
      <c r="Q381" s="610"/>
      <c r="R381" s="610"/>
      <c r="S381" s="610"/>
      <c r="T381" s="610"/>
      <c r="U381" s="610"/>
      <c r="V381" s="610"/>
      <c r="W381" s="610"/>
      <c r="X381" s="610"/>
      <c r="Y381" s="610"/>
      <c r="Z381" s="610"/>
      <c r="AA381" s="610"/>
      <c r="AB381" s="610"/>
      <c r="AC381" s="610"/>
      <c r="AD381" s="610"/>
      <c r="AG381" s="610"/>
      <c r="AH381" s="610"/>
    </row>
    <row r="382">
      <c r="B382" s="610"/>
      <c r="C382" s="610"/>
      <c r="D382" s="610"/>
      <c r="E382" s="610"/>
      <c r="F382" s="610"/>
      <c r="G382" s="610"/>
      <c r="H382" s="610"/>
      <c r="I382" s="610"/>
      <c r="J382" s="610"/>
      <c r="K382" s="610"/>
      <c r="L382" s="610"/>
      <c r="M382" s="610"/>
      <c r="N382" s="610"/>
      <c r="O382" s="610"/>
      <c r="P382" s="610"/>
      <c r="Q382" s="610"/>
      <c r="R382" s="610"/>
      <c r="S382" s="610"/>
      <c r="T382" s="610"/>
      <c r="U382" s="610"/>
      <c r="V382" s="610"/>
      <c r="W382" s="610"/>
      <c r="X382" s="610"/>
      <c r="Y382" s="610"/>
      <c r="Z382" s="610"/>
      <c r="AA382" s="610"/>
      <c r="AB382" s="610"/>
      <c r="AC382" s="610"/>
      <c r="AD382" s="610"/>
      <c r="AG382" s="610"/>
      <c r="AH382" s="610"/>
    </row>
    <row r="383">
      <c r="B383" s="610"/>
      <c r="C383" s="610"/>
      <c r="D383" s="610"/>
      <c r="E383" s="610"/>
      <c r="F383" s="610"/>
      <c r="G383" s="610"/>
      <c r="H383" s="610"/>
      <c r="I383" s="610"/>
      <c r="J383" s="610"/>
      <c r="K383" s="610"/>
      <c r="L383" s="610"/>
      <c r="M383" s="610"/>
      <c r="N383" s="610"/>
      <c r="O383" s="610"/>
      <c r="P383" s="610"/>
      <c r="Q383" s="610"/>
      <c r="R383" s="610"/>
      <c r="S383" s="610"/>
      <c r="T383" s="610"/>
      <c r="U383" s="610"/>
      <c r="V383" s="610"/>
      <c r="W383" s="610"/>
      <c r="X383" s="610"/>
      <c r="Y383" s="610"/>
      <c r="Z383" s="610"/>
      <c r="AA383" s="610"/>
      <c r="AB383" s="610"/>
      <c r="AC383" s="610"/>
      <c r="AD383" s="610"/>
      <c r="AG383" s="610"/>
      <c r="AH383" s="610"/>
    </row>
    <row r="384">
      <c r="B384" s="610"/>
      <c r="C384" s="610"/>
      <c r="D384" s="610"/>
      <c r="E384" s="610"/>
      <c r="F384" s="610"/>
      <c r="G384" s="610"/>
      <c r="H384" s="610"/>
      <c r="I384" s="610"/>
      <c r="J384" s="610"/>
      <c r="K384" s="610"/>
      <c r="L384" s="610"/>
      <c r="M384" s="610"/>
      <c r="N384" s="610"/>
      <c r="O384" s="610"/>
      <c r="P384" s="610"/>
      <c r="Q384" s="610"/>
      <c r="R384" s="610"/>
      <c r="S384" s="610"/>
      <c r="T384" s="610"/>
      <c r="U384" s="610"/>
      <c r="V384" s="610"/>
      <c r="W384" s="610"/>
      <c r="X384" s="610"/>
      <c r="Y384" s="610"/>
      <c r="Z384" s="610"/>
      <c r="AA384" s="610"/>
      <c r="AB384" s="610"/>
      <c r="AC384" s="610"/>
      <c r="AD384" s="610"/>
      <c r="AG384" s="610"/>
      <c r="AH384" s="610"/>
    </row>
    <row r="385">
      <c r="B385" s="610"/>
      <c r="C385" s="610"/>
      <c r="D385" s="610"/>
      <c r="E385" s="610"/>
      <c r="F385" s="610"/>
      <c r="G385" s="610"/>
      <c r="H385" s="610"/>
      <c r="I385" s="610"/>
      <c r="J385" s="610"/>
      <c r="K385" s="610"/>
      <c r="L385" s="610"/>
      <c r="M385" s="610"/>
      <c r="N385" s="610"/>
      <c r="O385" s="610"/>
      <c r="P385" s="610"/>
      <c r="Q385" s="610"/>
      <c r="R385" s="610"/>
      <c r="S385" s="610"/>
      <c r="T385" s="610"/>
      <c r="U385" s="610"/>
      <c r="V385" s="610"/>
      <c r="W385" s="610"/>
      <c r="X385" s="610"/>
      <c r="Y385" s="610"/>
      <c r="Z385" s="610"/>
      <c r="AA385" s="610"/>
      <c r="AB385" s="610"/>
      <c r="AC385" s="610"/>
      <c r="AD385" s="610"/>
      <c r="AG385" s="610"/>
      <c r="AH385" s="610"/>
    </row>
    <row r="386">
      <c r="B386" s="610"/>
      <c r="C386" s="610"/>
      <c r="D386" s="610"/>
      <c r="E386" s="610"/>
      <c r="F386" s="610"/>
      <c r="G386" s="610"/>
      <c r="H386" s="610"/>
      <c r="I386" s="610"/>
      <c r="J386" s="610"/>
      <c r="K386" s="610"/>
      <c r="L386" s="610"/>
      <c r="M386" s="610"/>
      <c r="N386" s="610"/>
      <c r="O386" s="610"/>
      <c r="P386" s="610"/>
      <c r="Q386" s="610"/>
      <c r="R386" s="610"/>
      <c r="S386" s="610"/>
      <c r="T386" s="610"/>
      <c r="U386" s="610"/>
      <c r="V386" s="610"/>
      <c r="W386" s="610"/>
      <c r="X386" s="610"/>
      <c r="Y386" s="610"/>
      <c r="Z386" s="610"/>
      <c r="AA386" s="610"/>
      <c r="AB386" s="610"/>
      <c r="AC386" s="610"/>
      <c r="AD386" s="610"/>
      <c r="AG386" s="610"/>
      <c r="AH386" s="610"/>
    </row>
    <row r="387">
      <c r="B387" s="610"/>
      <c r="C387" s="610"/>
      <c r="D387" s="610"/>
      <c r="E387" s="610"/>
      <c r="F387" s="610"/>
      <c r="G387" s="610"/>
      <c r="H387" s="610"/>
      <c r="I387" s="610"/>
      <c r="J387" s="610"/>
      <c r="K387" s="610"/>
      <c r="L387" s="610"/>
      <c r="M387" s="610"/>
      <c r="N387" s="610"/>
      <c r="O387" s="610"/>
      <c r="P387" s="610"/>
      <c r="Q387" s="610"/>
      <c r="R387" s="610"/>
      <c r="S387" s="610"/>
      <c r="T387" s="610"/>
      <c r="U387" s="610"/>
      <c r="V387" s="610"/>
      <c r="W387" s="610"/>
      <c r="X387" s="610"/>
      <c r="Y387" s="610"/>
      <c r="Z387" s="610"/>
      <c r="AA387" s="610"/>
      <c r="AB387" s="610"/>
      <c r="AC387" s="610"/>
      <c r="AD387" s="610"/>
      <c r="AG387" s="610"/>
      <c r="AH387" s="610"/>
    </row>
    <row r="388">
      <c r="B388" s="610"/>
      <c r="C388" s="610"/>
      <c r="D388" s="610"/>
      <c r="E388" s="610"/>
      <c r="F388" s="610"/>
      <c r="G388" s="610"/>
      <c r="H388" s="610"/>
      <c r="I388" s="610"/>
      <c r="J388" s="610"/>
      <c r="K388" s="610"/>
      <c r="L388" s="610"/>
      <c r="M388" s="610"/>
      <c r="N388" s="610"/>
      <c r="O388" s="610"/>
      <c r="P388" s="610"/>
      <c r="Q388" s="610"/>
      <c r="R388" s="610"/>
      <c r="S388" s="610"/>
      <c r="T388" s="610"/>
      <c r="U388" s="610"/>
      <c r="V388" s="610"/>
      <c r="W388" s="610"/>
      <c r="X388" s="610"/>
      <c r="Y388" s="610"/>
      <c r="Z388" s="610"/>
      <c r="AA388" s="610"/>
      <c r="AB388" s="610"/>
      <c r="AC388" s="610"/>
      <c r="AD388" s="610"/>
      <c r="AG388" s="610"/>
      <c r="AH388" s="610"/>
    </row>
    <row r="389">
      <c r="B389" s="610"/>
      <c r="C389" s="610"/>
      <c r="D389" s="610"/>
      <c r="E389" s="610"/>
      <c r="F389" s="610"/>
      <c r="G389" s="610"/>
      <c r="H389" s="610"/>
      <c r="I389" s="610"/>
      <c r="J389" s="610"/>
      <c r="K389" s="610"/>
      <c r="L389" s="610"/>
      <c r="M389" s="610"/>
      <c r="N389" s="610"/>
      <c r="O389" s="610"/>
      <c r="P389" s="610"/>
      <c r="Q389" s="610"/>
      <c r="R389" s="610"/>
      <c r="S389" s="610"/>
      <c r="T389" s="610"/>
      <c r="U389" s="610"/>
      <c r="V389" s="610"/>
      <c r="W389" s="610"/>
      <c r="X389" s="610"/>
      <c r="Y389" s="610"/>
      <c r="Z389" s="610"/>
      <c r="AA389" s="610"/>
      <c r="AB389" s="610"/>
      <c r="AC389" s="610"/>
      <c r="AD389" s="610"/>
      <c r="AG389" s="610"/>
      <c r="AH389" s="610"/>
    </row>
    <row r="390">
      <c r="B390" s="610"/>
      <c r="C390" s="610"/>
      <c r="D390" s="610"/>
      <c r="E390" s="610"/>
      <c r="F390" s="610"/>
      <c r="G390" s="610"/>
      <c r="H390" s="610"/>
      <c r="I390" s="610"/>
      <c r="J390" s="610"/>
      <c r="K390" s="610"/>
      <c r="L390" s="610"/>
      <c r="M390" s="610"/>
      <c r="N390" s="610"/>
      <c r="O390" s="610"/>
      <c r="P390" s="610"/>
      <c r="Q390" s="610"/>
      <c r="R390" s="610"/>
      <c r="S390" s="610"/>
      <c r="T390" s="610"/>
      <c r="U390" s="610"/>
      <c r="V390" s="610"/>
      <c r="W390" s="610"/>
      <c r="X390" s="610"/>
      <c r="Y390" s="610"/>
      <c r="Z390" s="610"/>
      <c r="AA390" s="610"/>
      <c r="AB390" s="610"/>
      <c r="AC390" s="610"/>
      <c r="AD390" s="610"/>
      <c r="AG390" s="610"/>
      <c r="AH390" s="610"/>
    </row>
    <row r="391">
      <c r="B391" s="610"/>
      <c r="C391" s="610"/>
      <c r="D391" s="610"/>
      <c r="E391" s="610"/>
      <c r="F391" s="610"/>
      <c r="G391" s="610"/>
      <c r="H391" s="610"/>
      <c r="I391" s="610"/>
      <c r="J391" s="610"/>
      <c r="K391" s="610"/>
      <c r="L391" s="610"/>
      <c r="M391" s="610"/>
      <c r="N391" s="610"/>
      <c r="O391" s="610"/>
      <c r="P391" s="610"/>
      <c r="Q391" s="610"/>
      <c r="R391" s="610"/>
      <c r="S391" s="610"/>
      <c r="T391" s="610"/>
      <c r="U391" s="610"/>
      <c r="V391" s="610"/>
      <c r="W391" s="610"/>
      <c r="X391" s="610"/>
      <c r="Y391" s="610"/>
      <c r="Z391" s="610"/>
      <c r="AA391" s="610"/>
      <c r="AB391" s="610"/>
      <c r="AC391" s="610"/>
      <c r="AD391" s="610"/>
      <c r="AG391" s="610"/>
      <c r="AH391" s="610"/>
    </row>
    <row r="392">
      <c r="B392" s="610"/>
      <c r="C392" s="610"/>
      <c r="D392" s="610"/>
      <c r="E392" s="610"/>
      <c r="F392" s="610"/>
      <c r="G392" s="610"/>
      <c r="H392" s="610"/>
      <c r="I392" s="610"/>
      <c r="J392" s="610"/>
      <c r="K392" s="610"/>
      <c r="L392" s="610"/>
      <c r="M392" s="610"/>
      <c r="N392" s="610"/>
      <c r="O392" s="610"/>
      <c r="P392" s="610"/>
      <c r="Q392" s="610"/>
      <c r="R392" s="610"/>
      <c r="S392" s="610"/>
      <c r="T392" s="610"/>
      <c r="U392" s="610"/>
      <c r="V392" s="610"/>
      <c r="W392" s="610"/>
      <c r="X392" s="610"/>
      <c r="Y392" s="610"/>
      <c r="Z392" s="610"/>
      <c r="AA392" s="610"/>
      <c r="AB392" s="610"/>
      <c r="AC392" s="610"/>
      <c r="AD392" s="610"/>
      <c r="AG392" s="610"/>
      <c r="AH392" s="610"/>
    </row>
    <row r="393">
      <c r="B393" s="610"/>
      <c r="C393" s="610"/>
      <c r="D393" s="610"/>
      <c r="E393" s="610"/>
      <c r="F393" s="610"/>
      <c r="G393" s="610"/>
      <c r="H393" s="610"/>
      <c r="I393" s="610"/>
      <c r="J393" s="610"/>
      <c r="K393" s="610"/>
      <c r="L393" s="610"/>
      <c r="M393" s="610"/>
      <c r="N393" s="610"/>
      <c r="O393" s="610"/>
      <c r="P393" s="610"/>
      <c r="Q393" s="610"/>
      <c r="R393" s="610"/>
      <c r="S393" s="610"/>
      <c r="T393" s="610"/>
      <c r="U393" s="610"/>
      <c r="V393" s="610"/>
      <c r="W393" s="610"/>
      <c r="X393" s="610"/>
      <c r="Y393" s="610"/>
      <c r="Z393" s="610"/>
      <c r="AA393" s="610"/>
      <c r="AB393" s="610"/>
      <c r="AC393" s="610"/>
      <c r="AD393" s="610"/>
      <c r="AG393" s="610"/>
      <c r="AH393" s="610"/>
    </row>
    <row r="394">
      <c r="B394" s="610"/>
      <c r="C394" s="610"/>
      <c r="D394" s="610"/>
      <c r="E394" s="610"/>
      <c r="F394" s="610"/>
      <c r="G394" s="610"/>
      <c r="H394" s="610"/>
      <c r="I394" s="610"/>
      <c r="J394" s="610"/>
      <c r="K394" s="610"/>
      <c r="L394" s="610"/>
      <c r="M394" s="610"/>
      <c r="N394" s="610"/>
      <c r="O394" s="610"/>
      <c r="P394" s="610"/>
      <c r="Q394" s="610"/>
      <c r="R394" s="610"/>
      <c r="S394" s="610"/>
      <c r="T394" s="610"/>
      <c r="U394" s="610"/>
      <c r="V394" s="610"/>
      <c r="W394" s="610"/>
      <c r="X394" s="610"/>
      <c r="Y394" s="610"/>
      <c r="Z394" s="610"/>
      <c r="AA394" s="610"/>
      <c r="AB394" s="610"/>
      <c r="AC394" s="610"/>
      <c r="AD394" s="610"/>
      <c r="AG394" s="610"/>
      <c r="AH394" s="610"/>
    </row>
    <row r="395">
      <c r="B395" s="610"/>
      <c r="C395" s="610"/>
      <c r="D395" s="610"/>
      <c r="E395" s="610"/>
      <c r="F395" s="610"/>
      <c r="G395" s="610"/>
      <c r="H395" s="610"/>
      <c r="I395" s="610"/>
      <c r="J395" s="610"/>
      <c r="K395" s="610"/>
      <c r="L395" s="610"/>
      <c r="M395" s="610"/>
      <c r="N395" s="610"/>
      <c r="O395" s="610"/>
      <c r="P395" s="610"/>
      <c r="Q395" s="610"/>
      <c r="R395" s="610"/>
      <c r="S395" s="610"/>
      <c r="T395" s="610"/>
      <c r="U395" s="610"/>
      <c r="V395" s="610"/>
      <c r="W395" s="610"/>
      <c r="X395" s="610"/>
      <c r="Y395" s="610"/>
      <c r="Z395" s="610"/>
      <c r="AA395" s="610"/>
      <c r="AB395" s="610"/>
      <c r="AC395" s="610"/>
      <c r="AD395" s="610"/>
      <c r="AG395" s="610"/>
      <c r="AH395" s="610"/>
    </row>
    <row r="396">
      <c r="B396" s="610"/>
      <c r="C396" s="610"/>
      <c r="D396" s="610"/>
      <c r="E396" s="610"/>
      <c r="F396" s="610"/>
      <c r="G396" s="610"/>
      <c r="H396" s="610"/>
      <c r="I396" s="610"/>
      <c r="J396" s="610"/>
      <c r="K396" s="610"/>
      <c r="L396" s="610"/>
      <c r="M396" s="610"/>
      <c r="N396" s="610"/>
      <c r="O396" s="610"/>
      <c r="P396" s="610"/>
      <c r="Q396" s="610"/>
      <c r="R396" s="610"/>
      <c r="S396" s="610"/>
      <c r="T396" s="610"/>
      <c r="U396" s="610"/>
      <c r="V396" s="610"/>
      <c r="W396" s="610"/>
      <c r="X396" s="610"/>
      <c r="Y396" s="610"/>
      <c r="Z396" s="610"/>
      <c r="AA396" s="610"/>
      <c r="AB396" s="610"/>
      <c r="AC396" s="610"/>
      <c r="AD396" s="610"/>
      <c r="AG396" s="610"/>
      <c r="AH396" s="610"/>
    </row>
    <row r="397">
      <c r="B397" s="610"/>
      <c r="C397" s="610"/>
      <c r="D397" s="610"/>
      <c r="E397" s="610"/>
      <c r="F397" s="610"/>
      <c r="G397" s="610"/>
      <c r="H397" s="610"/>
      <c r="I397" s="610"/>
      <c r="J397" s="610"/>
      <c r="K397" s="610"/>
      <c r="L397" s="610"/>
      <c r="M397" s="610"/>
      <c r="N397" s="610"/>
      <c r="O397" s="610"/>
      <c r="P397" s="610"/>
      <c r="Q397" s="610"/>
      <c r="R397" s="610"/>
      <c r="S397" s="610"/>
      <c r="T397" s="610"/>
      <c r="U397" s="610"/>
      <c r="V397" s="610"/>
      <c r="W397" s="610"/>
      <c r="X397" s="610"/>
      <c r="Y397" s="610"/>
      <c r="Z397" s="610"/>
      <c r="AA397" s="610"/>
      <c r="AB397" s="610"/>
      <c r="AC397" s="610"/>
      <c r="AD397" s="610"/>
      <c r="AG397" s="610"/>
      <c r="AH397" s="610"/>
    </row>
    <row r="398">
      <c r="B398" s="610"/>
      <c r="C398" s="610"/>
      <c r="D398" s="610"/>
      <c r="E398" s="610"/>
      <c r="F398" s="610"/>
      <c r="G398" s="610"/>
      <c r="H398" s="610"/>
      <c r="I398" s="610"/>
      <c r="J398" s="610"/>
      <c r="K398" s="610"/>
      <c r="L398" s="610"/>
      <c r="M398" s="610"/>
      <c r="N398" s="610"/>
      <c r="O398" s="610"/>
      <c r="P398" s="610"/>
      <c r="Q398" s="610"/>
      <c r="R398" s="610"/>
      <c r="S398" s="610"/>
      <c r="T398" s="610"/>
      <c r="U398" s="610"/>
      <c r="V398" s="610"/>
      <c r="W398" s="610"/>
      <c r="X398" s="610"/>
      <c r="Y398" s="610"/>
      <c r="Z398" s="610"/>
      <c r="AA398" s="610"/>
      <c r="AB398" s="610"/>
      <c r="AC398" s="610"/>
      <c r="AD398" s="610"/>
      <c r="AG398" s="610"/>
      <c r="AH398" s="610"/>
    </row>
    <row r="399">
      <c r="B399" s="610"/>
      <c r="C399" s="610"/>
      <c r="D399" s="610"/>
      <c r="E399" s="610"/>
      <c r="F399" s="610"/>
      <c r="G399" s="610"/>
      <c r="H399" s="610"/>
      <c r="I399" s="610"/>
      <c r="J399" s="610"/>
      <c r="K399" s="610"/>
      <c r="L399" s="610"/>
      <c r="M399" s="610"/>
      <c r="N399" s="610"/>
      <c r="O399" s="610"/>
      <c r="P399" s="610"/>
      <c r="Q399" s="610"/>
      <c r="R399" s="610"/>
      <c r="S399" s="610"/>
      <c r="T399" s="610"/>
      <c r="U399" s="610"/>
      <c r="V399" s="610"/>
      <c r="W399" s="610"/>
      <c r="X399" s="610"/>
      <c r="Y399" s="610"/>
      <c r="Z399" s="610"/>
      <c r="AA399" s="610"/>
      <c r="AB399" s="610"/>
      <c r="AC399" s="610"/>
      <c r="AD399" s="610"/>
      <c r="AG399" s="610"/>
      <c r="AH399" s="610"/>
    </row>
    <row r="400">
      <c r="B400" s="610"/>
      <c r="C400" s="610"/>
      <c r="D400" s="610"/>
      <c r="E400" s="610"/>
      <c r="F400" s="610"/>
      <c r="G400" s="610"/>
      <c r="H400" s="610"/>
      <c r="I400" s="610"/>
      <c r="J400" s="610"/>
      <c r="K400" s="610"/>
      <c r="L400" s="610"/>
      <c r="M400" s="610"/>
      <c r="N400" s="610"/>
      <c r="O400" s="610"/>
      <c r="P400" s="610"/>
      <c r="Q400" s="610"/>
      <c r="R400" s="610"/>
      <c r="S400" s="610"/>
      <c r="T400" s="610"/>
      <c r="U400" s="610"/>
      <c r="V400" s="610"/>
      <c r="W400" s="610"/>
      <c r="X400" s="610"/>
      <c r="Y400" s="610"/>
      <c r="Z400" s="610"/>
      <c r="AA400" s="610"/>
      <c r="AB400" s="610"/>
      <c r="AC400" s="610"/>
      <c r="AD400" s="610"/>
      <c r="AG400" s="610"/>
      <c r="AH400" s="610"/>
    </row>
    <row r="401">
      <c r="B401" s="610"/>
      <c r="C401" s="610"/>
      <c r="D401" s="610"/>
      <c r="E401" s="610"/>
      <c r="F401" s="610"/>
      <c r="G401" s="610"/>
      <c r="H401" s="610"/>
      <c r="I401" s="610"/>
      <c r="J401" s="610"/>
      <c r="K401" s="610"/>
      <c r="L401" s="610"/>
      <c r="M401" s="610"/>
      <c r="N401" s="610"/>
      <c r="O401" s="610"/>
      <c r="P401" s="610"/>
      <c r="Q401" s="610"/>
      <c r="R401" s="610"/>
      <c r="S401" s="610"/>
      <c r="T401" s="610"/>
      <c r="U401" s="610"/>
      <c r="V401" s="610"/>
      <c r="W401" s="610"/>
      <c r="X401" s="610"/>
      <c r="Y401" s="610"/>
      <c r="Z401" s="610"/>
      <c r="AA401" s="610"/>
      <c r="AB401" s="610"/>
      <c r="AC401" s="610"/>
      <c r="AD401" s="610"/>
      <c r="AG401" s="610"/>
      <c r="AH401" s="610"/>
    </row>
    <row r="402">
      <c r="B402" s="610"/>
      <c r="C402" s="610"/>
      <c r="D402" s="610"/>
      <c r="E402" s="610"/>
      <c r="F402" s="610"/>
      <c r="G402" s="610"/>
      <c r="H402" s="610"/>
      <c r="I402" s="610"/>
      <c r="J402" s="610"/>
      <c r="K402" s="610"/>
      <c r="L402" s="610"/>
      <c r="M402" s="610"/>
      <c r="N402" s="610"/>
      <c r="O402" s="610"/>
      <c r="P402" s="610"/>
      <c r="Q402" s="610"/>
      <c r="R402" s="610"/>
      <c r="S402" s="610"/>
      <c r="T402" s="610"/>
      <c r="U402" s="610"/>
      <c r="V402" s="610"/>
      <c r="W402" s="610"/>
      <c r="X402" s="610"/>
      <c r="Y402" s="610"/>
      <c r="Z402" s="610"/>
      <c r="AA402" s="610"/>
      <c r="AB402" s="610"/>
      <c r="AC402" s="610"/>
      <c r="AD402" s="610"/>
      <c r="AG402" s="610"/>
      <c r="AH402" s="610"/>
    </row>
    <row r="403">
      <c r="B403" s="610"/>
      <c r="C403" s="610"/>
      <c r="D403" s="610"/>
      <c r="E403" s="610"/>
      <c r="F403" s="610"/>
      <c r="G403" s="610"/>
      <c r="H403" s="610"/>
      <c r="I403" s="610"/>
      <c r="J403" s="610"/>
      <c r="K403" s="610"/>
      <c r="L403" s="610"/>
      <c r="M403" s="610"/>
      <c r="N403" s="610"/>
      <c r="O403" s="610"/>
      <c r="P403" s="610"/>
      <c r="Q403" s="610"/>
      <c r="R403" s="610"/>
      <c r="S403" s="610"/>
      <c r="T403" s="610"/>
      <c r="U403" s="610"/>
      <c r="V403" s="610"/>
      <c r="W403" s="610"/>
      <c r="X403" s="610"/>
      <c r="Y403" s="610"/>
      <c r="Z403" s="610"/>
      <c r="AA403" s="610"/>
      <c r="AB403" s="610"/>
      <c r="AC403" s="610"/>
      <c r="AD403" s="610"/>
      <c r="AG403" s="610"/>
      <c r="AH403" s="610"/>
    </row>
    <row r="404">
      <c r="B404" s="610"/>
      <c r="C404" s="610"/>
      <c r="D404" s="610"/>
      <c r="E404" s="610"/>
      <c r="F404" s="610"/>
      <c r="G404" s="610"/>
      <c r="H404" s="610"/>
      <c r="I404" s="610"/>
      <c r="J404" s="610"/>
      <c r="K404" s="610"/>
      <c r="L404" s="610"/>
      <c r="M404" s="610"/>
      <c r="N404" s="610"/>
      <c r="O404" s="610"/>
      <c r="P404" s="610"/>
      <c r="Q404" s="610"/>
      <c r="R404" s="610"/>
      <c r="S404" s="610"/>
      <c r="T404" s="610"/>
      <c r="U404" s="610"/>
      <c r="V404" s="610"/>
      <c r="W404" s="610"/>
      <c r="X404" s="610"/>
      <c r="Y404" s="610"/>
      <c r="Z404" s="610"/>
      <c r="AA404" s="610"/>
      <c r="AB404" s="610"/>
      <c r="AC404" s="610"/>
      <c r="AD404" s="610"/>
      <c r="AG404" s="610"/>
      <c r="AH404" s="610"/>
    </row>
    <row r="405">
      <c r="B405" s="610"/>
      <c r="C405" s="610"/>
      <c r="D405" s="610"/>
      <c r="E405" s="610"/>
      <c r="F405" s="610"/>
      <c r="G405" s="610"/>
      <c r="H405" s="610"/>
      <c r="I405" s="610"/>
      <c r="J405" s="610"/>
      <c r="K405" s="610"/>
      <c r="L405" s="610"/>
      <c r="M405" s="610"/>
      <c r="N405" s="610"/>
      <c r="O405" s="610"/>
      <c r="P405" s="610"/>
      <c r="Q405" s="610"/>
      <c r="R405" s="610"/>
      <c r="S405" s="610"/>
      <c r="T405" s="610"/>
      <c r="U405" s="610"/>
      <c r="V405" s="610"/>
      <c r="W405" s="610"/>
      <c r="X405" s="610"/>
      <c r="Y405" s="610"/>
      <c r="Z405" s="610"/>
      <c r="AA405" s="610"/>
      <c r="AB405" s="610"/>
      <c r="AC405" s="610"/>
      <c r="AD405" s="610"/>
      <c r="AG405" s="610"/>
      <c r="AH405" s="610"/>
    </row>
    <row r="406">
      <c r="B406" s="610"/>
      <c r="C406" s="610"/>
      <c r="D406" s="610"/>
      <c r="E406" s="610"/>
      <c r="F406" s="610"/>
      <c r="G406" s="610"/>
      <c r="H406" s="610"/>
      <c r="I406" s="610"/>
      <c r="J406" s="610"/>
      <c r="K406" s="610"/>
      <c r="L406" s="610"/>
      <c r="M406" s="610"/>
      <c r="N406" s="610"/>
      <c r="O406" s="610"/>
      <c r="P406" s="610"/>
      <c r="Q406" s="610"/>
      <c r="R406" s="610"/>
      <c r="S406" s="610"/>
      <c r="T406" s="610"/>
      <c r="U406" s="610"/>
      <c r="V406" s="610"/>
      <c r="W406" s="610"/>
      <c r="X406" s="610"/>
      <c r="Y406" s="610"/>
      <c r="Z406" s="610"/>
      <c r="AA406" s="610"/>
      <c r="AB406" s="610"/>
      <c r="AC406" s="610"/>
      <c r="AD406" s="610"/>
      <c r="AG406" s="610"/>
      <c r="AH406" s="610"/>
    </row>
    <row r="407">
      <c r="B407" s="610"/>
      <c r="C407" s="610"/>
      <c r="D407" s="610"/>
      <c r="E407" s="610"/>
      <c r="F407" s="610"/>
      <c r="G407" s="610"/>
      <c r="H407" s="610"/>
      <c r="I407" s="610"/>
      <c r="J407" s="610"/>
      <c r="K407" s="610"/>
      <c r="L407" s="610"/>
      <c r="M407" s="610"/>
      <c r="N407" s="610"/>
      <c r="O407" s="610"/>
      <c r="P407" s="610"/>
      <c r="Q407" s="610"/>
      <c r="R407" s="610"/>
      <c r="S407" s="610"/>
      <c r="T407" s="610"/>
      <c r="U407" s="610"/>
      <c r="V407" s="610"/>
      <c r="W407" s="610"/>
      <c r="X407" s="610"/>
      <c r="Y407" s="610"/>
      <c r="Z407" s="610"/>
      <c r="AA407" s="610"/>
      <c r="AB407" s="610"/>
      <c r="AC407" s="610"/>
      <c r="AD407" s="610"/>
      <c r="AG407" s="610"/>
      <c r="AH407" s="610"/>
    </row>
    <row r="408">
      <c r="B408" s="610"/>
      <c r="C408" s="610"/>
      <c r="D408" s="610"/>
      <c r="E408" s="610"/>
      <c r="F408" s="610"/>
      <c r="G408" s="610"/>
      <c r="H408" s="610"/>
      <c r="I408" s="610"/>
      <c r="J408" s="610"/>
      <c r="K408" s="610"/>
      <c r="L408" s="610"/>
      <c r="M408" s="610"/>
      <c r="N408" s="610"/>
      <c r="O408" s="610"/>
      <c r="P408" s="610"/>
      <c r="Q408" s="610"/>
      <c r="R408" s="610"/>
      <c r="S408" s="610"/>
      <c r="T408" s="610"/>
      <c r="U408" s="610"/>
      <c r="V408" s="610"/>
      <c r="W408" s="610"/>
      <c r="X408" s="610"/>
      <c r="Y408" s="610"/>
      <c r="Z408" s="610"/>
      <c r="AA408" s="610"/>
      <c r="AB408" s="610"/>
      <c r="AC408" s="610"/>
      <c r="AD408" s="610"/>
      <c r="AG408" s="610"/>
      <c r="AH408" s="610"/>
    </row>
    <row r="409">
      <c r="B409" s="610"/>
      <c r="C409" s="610"/>
      <c r="D409" s="610"/>
      <c r="E409" s="610"/>
      <c r="F409" s="610"/>
      <c r="G409" s="610"/>
      <c r="H409" s="610"/>
      <c r="I409" s="610"/>
      <c r="J409" s="610"/>
      <c r="K409" s="610"/>
      <c r="L409" s="610"/>
      <c r="M409" s="610"/>
      <c r="N409" s="610"/>
      <c r="O409" s="610"/>
      <c r="P409" s="610"/>
      <c r="Q409" s="610"/>
      <c r="R409" s="610"/>
      <c r="S409" s="610"/>
      <c r="T409" s="610"/>
      <c r="U409" s="610"/>
      <c r="V409" s="610"/>
      <c r="W409" s="610"/>
      <c r="X409" s="610"/>
      <c r="Y409" s="610"/>
      <c r="Z409" s="610"/>
      <c r="AA409" s="610"/>
      <c r="AB409" s="610"/>
      <c r="AC409" s="610"/>
      <c r="AD409" s="610"/>
      <c r="AG409" s="610"/>
      <c r="AH409" s="610"/>
    </row>
    <row r="410">
      <c r="B410" s="610"/>
      <c r="C410" s="610"/>
      <c r="D410" s="610"/>
      <c r="E410" s="610"/>
      <c r="F410" s="610"/>
      <c r="G410" s="610"/>
      <c r="H410" s="610"/>
      <c r="I410" s="610"/>
      <c r="J410" s="610"/>
      <c r="K410" s="610"/>
      <c r="L410" s="610"/>
      <c r="M410" s="610"/>
      <c r="N410" s="610"/>
      <c r="O410" s="610"/>
      <c r="P410" s="610"/>
      <c r="Q410" s="610"/>
      <c r="R410" s="610"/>
      <c r="S410" s="610"/>
      <c r="T410" s="610"/>
      <c r="U410" s="610"/>
      <c r="V410" s="610"/>
      <c r="W410" s="610"/>
      <c r="X410" s="610"/>
      <c r="Y410" s="610"/>
      <c r="Z410" s="610"/>
      <c r="AA410" s="610"/>
      <c r="AB410" s="610"/>
      <c r="AC410" s="610"/>
      <c r="AD410" s="610"/>
      <c r="AG410" s="610"/>
      <c r="AH410" s="610"/>
    </row>
    <row r="411">
      <c r="B411" s="610"/>
      <c r="C411" s="610"/>
      <c r="D411" s="610"/>
      <c r="E411" s="610"/>
      <c r="F411" s="610"/>
      <c r="G411" s="610"/>
      <c r="H411" s="610"/>
      <c r="I411" s="610"/>
      <c r="J411" s="610"/>
      <c r="K411" s="610"/>
      <c r="L411" s="610"/>
      <c r="M411" s="610"/>
      <c r="N411" s="610"/>
      <c r="O411" s="610"/>
      <c r="P411" s="610"/>
      <c r="Q411" s="610"/>
      <c r="R411" s="610"/>
      <c r="S411" s="610"/>
      <c r="T411" s="610"/>
      <c r="U411" s="610"/>
      <c r="V411" s="610"/>
      <c r="W411" s="610"/>
      <c r="X411" s="610"/>
      <c r="Y411" s="610"/>
      <c r="Z411" s="610"/>
      <c r="AA411" s="610"/>
      <c r="AB411" s="610"/>
      <c r="AC411" s="610"/>
      <c r="AD411" s="610"/>
      <c r="AG411" s="610"/>
      <c r="AH411" s="610"/>
    </row>
    <row r="412">
      <c r="B412" s="610"/>
      <c r="C412" s="610"/>
      <c r="D412" s="610"/>
      <c r="E412" s="610"/>
      <c r="F412" s="610"/>
      <c r="G412" s="610"/>
      <c r="H412" s="610"/>
      <c r="I412" s="610"/>
      <c r="J412" s="610"/>
      <c r="K412" s="610"/>
      <c r="L412" s="610"/>
      <c r="M412" s="610"/>
      <c r="N412" s="610"/>
      <c r="O412" s="610"/>
      <c r="P412" s="610"/>
      <c r="Q412" s="610"/>
      <c r="R412" s="610"/>
      <c r="S412" s="610"/>
      <c r="T412" s="610"/>
      <c r="U412" s="610"/>
      <c r="V412" s="610"/>
      <c r="W412" s="610"/>
      <c r="X412" s="610"/>
      <c r="Y412" s="610"/>
      <c r="Z412" s="610"/>
      <c r="AA412" s="610"/>
      <c r="AB412" s="610"/>
      <c r="AC412" s="610"/>
      <c r="AD412" s="610"/>
      <c r="AG412" s="610"/>
      <c r="AH412" s="610"/>
    </row>
    <row r="413">
      <c r="B413" s="610"/>
      <c r="C413" s="610"/>
      <c r="D413" s="610"/>
      <c r="E413" s="610"/>
      <c r="F413" s="610"/>
      <c r="G413" s="610"/>
      <c r="H413" s="610"/>
      <c r="I413" s="610"/>
      <c r="J413" s="610"/>
      <c r="K413" s="610"/>
      <c r="L413" s="610"/>
      <c r="M413" s="610"/>
      <c r="N413" s="610"/>
      <c r="O413" s="610"/>
      <c r="P413" s="610"/>
      <c r="Q413" s="610"/>
      <c r="R413" s="610"/>
      <c r="S413" s="610"/>
      <c r="T413" s="610"/>
      <c r="U413" s="610"/>
      <c r="V413" s="610"/>
      <c r="W413" s="610"/>
      <c r="X413" s="610"/>
      <c r="Y413" s="610"/>
      <c r="Z413" s="610"/>
      <c r="AA413" s="610"/>
      <c r="AB413" s="610"/>
      <c r="AC413" s="610"/>
      <c r="AD413" s="610"/>
      <c r="AG413" s="610"/>
      <c r="AH413" s="610"/>
    </row>
    <row r="414">
      <c r="B414" s="610"/>
      <c r="C414" s="610"/>
      <c r="D414" s="610"/>
      <c r="E414" s="610"/>
      <c r="F414" s="610"/>
      <c r="G414" s="610"/>
      <c r="H414" s="610"/>
      <c r="I414" s="610"/>
      <c r="J414" s="610"/>
      <c r="K414" s="610"/>
      <c r="L414" s="610"/>
      <c r="M414" s="610"/>
      <c r="N414" s="610"/>
      <c r="O414" s="610"/>
      <c r="P414" s="610"/>
      <c r="Q414" s="610"/>
      <c r="R414" s="610"/>
      <c r="S414" s="610"/>
      <c r="T414" s="610"/>
      <c r="U414" s="610"/>
      <c r="V414" s="610"/>
      <c r="W414" s="610"/>
      <c r="X414" s="610"/>
      <c r="Y414" s="610"/>
      <c r="Z414" s="610"/>
      <c r="AA414" s="610"/>
      <c r="AB414" s="610"/>
      <c r="AC414" s="610"/>
      <c r="AD414" s="610"/>
      <c r="AG414" s="610"/>
      <c r="AH414" s="610"/>
    </row>
    <row r="415">
      <c r="B415" s="610"/>
      <c r="C415" s="610"/>
      <c r="D415" s="610"/>
      <c r="E415" s="610"/>
      <c r="F415" s="610"/>
      <c r="G415" s="610"/>
      <c r="H415" s="610"/>
      <c r="I415" s="610"/>
      <c r="J415" s="610"/>
      <c r="K415" s="610"/>
      <c r="L415" s="610"/>
      <c r="M415" s="610"/>
      <c r="N415" s="610"/>
      <c r="O415" s="610"/>
      <c r="P415" s="610"/>
      <c r="Q415" s="610"/>
      <c r="R415" s="610"/>
      <c r="S415" s="610"/>
      <c r="T415" s="610"/>
      <c r="U415" s="610"/>
      <c r="V415" s="610"/>
      <c r="W415" s="610"/>
      <c r="X415" s="610"/>
      <c r="Y415" s="610"/>
      <c r="Z415" s="610"/>
      <c r="AA415" s="610"/>
      <c r="AB415" s="610"/>
      <c r="AC415" s="610"/>
      <c r="AD415" s="610"/>
      <c r="AG415" s="610"/>
      <c r="AH415" s="610"/>
    </row>
    <row r="416">
      <c r="B416" s="610"/>
      <c r="C416" s="610"/>
      <c r="D416" s="610"/>
      <c r="E416" s="610"/>
      <c r="F416" s="610"/>
      <c r="G416" s="610"/>
      <c r="H416" s="610"/>
      <c r="I416" s="610"/>
      <c r="J416" s="610"/>
      <c r="K416" s="610"/>
      <c r="L416" s="610"/>
      <c r="M416" s="610"/>
      <c r="N416" s="610"/>
      <c r="O416" s="610"/>
      <c r="P416" s="610"/>
      <c r="Q416" s="610"/>
      <c r="R416" s="610"/>
      <c r="S416" s="610"/>
      <c r="T416" s="610"/>
      <c r="U416" s="610"/>
      <c r="V416" s="610"/>
      <c r="W416" s="610"/>
      <c r="X416" s="610"/>
      <c r="Y416" s="610"/>
      <c r="Z416" s="610"/>
      <c r="AA416" s="610"/>
      <c r="AB416" s="610"/>
      <c r="AC416" s="610"/>
      <c r="AD416" s="610"/>
      <c r="AG416" s="610"/>
      <c r="AH416" s="610"/>
    </row>
    <row r="417">
      <c r="B417" s="610"/>
      <c r="C417" s="610"/>
      <c r="D417" s="610"/>
      <c r="E417" s="610"/>
      <c r="F417" s="610"/>
      <c r="G417" s="610"/>
      <c r="H417" s="610"/>
      <c r="I417" s="610"/>
      <c r="J417" s="610"/>
      <c r="K417" s="610"/>
      <c r="L417" s="610"/>
      <c r="M417" s="610"/>
      <c r="N417" s="610"/>
      <c r="O417" s="610"/>
      <c r="P417" s="610"/>
      <c r="Q417" s="610"/>
      <c r="R417" s="610"/>
      <c r="S417" s="610"/>
      <c r="T417" s="610"/>
      <c r="U417" s="610"/>
      <c r="V417" s="610"/>
      <c r="W417" s="610"/>
      <c r="X417" s="610"/>
      <c r="Y417" s="610"/>
      <c r="Z417" s="610"/>
      <c r="AA417" s="610"/>
      <c r="AB417" s="610"/>
      <c r="AC417" s="610"/>
      <c r="AD417" s="610"/>
      <c r="AG417" s="610"/>
      <c r="AH417" s="610"/>
    </row>
    <row r="418">
      <c r="B418" s="610"/>
      <c r="C418" s="610"/>
      <c r="D418" s="610"/>
      <c r="E418" s="610"/>
      <c r="F418" s="610"/>
      <c r="G418" s="610"/>
      <c r="H418" s="610"/>
      <c r="I418" s="610"/>
      <c r="J418" s="610"/>
      <c r="K418" s="610"/>
      <c r="L418" s="610"/>
      <c r="M418" s="610"/>
      <c r="N418" s="610"/>
      <c r="O418" s="610"/>
      <c r="P418" s="610"/>
      <c r="Q418" s="610"/>
      <c r="R418" s="610"/>
      <c r="S418" s="610"/>
      <c r="T418" s="610"/>
      <c r="U418" s="610"/>
      <c r="V418" s="610"/>
      <c r="W418" s="610"/>
      <c r="X418" s="610"/>
      <c r="Y418" s="610"/>
      <c r="Z418" s="610"/>
      <c r="AA418" s="610"/>
      <c r="AB418" s="610"/>
      <c r="AC418" s="610"/>
      <c r="AD418" s="610"/>
      <c r="AG418" s="610"/>
      <c r="AH418" s="610"/>
    </row>
    <row r="419">
      <c r="B419" s="610"/>
      <c r="C419" s="610"/>
      <c r="D419" s="610"/>
      <c r="E419" s="610"/>
      <c r="F419" s="610"/>
      <c r="G419" s="610"/>
      <c r="H419" s="610"/>
      <c r="I419" s="610"/>
      <c r="J419" s="610"/>
      <c r="K419" s="610"/>
      <c r="L419" s="610"/>
      <c r="M419" s="610"/>
      <c r="N419" s="610"/>
      <c r="O419" s="610"/>
      <c r="P419" s="610"/>
      <c r="Q419" s="610"/>
      <c r="R419" s="610"/>
      <c r="S419" s="610"/>
      <c r="T419" s="610"/>
      <c r="U419" s="610"/>
      <c r="V419" s="610"/>
      <c r="W419" s="610"/>
      <c r="X419" s="610"/>
      <c r="Y419" s="610"/>
      <c r="Z419" s="610"/>
      <c r="AA419" s="610"/>
      <c r="AB419" s="610"/>
      <c r="AC419" s="610"/>
      <c r="AD419" s="610"/>
      <c r="AG419" s="610"/>
      <c r="AH419" s="610"/>
    </row>
    <row r="420">
      <c r="B420" s="610"/>
      <c r="C420" s="610"/>
      <c r="D420" s="610"/>
      <c r="E420" s="610"/>
      <c r="F420" s="610"/>
      <c r="G420" s="610"/>
      <c r="H420" s="610"/>
      <c r="I420" s="610"/>
      <c r="J420" s="610"/>
      <c r="K420" s="610"/>
      <c r="L420" s="610"/>
      <c r="M420" s="610"/>
      <c r="N420" s="610"/>
      <c r="O420" s="610"/>
      <c r="P420" s="610"/>
      <c r="Q420" s="610"/>
      <c r="R420" s="610"/>
      <c r="S420" s="610"/>
      <c r="T420" s="610"/>
      <c r="U420" s="610"/>
      <c r="V420" s="610"/>
      <c r="W420" s="610"/>
      <c r="X420" s="610"/>
      <c r="Y420" s="610"/>
      <c r="Z420" s="610"/>
      <c r="AA420" s="610"/>
      <c r="AB420" s="610"/>
      <c r="AC420" s="610"/>
      <c r="AD420" s="610"/>
      <c r="AG420" s="610"/>
      <c r="AH420" s="610"/>
    </row>
    <row r="421">
      <c r="B421" s="610"/>
      <c r="C421" s="610"/>
      <c r="D421" s="610"/>
      <c r="E421" s="610"/>
      <c r="F421" s="610"/>
      <c r="G421" s="610"/>
      <c r="H421" s="610"/>
      <c r="I421" s="610"/>
      <c r="J421" s="610"/>
      <c r="K421" s="610"/>
      <c r="L421" s="610"/>
      <c r="M421" s="610"/>
      <c r="N421" s="610"/>
      <c r="O421" s="610"/>
      <c r="P421" s="610"/>
      <c r="Q421" s="610"/>
      <c r="R421" s="610"/>
      <c r="S421" s="610"/>
      <c r="T421" s="610"/>
      <c r="U421" s="610"/>
      <c r="V421" s="610"/>
      <c r="W421" s="610"/>
      <c r="X421" s="610"/>
      <c r="Y421" s="610"/>
      <c r="Z421" s="610"/>
      <c r="AA421" s="610"/>
      <c r="AB421" s="610"/>
      <c r="AC421" s="610"/>
      <c r="AD421" s="610"/>
      <c r="AG421" s="610"/>
      <c r="AH421" s="610"/>
    </row>
    <row r="422">
      <c r="B422" s="610"/>
      <c r="C422" s="610"/>
      <c r="D422" s="610"/>
      <c r="E422" s="610"/>
      <c r="F422" s="610"/>
      <c r="G422" s="610"/>
      <c r="H422" s="610"/>
      <c r="I422" s="610"/>
      <c r="J422" s="610"/>
      <c r="K422" s="610"/>
      <c r="L422" s="610"/>
      <c r="M422" s="610"/>
      <c r="N422" s="610"/>
      <c r="O422" s="610"/>
      <c r="P422" s="610"/>
      <c r="Q422" s="610"/>
      <c r="R422" s="610"/>
      <c r="S422" s="610"/>
      <c r="T422" s="610"/>
      <c r="U422" s="610"/>
      <c r="V422" s="610"/>
      <c r="W422" s="610"/>
      <c r="X422" s="610"/>
      <c r="Y422" s="610"/>
      <c r="Z422" s="610"/>
      <c r="AA422" s="610"/>
      <c r="AB422" s="610"/>
      <c r="AC422" s="610"/>
      <c r="AD422" s="610"/>
      <c r="AG422" s="610"/>
      <c r="AH422" s="610"/>
    </row>
    <row r="423">
      <c r="B423" s="610"/>
      <c r="C423" s="610"/>
      <c r="D423" s="610"/>
      <c r="E423" s="610"/>
      <c r="F423" s="610"/>
      <c r="G423" s="610"/>
      <c r="H423" s="610"/>
      <c r="I423" s="610"/>
      <c r="J423" s="610"/>
      <c r="K423" s="610"/>
      <c r="L423" s="610"/>
      <c r="M423" s="610"/>
      <c r="N423" s="610"/>
      <c r="O423" s="610"/>
      <c r="P423" s="610"/>
      <c r="Q423" s="610"/>
      <c r="R423" s="610"/>
      <c r="S423" s="610"/>
      <c r="T423" s="610"/>
      <c r="U423" s="610"/>
      <c r="V423" s="610"/>
      <c r="W423" s="610"/>
      <c r="X423" s="610"/>
      <c r="Y423" s="610"/>
      <c r="Z423" s="610"/>
      <c r="AA423" s="610"/>
      <c r="AB423" s="610"/>
      <c r="AC423" s="610"/>
      <c r="AD423" s="610"/>
      <c r="AG423" s="610"/>
      <c r="AH423" s="610"/>
    </row>
    <row r="424">
      <c r="B424" s="610"/>
      <c r="C424" s="610"/>
      <c r="D424" s="610"/>
      <c r="E424" s="610"/>
      <c r="F424" s="610"/>
      <c r="G424" s="610"/>
      <c r="H424" s="610"/>
      <c r="I424" s="610"/>
      <c r="J424" s="610"/>
      <c r="K424" s="610"/>
      <c r="L424" s="610"/>
      <c r="M424" s="610"/>
      <c r="N424" s="610"/>
      <c r="O424" s="610"/>
      <c r="P424" s="610"/>
      <c r="Q424" s="610"/>
      <c r="R424" s="610"/>
      <c r="S424" s="610"/>
      <c r="T424" s="610"/>
      <c r="U424" s="610"/>
      <c r="V424" s="610"/>
      <c r="W424" s="610"/>
      <c r="X424" s="610"/>
      <c r="Y424" s="610"/>
      <c r="Z424" s="610"/>
      <c r="AA424" s="610"/>
      <c r="AB424" s="610"/>
      <c r="AC424" s="610"/>
      <c r="AD424" s="610"/>
      <c r="AG424" s="610"/>
      <c r="AH424" s="610"/>
    </row>
    <row r="425">
      <c r="B425" s="610"/>
      <c r="C425" s="610"/>
      <c r="D425" s="610"/>
      <c r="E425" s="610"/>
      <c r="F425" s="610"/>
      <c r="G425" s="610"/>
      <c r="H425" s="610"/>
      <c r="I425" s="610"/>
      <c r="J425" s="610"/>
      <c r="K425" s="610"/>
      <c r="L425" s="610"/>
      <c r="M425" s="610"/>
      <c r="N425" s="610"/>
      <c r="O425" s="610"/>
      <c r="P425" s="610"/>
      <c r="Q425" s="610"/>
      <c r="R425" s="610"/>
      <c r="S425" s="610"/>
      <c r="T425" s="610"/>
      <c r="U425" s="610"/>
      <c r="V425" s="610"/>
      <c r="W425" s="610"/>
      <c r="X425" s="610"/>
      <c r="Y425" s="610"/>
      <c r="Z425" s="610"/>
      <c r="AA425" s="610"/>
      <c r="AB425" s="610"/>
      <c r="AC425" s="610"/>
      <c r="AD425" s="610"/>
      <c r="AG425" s="610"/>
      <c r="AH425" s="610"/>
    </row>
    <row r="426">
      <c r="B426" s="610"/>
      <c r="C426" s="610"/>
      <c r="D426" s="610"/>
      <c r="E426" s="610"/>
      <c r="F426" s="610"/>
      <c r="G426" s="610"/>
      <c r="H426" s="610"/>
      <c r="I426" s="610"/>
      <c r="J426" s="610"/>
      <c r="K426" s="610"/>
      <c r="L426" s="610"/>
      <c r="M426" s="610"/>
      <c r="N426" s="610"/>
      <c r="O426" s="610"/>
      <c r="P426" s="610"/>
      <c r="Q426" s="610"/>
      <c r="R426" s="610"/>
      <c r="S426" s="610"/>
      <c r="T426" s="610"/>
      <c r="U426" s="610"/>
      <c r="V426" s="610"/>
      <c r="W426" s="610"/>
      <c r="X426" s="610"/>
      <c r="Y426" s="610"/>
      <c r="Z426" s="610"/>
      <c r="AA426" s="610"/>
      <c r="AB426" s="610"/>
      <c r="AC426" s="610"/>
      <c r="AD426" s="610"/>
      <c r="AG426" s="610"/>
      <c r="AH426" s="610"/>
    </row>
    <row r="427">
      <c r="B427" s="610"/>
      <c r="C427" s="610"/>
      <c r="D427" s="610"/>
      <c r="E427" s="610"/>
      <c r="F427" s="610"/>
      <c r="G427" s="610"/>
      <c r="H427" s="610"/>
      <c r="I427" s="610"/>
      <c r="J427" s="610"/>
      <c r="K427" s="610"/>
      <c r="L427" s="610"/>
      <c r="M427" s="610"/>
      <c r="N427" s="610"/>
      <c r="O427" s="610"/>
      <c r="P427" s="610"/>
      <c r="Q427" s="610"/>
      <c r="R427" s="610"/>
      <c r="S427" s="610"/>
      <c r="T427" s="610"/>
      <c r="U427" s="610"/>
      <c r="V427" s="610"/>
      <c r="W427" s="610"/>
      <c r="X427" s="610"/>
      <c r="Y427" s="610"/>
      <c r="Z427" s="610"/>
      <c r="AA427" s="610"/>
      <c r="AB427" s="610"/>
      <c r="AC427" s="610"/>
      <c r="AD427" s="610"/>
      <c r="AG427" s="610"/>
      <c r="AH427" s="610"/>
    </row>
    <row r="428">
      <c r="B428" s="610"/>
      <c r="C428" s="610"/>
      <c r="D428" s="610"/>
      <c r="E428" s="610"/>
      <c r="F428" s="610"/>
      <c r="G428" s="610"/>
      <c r="H428" s="610"/>
      <c r="I428" s="610"/>
      <c r="J428" s="610"/>
      <c r="K428" s="610"/>
      <c r="L428" s="610"/>
      <c r="M428" s="610"/>
      <c r="N428" s="610"/>
      <c r="O428" s="610"/>
      <c r="P428" s="610"/>
      <c r="Q428" s="610"/>
      <c r="R428" s="610"/>
      <c r="S428" s="610"/>
      <c r="T428" s="610"/>
      <c r="U428" s="610"/>
      <c r="V428" s="610"/>
      <c r="W428" s="610"/>
      <c r="X428" s="610"/>
      <c r="Y428" s="610"/>
      <c r="Z428" s="610"/>
      <c r="AA428" s="610"/>
      <c r="AB428" s="610"/>
      <c r="AC428" s="610"/>
      <c r="AD428" s="610"/>
      <c r="AG428" s="610"/>
      <c r="AH428" s="610"/>
    </row>
    <row r="429">
      <c r="B429" s="610"/>
      <c r="C429" s="610"/>
      <c r="D429" s="610"/>
      <c r="E429" s="610"/>
      <c r="F429" s="610"/>
      <c r="G429" s="610"/>
      <c r="H429" s="610"/>
      <c r="I429" s="610"/>
      <c r="J429" s="610"/>
      <c r="K429" s="610"/>
      <c r="L429" s="610"/>
      <c r="M429" s="610"/>
      <c r="N429" s="610"/>
      <c r="O429" s="610"/>
      <c r="P429" s="610"/>
      <c r="Q429" s="610"/>
      <c r="R429" s="610"/>
      <c r="S429" s="610"/>
      <c r="T429" s="610"/>
      <c r="U429" s="610"/>
      <c r="V429" s="610"/>
      <c r="W429" s="610"/>
      <c r="X429" s="610"/>
      <c r="Y429" s="610"/>
      <c r="Z429" s="610"/>
      <c r="AA429" s="610"/>
      <c r="AB429" s="610"/>
      <c r="AC429" s="610"/>
      <c r="AD429" s="610"/>
      <c r="AG429" s="610"/>
      <c r="AH429" s="610"/>
    </row>
    <row r="430">
      <c r="B430" s="610"/>
      <c r="C430" s="610"/>
      <c r="D430" s="610"/>
      <c r="E430" s="610"/>
      <c r="F430" s="610"/>
      <c r="G430" s="610"/>
      <c r="H430" s="610"/>
      <c r="I430" s="610"/>
      <c r="J430" s="610"/>
      <c r="K430" s="610"/>
      <c r="L430" s="610"/>
      <c r="M430" s="610"/>
      <c r="N430" s="610"/>
      <c r="O430" s="610"/>
      <c r="P430" s="610"/>
      <c r="Q430" s="610"/>
      <c r="R430" s="610"/>
      <c r="S430" s="610"/>
      <c r="T430" s="610"/>
      <c r="U430" s="610"/>
      <c r="V430" s="610"/>
      <c r="W430" s="610"/>
      <c r="X430" s="610"/>
      <c r="Y430" s="610"/>
      <c r="Z430" s="610"/>
      <c r="AA430" s="610"/>
      <c r="AB430" s="610"/>
      <c r="AC430" s="610"/>
      <c r="AD430" s="610"/>
      <c r="AG430" s="610"/>
      <c r="AH430" s="610"/>
    </row>
    <row r="431">
      <c r="B431" s="610"/>
      <c r="C431" s="610"/>
      <c r="D431" s="610"/>
      <c r="E431" s="610"/>
      <c r="F431" s="610"/>
      <c r="G431" s="610"/>
      <c r="H431" s="610"/>
      <c r="I431" s="610"/>
      <c r="J431" s="610"/>
      <c r="K431" s="610"/>
      <c r="L431" s="610"/>
      <c r="M431" s="610"/>
      <c r="N431" s="610"/>
      <c r="O431" s="610"/>
      <c r="P431" s="610"/>
      <c r="Q431" s="610"/>
      <c r="R431" s="610"/>
      <c r="S431" s="610"/>
      <c r="T431" s="610"/>
      <c r="U431" s="610"/>
      <c r="V431" s="610"/>
      <c r="W431" s="610"/>
      <c r="X431" s="610"/>
      <c r="Y431" s="610"/>
      <c r="Z431" s="610"/>
      <c r="AA431" s="610"/>
      <c r="AB431" s="610"/>
      <c r="AC431" s="610"/>
      <c r="AD431" s="610"/>
      <c r="AG431" s="610"/>
      <c r="AH431" s="610"/>
    </row>
    <row r="432">
      <c r="B432" s="610"/>
      <c r="C432" s="610"/>
      <c r="D432" s="610"/>
      <c r="E432" s="610"/>
      <c r="F432" s="610"/>
      <c r="G432" s="610"/>
      <c r="H432" s="610"/>
      <c r="I432" s="610"/>
      <c r="J432" s="610"/>
      <c r="K432" s="610"/>
      <c r="L432" s="610"/>
      <c r="M432" s="610"/>
      <c r="N432" s="610"/>
      <c r="O432" s="610"/>
      <c r="P432" s="610"/>
      <c r="Q432" s="610"/>
      <c r="R432" s="610"/>
      <c r="S432" s="610"/>
      <c r="T432" s="610"/>
      <c r="U432" s="610"/>
      <c r="V432" s="610"/>
      <c r="W432" s="610"/>
      <c r="X432" s="610"/>
      <c r="Y432" s="610"/>
      <c r="Z432" s="610"/>
      <c r="AA432" s="610"/>
      <c r="AB432" s="610"/>
      <c r="AC432" s="610"/>
      <c r="AD432" s="610"/>
      <c r="AG432" s="610"/>
      <c r="AH432" s="610"/>
    </row>
    <row r="433">
      <c r="B433" s="610"/>
      <c r="C433" s="610"/>
      <c r="D433" s="610"/>
      <c r="E433" s="610"/>
      <c r="F433" s="610"/>
      <c r="G433" s="610"/>
      <c r="H433" s="610"/>
      <c r="I433" s="610"/>
      <c r="J433" s="610"/>
      <c r="K433" s="610"/>
      <c r="L433" s="610"/>
      <c r="M433" s="610"/>
      <c r="N433" s="610"/>
      <c r="O433" s="610"/>
      <c r="P433" s="610"/>
      <c r="Q433" s="610"/>
      <c r="R433" s="610"/>
      <c r="S433" s="610"/>
      <c r="T433" s="610"/>
      <c r="U433" s="610"/>
      <c r="V433" s="610"/>
      <c r="W433" s="610"/>
      <c r="X433" s="610"/>
      <c r="Y433" s="610"/>
      <c r="Z433" s="610"/>
      <c r="AA433" s="610"/>
      <c r="AB433" s="610"/>
      <c r="AC433" s="610"/>
      <c r="AD433" s="610"/>
      <c r="AG433" s="610"/>
      <c r="AH433" s="610"/>
    </row>
    <row r="434">
      <c r="B434" s="610"/>
      <c r="C434" s="610"/>
      <c r="D434" s="610"/>
      <c r="E434" s="610"/>
      <c r="F434" s="610"/>
      <c r="G434" s="610"/>
      <c r="H434" s="610"/>
      <c r="I434" s="610"/>
      <c r="J434" s="610"/>
      <c r="K434" s="610"/>
      <c r="L434" s="610"/>
      <c r="M434" s="610"/>
      <c r="N434" s="610"/>
      <c r="O434" s="610"/>
      <c r="P434" s="610"/>
      <c r="Q434" s="610"/>
      <c r="R434" s="610"/>
      <c r="S434" s="610"/>
      <c r="T434" s="610"/>
      <c r="U434" s="610"/>
      <c r="V434" s="610"/>
      <c r="W434" s="610"/>
      <c r="X434" s="610"/>
      <c r="Y434" s="610"/>
      <c r="Z434" s="610"/>
      <c r="AA434" s="610"/>
      <c r="AB434" s="610"/>
      <c r="AC434" s="610"/>
      <c r="AD434" s="610"/>
      <c r="AG434" s="610"/>
      <c r="AH434" s="610"/>
    </row>
    <row r="435">
      <c r="B435" s="610"/>
      <c r="C435" s="610"/>
      <c r="D435" s="610"/>
      <c r="E435" s="610"/>
      <c r="F435" s="610"/>
      <c r="G435" s="610"/>
      <c r="H435" s="610"/>
      <c r="I435" s="610"/>
      <c r="J435" s="610"/>
      <c r="K435" s="610"/>
      <c r="L435" s="610"/>
      <c r="M435" s="610"/>
      <c r="N435" s="610"/>
      <c r="O435" s="610"/>
      <c r="P435" s="610"/>
      <c r="Q435" s="610"/>
      <c r="R435" s="610"/>
      <c r="S435" s="610"/>
      <c r="T435" s="610"/>
      <c r="U435" s="610"/>
      <c r="V435" s="610"/>
      <c r="W435" s="610"/>
      <c r="X435" s="610"/>
      <c r="Y435" s="610"/>
      <c r="Z435" s="610"/>
      <c r="AA435" s="610"/>
      <c r="AB435" s="610"/>
      <c r="AC435" s="610"/>
      <c r="AD435" s="610"/>
      <c r="AG435" s="610"/>
      <c r="AH435" s="610"/>
    </row>
    <row r="436">
      <c r="B436" s="610"/>
      <c r="C436" s="610"/>
      <c r="D436" s="610"/>
      <c r="E436" s="610"/>
      <c r="F436" s="610"/>
      <c r="G436" s="610"/>
      <c r="H436" s="610"/>
      <c r="I436" s="610"/>
      <c r="J436" s="610"/>
      <c r="K436" s="610"/>
      <c r="L436" s="610"/>
      <c r="M436" s="610"/>
      <c r="N436" s="610"/>
      <c r="O436" s="610"/>
      <c r="P436" s="610"/>
      <c r="Q436" s="610"/>
      <c r="R436" s="610"/>
      <c r="S436" s="610"/>
      <c r="T436" s="610"/>
      <c r="U436" s="610"/>
      <c r="V436" s="610"/>
      <c r="W436" s="610"/>
      <c r="X436" s="610"/>
      <c r="Y436" s="610"/>
      <c r="Z436" s="610"/>
      <c r="AA436" s="610"/>
      <c r="AB436" s="610"/>
      <c r="AC436" s="610"/>
      <c r="AD436" s="610"/>
      <c r="AG436" s="610"/>
      <c r="AH436" s="610"/>
    </row>
    <row r="437">
      <c r="B437" s="610"/>
      <c r="C437" s="610"/>
      <c r="D437" s="610"/>
      <c r="E437" s="610"/>
      <c r="F437" s="610"/>
      <c r="G437" s="610"/>
      <c r="H437" s="610"/>
      <c r="I437" s="610"/>
      <c r="J437" s="610"/>
      <c r="K437" s="610"/>
      <c r="L437" s="610"/>
      <c r="M437" s="610"/>
      <c r="N437" s="610"/>
      <c r="O437" s="610"/>
      <c r="P437" s="610"/>
      <c r="Q437" s="610"/>
      <c r="R437" s="610"/>
      <c r="S437" s="610"/>
      <c r="T437" s="610"/>
      <c r="U437" s="610"/>
      <c r="V437" s="610"/>
      <c r="W437" s="610"/>
      <c r="X437" s="610"/>
      <c r="Y437" s="610"/>
      <c r="Z437" s="610"/>
      <c r="AA437" s="610"/>
      <c r="AB437" s="610"/>
      <c r="AC437" s="610"/>
      <c r="AD437" s="610"/>
      <c r="AG437" s="610"/>
      <c r="AH437" s="610"/>
    </row>
    <row r="438">
      <c r="B438" s="610"/>
      <c r="C438" s="610"/>
      <c r="D438" s="610"/>
      <c r="E438" s="610"/>
      <c r="F438" s="610"/>
      <c r="G438" s="610"/>
      <c r="H438" s="610"/>
      <c r="I438" s="610"/>
      <c r="J438" s="610"/>
      <c r="K438" s="610"/>
      <c r="L438" s="610"/>
      <c r="M438" s="610"/>
      <c r="N438" s="610"/>
      <c r="O438" s="610"/>
      <c r="P438" s="610"/>
      <c r="Q438" s="610"/>
      <c r="R438" s="610"/>
      <c r="S438" s="610"/>
      <c r="T438" s="610"/>
      <c r="U438" s="610"/>
      <c r="V438" s="610"/>
      <c r="W438" s="610"/>
      <c r="X438" s="610"/>
      <c r="Y438" s="610"/>
      <c r="Z438" s="610"/>
      <c r="AA438" s="610"/>
      <c r="AB438" s="610"/>
      <c r="AC438" s="610"/>
      <c r="AD438" s="610"/>
      <c r="AG438" s="610"/>
      <c r="AH438" s="610"/>
    </row>
    <row r="439">
      <c r="B439" s="610"/>
      <c r="C439" s="610"/>
      <c r="D439" s="610"/>
      <c r="E439" s="610"/>
      <c r="F439" s="610"/>
      <c r="G439" s="610"/>
      <c r="H439" s="610"/>
      <c r="I439" s="610"/>
      <c r="J439" s="610"/>
      <c r="K439" s="610"/>
      <c r="L439" s="610"/>
      <c r="M439" s="610"/>
      <c r="N439" s="610"/>
      <c r="O439" s="610"/>
      <c r="P439" s="610"/>
      <c r="Q439" s="610"/>
      <c r="R439" s="610"/>
      <c r="S439" s="610"/>
      <c r="T439" s="610"/>
      <c r="U439" s="610"/>
      <c r="V439" s="610"/>
      <c r="W439" s="610"/>
      <c r="X439" s="610"/>
      <c r="Y439" s="610"/>
      <c r="Z439" s="610"/>
      <c r="AA439" s="610"/>
      <c r="AB439" s="610"/>
      <c r="AC439" s="610"/>
      <c r="AD439" s="610"/>
      <c r="AG439" s="610"/>
      <c r="AH439" s="610"/>
    </row>
    <row r="440">
      <c r="B440" s="610"/>
      <c r="C440" s="610"/>
      <c r="D440" s="610"/>
      <c r="E440" s="610"/>
      <c r="F440" s="610"/>
      <c r="G440" s="610"/>
      <c r="H440" s="610"/>
      <c r="I440" s="610"/>
      <c r="J440" s="610"/>
      <c r="K440" s="610"/>
      <c r="L440" s="610"/>
      <c r="M440" s="610"/>
      <c r="N440" s="610"/>
      <c r="O440" s="610"/>
      <c r="P440" s="610"/>
      <c r="Q440" s="610"/>
      <c r="R440" s="610"/>
      <c r="S440" s="610"/>
      <c r="T440" s="610"/>
      <c r="U440" s="610"/>
      <c r="V440" s="610"/>
      <c r="W440" s="610"/>
      <c r="X440" s="610"/>
      <c r="Y440" s="610"/>
      <c r="Z440" s="610"/>
      <c r="AA440" s="610"/>
      <c r="AB440" s="610"/>
      <c r="AC440" s="610"/>
      <c r="AD440" s="610"/>
      <c r="AG440" s="610"/>
      <c r="AH440" s="610"/>
    </row>
    <row r="441">
      <c r="B441" s="610"/>
      <c r="C441" s="610"/>
      <c r="D441" s="610"/>
      <c r="E441" s="610"/>
      <c r="F441" s="610"/>
      <c r="G441" s="610"/>
      <c r="H441" s="610"/>
      <c r="I441" s="610"/>
      <c r="J441" s="610"/>
      <c r="K441" s="610"/>
      <c r="L441" s="610"/>
      <c r="M441" s="610"/>
      <c r="N441" s="610"/>
      <c r="O441" s="610"/>
      <c r="P441" s="610"/>
      <c r="Q441" s="610"/>
      <c r="R441" s="610"/>
      <c r="S441" s="610"/>
      <c r="T441" s="610"/>
      <c r="U441" s="610"/>
      <c r="V441" s="610"/>
      <c r="W441" s="610"/>
      <c r="X441" s="610"/>
      <c r="Y441" s="610"/>
      <c r="Z441" s="610"/>
      <c r="AA441" s="610"/>
      <c r="AB441" s="610"/>
      <c r="AC441" s="610"/>
      <c r="AD441" s="610"/>
      <c r="AG441" s="610"/>
      <c r="AH441" s="610"/>
    </row>
    <row r="442">
      <c r="B442" s="610"/>
      <c r="C442" s="610"/>
      <c r="D442" s="610"/>
      <c r="E442" s="610"/>
      <c r="F442" s="610"/>
      <c r="G442" s="610"/>
      <c r="H442" s="610"/>
      <c r="I442" s="610"/>
      <c r="J442" s="610"/>
      <c r="K442" s="610"/>
      <c r="L442" s="610"/>
      <c r="M442" s="610"/>
      <c r="N442" s="610"/>
      <c r="O442" s="610"/>
      <c r="P442" s="610"/>
      <c r="Q442" s="610"/>
      <c r="R442" s="610"/>
      <c r="S442" s="610"/>
      <c r="T442" s="610"/>
      <c r="U442" s="610"/>
      <c r="V442" s="610"/>
      <c r="W442" s="610"/>
      <c r="X442" s="610"/>
      <c r="Y442" s="610"/>
      <c r="Z442" s="610"/>
      <c r="AA442" s="610"/>
      <c r="AB442" s="610"/>
      <c r="AC442" s="610"/>
      <c r="AD442" s="610"/>
      <c r="AG442" s="610"/>
      <c r="AH442" s="610"/>
    </row>
    <row r="443">
      <c r="B443" s="610"/>
      <c r="C443" s="610"/>
      <c r="D443" s="610"/>
      <c r="E443" s="610"/>
      <c r="F443" s="610"/>
      <c r="G443" s="610"/>
      <c r="H443" s="610"/>
      <c r="I443" s="610"/>
      <c r="J443" s="610"/>
      <c r="K443" s="610"/>
      <c r="L443" s="610"/>
      <c r="M443" s="610"/>
      <c r="N443" s="610"/>
      <c r="O443" s="610"/>
      <c r="P443" s="610"/>
      <c r="Q443" s="610"/>
      <c r="R443" s="610"/>
      <c r="S443" s="610"/>
      <c r="T443" s="610"/>
      <c r="U443" s="610"/>
      <c r="V443" s="610"/>
      <c r="W443" s="610"/>
      <c r="X443" s="610"/>
      <c r="Y443" s="610"/>
      <c r="Z443" s="610"/>
      <c r="AA443" s="610"/>
      <c r="AB443" s="610"/>
      <c r="AC443" s="610"/>
      <c r="AD443" s="610"/>
      <c r="AG443" s="610"/>
      <c r="AH443" s="610"/>
    </row>
    <row r="444">
      <c r="B444" s="610"/>
      <c r="C444" s="610"/>
      <c r="D444" s="610"/>
      <c r="E444" s="610"/>
      <c r="F444" s="610"/>
      <c r="G444" s="610"/>
      <c r="H444" s="610"/>
      <c r="I444" s="610"/>
      <c r="J444" s="610"/>
      <c r="K444" s="610"/>
      <c r="L444" s="610"/>
      <c r="M444" s="610"/>
      <c r="N444" s="610"/>
      <c r="O444" s="610"/>
      <c r="P444" s="610"/>
      <c r="Q444" s="610"/>
      <c r="R444" s="610"/>
      <c r="S444" s="610"/>
      <c r="T444" s="610"/>
      <c r="U444" s="610"/>
      <c r="V444" s="610"/>
      <c r="W444" s="610"/>
      <c r="X444" s="610"/>
      <c r="Y444" s="610"/>
      <c r="Z444" s="610"/>
      <c r="AA444" s="610"/>
      <c r="AB444" s="610"/>
      <c r="AC444" s="610"/>
      <c r="AD444" s="610"/>
      <c r="AG444" s="610"/>
      <c r="AH444" s="610"/>
    </row>
    <row r="445">
      <c r="B445" s="610"/>
      <c r="C445" s="610"/>
      <c r="D445" s="610"/>
      <c r="E445" s="610"/>
      <c r="F445" s="610"/>
      <c r="G445" s="610"/>
      <c r="H445" s="610"/>
      <c r="I445" s="610"/>
      <c r="J445" s="610"/>
      <c r="K445" s="610"/>
      <c r="L445" s="610"/>
      <c r="M445" s="610"/>
      <c r="N445" s="610"/>
      <c r="O445" s="610"/>
      <c r="P445" s="610"/>
      <c r="Q445" s="610"/>
      <c r="R445" s="610"/>
      <c r="S445" s="610"/>
      <c r="T445" s="610"/>
      <c r="U445" s="610"/>
      <c r="V445" s="610"/>
      <c r="W445" s="610"/>
      <c r="X445" s="610"/>
      <c r="Y445" s="610"/>
      <c r="Z445" s="610"/>
      <c r="AA445" s="610"/>
      <c r="AB445" s="610"/>
      <c r="AC445" s="610"/>
      <c r="AD445" s="610"/>
      <c r="AG445" s="610"/>
      <c r="AH445" s="610"/>
    </row>
    <row r="446">
      <c r="B446" s="610"/>
      <c r="C446" s="610"/>
      <c r="D446" s="610"/>
      <c r="E446" s="610"/>
      <c r="F446" s="610"/>
      <c r="G446" s="610"/>
      <c r="H446" s="610"/>
      <c r="I446" s="610"/>
      <c r="J446" s="610"/>
      <c r="K446" s="610"/>
      <c r="L446" s="610"/>
      <c r="M446" s="610"/>
      <c r="N446" s="610"/>
      <c r="O446" s="610"/>
      <c r="P446" s="610"/>
      <c r="Q446" s="610"/>
      <c r="R446" s="610"/>
      <c r="S446" s="610"/>
      <c r="T446" s="610"/>
      <c r="U446" s="610"/>
      <c r="V446" s="610"/>
      <c r="W446" s="610"/>
      <c r="X446" s="610"/>
      <c r="Y446" s="610"/>
      <c r="Z446" s="610"/>
      <c r="AA446" s="610"/>
      <c r="AB446" s="610"/>
      <c r="AC446" s="610"/>
      <c r="AD446" s="610"/>
      <c r="AG446" s="610"/>
      <c r="AH446" s="610"/>
    </row>
    <row r="447">
      <c r="B447" s="610"/>
      <c r="C447" s="610"/>
      <c r="D447" s="610"/>
      <c r="E447" s="610"/>
      <c r="F447" s="610"/>
      <c r="G447" s="610"/>
      <c r="H447" s="610"/>
      <c r="I447" s="610"/>
      <c r="J447" s="610"/>
      <c r="K447" s="610"/>
      <c r="L447" s="610"/>
      <c r="M447" s="610"/>
      <c r="N447" s="610"/>
      <c r="O447" s="610"/>
      <c r="P447" s="610"/>
      <c r="Q447" s="610"/>
      <c r="R447" s="610"/>
      <c r="S447" s="610"/>
      <c r="T447" s="610"/>
      <c r="U447" s="610"/>
      <c r="V447" s="610"/>
      <c r="W447" s="610"/>
      <c r="X447" s="610"/>
      <c r="Y447" s="610"/>
      <c r="Z447" s="610"/>
      <c r="AA447" s="610"/>
      <c r="AB447" s="610"/>
      <c r="AC447" s="610"/>
      <c r="AD447" s="610"/>
      <c r="AG447" s="610"/>
      <c r="AH447" s="610"/>
    </row>
    <row r="448">
      <c r="B448" s="610"/>
      <c r="C448" s="610"/>
      <c r="D448" s="610"/>
      <c r="E448" s="610"/>
      <c r="F448" s="610"/>
      <c r="G448" s="610"/>
      <c r="H448" s="610"/>
      <c r="I448" s="610"/>
      <c r="J448" s="610"/>
      <c r="K448" s="610"/>
      <c r="L448" s="610"/>
      <c r="M448" s="610"/>
      <c r="N448" s="610"/>
      <c r="O448" s="610"/>
      <c r="P448" s="610"/>
      <c r="Q448" s="610"/>
      <c r="R448" s="610"/>
      <c r="S448" s="610"/>
      <c r="T448" s="610"/>
      <c r="U448" s="610"/>
      <c r="V448" s="610"/>
      <c r="W448" s="610"/>
      <c r="X448" s="610"/>
      <c r="Y448" s="610"/>
      <c r="Z448" s="610"/>
      <c r="AA448" s="610"/>
      <c r="AB448" s="610"/>
      <c r="AC448" s="610"/>
      <c r="AD448" s="610"/>
      <c r="AG448" s="610"/>
      <c r="AH448" s="610"/>
    </row>
    <row r="449">
      <c r="B449" s="610"/>
      <c r="C449" s="610"/>
      <c r="D449" s="610"/>
      <c r="E449" s="610"/>
      <c r="F449" s="610"/>
      <c r="G449" s="610"/>
      <c r="H449" s="610"/>
      <c r="I449" s="610"/>
      <c r="J449" s="610"/>
      <c r="K449" s="610"/>
      <c r="L449" s="610"/>
      <c r="M449" s="610"/>
      <c r="N449" s="610"/>
      <c r="O449" s="610"/>
      <c r="P449" s="610"/>
      <c r="Q449" s="610"/>
      <c r="R449" s="610"/>
      <c r="S449" s="610"/>
      <c r="T449" s="610"/>
      <c r="U449" s="610"/>
      <c r="V449" s="610"/>
      <c r="W449" s="610"/>
      <c r="X449" s="610"/>
      <c r="Y449" s="610"/>
      <c r="Z449" s="610"/>
      <c r="AA449" s="610"/>
      <c r="AB449" s="610"/>
      <c r="AC449" s="610"/>
      <c r="AD449" s="610"/>
      <c r="AG449" s="610"/>
      <c r="AH449" s="610"/>
    </row>
    <row r="450">
      <c r="B450" s="610"/>
      <c r="C450" s="610"/>
      <c r="D450" s="610"/>
      <c r="E450" s="610"/>
      <c r="F450" s="610"/>
      <c r="G450" s="610"/>
      <c r="H450" s="610"/>
      <c r="I450" s="610"/>
      <c r="J450" s="610"/>
      <c r="K450" s="610"/>
      <c r="L450" s="610"/>
      <c r="M450" s="610"/>
      <c r="N450" s="610"/>
      <c r="O450" s="610"/>
      <c r="P450" s="610"/>
      <c r="Q450" s="610"/>
      <c r="R450" s="610"/>
      <c r="S450" s="610"/>
      <c r="T450" s="610"/>
      <c r="U450" s="610"/>
      <c r="V450" s="610"/>
      <c r="W450" s="610"/>
      <c r="X450" s="610"/>
      <c r="Y450" s="610"/>
      <c r="Z450" s="610"/>
      <c r="AA450" s="610"/>
      <c r="AB450" s="610"/>
      <c r="AC450" s="610"/>
      <c r="AD450" s="610"/>
      <c r="AG450" s="610"/>
      <c r="AH450" s="610"/>
    </row>
    <row r="451">
      <c r="B451" s="610"/>
      <c r="C451" s="610"/>
      <c r="D451" s="610"/>
      <c r="E451" s="610"/>
      <c r="F451" s="610"/>
      <c r="G451" s="610"/>
      <c r="H451" s="610"/>
      <c r="I451" s="610"/>
      <c r="J451" s="610"/>
      <c r="K451" s="610"/>
      <c r="L451" s="610"/>
      <c r="M451" s="610"/>
      <c r="N451" s="610"/>
      <c r="O451" s="610"/>
      <c r="P451" s="610"/>
      <c r="Q451" s="610"/>
      <c r="R451" s="610"/>
      <c r="S451" s="610"/>
      <c r="T451" s="610"/>
      <c r="U451" s="610"/>
      <c r="V451" s="610"/>
      <c r="W451" s="610"/>
      <c r="X451" s="610"/>
      <c r="Y451" s="610"/>
      <c r="Z451" s="610"/>
      <c r="AA451" s="610"/>
      <c r="AB451" s="610"/>
      <c r="AC451" s="610"/>
      <c r="AD451" s="610"/>
      <c r="AG451" s="610"/>
      <c r="AH451" s="610"/>
    </row>
    <row r="452">
      <c r="B452" s="610"/>
      <c r="C452" s="610"/>
      <c r="D452" s="610"/>
      <c r="E452" s="610"/>
      <c r="F452" s="610"/>
      <c r="G452" s="610"/>
      <c r="H452" s="610"/>
      <c r="I452" s="610"/>
      <c r="J452" s="610"/>
      <c r="K452" s="610"/>
      <c r="L452" s="610"/>
      <c r="M452" s="610"/>
      <c r="N452" s="610"/>
      <c r="O452" s="610"/>
      <c r="P452" s="610"/>
      <c r="Q452" s="610"/>
      <c r="R452" s="610"/>
      <c r="S452" s="610"/>
      <c r="T452" s="610"/>
      <c r="U452" s="610"/>
      <c r="V452" s="610"/>
      <c r="W452" s="610"/>
      <c r="X452" s="610"/>
      <c r="Y452" s="610"/>
      <c r="Z452" s="610"/>
      <c r="AA452" s="610"/>
      <c r="AB452" s="610"/>
      <c r="AC452" s="610"/>
      <c r="AD452" s="610"/>
      <c r="AG452" s="610"/>
      <c r="AH452" s="610"/>
    </row>
    <row r="453">
      <c r="B453" s="610"/>
      <c r="C453" s="610"/>
      <c r="D453" s="610"/>
      <c r="E453" s="610"/>
      <c r="F453" s="610"/>
      <c r="G453" s="610"/>
      <c r="H453" s="610"/>
      <c r="I453" s="610"/>
      <c r="J453" s="610"/>
      <c r="K453" s="610"/>
      <c r="L453" s="610"/>
      <c r="M453" s="610"/>
      <c r="N453" s="610"/>
      <c r="O453" s="610"/>
      <c r="P453" s="610"/>
      <c r="Q453" s="610"/>
      <c r="R453" s="610"/>
      <c r="S453" s="610"/>
      <c r="T453" s="610"/>
      <c r="U453" s="610"/>
      <c r="V453" s="610"/>
      <c r="W453" s="610"/>
      <c r="X453" s="610"/>
      <c r="Y453" s="610"/>
      <c r="Z453" s="610"/>
      <c r="AA453" s="610"/>
      <c r="AB453" s="610"/>
      <c r="AC453" s="610"/>
      <c r="AD453" s="610"/>
      <c r="AG453" s="610"/>
      <c r="AH453" s="610"/>
    </row>
    <row r="454">
      <c r="B454" s="610"/>
      <c r="C454" s="610"/>
      <c r="D454" s="610"/>
      <c r="E454" s="610"/>
      <c r="F454" s="610"/>
      <c r="G454" s="610"/>
      <c r="H454" s="610"/>
      <c r="I454" s="610"/>
      <c r="J454" s="610"/>
      <c r="K454" s="610"/>
      <c r="L454" s="610"/>
      <c r="M454" s="610"/>
      <c r="N454" s="610"/>
      <c r="O454" s="610"/>
      <c r="P454" s="610"/>
      <c r="Q454" s="610"/>
      <c r="R454" s="610"/>
      <c r="S454" s="610"/>
      <c r="T454" s="610"/>
      <c r="U454" s="610"/>
      <c r="V454" s="610"/>
      <c r="W454" s="610"/>
      <c r="X454" s="610"/>
      <c r="Y454" s="610"/>
      <c r="Z454" s="610"/>
      <c r="AA454" s="610"/>
      <c r="AB454" s="610"/>
      <c r="AC454" s="610"/>
      <c r="AD454" s="610"/>
      <c r="AG454" s="610"/>
      <c r="AH454" s="610"/>
    </row>
    <row r="455">
      <c r="B455" s="610"/>
      <c r="C455" s="610"/>
      <c r="D455" s="610"/>
      <c r="E455" s="610"/>
      <c r="F455" s="610"/>
      <c r="G455" s="610"/>
      <c r="H455" s="610"/>
      <c r="I455" s="610"/>
      <c r="J455" s="610"/>
      <c r="K455" s="610"/>
      <c r="L455" s="610"/>
      <c r="M455" s="610"/>
      <c r="N455" s="610"/>
      <c r="O455" s="610"/>
      <c r="P455" s="610"/>
      <c r="Q455" s="610"/>
      <c r="R455" s="610"/>
      <c r="S455" s="610"/>
      <c r="T455" s="610"/>
      <c r="U455" s="610"/>
      <c r="V455" s="610"/>
      <c r="W455" s="610"/>
      <c r="X455" s="610"/>
      <c r="Y455" s="610"/>
      <c r="Z455" s="610"/>
      <c r="AA455" s="610"/>
      <c r="AB455" s="610"/>
      <c r="AC455" s="610"/>
      <c r="AD455" s="610"/>
      <c r="AG455" s="610"/>
      <c r="AH455" s="610"/>
    </row>
    <row r="456">
      <c r="B456" s="610"/>
      <c r="C456" s="610"/>
      <c r="D456" s="610"/>
      <c r="E456" s="610"/>
      <c r="F456" s="610"/>
      <c r="G456" s="610"/>
      <c r="H456" s="610"/>
      <c r="I456" s="610"/>
      <c r="J456" s="610"/>
      <c r="K456" s="610"/>
      <c r="L456" s="610"/>
      <c r="M456" s="610"/>
      <c r="N456" s="610"/>
      <c r="O456" s="610"/>
      <c r="P456" s="610"/>
      <c r="Q456" s="610"/>
      <c r="R456" s="610"/>
      <c r="S456" s="610"/>
      <c r="T456" s="610"/>
      <c r="U456" s="610"/>
      <c r="V456" s="610"/>
      <c r="W456" s="610"/>
      <c r="X456" s="610"/>
      <c r="Y456" s="610"/>
      <c r="Z456" s="610"/>
      <c r="AA456" s="610"/>
      <c r="AB456" s="610"/>
      <c r="AC456" s="610"/>
      <c r="AD456" s="610"/>
      <c r="AG456" s="610"/>
      <c r="AH456" s="610"/>
    </row>
    <row r="457">
      <c r="B457" s="610"/>
      <c r="C457" s="610"/>
      <c r="D457" s="610"/>
      <c r="E457" s="610"/>
      <c r="F457" s="610"/>
      <c r="G457" s="610"/>
      <c r="H457" s="610"/>
      <c r="I457" s="610"/>
      <c r="J457" s="610"/>
      <c r="K457" s="610"/>
      <c r="L457" s="610"/>
      <c r="M457" s="610"/>
      <c r="N457" s="610"/>
      <c r="O457" s="610"/>
      <c r="P457" s="610"/>
      <c r="Q457" s="610"/>
      <c r="R457" s="610"/>
      <c r="S457" s="610"/>
      <c r="T457" s="610"/>
      <c r="U457" s="610"/>
      <c r="V457" s="610"/>
      <c r="W457" s="610"/>
      <c r="X457" s="610"/>
      <c r="Y457" s="610"/>
      <c r="Z457" s="610"/>
      <c r="AA457" s="610"/>
      <c r="AB457" s="610"/>
      <c r="AC457" s="610"/>
      <c r="AD457" s="610"/>
      <c r="AG457" s="610"/>
      <c r="AH457" s="610"/>
    </row>
    <row r="458">
      <c r="B458" s="610"/>
      <c r="C458" s="610"/>
      <c r="D458" s="610"/>
      <c r="E458" s="610"/>
      <c r="F458" s="610"/>
      <c r="G458" s="610"/>
      <c r="H458" s="610"/>
      <c r="I458" s="610"/>
      <c r="J458" s="610"/>
      <c r="K458" s="610"/>
      <c r="L458" s="610"/>
      <c r="M458" s="610"/>
      <c r="N458" s="610"/>
      <c r="O458" s="610"/>
      <c r="P458" s="610"/>
      <c r="Q458" s="610"/>
      <c r="R458" s="610"/>
      <c r="S458" s="610"/>
      <c r="T458" s="610"/>
      <c r="U458" s="610"/>
      <c r="V458" s="610"/>
      <c r="W458" s="610"/>
      <c r="X458" s="610"/>
      <c r="Y458" s="610"/>
      <c r="Z458" s="610"/>
      <c r="AA458" s="610"/>
      <c r="AB458" s="610"/>
      <c r="AC458" s="610"/>
      <c r="AD458" s="610"/>
      <c r="AG458" s="610"/>
      <c r="AH458" s="610"/>
    </row>
    <row r="459">
      <c r="B459" s="610"/>
      <c r="C459" s="610"/>
      <c r="D459" s="610"/>
      <c r="E459" s="610"/>
      <c r="F459" s="610"/>
      <c r="G459" s="610"/>
      <c r="H459" s="610"/>
      <c r="I459" s="610"/>
      <c r="J459" s="610"/>
      <c r="K459" s="610"/>
      <c r="L459" s="610"/>
      <c r="M459" s="610"/>
      <c r="N459" s="610"/>
      <c r="O459" s="610"/>
      <c r="P459" s="610"/>
      <c r="Q459" s="610"/>
      <c r="R459" s="610"/>
      <c r="S459" s="610"/>
      <c r="T459" s="610"/>
      <c r="U459" s="610"/>
      <c r="V459" s="610"/>
      <c r="W459" s="610"/>
      <c r="X459" s="610"/>
      <c r="Y459" s="610"/>
      <c r="Z459" s="610"/>
      <c r="AA459" s="610"/>
      <c r="AB459" s="610"/>
      <c r="AC459" s="610"/>
      <c r="AD459" s="610"/>
      <c r="AG459" s="610"/>
      <c r="AH459" s="610"/>
    </row>
    <row r="460">
      <c r="B460" s="610"/>
      <c r="C460" s="610"/>
      <c r="D460" s="610"/>
      <c r="E460" s="610"/>
      <c r="F460" s="610"/>
      <c r="G460" s="610"/>
      <c r="H460" s="610"/>
      <c r="I460" s="610"/>
      <c r="J460" s="610"/>
      <c r="K460" s="610"/>
      <c r="L460" s="610"/>
      <c r="M460" s="610"/>
      <c r="N460" s="610"/>
      <c r="O460" s="610"/>
      <c r="P460" s="610"/>
      <c r="Q460" s="610"/>
      <c r="R460" s="610"/>
      <c r="S460" s="610"/>
      <c r="T460" s="610"/>
      <c r="U460" s="610"/>
      <c r="V460" s="610"/>
      <c r="W460" s="610"/>
      <c r="X460" s="610"/>
      <c r="Y460" s="610"/>
      <c r="Z460" s="610"/>
      <c r="AA460" s="610"/>
      <c r="AB460" s="610"/>
      <c r="AC460" s="610"/>
      <c r="AD460" s="610"/>
      <c r="AG460" s="610"/>
      <c r="AH460" s="610"/>
    </row>
    <row r="461">
      <c r="B461" s="610"/>
      <c r="C461" s="610"/>
      <c r="D461" s="610"/>
      <c r="E461" s="610"/>
      <c r="F461" s="610"/>
      <c r="G461" s="610"/>
      <c r="H461" s="610"/>
      <c r="I461" s="610"/>
      <c r="J461" s="610"/>
      <c r="K461" s="610"/>
      <c r="L461" s="610"/>
      <c r="M461" s="610"/>
      <c r="N461" s="610"/>
      <c r="O461" s="610"/>
      <c r="P461" s="610"/>
      <c r="Q461" s="610"/>
      <c r="R461" s="610"/>
      <c r="S461" s="610"/>
      <c r="T461" s="610"/>
      <c r="U461" s="610"/>
      <c r="V461" s="610"/>
      <c r="W461" s="610"/>
      <c r="X461" s="610"/>
      <c r="Y461" s="610"/>
      <c r="Z461" s="610"/>
      <c r="AA461" s="610"/>
      <c r="AB461" s="610"/>
      <c r="AC461" s="610"/>
      <c r="AD461" s="610"/>
      <c r="AG461" s="610"/>
      <c r="AH461" s="610"/>
    </row>
    <row r="462">
      <c r="B462" s="610"/>
      <c r="C462" s="610"/>
      <c r="D462" s="610"/>
      <c r="E462" s="610"/>
      <c r="F462" s="610"/>
      <c r="G462" s="610"/>
      <c r="H462" s="610"/>
      <c r="I462" s="610"/>
      <c r="J462" s="610"/>
      <c r="K462" s="610"/>
      <c r="L462" s="610"/>
      <c r="M462" s="610"/>
      <c r="N462" s="610"/>
      <c r="O462" s="610"/>
      <c r="P462" s="610"/>
      <c r="Q462" s="610"/>
      <c r="R462" s="610"/>
      <c r="S462" s="610"/>
      <c r="T462" s="610"/>
      <c r="U462" s="610"/>
      <c r="V462" s="610"/>
      <c r="W462" s="610"/>
      <c r="X462" s="610"/>
      <c r="Y462" s="610"/>
      <c r="Z462" s="610"/>
      <c r="AA462" s="610"/>
      <c r="AB462" s="610"/>
      <c r="AC462" s="610"/>
      <c r="AD462" s="610"/>
      <c r="AG462" s="610"/>
      <c r="AH462" s="610"/>
    </row>
    <row r="463">
      <c r="B463" s="610"/>
      <c r="C463" s="610"/>
      <c r="D463" s="610"/>
      <c r="E463" s="610"/>
      <c r="F463" s="610"/>
      <c r="G463" s="610"/>
      <c r="H463" s="610"/>
      <c r="I463" s="610"/>
      <c r="J463" s="610"/>
      <c r="K463" s="610"/>
      <c r="L463" s="610"/>
      <c r="M463" s="610"/>
      <c r="N463" s="610"/>
      <c r="O463" s="610"/>
      <c r="P463" s="610"/>
      <c r="Q463" s="610"/>
      <c r="R463" s="610"/>
      <c r="S463" s="610"/>
      <c r="T463" s="610"/>
      <c r="U463" s="610"/>
      <c r="V463" s="610"/>
      <c r="W463" s="610"/>
      <c r="X463" s="610"/>
      <c r="Y463" s="610"/>
      <c r="Z463" s="610"/>
      <c r="AA463" s="610"/>
      <c r="AB463" s="610"/>
      <c r="AC463" s="610"/>
      <c r="AD463" s="610"/>
      <c r="AG463" s="610"/>
      <c r="AH463" s="610"/>
    </row>
    <row r="464">
      <c r="B464" s="610"/>
      <c r="C464" s="610"/>
      <c r="D464" s="610"/>
      <c r="E464" s="610"/>
      <c r="F464" s="610"/>
      <c r="G464" s="610"/>
      <c r="H464" s="610"/>
      <c r="I464" s="610"/>
      <c r="J464" s="610"/>
      <c r="K464" s="610"/>
      <c r="L464" s="610"/>
      <c r="M464" s="610"/>
      <c r="N464" s="610"/>
      <c r="O464" s="610"/>
      <c r="P464" s="610"/>
      <c r="Q464" s="610"/>
      <c r="R464" s="610"/>
      <c r="S464" s="610"/>
      <c r="T464" s="610"/>
      <c r="U464" s="610"/>
      <c r="V464" s="610"/>
      <c r="W464" s="610"/>
      <c r="X464" s="610"/>
      <c r="Y464" s="610"/>
      <c r="Z464" s="610"/>
      <c r="AA464" s="610"/>
      <c r="AB464" s="610"/>
      <c r="AC464" s="610"/>
      <c r="AD464" s="610"/>
      <c r="AG464" s="610"/>
      <c r="AH464" s="610"/>
    </row>
    <row r="465">
      <c r="B465" s="610"/>
      <c r="C465" s="610"/>
      <c r="D465" s="610"/>
      <c r="E465" s="610"/>
      <c r="F465" s="610"/>
      <c r="G465" s="610"/>
      <c r="H465" s="610"/>
      <c r="I465" s="610"/>
      <c r="J465" s="610"/>
      <c r="K465" s="610"/>
      <c r="L465" s="610"/>
      <c r="M465" s="610"/>
      <c r="N465" s="610"/>
      <c r="O465" s="610"/>
      <c r="P465" s="610"/>
      <c r="Q465" s="610"/>
      <c r="R465" s="610"/>
      <c r="S465" s="610"/>
      <c r="T465" s="610"/>
      <c r="U465" s="610"/>
      <c r="V465" s="610"/>
      <c r="W465" s="610"/>
      <c r="X465" s="610"/>
      <c r="Y465" s="610"/>
      <c r="Z465" s="610"/>
      <c r="AA465" s="610"/>
      <c r="AB465" s="610"/>
      <c r="AC465" s="610"/>
      <c r="AD465" s="610"/>
      <c r="AG465" s="610"/>
      <c r="AH465" s="610"/>
    </row>
    <row r="466">
      <c r="B466" s="610"/>
      <c r="C466" s="610"/>
      <c r="D466" s="610"/>
      <c r="E466" s="610"/>
      <c r="F466" s="610"/>
      <c r="G466" s="610"/>
      <c r="H466" s="610"/>
      <c r="I466" s="610"/>
      <c r="J466" s="610"/>
      <c r="K466" s="610"/>
      <c r="L466" s="610"/>
      <c r="M466" s="610"/>
      <c r="N466" s="610"/>
      <c r="O466" s="610"/>
      <c r="P466" s="610"/>
      <c r="Q466" s="610"/>
      <c r="R466" s="610"/>
      <c r="S466" s="610"/>
      <c r="T466" s="610"/>
      <c r="U466" s="610"/>
      <c r="V466" s="610"/>
      <c r="W466" s="610"/>
      <c r="X466" s="610"/>
      <c r="Y466" s="610"/>
      <c r="Z466" s="610"/>
      <c r="AA466" s="610"/>
      <c r="AB466" s="610"/>
      <c r="AC466" s="610"/>
      <c r="AD466" s="610"/>
      <c r="AG466" s="610"/>
      <c r="AH466" s="610"/>
    </row>
    <row r="467">
      <c r="B467" s="610"/>
      <c r="C467" s="610"/>
      <c r="D467" s="610"/>
      <c r="E467" s="610"/>
      <c r="F467" s="610"/>
      <c r="G467" s="610"/>
      <c r="H467" s="610"/>
      <c r="I467" s="610"/>
      <c r="J467" s="610"/>
      <c r="K467" s="610"/>
      <c r="L467" s="610"/>
      <c r="M467" s="610"/>
      <c r="N467" s="610"/>
      <c r="O467" s="610"/>
      <c r="P467" s="610"/>
      <c r="Q467" s="610"/>
      <c r="R467" s="610"/>
      <c r="S467" s="610"/>
      <c r="T467" s="610"/>
      <c r="U467" s="610"/>
      <c r="V467" s="610"/>
      <c r="W467" s="610"/>
      <c r="X467" s="610"/>
      <c r="Y467" s="610"/>
      <c r="Z467" s="610"/>
      <c r="AA467" s="610"/>
      <c r="AB467" s="610"/>
      <c r="AC467" s="610"/>
      <c r="AD467" s="610"/>
      <c r="AG467" s="610"/>
      <c r="AH467" s="610"/>
    </row>
    <row r="468">
      <c r="B468" s="610"/>
      <c r="C468" s="610"/>
      <c r="D468" s="610"/>
      <c r="E468" s="610"/>
      <c r="F468" s="610"/>
      <c r="G468" s="610"/>
      <c r="H468" s="610"/>
      <c r="I468" s="610"/>
      <c r="J468" s="610"/>
      <c r="K468" s="610"/>
      <c r="L468" s="610"/>
      <c r="M468" s="610"/>
      <c r="N468" s="610"/>
      <c r="O468" s="610"/>
      <c r="P468" s="610"/>
      <c r="Q468" s="610"/>
      <c r="R468" s="610"/>
      <c r="S468" s="610"/>
      <c r="T468" s="610"/>
      <c r="U468" s="610"/>
      <c r="V468" s="610"/>
      <c r="W468" s="610"/>
      <c r="X468" s="610"/>
      <c r="Y468" s="610"/>
      <c r="Z468" s="610"/>
      <c r="AA468" s="610"/>
      <c r="AB468" s="610"/>
      <c r="AC468" s="610"/>
      <c r="AD468" s="610"/>
      <c r="AG468" s="610"/>
      <c r="AH468" s="610"/>
    </row>
    <row r="469">
      <c r="B469" s="610"/>
      <c r="C469" s="610"/>
      <c r="D469" s="610"/>
      <c r="E469" s="610"/>
      <c r="F469" s="610"/>
      <c r="G469" s="610"/>
      <c r="H469" s="610"/>
      <c r="I469" s="610"/>
      <c r="J469" s="610"/>
      <c r="K469" s="610"/>
      <c r="L469" s="610"/>
      <c r="M469" s="610"/>
      <c r="N469" s="610"/>
      <c r="O469" s="610"/>
      <c r="P469" s="610"/>
      <c r="Q469" s="610"/>
      <c r="R469" s="610"/>
      <c r="S469" s="610"/>
      <c r="T469" s="610"/>
      <c r="U469" s="610"/>
      <c r="V469" s="610"/>
      <c r="W469" s="610"/>
      <c r="X469" s="610"/>
      <c r="Y469" s="610"/>
      <c r="Z469" s="610"/>
      <c r="AA469" s="610"/>
      <c r="AB469" s="610"/>
      <c r="AC469" s="610"/>
      <c r="AD469" s="610"/>
      <c r="AG469" s="610"/>
      <c r="AH469" s="610"/>
    </row>
    <row r="470">
      <c r="B470" s="610"/>
      <c r="C470" s="610"/>
      <c r="D470" s="610"/>
      <c r="E470" s="610"/>
      <c r="F470" s="610"/>
      <c r="G470" s="610"/>
      <c r="H470" s="610"/>
      <c r="I470" s="610"/>
      <c r="J470" s="610"/>
      <c r="K470" s="610"/>
      <c r="L470" s="610"/>
      <c r="M470" s="610"/>
      <c r="N470" s="610"/>
      <c r="O470" s="610"/>
      <c r="P470" s="610"/>
      <c r="Q470" s="610"/>
      <c r="R470" s="610"/>
      <c r="S470" s="610"/>
      <c r="T470" s="610"/>
      <c r="U470" s="610"/>
      <c r="V470" s="610"/>
      <c r="W470" s="610"/>
      <c r="X470" s="610"/>
      <c r="Y470" s="610"/>
      <c r="Z470" s="610"/>
      <c r="AA470" s="610"/>
      <c r="AB470" s="610"/>
      <c r="AC470" s="610"/>
      <c r="AD470" s="610"/>
      <c r="AG470" s="610"/>
      <c r="AH470" s="610"/>
    </row>
    <row r="471">
      <c r="B471" s="610"/>
      <c r="C471" s="610"/>
      <c r="D471" s="610"/>
      <c r="E471" s="610"/>
      <c r="F471" s="610"/>
      <c r="G471" s="610"/>
      <c r="H471" s="610"/>
      <c r="I471" s="610"/>
      <c r="J471" s="610"/>
      <c r="K471" s="610"/>
      <c r="L471" s="610"/>
      <c r="M471" s="610"/>
      <c r="N471" s="610"/>
      <c r="O471" s="610"/>
      <c r="P471" s="610"/>
      <c r="Q471" s="610"/>
      <c r="R471" s="610"/>
      <c r="S471" s="610"/>
      <c r="T471" s="610"/>
      <c r="U471" s="610"/>
      <c r="V471" s="610"/>
      <c r="W471" s="610"/>
      <c r="X471" s="610"/>
      <c r="Y471" s="610"/>
      <c r="Z471" s="610"/>
      <c r="AA471" s="610"/>
      <c r="AB471" s="610"/>
      <c r="AC471" s="610"/>
      <c r="AD471" s="610"/>
      <c r="AG471" s="610"/>
      <c r="AH471" s="610"/>
    </row>
    <row r="472">
      <c r="B472" s="610"/>
      <c r="C472" s="610"/>
      <c r="D472" s="610"/>
      <c r="E472" s="610"/>
      <c r="F472" s="610"/>
      <c r="G472" s="610"/>
      <c r="H472" s="610"/>
      <c r="I472" s="610"/>
      <c r="J472" s="610"/>
      <c r="K472" s="610"/>
      <c r="L472" s="610"/>
      <c r="M472" s="610"/>
      <c r="N472" s="610"/>
      <c r="O472" s="610"/>
      <c r="P472" s="610"/>
      <c r="Q472" s="610"/>
      <c r="R472" s="610"/>
      <c r="S472" s="610"/>
      <c r="T472" s="610"/>
      <c r="U472" s="610"/>
      <c r="V472" s="610"/>
      <c r="W472" s="610"/>
      <c r="X472" s="610"/>
      <c r="Y472" s="610"/>
      <c r="Z472" s="610"/>
      <c r="AA472" s="610"/>
      <c r="AB472" s="610"/>
      <c r="AC472" s="610"/>
      <c r="AD472" s="610"/>
      <c r="AG472" s="610"/>
      <c r="AH472" s="610"/>
    </row>
    <row r="473">
      <c r="B473" s="610"/>
      <c r="C473" s="610"/>
      <c r="D473" s="610"/>
      <c r="E473" s="610"/>
      <c r="F473" s="610"/>
      <c r="G473" s="610"/>
      <c r="H473" s="610"/>
      <c r="I473" s="610"/>
      <c r="J473" s="610"/>
      <c r="K473" s="610"/>
      <c r="L473" s="610"/>
      <c r="M473" s="610"/>
      <c r="N473" s="610"/>
      <c r="O473" s="610"/>
      <c r="P473" s="610"/>
      <c r="Q473" s="610"/>
      <c r="R473" s="610"/>
      <c r="S473" s="610"/>
      <c r="T473" s="610"/>
      <c r="U473" s="610"/>
      <c r="V473" s="610"/>
      <c r="W473" s="610"/>
      <c r="X473" s="610"/>
      <c r="Y473" s="610"/>
      <c r="Z473" s="610"/>
      <c r="AA473" s="610"/>
      <c r="AB473" s="610"/>
      <c r="AC473" s="610"/>
      <c r="AD473" s="610"/>
      <c r="AG473" s="610"/>
      <c r="AH473" s="610"/>
    </row>
    <row r="474">
      <c r="B474" s="610"/>
      <c r="C474" s="610"/>
      <c r="D474" s="610"/>
      <c r="E474" s="610"/>
      <c r="F474" s="610"/>
      <c r="G474" s="610"/>
      <c r="H474" s="610"/>
      <c r="I474" s="610"/>
      <c r="J474" s="610"/>
      <c r="K474" s="610"/>
      <c r="L474" s="610"/>
      <c r="M474" s="610"/>
      <c r="N474" s="610"/>
      <c r="O474" s="610"/>
      <c r="P474" s="610"/>
      <c r="Q474" s="610"/>
      <c r="R474" s="610"/>
      <c r="S474" s="610"/>
      <c r="T474" s="610"/>
      <c r="U474" s="610"/>
      <c r="V474" s="610"/>
      <c r="W474" s="610"/>
      <c r="X474" s="610"/>
      <c r="Y474" s="610"/>
      <c r="Z474" s="610"/>
      <c r="AA474" s="610"/>
      <c r="AB474" s="610"/>
      <c r="AC474" s="610"/>
      <c r="AD474" s="610"/>
      <c r="AG474" s="610"/>
      <c r="AH474" s="610"/>
    </row>
    <row r="475">
      <c r="B475" s="610"/>
      <c r="C475" s="610"/>
      <c r="D475" s="610"/>
      <c r="E475" s="610"/>
      <c r="F475" s="610"/>
      <c r="G475" s="610"/>
      <c r="H475" s="610"/>
      <c r="I475" s="610"/>
      <c r="J475" s="610"/>
      <c r="K475" s="610"/>
      <c r="L475" s="610"/>
      <c r="M475" s="610"/>
      <c r="N475" s="610"/>
      <c r="O475" s="610"/>
      <c r="P475" s="610"/>
      <c r="Q475" s="610"/>
      <c r="R475" s="610"/>
      <c r="S475" s="610"/>
      <c r="T475" s="610"/>
      <c r="U475" s="610"/>
      <c r="V475" s="610"/>
      <c r="W475" s="610"/>
      <c r="X475" s="610"/>
      <c r="Y475" s="610"/>
      <c r="Z475" s="610"/>
      <c r="AA475" s="610"/>
      <c r="AB475" s="610"/>
      <c r="AC475" s="610"/>
      <c r="AD475" s="610"/>
      <c r="AG475" s="610"/>
      <c r="AH475" s="610"/>
    </row>
    <row r="476">
      <c r="B476" s="610"/>
      <c r="C476" s="610"/>
      <c r="D476" s="610"/>
      <c r="E476" s="610"/>
      <c r="F476" s="610"/>
      <c r="G476" s="610"/>
      <c r="H476" s="610"/>
      <c r="I476" s="610"/>
      <c r="J476" s="610"/>
      <c r="K476" s="610"/>
      <c r="L476" s="610"/>
      <c r="M476" s="610"/>
      <c r="N476" s="610"/>
      <c r="O476" s="610"/>
      <c r="P476" s="610"/>
      <c r="Q476" s="610"/>
      <c r="R476" s="610"/>
      <c r="S476" s="610"/>
      <c r="T476" s="610"/>
      <c r="U476" s="610"/>
      <c r="V476" s="610"/>
      <c r="W476" s="610"/>
      <c r="X476" s="610"/>
      <c r="Y476" s="610"/>
      <c r="Z476" s="610"/>
      <c r="AA476" s="610"/>
      <c r="AB476" s="610"/>
      <c r="AC476" s="610"/>
      <c r="AD476" s="610"/>
      <c r="AG476" s="610"/>
      <c r="AH476" s="610"/>
    </row>
    <row r="477">
      <c r="B477" s="610"/>
      <c r="C477" s="610"/>
      <c r="D477" s="610"/>
      <c r="E477" s="610"/>
      <c r="F477" s="610"/>
      <c r="G477" s="610"/>
      <c r="H477" s="610"/>
      <c r="I477" s="610"/>
      <c r="J477" s="610"/>
      <c r="K477" s="610"/>
      <c r="L477" s="610"/>
      <c r="M477" s="610"/>
      <c r="N477" s="610"/>
      <c r="O477" s="610"/>
      <c r="P477" s="610"/>
      <c r="Q477" s="610"/>
      <c r="R477" s="610"/>
      <c r="S477" s="610"/>
      <c r="T477" s="610"/>
      <c r="U477" s="610"/>
      <c r="V477" s="610"/>
      <c r="W477" s="610"/>
      <c r="X477" s="610"/>
      <c r="Y477" s="610"/>
      <c r="Z477" s="610"/>
      <c r="AA477" s="610"/>
      <c r="AB477" s="610"/>
      <c r="AC477" s="610"/>
      <c r="AD477" s="610"/>
      <c r="AG477" s="610"/>
      <c r="AH477" s="610"/>
    </row>
    <row r="478">
      <c r="B478" s="610"/>
      <c r="C478" s="610"/>
      <c r="D478" s="610"/>
      <c r="E478" s="610"/>
      <c r="F478" s="610"/>
      <c r="G478" s="610"/>
      <c r="H478" s="610"/>
      <c r="I478" s="610"/>
      <c r="J478" s="610"/>
      <c r="K478" s="610"/>
      <c r="L478" s="610"/>
      <c r="M478" s="610"/>
      <c r="N478" s="610"/>
      <c r="O478" s="610"/>
      <c r="P478" s="610"/>
      <c r="Q478" s="610"/>
      <c r="R478" s="610"/>
      <c r="S478" s="610"/>
      <c r="T478" s="610"/>
      <c r="U478" s="610"/>
      <c r="V478" s="610"/>
      <c r="W478" s="610"/>
      <c r="X478" s="610"/>
      <c r="Y478" s="610"/>
      <c r="Z478" s="610"/>
      <c r="AA478" s="610"/>
      <c r="AB478" s="610"/>
      <c r="AC478" s="610"/>
      <c r="AD478" s="610"/>
      <c r="AG478" s="610"/>
      <c r="AH478" s="610"/>
    </row>
    <row r="479">
      <c r="B479" s="610"/>
      <c r="C479" s="610"/>
      <c r="D479" s="610"/>
      <c r="E479" s="610"/>
      <c r="F479" s="610"/>
      <c r="G479" s="610"/>
      <c r="H479" s="610"/>
      <c r="I479" s="610"/>
      <c r="J479" s="610"/>
      <c r="K479" s="610"/>
      <c r="L479" s="610"/>
      <c r="M479" s="610"/>
      <c r="N479" s="610"/>
      <c r="O479" s="610"/>
      <c r="P479" s="610"/>
      <c r="Q479" s="610"/>
      <c r="R479" s="610"/>
      <c r="S479" s="610"/>
      <c r="T479" s="610"/>
      <c r="U479" s="610"/>
      <c r="V479" s="610"/>
      <c r="W479" s="610"/>
      <c r="X479" s="610"/>
      <c r="Y479" s="610"/>
      <c r="Z479" s="610"/>
      <c r="AA479" s="610"/>
      <c r="AB479" s="610"/>
      <c r="AC479" s="610"/>
      <c r="AD479" s="610"/>
      <c r="AG479" s="610"/>
      <c r="AH479" s="610"/>
    </row>
    <row r="480">
      <c r="B480" s="610"/>
      <c r="C480" s="610"/>
      <c r="D480" s="610"/>
      <c r="E480" s="610"/>
      <c r="F480" s="610"/>
      <c r="G480" s="610"/>
      <c r="H480" s="610"/>
      <c r="I480" s="610"/>
      <c r="J480" s="610"/>
      <c r="K480" s="610"/>
      <c r="L480" s="610"/>
      <c r="M480" s="610"/>
      <c r="N480" s="610"/>
      <c r="O480" s="610"/>
      <c r="P480" s="610"/>
      <c r="Q480" s="610"/>
      <c r="R480" s="610"/>
      <c r="S480" s="610"/>
      <c r="T480" s="610"/>
      <c r="U480" s="610"/>
      <c r="V480" s="610"/>
      <c r="W480" s="610"/>
      <c r="X480" s="610"/>
      <c r="Y480" s="610"/>
      <c r="Z480" s="610"/>
      <c r="AA480" s="610"/>
      <c r="AB480" s="610"/>
      <c r="AC480" s="610"/>
      <c r="AD480" s="610"/>
      <c r="AG480" s="610"/>
      <c r="AH480" s="610"/>
    </row>
    <row r="481">
      <c r="B481" s="610"/>
      <c r="C481" s="610"/>
      <c r="D481" s="610"/>
      <c r="E481" s="610"/>
      <c r="F481" s="610"/>
      <c r="G481" s="610"/>
      <c r="H481" s="610"/>
      <c r="I481" s="610"/>
      <c r="J481" s="610"/>
      <c r="K481" s="610"/>
      <c r="L481" s="610"/>
      <c r="M481" s="610"/>
      <c r="N481" s="610"/>
      <c r="O481" s="610"/>
      <c r="P481" s="610"/>
      <c r="Q481" s="610"/>
      <c r="R481" s="610"/>
      <c r="S481" s="610"/>
      <c r="T481" s="610"/>
      <c r="U481" s="610"/>
      <c r="V481" s="610"/>
      <c r="W481" s="610"/>
      <c r="X481" s="610"/>
      <c r="Y481" s="610"/>
      <c r="Z481" s="610"/>
      <c r="AA481" s="610"/>
      <c r="AB481" s="610"/>
      <c r="AC481" s="610"/>
      <c r="AD481" s="610"/>
      <c r="AG481" s="610"/>
      <c r="AH481" s="610"/>
    </row>
    <row r="482">
      <c r="B482" s="610"/>
      <c r="C482" s="610"/>
      <c r="D482" s="610"/>
      <c r="E482" s="610"/>
      <c r="F482" s="610"/>
      <c r="G482" s="610"/>
      <c r="H482" s="610"/>
      <c r="I482" s="610"/>
      <c r="J482" s="610"/>
      <c r="K482" s="610"/>
      <c r="L482" s="610"/>
      <c r="M482" s="610"/>
      <c r="N482" s="610"/>
      <c r="O482" s="610"/>
      <c r="P482" s="610"/>
      <c r="Q482" s="610"/>
      <c r="R482" s="610"/>
      <c r="S482" s="610"/>
      <c r="T482" s="610"/>
      <c r="U482" s="610"/>
      <c r="V482" s="610"/>
      <c r="W482" s="610"/>
      <c r="X482" s="610"/>
      <c r="Y482" s="610"/>
      <c r="Z482" s="610"/>
      <c r="AA482" s="610"/>
      <c r="AB482" s="610"/>
      <c r="AC482" s="610"/>
      <c r="AD482" s="610"/>
      <c r="AG482" s="610"/>
      <c r="AH482" s="610"/>
    </row>
    <row r="483">
      <c r="B483" s="610"/>
      <c r="C483" s="610"/>
      <c r="D483" s="610"/>
      <c r="E483" s="610"/>
      <c r="F483" s="610"/>
      <c r="G483" s="610"/>
      <c r="H483" s="610"/>
      <c r="I483" s="610"/>
      <c r="J483" s="610"/>
      <c r="K483" s="610"/>
      <c r="L483" s="610"/>
      <c r="M483" s="610"/>
      <c r="N483" s="610"/>
      <c r="O483" s="610"/>
      <c r="P483" s="610"/>
      <c r="Q483" s="610"/>
      <c r="R483" s="610"/>
      <c r="S483" s="610"/>
      <c r="T483" s="610"/>
      <c r="U483" s="610"/>
      <c r="V483" s="610"/>
      <c r="W483" s="610"/>
      <c r="X483" s="610"/>
      <c r="Y483" s="610"/>
      <c r="Z483" s="610"/>
      <c r="AA483" s="610"/>
      <c r="AB483" s="610"/>
      <c r="AC483" s="610"/>
      <c r="AD483" s="610"/>
      <c r="AG483" s="610"/>
      <c r="AH483" s="610"/>
    </row>
    <row r="484">
      <c r="B484" s="610"/>
      <c r="C484" s="610"/>
      <c r="D484" s="610"/>
      <c r="E484" s="610"/>
      <c r="F484" s="610"/>
      <c r="G484" s="610"/>
      <c r="H484" s="610"/>
      <c r="I484" s="610"/>
      <c r="J484" s="610"/>
      <c r="K484" s="610"/>
      <c r="L484" s="610"/>
      <c r="M484" s="610"/>
      <c r="N484" s="610"/>
      <c r="O484" s="610"/>
      <c r="P484" s="610"/>
      <c r="Q484" s="610"/>
      <c r="R484" s="610"/>
      <c r="S484" s="610"/>
      <c r="T484" s="610"/>
      <c r="U484" s="610"/>
      <c r="V484" s="610"/>
      <c r="W484" s="610"/>
      <c r="X484" s="610"/>
      <c r="Y484" s="610"/>
      <c r="Z484" s="610"/>
      <c r="AA484" s="610"/>
      <c r="AB484" s="610"/>
      <c r="AC484" s="610"/>
      <c r="AD484" s="610"/>
      <c r="AG484" s="610"/>
      <c r="AH484" s="610"/>
    </row>
    <row r="485">
      <c r="B485" s="610"/>
      <c r="C485" s="610"/>
      <c r="D485" s="610"/>
      <c r="E485" s="610"/>
      <c r="F485" s="610"/>
      <c r="G485" s="610"/>
      <c r="H485" s="610"/>
      <c r="I485" s="610"/>
      <c r="J485" s="610"/>
      <c r="K485" s="610"/>
      <c r="L485" s="610"/>
      <c r="M485" s="610"/>
      <c r="N485" s="610"/>
      <c r="O485" s="610"/>
      <c r="P485" s="610"/>
      <c r="Q485" s="610"/>
      <c r="R485" s="610"/>
      <c r="S485" s="610"/>
      <c r="T485" s="610"/>
      <c r="U485" s="610"/>
      <c r="V485" s="610"/>
      <c r="W485" s="610"/>
      <c r="X485" s="610"/>
      <c r="Y485" s="610"/>
      <c r="Z485" s="610"/>
      <c r="AA485" s="610"/>
      <c r="AB485" s="610"/>
      <c r="AC485" s="610"/>
      <c r="AD485" s="610"/>
      <c r="AG485" s="610"/>
      <c r="AH485" s="610"/>
    </row>
    <row r="486">
      <c r="B486" s="610"/>
      <c r="C486" s="610"/>
      <c r="D486" s="610"/>
      <c r="E486" s="610"/>
      <c r="F486" s="610"/>
      <c r="G486" s="610"/>
      <c r="H486" s="610"/>
      <c r="I486" s="610"/>
      <c r="J486" s="610"/>
      <c r="K486" s="610"/>
      <c r="L486" s="610"/>
      <c r="M486" s="610"/>
      <c r="N486" s="610"/>
      <c r="O486" s="610"/>
      <c r="P486" s="610"/>
      <c r="Q486" s="610"/>
      <c r="R486" s="610"/>
      <c r="S486" s="610"/>
      <c r="T486" s="610"/>
      <c r="U486" s="610"/>
      <c r="V486" s="610"/>
      <c r="W486" s="610"/>
      <c r="X486" s="610"/>
      <c r="Y486" s="610"/>
      <c r="Z486" s="610"/>
      <c r="AA486" s="610"/>
      <c r="AB486" s="610"/>
      <c r="AC486" s="610"/>
      <c r="AD486" s="610"/>
      <c r="AG486" s="610"/>
      <c r="AH486" s="610"/>
    </row>
    <row r="487">
      <c r="B487" s="610"/>
      <c r="C487" s="610"/>
      <c r="D487" s="610"/>
      <c r="E487" s="610"/>
      <c r="F487" s="610"/>
      <c r="G487" s="610"/>
      <c r="H487" s="610"/>
      <c r="I487" s="610"/>
      <c r="J487" s="610"/>
      <c r="K487" s="610"/>
      <c r="L487" s="610"/>
      <c r="M487" s="610"/>
      <c r="N487" s="610"/>
      <c r="O487" s="610"/>
      <c r="P487" s="610"/>
      <c r="Q487" s="610"/>
      <c r="R487" s="610"/>
      <c r="S487" s="610"/>
      <c r="T487" s="610"/>
      <c r="U487" s="610"/>
      <c r="V487" s="610"/>
      <c r="W487" s="610"/>
      <c r="X487" s="610"/>
      <c r="Y487" s="610"/>
      <c r="Z487" s="610"/>
      <c r="AA487" s="610"/>
      <c r="AB487" s="610"/>
      <c r="AC487" s="610"/>
      <c r="AD487" s="610"/>
      <c r="AG487" s="610"/>
      <c r="AH487" s="610"/>
    </row>
    <row r="488">
      <c r="B488" s="610"/>
      <c r="C488" s="610"/>
      <c r="D488" s="610"/>
      <c r="E488" s="610"/>
      <c r="F488" s="610"/>
      <c r="G488" s="610"/>
      <c r="H488" s="610"/>
      <c r="I488" s="610"/>
      <c r="J488" s="610"/>
      <c r="K488" s="610"/>
      <c r="L488" s="610"/>
      <c r="M488" s="610"/>
      <c r="N488" s="610"/>
      <c r="O488" s="610"/>
      <c r="P488" s="610"/>
      <c r="Q488" s="610"/>
      <c r="R488" s="610"/>
      <c r="S488" s="610"/>
      <c r="T488" s="610"/>
      <c r="U488" s="610"/>
      <c r="V488" s="610"/>
      <c r="W488" s="610"/>
      <c r="X488" s="610"/>
      <c r="Y488" s="610"/>
      <c r="Z488" s="610"/>
      <c r="AA488" s="610"/>
      <c r="AB488" s="610"/>
      <c r="AC488" s="610"/>
      <c r="AD488" s="610"/>
      <c r="AG488" s="610"/>
      <c r="AH488" s="610"/>
    </row>
    <row r="489">
      <c r="B489" s="610"/>
      <c r="C489" s="610"/>
      <c r="D489" s="610"/>
      <c r="E489" s="610"/>
      <c r="F489" s="610"/>
      <c r="G489" s="610"/>
      <c r="H489" s="610"/>
      <c r="I489" s="610"/>
      <c r="J489" s="610"/>
      <c r="K489" s="610"/>
      <c r="L489" s="610"/>
      <c r="M489" s="610"/>
      <c r="N489" s="610"/>
      <c r="O489" s="610"/>
      <c r="P489" s="610"/>
      <c r="Q489" s="610"/>
      <c r="R489" s="610"/>
      <c r="S489" s="610"/>
      <c r="T489" s="610"/>
      <c r="U489" s="610"/>
      <c r="V489" s="610"/>
      <c r="W489" s="610"/>
      <c r="X489" s="610"/>
      <c r="Y489" s="610"/>
      <c r="Z489" s="610"/>
      <c r="AA489" s="610"/>
      <c r="AB489" s="610"/>
      <c r="AC489" s="610"/>
      <c r="AD489" s="610"/>
      <c r="AG489" s="610"/>
      <c r="AH489" s="610"/>
    </row>
    <row r="490">
      <c r="B490" s="610"/>
      <c r="C490" s="610"/>
      <c r="D490" s="610"/>
      <c r="E490" s="610"/>
      <c r="F490" s="610"/>
      <c r="G490" s="610"/>
      <c r="H490" s="610"/>
      <c r="I490" s="610"/>
      <c r="J490" s="610"/>
      <c r="K490" s="610"/>
      <c r="L490" s="610"/>
      <c r="M490" s="610"/>
      <c r="N490" s="610"/>
      <c r="O490" s="610"/>
      <c r="P490" s="610"/>
      <c r="Q490" s="610"/>
      <c r="R490" s="610"/>
      <c r="S490" s="610"/>
      <c r="T490" s="610"/>
      <c r="U490" s="610"/>
      <c r="V490" s="610"/>
      <c r="W490" s="610"/>
      <c r="X490" s="610"/>
      <c r="Y490" s="610"/>
      <c r="Z490" s="610"/>
      <c r="AA490" s="610"/>
      <c r="AB490" s="610"/>
      <c r="AC490" s="610"/>
      <c r="AD490" s="610"/>
      <c r="AG490" s="610"/>
      <c r="AH490" s="610"/>
    </row>
    <row r="491">
      <c r="B491" s="610"/>
      <c r="C491" s="610"/>
      <c r="D491" s="610"/>
      <c r="E491" s="610"/>
      <c r="F491" s="610"/>
      <c r="G491" s="610"/>
      <c r="H491" s="610"/>
      <c r="I491" s="610"/>
      <c r="J491" s="610"/>
      <c r="K491" s="610"/>
      <c r="L491" s="610"/>
      <c r="M491" s="610"/>
      <c r="N491" s="610"/>
      <c r="O491" s="610"/>
      <c r="P491" s="610"/>
      <c r="Q491" s="610"/>
      <c r="R491" s="610"/>
      <c r="S491" s="610"/>
      <c r="T491" s="610"/>
      <c r="U491" s="610"/>
      <c r="V491" s="610"/>
      <c r="W491" s="610"/>
      <c r="X491" s="610"/>
      <c r="Y491" s="610"/>
      <c r="Z491" s="610"/>
      <c r="AA491" s="610"/>
      <c r="AB491" s="610"/>
      <c r="AC491" s="610"/>
      <c r="AD491" s="610"/>
      <c r="AG491" s="610"/>
      <c r="AH491" s="610"/>
    </row>
    <row r="492">
      <c r="B492" s="610"/>
      <c r="C492" s="610"/>
      <c r="D492" s="610"/>
      <c r="E492" s="610"/>
      <c r="F492" s="610"/>
      <c r="G492" s="610"/>
      <c r="H492" s="610"/>
      <c r="I492" s="610"/>
      <c r="J492" s="610"/>
      <c r="K492" s="610"/>
      <c r="L492" s="610"/>
      <c r="M492" s="610"/>
      <c r="N492" s="610"/>
      <c r="O492" s="610"/>
      <c r="P492" s="610"/>
      <c r="Q492" s="610"/>
      <c r="R492" s="610"/>
      <c r="S492" s="610"/>
      <c r="T492" s="610"/>
      <c r="U492" s="610"/>
      <c r="V492" s="610"/>
      <c r="W492" s="610"/>
      <c r="X492" s="610"/>
      <c r="Y492" s="610"/>
      <c r="Z492" s="610"/>
      <c r="AA492" s="610"/>
      <c r="AB492" s="610"/>
      <c r="AC492" s="610"/>
      <c r="AD492" s="610"/>
      <c r="AG492" s="610"/>
      <c r="AH492" s="610"/>
    </row>
    <row r="493">
      <c r="B493" s="610"/>
      <c r="C493" s="610"/>
      <c r="D493" s="610"/>
      <c r="E493" s="610"/>
      <c r="F493" s="610"/>
      <c r="G493" s="610"/>
      <c r="H493" s="610"/>
      <c r="I493" s="610"/>
      <c r="J493" s="610"/>
      <c r="K493" s="610"/>
      <c r="L493" s="610"/>
      <c r="M493" s="610"/>
      <c r="N493" s="610"/>
      <c r="O493" s="610"/>
      <c r="P493" s="610"/>
      <c r="Q493" s="610"/>
      <c r="R493" s="610"/>
      <c r="S493" s="610"/>
      <c r="T493" s="610"/>
      <c r="U493" s="610"/>
      <c r="V493" s="610"/>
      <c r="W493" s="610"/>
      <c r="X493" s="610"/>
      <c r="Y493" s="610"/>
      <c r="Z493" s="610"/>
      <c r="AA493" s="610"/>
      <c r="AB493" s="610"/>
      <c r="AC493" s="610"/>
      <c r="AD493" s="610"/>
      <c r="AG493" s="610"/>
      <c r="AH493" s="610"/>
    </row>
    <row r="494">
      <c r="B494" s="610"/>
      <c r="C494" s="610"/>
      <c r="D494" s="610"/>
      <c r="E494" s="610"/>
      <c r="F494" s="610"/>
      <c r="G494" s="610"/>
      <c r="H494" s="610"/>
      <c r="I494" s="610"/>
      <c r="J494" s="610"/>
      <c r="K494" s="610"/>
      <c r="L494" s="610"/>
      <c r="M494" s="610"/>
      <c r="N494" s="610"/>
      <c r="O494" s="610"/>
      <c r="P494" s="610"/>
      <c r="Q494" s="610"/>
      <c r="R494" s="610"/>
      <c r="S494" s="610"/>
      <c r="T494" s="610"/>
      <c r="U494" s="610"/>
      <c r="V494" s="610"/>
      <c r="W494" s="610"/>
      <c r="X494" s="610"/>
      <c r="Y494" s="610"/>
      <c r="Z494" s="610"/>
      <c r="AA494" s="610"/>
      <c r="AB494" s="610"/>
      <c r="AC494" s="610"/>
      <c r="AD494" s="610"/>
      <c r="AG494" s="610"/>
      <c r="AH494" s="610"/>
    </row>
    <row r="495">
      <c r="B495" s="610"/>
      <c r="C495" s="610"/>
      <c r="D495" s="610"/>
      <c r="E495" s="610"/>
      <c r="F495" s="610"/>
      <c r="G495" s="610"/>
      <c r="H495" s="610"/>
      <c r="I495" s="610"/>
      <c r="J495" s="610"/>
      <c r="K495" s="610"/>
      <c r="L495" s="610"/>
      <c r="M495" s="610"/>
      <c r="N495" s="610"/>
      <c r="O495" s="610"/>
      <c r="P495" s="610"/>
      <c r="Q495" s="610"/>
      <c r="R495" s="610"/>
      <c r="S495" s="610"/>
      <c r="T495" s="610"/>
      <c r="U495" s="610"/>
      <c r="V495" s="610"/>
      <c r="W495" s="610"/>
      <c r="X495" s="610"/>
      <c r="Y495" s="610"/>
      <c r="Z495" s="610"/>
      <c r="AA495" s="610"/>
      <c r="AB495" s="610"/>
      <c r="AC495" s="610"/>
      <c r="AD495" s="610"/>
      <c r="AG495" s="610"/>
      <c r="AH495" s="610"/>
    </row>
    <row r="496">
      <c r="B496" s="610"/>
      <c r="C496" s="610"/>
      <c r="D496" s="610"/>
      <c r="E496" s="610"/>
      <c r="F496" s="610"/>
      <c r="G496" s="610"/>
      <c r="H496" s="610"/>
      <c r="I496" s="610"/>
      <c r="J496" s="610"/>
      <c r="K496" s="610"/>
      <c r="L496" s="610"/>
      <c r="M496" s="610"/>
      <c r="N496" s="610"/>
      <c r="O496" s="610"/>
      <c r="P496" s="610"/>
      <c r="Q496" s="610"/>
      <c r="R496" s="610"/>
      <c r="S496" s="610"/>
      <c r="T496" s="610"/>
      <c r="U496" s="610"/>
      <c r="V496" s="610"/>
      <c r="W496" s="610"/>
      <c r="X496" s="610"/>
      <c r="Y496" s="610"/>
      <c r="Z496" s="610"/>
      <c r="AA496" s="610"/>
      <c r="AB496" s="610"/>
      <c r="AC496" s="610"/>
      <c r="AD496" s="610"/>
      <c r="AG496" s="610"/>
      <c r="AH496" s="610"/>
    </row>
    <row r="497">
      <c r="B497" s="610"/>
      <c r="C497" s="610"/>
      <c r="D497" s="610"/>
      <c r="E497" s="610"/>
      <c r="F497" s="610"/>
      <c r="G497" s="610"/>
      <c r="H497" s="610"/>
      <c r="I497" s="610"/>
      <c r="J497" s="610"/>
      <c r="K497" s="610"/>
      <c r="L497" s="610"/>
      <c r="M497" s="610"/>
      <c r="N497" s="610"/>
      <c r="O497" s="610"/>
      <c r="P497" s="610"/>
      <c r="Q497" s="610"/>
      <c r="R497" s="610"/>
      <c r="S497" s="610"/>
      <c r="T497" s="610"/>
      <c r="U497" s="610"/>
      <c r="V497" s="610"/>
      <c r="W497" s="610"/>
      <c r="X497" s="610"/>
      <c r="Y497" s="610"/>
      <c r="Z497" s="610"/>
      <c r="AA497" s="610"/>
      <c r="AB497" s="610"/>
      <c r="AC497" s="610"/>
      <c r="AD497" s="610"/>
      <c r="AG497" s="610"/>
      <c r="AH497" s="610"/>
    </row>
    <row r="498">
      <c r="B498" s="610"/>
      <c r="C498" s="610"/>
      <c r="D498" s="610"/>
      <c r="E498" s="610"/>
      <c r="F498" s="610"/>
      <c r="G498" s="610"/>
      <c r="H498" s="610"/>
      <c r="I498" s="610"/>
      <c r="J498" s="610"/>
      <c r="K498" s="610"/>
      <c r="L498" s="610"/>
      <c r="M498" s="610"/>
      <c r="N498" s="610"/>
      <c r="O498" s="610"/>
      <c r="P498" s="610"/>
      <c r="Q498" s="610"/>
      <c r="R498" s="610"/>
      <c r="S498" s="610"/>
      <c r="T498" s="610"/>
      <c r="U498" s="610"/>
      <c r="V498" s="610"/>
      <c r="W498" s="610"/>
      <c r="X498" s="610"/>
      <c r="Y498" s="610"/>
      <c r="Z498" s="610"/>
      <c r="AA498" s="610"/>
      <c r="AB498" s="610"/>
      <c r="AC498" s="610"/>
      <c r="AD498" s="610"/>
      <c r="AG498" s="610"/>
      <c r="AH498" s="610"/>
    </row>
    <row r="499">
      <c r="B499" s="610"/>
      <c r="C499" s="610"/>
      <c r="D499" s="610"/>
      <c r="E499" s="610"/>
      <c r="F499" s="610"/>
      <c r="G499" s="610"/>
      <c r="H499" s="610"/>
      <c r="I499" s="610"/>
      <c r="J499" s="610"/>
      <c r="K499" s="610"/>
      <c r="L499" s="610"/>
      <c r="M499" s="610"/>
      <c r="N499" s="610"/>
      <c r="O499" s="610"/>
      <c r="P499" s="610"/>
      <c r="Q499" s="610"/>
      <c r="R499" s="610"/>
      <c r="S499" s="610"/>
      <c r="T499" s="610"/>
      <c r="U499" s="610"/>
      <c r="V499" s="610"/>
      <c r="W499" s="610"/>
      <c r="X499" s="610"/>
      <c r="Y499" s="610"/>
      <c r="Z499" s="610"/>
      <c r="AA499" s="610"/>
      <c r="AB499" s="610"/>
      <c r="AC499" s="610"/>
      <c r="AD499" s="610"/>
      <c r="AG499" s="610"/>
      <c r="AH499" s="610"/>
    </row>
    <row r="500">
      <c r="B500" s="610"/>
      <c r="C500" s="610"/>
      <c r="D500" s="610"/>
      <c r="E500" s="610"/>
      <c r="F500" s="610"/>
      <c r="G500" s="610"/>
      <c r="H500" s="610"/>
      <c r="I500" s="610"/>
      <c r="J500" s="610"/>
      <c r="K500" s="610"/>
      <c r="L500" s="610"/>
      <c r="M500" s="610"/>
      <c r="N500" s="610"/>
      <c r="O500" s="610"/>
      <c r="P500" s="610"/>
      <c r="Q500" s="610"/>
      <c r="R500" s="610"/>
      <c r="S500" s="610"/>
      <c r="T500" s="610"/>
      <c r="U500" s="610"/>
      <c r="V500" s="610"/>
      <c r="W500" s="610"/>
      <c r="X500" s="610"/>
      <c r="Y500" s="610"/>
      <c r="Z500" s="610"/>
      <c r="AA500" s="610"/>
      <c r="AB500" s="610"/>
      <c r="AC500" s="610"/>
      <c r="AD500" s="610"/>
      <c r="AG500" s="610"/>
      <c r="AH500" s="610"/>
    </row>
    <row r="501">
      <c r="B501" s="610"/>
      <c r="C501" s="610"/>
      <c r="D501" s="610"/>
      <c r="E501" s="610"/>
      <c r="F501" s="610"/>
      <c r="G501" s="610"/>
      <c r="H501" s="610"/>
      <c r="I501" s="610"/>
      <c r="J501" s="610"/>
      <c r="K501" s="610"/>
      <c r="L501" s="610"/>
      <c r="M501" s="610"/>
      <c r="N501" s="610"/>
      <c r="O501" s="610"/>
      <c r="P501" s="610"/>
      <c r="Q501" s="610"/>
      <c r="R501" s="610"/>
      <c r="S501" s="610"/>
      <c r="T501" s="610"/>
      <c r="U501" s="610"/>
      <c r="V501" s="610"/>
      <c r="W501" s="610"/>
      <c r="X501" s="610"/>
      <c r="Y501" s="610"/>
      <c r="Z501" s="610"/>
      <c r="AA501" s="610"/>
      <c r="AB501" s="610"/>
      <c r="AC501" s="610"/>
      <c r="AD501" s="610"/>
      <c r="AG501" s="610"/>
      <c r="AH501" s="610"/>
    </row>
    <row r="502">
      <c r="B502" s="610"/>
      <c r="C502" s="610"/>
      <c r="D502" s="610"/>
      <c r="E502" s="610"/>
      <c r="F502" s="610"/>
      <c r="G502" s="610"/>
      <c r="H502" s="610"/>
      <c r="I502" s="610"/>
      <c r="J502" s="610"/>
      <c r="K502" s="610"/>
      <c r="L502" s="610"/>
      <c r="M502" s="610"/>
      <c r="N502" s="610"/>
      <c r="O502" s="610"/>
      <c r="P502" s="610"/>
      <c r="Q502" s="610"/>
      <c r="R502" s="610"/>
      <c r="S502" s="610"/>
      <c r="T502" s="610"/>
      <c r="U502" s="610"/>
      <c r="V502" s="610"/>
      <c r="W502" s="610"/>
      <c r="X502" s="610"/>
      <c r="Y502" s="610"/>
      <c r="Z502" s="610"/>
      <c r="AA502" s="610"/>
      <c r="AB502" s="610"/>
      <c r="AC502" s="610"/>
      <c r="AD502" s="610"/>
      <c r="AG502" s="610"/>
      <c r="AH502" s="610"/>
    </row>
    <row r="503">
      <c r="B503" s="610"/>
      <c r="C503" s="610"/>
      <c r="D503" s="610"/>
      <c r="E503" s="610"/>
      <c r="F503" s="610"/>
      <c r="G503" s="610"/>
      <c r="H503" s="610"/>
      <c r="I503" s="610"/>
      <c r="J503" s="610"/>
      <c r="K503" s="610"/>
      <c r="L503" s="610"/>
      <c r="M503" s="610"/>
      <c r="N503" s="610"/>
      <c r="O503" s="610"/>
      <c r="P503" s="610"/>
      <c r="Q503" s="610"/>
      <c r="R503" s="610"/>
      <c r="S503" s="610"/>
      <c r="T503" s="610"/>
      <c r="U503" s="610"/>
      <c r="V503" s="610"/>
      <c r="W503" s="610"/>
      <c r="X503" s="610"/>
      <c r="Y503" s="610"/>
      <c r="Z503" s="610"/>
      <c r="AA503" s="610"/>
      <c r="AB503" s="610"/>
      <c r="AC503" s="610"/>
      <c r="AD503" s="610"/>
      <c r="AG503" s="610"/>
      <c r="AH503" s="610"/>
    </row>
    <row r="504">
      <c r="B504" s="610"/>
      <c r="C504" s="610"/>
      <c r="D504" s="610"/>
      <c r="E504" s="610"/>
      <c r="F504" s="610"/>
      <c r="G504" s="610"/>
      <c r="H504" s="610"/>
      <c r="I504" s="610"/>
      <c r="J504" s="610"/>
      <c r="K504" s="610"/>
      <c r="L504" s="610"/>
      <c r="M504" s="610"/>
      <c r="N504" s="610"/>
      <c r="O504" s="610"/>
      <c r="P504" s="610"/>
      <c r="Q504" s="610"/>
      <c r="R504" s="610"/>
      <c r="S504" s="610"/>
      <c r="T504" s="610"/>
      <c r="U504" s="610"/>
      <c r="V504" s="610"/>
      <c r="W504" s="610"/>
      <c r="X504" s="610"/>
      <c r="Y504" s="610"/>
      <c r="Z504" s="610"/>
      <c r="AA504" s="610"/>
      <c r="AB504" s="610"/>
      <c r="AC504" s="610"/>
      <c r="AD504" s="610"/>
      <c r="AG504" s="610"/>
      <c r="AH504" s="610"/>
    </row>
    <row r="505">
      <c r="B505" s="610"/>
      <c r="C505" s="610"/>
      <c r="D505" s="610"/>
      <c r="E505" s="610"/>
      <c r="F505" s="610"/>
      <c r="G505" s="610"/>
      <c r="H505" s="610"/>
      <c r="I505" s="610"/>
      <c r="J505" s="610"/>
      <c r="K505" s="610"/>
      <c r="L505" s="610"/>
      <c r="M505" s="610"/>
      <c r="N505" s="610"/>
      <c r="O505" s="610"/>
      <c r="P505" s="610"/>
      <c r="Q505" s="610"/>
      <c r="R505" s="610"/>
      <c r="S505" s="610"/>
      <c r="T505" s="610"/>
      <c r="U505" s="610"/>
      <c r="V505" s="610"/>
      <c r="W505" s="610"/>
      <c r="X505" s="610"/>
      <c r="Y505" s="610"/>
      <c r="Z505" s="610"/>
      <c r="AA505" s="610"/>
      <c r="AB505" s="610"/>
      <c r="AC505" s="610"/>
      <c r="AD505" s="610"/>
      <c r="AG505" s="610"/>
      <c r="AH505" s="610"/>
    </row>
    <row r="506">
      <c r="B506" s="610"/>
      <c r="C506" s="610"/>
      <c r="D506" s="610"/>
      <c r="E506" s="610"/>
      <c r="F506" s="610"/>
      <c r="G506" s="610"/>
      <c r="H506" s="610"/>
      <c r="I506" s="610"/>
      <c r="J506" s="610"/>
      <c r="K506" s="610"/>
      <c r="L506" s="610"/>
      <c r="M506" s="610"/>
      <c r="N506" s="610"/>
      <c r="O506" s="610"/>
      <c r="P506" s="610"/>
      <c r="Q506" s="610"/>
      <c r="R506" s="610"/>
      <c r="S506" s="610"/>
      <c r="T506" s="610"/>
      <c r="U506" s="610"/>
      <c r="V506" s="610"/>
      <c r="W506" s="610"/>
      <c r="X506" s="610"/>
      <c r="Y506" s="610"/>
      <c r="Z506" s="610"/>
      <c r="AA506" s="610"/>
      <c r="AB506" s="610"/>
      <c r="AC506" s="610"/>
      <c r="AD506" s="610"/>
      <c r="AG506" s="610"/>
      <c r="AH506" s="610"/>
    </row>
    <row r="507">
      <c r="B507" s="610"/>
      <c r="C507" s="610"/>
      <c r="D507" s="610"/>
      <c r="E507" s="610"/>
      <c r="F507" s="610"/>
      <c r="G507" s="610"/>
      <c r="H507" s="610"/>
      <c r="I507" s="610"/>
      <c r="J507" s="610"/>
      <c r="K507" s="610"/>
      <c r="L507" s="610"/>
      <c r="M507" s="610"/>
      <c r="N507" s="610"/>
      <c r="O507" s="610"/>
      <c r="P507" s="610"/>
      <c r="Q507" s="610"/>
      <c r="R507" s="610"/>
      <c r="S507" s="610"/>
      <c r="T507" s="610"/>
      <c r="U507" s="610"/>
      <c r="V507" s="610"/>
      <c r="W507" s="610"/>
      <c r="X507" s="610"/>
      <c r="Y507" s="610"/>
      <c r="Z507" s="610"/>
      <c r="AA507" s="610"/>
      <c r="AB507" s="610"/>
      <c r="AC507" s="610"/>
      <c r="AD507" s="610"/>
      <c r="AG507" s="610"/>
      <c r="AH507" s="610"/>
    </row>
    <row r="508">
      <c r="B508" s="610"/>
      <c r="C508" s="610"/>
      <c r="D508" s="610"/>
      <c r="E508" s="610"/>
      <c r="F508" s="610"/>
      <c r="G508" s="610"/>
      <c r="H508" s="610"/>
      <c r="I508" s="610"/>
      <c r="J508" s="610"/>
      <c r="K508" s="610"/>
      <c r="L508" s="610"/>
      <c r="M508" s="610"/>
      <c r="N508" s="610"/>
      <c r="O508" s="610"/>
      <c r="P508" s="610"/>
      <c r="Q508" s="610"/>
      <c r="R508" s="610"/>
      <c r="S508" s="610"/>
      <c r="T508" s="610"/>
      <c r="U508" s="610"/>
      <c r="V508" s="610"/>
      <c r="W508" s="610"/>
      <c r="X508" s="610"/>
      <c r="Y508" s="610"/>
      <c r="Z508" s="610"/>
      <c r="AA508" s="610"/>
      <c r="AB508" s="610"/>
      <c r="AC508" s="610"/>
      <c r="AD508" s="610"/>
      <c r="AG508" s="610"/>
      <c r="AH508" s="610"/>
    </row>
    <row r="509">
      <c r="B509" s="610"/>
      <c r="C509" s="610"/>
      <c r="D509" s="610"/>
      <c r="E509" s="610"/>
      <c r="F509" s="610"/>
      <c r="G509" s="610"/>
      <c r="H509" s="610"/>
      <c r="I509" s="610"/>
      <c r="J509" s="610"/>
      <c r="K509" s="610"/>
      <c r="L509" s="610"/>
      <c r="M509" s="610"/>
      <c r="N509" s="610"/>
      <c r="O509" s="610"/>
      <c r="P509" s="610"/>
      <c r="Q509" s="610"/>
      <c r="R509" s="610"/>
      <c r="S509" s="610"/>
      <c r="T509" s="610"/>
      <c r="U509" s="610"/>
      <c r="V509" s="610"/>
      <c r="W509" s="610"/>
      <c r="X509" s="610"/>
      <c r="Y509" s="610"/>
      <c r="Z509" s="610"/>
      <c r="AA509" s="610"/>
      <c r="AB509" s="610"/>
      <c r="AC509" s="610"/>
      <c r="AD509" s="610"/>
      <c r="AG509" s="610"/>
      <c r="AH509" s="610"/>
    </row>
    <row r="510">
      <c r="B510" s="610"/>
      <c r="C510" s="610"/>
      <c r="D510" s="610"/>
      <c r="E510" s="610"/>
      <c r="F510" s="610"/>
      <c r="G510" s="610"/>
      <c r="H510" s="610"/>
      <c r="I510" s="610"/>
      <c r="J510" s="610"/>
      <c r="K510" s="610"/>
      <c r="L510" s="610"/>
      <c r="M510" s="610"/>
      <c r="N510" s="610"/>
      <c r="O510" s="610"/>
      <c r="P510" s="610"/>
      <c r="Q510" s="610"/>
      <c r="R510" s="610"/>
      <c r="S510" s="610"/>
      <c r="T510" s="610"/>
      <c r="U510" s="610"/>
      <c r="V510" s="610"/>
      <c r="W510" s="610"/>
      <c r="X510" s="610"/>
      <c r="Y510" s="610"/>
      <c r="Z510" s="610"/>
      <c r="AA510" s="610"/>
      <c r="AB510" s="610"/>
      <c r="AC510" s="610"/>
      <c r="AD510" s="610"/>
      <c r="AG510" s="610"/>
      <c r="AH510" s="610"/>
    </row>
    <row r="511">
      <c r="B511" s="610"/>
      <c r="C511" s="610"/>
      <c r="D511" s="610"/>
      <c r="E511" s="610"/>
      <c r="F511" s="610"/>
      <c r="G511" s="610"/>
      <c r="H511" s="610"/>
      <c r="I511" s="610"/>
      <c r="J511" s="610"/>
      <c r="K511" s="610"/>
      <c r="L511" s="610"/>
      <c r="M511" s="610"/>
      <c r="N511" s="610"/>
      <c r="O511" s="610"/>
      <c r="P511" s="610"/>
      <c r="Q511" s="610"/>
      <c r="R511" s="610"/>
      <c r="S511" s="610"/>
      <c r="T511" s="610"/>
      <c r="U511" s="610"/>
      <c r="V511" s="610"/>
      <c r="W511" s="610"/>
      <c r="X511" s="610"/>
      <c r="Y511" s="610"/>
      <c r="Z511" s="610"/>
      <c r="AA511" s="610"/>
      <c r="AB511" s="610"/>
      <c r="AC511" s="610"/>
      <c r="AD511" s="610"/>
      <c r="AG511" s="610"/>
      <c r="AH511" s="610"/>
    </row>
    <row r="512">
      <c r="B512" s="610"/>
      <c r="C512" s="610"/>
      <c r="D512" s="610"/>
      <c r="E512" s="610"/>
      <c r="F512" s="610"/>
      <c r="G512" s="610"/>
      <c r="H512" s="610"/>
      <c r="I512" s="610"/>
      <c r="J512" s="610"/>
      <c r="K512" s="610"/>
      <c r="L512" s="610"/>
      <c r="M512" s="610"/>
      <c r="N512" s="610"/>
      <c r="O512" s="610"/>
      <c r="P512" s="610"/>
      <c r="Q512" s="610"/>
      <c r="R512" s="610"/>
      <c r="S512" s="610"/>
      <c r="T512" s="610"/>
      <c r="U512" s="610"/>
      <c r="V512" s="610"/>
      <c r="W512" s="610"/>
      <c r="X512" s="610"/>
      <c r="Y512" s="610"/>
      <c r="Z512" s="610"/>
      <c r="AA512" s="610"/>
      <c r="AB512" s="610"/>
      <c r="AC512" s="610"/>
      <c r="AD512" s="610"/>
      <c r="AG512" s="610"/>
      <c r="AH512" s="610"/>
    </row>
    <row r="513">
      <c r="B513" s="610"/>
      <c r="C513" s="610"/>
      <c r="D513" s="610"/>
      <c r="E513" s="610"/>
      <c r="F513" s="610"/>
      <c r="G513" s="610"/>
      <c r="H513" s="610"/>
      <c r="I513" s="610"/>
      <c r="J513" s="610"/>
      <c r="K513" s="610"/>
      <c r="L513" s="610"/>
      <c r="M513" s="610"/>
      <c r="N513" s="610"/>
      <c r="O513" s="610"/>
      <c r="P513" s="610"/>
      <c r="Q513" s="610"/>
      <c r="R513" s="610"/>
      <c r="S513" s="610"/>
      <c r="T513" s="610"/>
      <c r="U513" s="610"/>
      <c r="V513" s="610"/>
      <c r="W513" s="610"/>
      <c r="X513" s="610"/>
      <c r="Y513" s="610"/>
      <c r="Z513" s="610"/>
      <c r="AA513" s="610"/>
      <c r="AB513" s="610"/>
      <c r="AC513" s="610"/>
      <c r="AD513" s="610"/>
      <c r="AG513" s="610"/>
      <c r="AH513" s="610"/>
    </row>
    <row r="514">
      <c r="B514" s="610"/>
      <c r="C514" s="610"/>
      <c r="D514" s="610"/>
      <c r="E514" s="610"/>
      <c r="F514" s="610"/>
      <c r="G514" s="610"/>
      <c r="H514" s="610"/>
      <c r="I514" s="610"/>
      <c r="J514" s="610"/>
      <c r="K514" s="610"/>
      <c r="L514" s="610"/>
      <c r="M514" s="610"/>
      <c r="N514" s="610"/>
      <c r="O514" s="610"/>
      <c r="P514" s="610"/>
      <c r="Q514" s="610"/>
      <c r="R514" s="610"/>
      <c r="S514" s="610"/>
      <c r="T514" s="610"/>
      <c r="U514" s="610"/>
      <c r="V514" s="610"/>
      <c r="W514" s="610"/>
      <c r="X514" s="610"/>
      <c r="Y514" s="610"/>
      <c r="Z514" s="610"/>
      <c r="AA514" s="610"/>
      <c r="AB514" s="610"/>
      <c r="AC514" s="610"/>
      <c r="AD514" s="610"/>
      <c r="AG514" s="610"/>
      <c r="AH514" s="610"/>
    </row>
    <row r="515">
      <c r="B515" s="610"/>
      <c r="C515" s="610"/>
      <c r="D515" s="610"/>
      <c r="E515" s="610"/>
      <c r="F515" s="610"/>
      <c r="G515" s="610"/>
      <c r="H515" s="610"/>
      <c r="I515" s="610"/>
      <c r="J515" s="610"/>
      <c r="K515" s="610"/>
      <c r="L515" s="610"/>
      <c r="M515" s="610"/>
      <c r="N515" s="610"/>
      <c r="O515" s="610"/>
      <c r="P515" s="610"/>
      <c r="Q515" s="610"/>
      <c r="R515" s="610"/>
      <c r="S515" s="610"/>
      <c r="T515" s="610"/>
      <c r="U515" s="610"/>
      <c r="V515" s="610"/>
      <c r="W515" s="610"/>
      <c r="X515" s="610"/>
      <c r="Y515" s="610"/>
      <c r="Z515" s="610"/>
      <c r="AA515" s="610"/>
      <c r="AB515" s="610"/>
      <c r="AC515" s="610"/>
      <c r="AD515" s="610"/>
      <c r="AG515" s="610"/>
      <c r="AH515" s="610"/>
    </row>
    <row r="516">
      <c r="B516" s="610"/>
      <c r="C516" s="610"/>
      <c r="D516" s="610"/>
      <c r="E516" s="610"/>
      <c r="F516" s="610"/>
      <c r="G516" s="610"/>
      <c r="H516" s="610"/>
      <c r="I516" s="610"/>
      <c r="J516" s="610"/>
      <c r="K516" s="610"/>
      <c r="L516" s="610"/>
      <c r="M516" s="610"/>
      <c r="N516" s="610"/>
      <c r="O516" s="610"/>
      <c r="P516" s="610"/>
      <c r="Q516" s="610"/>
      <c r="R516" s="610"/>
      <c r="S516" s="610"/>
      <c r="T516" s="610"/>
      <c r="U516" s="610"/>
      <c r="V516" s="610"/>
      <c r="W516" s="610"/>
      <c r="X516" s="610"/>
      <c r="Y516" s="610"/>
      <c r="Z516" s="610"/>
      <c r="AA516" s="610"/>
      <c r="AB516" s="610"/>
      <c r="AC516" s="610"/>
      <c r="AD516" s="610"/>
      <c r="AG516" s="610"/>
      <c r="AH516" s="610"/>
    </row>
    <row r="517">
      <c r="B517" s="610"/>
      <c r="C517" s="610"/>
      <c r="D517" s="610"/>
      <c r="E517" s="610"/>
      <c r="F517" s="610"/>
      <c r="G517" s="610"/>
      <c r="H517" s="610"/>
      <c r="I517" s="610"/>
      <c r="J517" s="610"/>
      <c r="K517" s="610"/>
      <c r="L517" s="610"/>
      <c r="M517" s="610"/>
      <c r="N517" s="610"/>
      <c r="O517" s="610"/>
      <c r="P517" s="610"/>
      <c r="Q517" s="610"/>
      <c r="R517" s="610"/>
      <c r="S517" s="610"/>
      <c r="T517" s="610"/>
      <c r="U517" s="610"/>
      <c r="V517" s="610"/>
      <c r="W517" s="610"/>
      <c r="X517" s="610"/>
      <c r="Y517" s="610"/>
      <c r="Z517" s="610"/>
      <c r="AA517" s="610"/>
      <c r="AB517" s="610"/>
      <c r="AC517" s="610"/>
      <c r="AD517" s="610"/>
      <c r="AG517" s="610"/>
      <c r="AH517" s="610"/>
    </row>
    <row r="518">
      <c r="B518" s="610"/>
      <c r="C518" s="610"/>
      <c r="D518" s="610"/>
      <c r="E518" s="610"/>
      <c r="F518" s="610"/>
      <c r="G518" s="610"/>
      <c r="H518" s="610"/>
      <c r="I518" s="610"/>
      <c r="J518" s="610"/>
      <c r="K518" s="610"/>
      <c r="L518" s="610"/>
      <c r="M518" s="610"/>
      <c r="N518" s="610"/>
      <c r="O518" s="610"/>
      <c r="P518" s="610"/>
      <c r="Q518" s="610"/>
      <c r="R518" s="610"/>
      <c r="S518" s="610"/>
      <c r="T518" s="610"/>
      <c r="U518" s="610"/>
      <c r="V518" s="610"/>
      <c r="W518" s="610"/>
      <c r="X518" s="610"/>
      <c r="Y518" s="610"/>
      <c r="Z518" s="610"/>
      <c r="AA518" s="610"/>
      <c r="AB518" s="610"/>
      <c r="AC518" s="610"/>
      <c r="AD518" s="610"/>
      <c r="AG518" s="610"/>
      <c r="AH518" s="610"/>
    </row>
    <row r="519">
      <c r="B519" s="610"/>
      <c r="C519" s="610"/>
      <c r="D519" s="610"/>
      <c r="E519" s="610"/>
      <c r="F519" s="610"/>
      <c r="G519" s="610"/>
      <c r="H519" s="610"/>
      <c r="I519" s="610"/>
      <c r="J519" s="610"/>
      <c r="K519" s="610"/>
      <c r="L519" s="610"/>
      <c r="M519" s="610"/>
      <c r="N519" s="610"/>
      <c r="O519" s="610"/>
      <c r="P519" s="610"/>
      <c r="Q519" s="610"/>
      <c r="R519" s="610"/>
      <c r="S519" s="610"/>
      <c r="T519" s="610"/>
      <c r="U519" s="610"/>
      <c r="V519" s="610"/>
      <c r="W519" s="610"/>
      <c r="X519" s="610"/>
      <c r="Y519" s="610"/>
      <c r="Z519" s="610"/>
      <c r="AA519" s="610"/>
      <c r="AB519" s="610"/>
      <c r="AC519" s="610"/>
      <c r="AD519" s="610"/>
      <c r="AG519" s="610"/>
      <c r="AH519" s="610"/>
    </row>
    <row r="520">
      <c r="B520" s="610"/>
      <c r="C520" s="610"/>
      <c r="D520" s="610"/>
      <c r="E520" s="610"/>
      <c r="F520" s="610"/>
      <c r="G520" s="610"/>
      <c r="H520" s="610"/>
      <c r="I520" s="610"/>
      <c r="J520" s="610"/>
      <c r="K520" s="610"/>
      <c r="L520" s="610"/>
      <c r="M520" s="610"/>
      <c r="N520" s="610"/>
      <c r="O520" s="610"/>
      <c r="P520" s="610"/>
      <c r="Q520" s="610"/>
      <c r="R520" s="610"/>
      <c r="S520" s="610"/>
      <c r="T520" s="610"/>
      <c r="U520" s="610"/>
      <c r="V520" s="610"/>
      <c r="W520" s="610"/>
      <c r="X520" s="610"/>
      <c r="Y520" s="610"/>
      <c r="Z520" s="610"/>
      <c r="AA520" s="610"/>
      <c r="AB520" s="610"/>
      <c r="AC520" s="610"/>
      <c r="AD520" s="610"/>
      <c r="AG520" s="610"/>
      <c r="AH520" s="610"/>
    </row>
    <row r="521">
      <c r="B521" s="610"/>
      <c r="C521" s="610"/>
      <c r="D521" s="610"/>
      <c r="E521" s="610"/>
      <c r="F521" s="610"/>
      <c r="G521" s="610"/>
      <c r="H521" s="610"/>
      <c r="I521" s="610"/>
      <c r="J521" s="610"/>
      <c r="K521" s="610"/>
      <c r="L521" s="610"/>
      <c r="M521" s="610"/>
      <c r="N521" s="610"/>
      <c r="O521" s="610"/>
      <c r="P521" s="610"/>
      <c r="Q521" s="610"/>
      <c r="R521" s="610"/>
      <c r="S521" s="610"/>
      <c r="T521" s="610"/>
      <c r="U521" s="610"/>
      <c r="V521" s="610"/>
      <c r="W521" s="610"/>
      <c r="X521" s="610"/>
      <c r="Y521" s="610"/>
      <c r="Z521" s="610"/>
      <c r="AA521" s="610"/>
      <c r="AB521" s="610"/>
      <c r="AC521" s="610"/>
      <c r="AD521" s="610"/>
      <c r="AG521" s="610"/>
      <c r="AH521" s="610"/>
    </row>
    <row r="522">
      <c r="B522" s="610"/>
      <c r="C522" s="610"/>
      <c r="D522" s="610"/>
      <c r="E522" s="610"/>
      <c r="F522" s="610"/>
      <c r="G522" s="610"/>
      <c r="H522" s="610"/>
      <c r="I522" s="610"/>
      <c r="J522" s="610"/>
      <c r="K522" s="610"/>
      <c r="L522" s="610"/>
      <c r="M522" s="610"/>
      <c r="N522" s="610"/>
      <c r="O522" s="610"/>
      <c r="P522" s="610"/>
      <c r="Q522" s="610"/>
      <c r="R522" s="610"/>
      <c r="S522" s="610"/>
      <c r="T522" s="610"/>
      <c r="U522" s="610"/>
      <c r="V522" s="610"/>
      <c r="W522" s="610"/>
      <c r="X522" s="610"/>
      <c r="Y522" s="610"/>
      <c r="Z522" s="610"/>
      <c r="AA522" s="610"/>
      <c r="AB522" s="610"/>
      <c r="AC522" s="610"/>
      <c r="AD522" s="610"/>
      <c r="AG522" s="610"/>
      <c r="AH522" s="610"/>
    </row>
    <row r="523">
      <c r="B523" s="610"/>
      <c r="C523" s="610"/>
      <c r="D523" s="610"/>
      <c r="E523" s="610"/>
      <c r="F523" s="610"/>
      <c r="G523" s="610"/>
      <c r="H523" s="610"/>
      <c r="I523" s="610"/>
      <c r="J523" s="610"/>
      <c r="K523" s="610"/>
      <c r="L523" s="610"/>
      <c r="M523" s="610"/>
      <c r="N523" s="610"/>
      <c r="O523" s="610"/>
      <c r="P523" s="610"/>
      <c r="Q523" s="610"/>
      <c r="R523" s="610"/>
      <c r="S523" s="610"/>
      <c r="T523" s="610"/>
      <c r="U523" s="610"/>
      <c r="V523" s="610"/>
      <c r="W523" s="610"/>
      <c r="X523" s="610"/>
      <c r="Y523" s="610"/>
      <c r="Z523" s="610"/>
      <c r="AA523" s="610"/>
      <c r="AB523" s="610"/>
      <c r="AC523" s="610"/>
      <c r="AD523" s="610"/>
      <c r="AG523" s="610"/>
      <c r="AH523" s="610"/>
    </row>
    <row r="524">
      <c r="B524" s="610"/>
      <c r="C524" s="610"/>
      <c r="D524" s="610"/>
      <c r="E524" s="610"/>
      <c r="F524" s="610"/>
      <c r="G524" s="610"/>
      <c r="H524" s="610"/>
      <c r="I524" s="610"/>
      <c r="J524" s="610"/>
      <c r="K524" s="610"/>
      <c r="L524" s="610"/>
      <c r="M524" s="610"/>
      <c r="N524" s="610"/>
      <c r="O524" s="610"/>
      <c r="P524" s="610"/>
      <c r="Q524" s="610"/>
      <c r="R524" s="610"/>
      <c r="S524" s="610"/>
      <c r="T524" s="610"/>
      <c r="U524" s="610"/>
      <c r="V524" s="610"/>
      <c r="W524" s="610"/>
      <c r="X524" s="610"/>
      <c r="Y524" s="610"/>
      <c r="Z524" s="610"/>
      <c r="AA524" s="610"/>
      <c r="AB524" s="610"/>
      <c r="AC524" s="610"/>
      <c r="AD524" s="610"/>
      <c r="AG524" s="610"/>
      <c r="AH524" s="610"/>
    </row>
    <row r="525">
      <c r="B525" s="610"/>
      <c r="C525" s="610"/>
      <c r="D525" s="610"/>
      <c r="E525" s="610"/>
      <c r="F525" s="610"/>
      <c r="G525" s="610"/>
      <c r="H525" s="610"/>
      <c r="I525" s="610"/>
      <c r="J525" s="610"/>
      <c r="K525" s="610"/>
      <c r="L525" s="610"/>
      <c r="M525" s="610"/>
      <c r="N525" s="610"/>
      <c r="O525" s="610"/>
      <c r="P525" s="610"/>
      <c r="Q525" s="610"/>
      <c r="R525" s="610"/>
      <c r="S525" s="610"/>
      <c r="T525" s="610"/>
      <c r="U525" s="610"/>
      <c r="V525" s="610"/>
      <c r="W525" s="610"/>
      <c r="X525" s="610"/>
      <c r="Y525" s="610"/>
      <c r="Z525" s="610"/>
      <c r="AA525" s="610"/>
      <c r="AB525" s="610"/>
      <c r="AC525" s="610"/>
      <c r="AD525" s="610"/>
      <c r="AG525" s="610"/>
      <c r="AH525" s="610"/>
    </row>
    <row r="526">
      <c r="B526" s="610"/>
      <c r="C526" s="610"/>
      <c r="D526" s="610"/>
      <c r="E526" s="610"/>
      <c r="F526" s="610"/>
      <c r="G526" s="610"/>
      <c r="H526" s="610"/>
      <c r="I526" s="610"/>
      <c r="J526" s="610"/>
      <c r="K526" s="610"/>
      <c r="L526" s="610"/>
      <c r="M526" s="610"/>
      <c r="N526" s="610"/>
      <c r="O526" s="610"/>
      <c r="P526" s="610"/>
      <c r="Q526" s="610"/>
      <c r="R526" s="610"/>
      <c r="S526" s="610"/>
      <c r="T526" s="610"/>
      <c r="U526" s="610"/>
      <c r="V526" s="610"/>
      <c r="W526" s="610"/>
      <c r="X526" s="610"/>
      <c r="Y526" s="610"/>
      <c r="Z526" s="610"/>
      <c r="AA526" s="610"/>
      <c r="AB526" s="610"/>
      <c r="AC526" s="610"/>
      <c r="AD526" s="610"/>
      <c r="AG526" s="610"/>
      <c r="AH526" s="610"/>
    </row>
    <row r="527">
      <c r="B527" s="610"/>
      <c r="C527" s="610"/>
      <c r="D527" s="610"/>
      <c r="E527" s="610"/>
      <c r="F527" s="610"/>
      <c r="G527" s="610"/>
      <c r="H527" s="610"/>
      <c r="I527" s="610"/>
      <c r="J527" s="610"/>
      <c r="K527" s="610"/>
      <c r="L527" s="610"/>
      <c r="M527" s="610"/>
      <c r="N527" s="610"/>
      <c r="O527" s="610"/>
      <c r="P527" s="610"/>
      <c r="Q527" s="610"/>
      <c r="R527" s="610"/>
      <c r="S527" s="610"/>
      <c r="T527" s="610"/>
      <c r="U527" s="610"/>
      <c r="V527" s="610"/>
      <c r="W527" s="610"/>
      <c r="X527" s="610"/>
      <c r="Y527" s="610"/>
      <c r="Z527" s="610"/>
      <c r="AA527" s="610"/>
      <c r="AB527" s="610"/>
      <c r="AC527" s="610"/>
      <c r="AD527" s="610"/>
      <c r="AG527" s="610"/>
      <c r="AH527" s="610"/>
    </row>
    <row r="528">
      <c r="B528" s="610"/>
      <c r="C528" s="610"/>
      <c r="D528" s="610"/>
      <c r="E528" s="610"/>
      <c r="F528" s="610"/>
      <c r="G528" s="610"/>
      <c r="H528" s="610"/>
      <c r="I528" s="610"/>
      <c r="J528" s="610"/>
      <c r="K528" s="610"/>
      <c r="L528" s="610"/>
      <c r="M528" s="610"/>
      <c r="N528" s="610"/>
      <c r="O528" s="610"/>
      <c r="P528" s="610"/>
      <c r="Q528" s="610"/>
      <c r="R528" s="610"/>
      <c r="S528" s="610"/>
      <c r="T528" s="610"/>
      <c r="U528" s="610"/>
      <c r="V528" s="610"/>
      <c r="W528" s="610"/>
      <c r="X528" s="610"/>
      <c r="Y528" s="610"/>
      <c r="Z528" s="610"/>
      <c r="AA528" s="610"/>
      <c r="AB528" s="610"/>
      <c r="AC528" s="610"/>
      <c r="AD528" s="610"/>
      <c r="AG528" s="610"/>
      <c r="AH528" s="610"/>
    </row>
    <row r="529">
      <c r="B529" s="610"/>
      <c r="C529" s="610"/>
      <c r="D529" s="610"/>
      <c r="E529" s="610"/>
      <c r="F529" s="610"/>
      <c r="G529" s="610"/>
      <c r="H529" s="610"/>
      <c r="I529" s="610"/>
      <c r="J529" s="610"/>
      <c r="K529" s="610"/>
      <c r="L529" s="610"/>
      <c r="M529" s="610"/>
      <c r="N529" s="610"/>
      <c r="O529" s="610"/>
      <c r="P529" s="610"/>
      <c r="Q529" s="610"/>
      <c r="R529" s="610"/>
      <c r="S529" s="610"/>
      <c r="T529" s="610"/>
      <c r="U529" s="610"/>
      <c r="V529" s="610"/>
      <c r="W529" s="610"/>
      <c r="X529" s="610"/>
      <c r="Y529" s="610"/>
      <c r="Z529" s="610"/>
      <c r="AA529" s="610"/>
      <c r="AB529" s="610"/>
      <c r="AC529" s="610"/>
      <c r="AD529" s="610"/>
      <c r="AG529" s="610"/>
      <c r="AH529" s="610"/>
    </row>
    <row r="530">
      <c r="B530" s="610"/>
      <c r="C530" s="610"/>
      <c r="D530" s="610"/>
      <c r="E530" s="610"/>
      <c r="F530" s="610"/>
      <c r="G530" s="610"/>
      <c r="H530" s="610"/>
      <c r="I530" s="610"/>
      <c r="J530" s="610"/>
      <c r="K530" s="610"/>
      <c r="L530" s="610"/>
      <c r="M530" s="610"/>
      <c r="N530" s="610"/>
      <c r="O530" s="610"/>
      <c r="P530" s="610"/>
      <c r="Q530" s="610"/>
      <c r="R530" s="610"/>
      <c r="S530" s="610"/>
      <c r="T530" s="610"/>
      <c r="U530" s="610"/>
      <c r="V530" s="610"/>
      <c r="W530" s="610"/>
      <c r="X530" s="610"/>
      <c r="Y530" s="610"/>
      <c r="Z530" s="610"/>
      <c r="AA530" s="610"/>
      <c r="AB530" s="610"/>
      <c r="AC530" s="610"/>
      <c r="AD530" s="610"/>
      <c r="AG530" s="610"/>
      <c r="AH530" s="610"/>
    </row>
    <row r="531">
      <c r="B531" s="610"/>
      <c r="C531" s="610"/>
      <c r="D531" s="610"/>
      <c r="E531" s="610"/>
      <c r="F531" s="610"/>
      <c r="G531" s="610"/>
      <c r="H531" s="610"/>
      <c r="I531" s="610"/>
      <c r="J531" s="610"/>
      <c r="K531" s="610"/>
      <c r="L531" s="610"/>
      <c r="M531" s="610"/>
      <c r="N531" s="610"/>
      <c r="O531" s="610"/>
      <c r="P531" s="610"/>
      <c r="Q531" s="610"/>
      <c r="R531" s="610"/>
      <c r="S531" s="610"/>
      <c r="T531" s="610"/>
      <c r="U531" s="610"/>
      <c r="V531" s="610"/>
      <c r="W531" s="610"/>
      <c r="X531" s="610"/>
      <c r="Y531" s="610"/>
      <c r="Z531" s="610"/>
      <c r="AA531" s="610"/>
      <c r="AB531" s="610"/>
      <c r="AC531" s="610"/>
      <c r="AD531" s="610"/>
      <c r="AG531" s="610"/>
      <c r="AH531" s="610"/>
    </row>
    <row r="532">
      <c r="B532" s="610"/>
      <c r="C532" s="610"/>
      <c r="D532" s="610"/>
      <c r="E532" s="610"/>
      <c r="F532" s="610"/>
      <c r="G532" s="610"/>
      <c r="H532" s="610"/>
      <c r="I532" s="610"/>
      <c r="J532" s="610"/>
      <c r="K532" s="610"/>
      <c r="L532" s="610"/>
      <c r="M532" s="610"/>
      <c r="N532" s="610"/>
      <c r="O532" s="610"/>
      <c r="P532" s="610"/>
      <c r="Q532" s="610"/>
      <c r="R532" s="610"/>
      <c r="S532" s="610"/>
      <c r="T532" s="610"/>
      <c r="U532" s="610"/>
      <c r="V532" s="610"/>
      <c r="W532" s="610"/>
      <c r="X532" s="610"/>
      <c r="Y532" s="610"/>
      <c r="Z532" s="610"/>
      <c r="AA532" s="610"/>
      <c r="AB532" s="610"/>
      <c r="AC532" s="610"/>
      <c r="AD532" s="610"/>
      <c r="AG532" s="610"/>
      <c r="AH532" s="610"/>
    </row>
    <row r="533">
      <c r="B533" s="610"/>
      <c r="C533" s="610"/>
      <c r="D533" s="610"/>
      <c r="E533" s="610"/>
      <c r="F533" s="610"/>
      <c r="G533" s="610"/>
      <c r="H533" s="610"/>
      <c r="I533" s="610"/>
      <c r="J533" s="610"/>
      <c r="K533" s="610"/>
      <c r="L533" s="610"/>
      <c r="M533" s="610"/>
      <c r="N533" s="610"/>
      <c r="O533" s="610"/>
      <c r="P533" s="610"/>
      <c r="Q533" s="610"/>
      <c r="R533" s="610"/>
      <c r="S533" s="610"/>
      <c r="T533" s="610"/>
      <c r="U533" s="610"/>
      <c r="V533" s="610"/>
      <c r="W533" s="610"/>
      <c r="X533" s="610"/>
      <c r="Y533" s="610"/>
      <c r="Z533" s="610"/>
      <c r="AA533" s="610"/>
      <c r="AB533" s="610"/>
      <c r="AC533" s="610"/>
      <c r="AD533" s="610"/>
      <c r="AG533" s="610"/>
      <c r="AH533" s="610"/>
    </row>
    <row r="534">
      <c r="B534" s="610"/>
      <c r="C534" s="610"/>
      <c r="D534" s="610"/>
      <c r="E534" s="610"/>
      <c r="F534" s="610"/>
      <c r="G534" s="610"/>
      <c r="H534" s="610"/>
      <c r="I534" s="610"/>
      <c r="J534" s="610"/>
      <c r="K534" s="610"/>
      <c r="L534" s="610"/>
      <c r="M534" s="610"/>
      <c r="N534" s="610"/>
      <c r="O534" s="610"/>
      <c r="P534" s="610"/>
      <c r="Q534" s="610"/>
      <c r="R534" s="610"/>
      <c r="S534" s="610"/>
      <c r="T534" s="610"/>
      <c r="U534" s="610"/>
      <c r="V534" s="610"/>
      <c r="W534" s="610"/>
      <c r="X534" s="610"/>
      <c r="Y534" s="610"/>
      <c r="Z534" s="610"/>
      <c r="AA534" s="610"/>
      <c r="AB534" s="610"/>
      <c r="AC534" s="610"/>
      <c r="AD534" s="610"/>
      <c r="AG534" s="610"/>
      <c r="AH534" s="610"/>
    </row>
    <row r="535">
      <c r="B535" s="610"/>
      <c r="C535" s="610"/>
      <c r="D535" s="610"/>
      <c r="E535" s="610"/>
      <c r="F535" s="610"/>
      <c r="G535" s="610"/>
      <c r="H535" s="610"/>
      <c r="I535" s="610"/>
      <c r="J535" s="610"/>
      <c r="K535" s="610"/>
      <c r="L535" s="610"/>
      <c r="M535" s="610"/>
      <c r="N535" s="610"/>
      <c r="O535" s="610"/>
      <c r="P535" s="610"/>
      <c r="Q535" s="610"/>
      <c r="R535" s="610"/>
      <c r="S535" s="610"/>
      <c r="T535" s="610"/>
      <c r="U535" s="610"/>
      <c r="V535" s="610"/>
      <c r="W535" s="610"/>
      <c r="X535" s="610"/>
      <c r="Y535" s="610"/>
      <c r="Z535" s="610"/>
      <c r="AA535" s="610"/>
      <c r="AB535" s="610"/>
      <c r="AC535" s="610"/>
      <c r="AD535" s="610"/>
      <c r="AG535" s="610"/>
      <c r="AH535" s="610"/>
    </row>
    <row r="536">
      <c r="B536" s="610"/>
      <c r="C536" s="610"/>
      <c r="D536" s="610"/>
      <c r="E536" s="610"/>
      <c r="F536" s="610"/>
      <c r="G536" s="610"/>
      <c r="H536" s="610"/>
      <c r="I536" s="610"/>
      <c r="J536" s="610"/>
      <c r="K536" s="610"/>
      <c r="L536" s="610"/>
      <c r="M536" s="610"/>
      <c r="N536" s="610"/>
      <c r="O536" s="610"/>
      <c r="P536" s="610"/>
      <c r="Q536" s="610"/>
      <c r="R536" s="610"/>
      <c r="S536" s="610"/>
      <c r="T536" s="610"/>
      <c r="U536" s="610"/>
      <c r="V536" s="610"/>
      <c r="W536" s="610"/>
      <c r="X536" s="610"/>
      <c r="Y536" s="610"/>
      <c r="Z536" s="610"/>
      <c r="AA536" s="610"/>
      <c r="AB536" s="610"/>
      <c r="AC536" s="610"/>
      <c r="AD536" s="610"/>
      <c r="AG536" s="610"/>
      <c r="AH536" s="610"/>
    </row>
    <row r="537">
      <c r="B537" s="610"/>
      <c r="C537" s="610"/>
      <c r="D537" s="610"/>
      <c r="E537" s="610"/>
      <c r="F537" s="610"/>
      <c r="G537" s="610"/>
      <c r="H537" s="610"/>
      <c r="I537" s="610"/>
      <c r="J537" s="610"/>
      <c r="K537" s="610"/>
      <c r="L537" s="610"/>
      <c r="M537" s="610"/>
      <c r="N537" s="610"/>
      <c r="O537" s="610"/>
      <c r="P537" s="610"/>
      <c r="Q537" s="610"/>
      <c r="R537" s="610"/>
      <c r="S537" s="610"/>
      <c r="T537" s="610"/>
      <c r="U537" s="610"/>
      <c r="V537" s="610"/>
      <c r="W537" s="610"/>
      <c r="X537" s="610"/>
      <c r="Y537" s="610"/>
      <c r="Z537" s="610"/>
      <c r="AA537" s="610"/>
      <c r="AB537" s="610"/>
      <c r="AC537" s="610"/>
      <c r="AD537" s="610"/>
      <c r="AG537" s="610"/>
      <c r="AH537" s="610"/>
    </row>
    <row r="538">
      <c r="B538" s="610"/>
      <c r="C538" s="610"/>
      <c r="D538" s="610"/>
      <c r="E538" s="610"/>
      <c r="F538" s="610"/>
      <c r="G538" s="610"/>
      <c r="H538" s="610"/>
      <c r="I538" s="610"/>
      <c r="J538" s="610"/>
      <c r="K538" s="610"/>
      <c r="L538" s="610"/>
      <c r="M538" s="610"/>
      <c r="N538" s="610"/>
      <c r="O538" s="610"/>
      <c r="P538" s="610"/>
      <c r="Q538" s="610"/>
      <c r="R538" s="610"/>
      <c r="S538" s="610"/>
      <c r="T538" s="610"/>
      <c r="U538" s="610"/>
      <c r="V538" s="610"/>
      <c r="W538" s="610"/>
      <c r="X538" s="610"/>
      <c r="Y538" s="610"/>
      <c r="Z538" s="610"/>
      <c r="AA538" s="610"/>
      <c r="AB538" s="610"/>
      <c r="AC538" s="610"/>
      <c r="AD538" s="610"/>
      <c r="AG538" s="610"/>
      <c r="AH538" s="610"/>
    </row>
    <row r="539">
      <c r="B539" s="610"/>
      <c r="C539" s="610"/>
      <c r="D539" s="610"/>
      <c r="E539" s="610"/>
      <c r="F539" s="610"/>
      <c r="G539" s="610"/>
      <c r="H539" s="610"/>
      <c r="I539" s="610"/>
      <c r="J539" s="610"/>
      <c r="K539" s="610"/>
      <c r="L539" s="610"/>
      <c r="M539" s="610"/>
      <c r="N539" s="610"/>
      <c r="O539" s="610"/>
      <c r="P539" s="610"/>
      <c r="Q539" s="610"/>
      <c r="R539" s="610"/>
      <c r="S539" s="610"/>
      <c r="T539" s="610"/>
      <c r="U539" s="610"/>
      <c r="V539" s="610"/>
      <c r="W539" s="610"/>
      <c r="X539" s="610"/>
      <c r="Y539" s="610"/>
      <c r="Z539" s="610"/>
      <c r="AA539" s="610"/>
      <c r="AB539" s="610"/>
      <c r="AC539" s="610"/>
      <c r="AD539" s="610"/>
      <c r="AG539" s="610"/>
      <c r="AH539" s="610"/>
    </row>
    <row r="540">
      <c r="B540" s="610"/>
      <c r="C540" s="610"/>
      <c r="D540" s="610"/>
      <c r="E540" s="610"/>
      <c r="F540" s="610"/>
      <c r="G540" s="610"/>
      <c r="H540" s="610"/>
      <c r="I540" s="610"/>
      <c r="J540" s="610"/>
      <c r="K540" s="610"/>
      <c r="L540" s="610"/>
      <c r="M540" s="610"/>
      <c r="N540" s="610"/>
      <c r="O540" s="610"/>
      <c r="P540" s="610"/>
      <c r="Q540" s="610"/>
      <c r="R540" s="610"/>
      <c r="S540" s="610"/>
      <c r="T540" s="610"/>
      <c r="U540" s="610"/>
      <c r="V540" s="610"/>
      <c r="W540" s="610"/>
      <c r="X540" s="610"/>
      <c r="Y540" s="610"/>
      <c r="Z540" s="610"/>
      <c r="AA540" s="610"/>
      <c r="AB540" s="610"/>
      <c r="AC540" s="610"/>
      <c r="AD540" s="610"/>
      <c r="AG540" s="610"/>
      <c r="AH540" s="610"/>
    </row>
    <row r="541">
      <c r="B541" s="610"/>
      <c r="C541" s="610"/>
      <c r="D541" s="610"/>
      <c r="E541" s="610"/>
      <c r="F541" s="610"/>
      <c r="G541" s="610"/>
      <c r="H541" s="610"/>
      <c r="I541" s="610"/>
      <c r="J541" s="610"/>
      <c r="K541" s="610"/>
      <c r="L541" s="610"/>
      <c r="M541" s="610"/>
      <c r="N541" s="610"/>
      <c r="O541" s="610"/>
      <c r="P541" s="610"/>
      <c r="Q541" s="610"/>
      <c r="R541" s="610"/>
      <c r="S541" s="610"/>
      <c r="T541" s="610"/>
      <c r="U541" s="610"/>
      <c r="V541" s="610"/>
      <c r="W541" s="610"/>
      <c r="X541" s="610"/>
      <c r="Y541" s="610"/>
      <c r="Z541" s="610"/>
      <c r="AA541" s="610"/>
      <c r="AB541" s="610"/>
      <c r="AC541" s="610"/>
      <c r="AD541" s="610"/>
      <c r="AG541" s="610"/>
      <c r="AH541" s="610"/>
    </row>
    <row r="542">
      <c r="B542" s="610"/>
      <c r="C542" s="610"/>
      <c r="D542" s="610"/>
      <c r="E542" s="610"/>
      <c r="F542" s="610"/>
      <c r="G542" s="610"/>
      <c r="H542" s="610"/>
      <c r="I542" s="610"/>
      <c r="J542" s="610"/>
      <c r="K542" s="610"/>
      <c r="L542" s="610"/>
      <c r="M542" s="610"/>
      <c r="N542" s="610"/>
      <c r="O542" s="610"/>
      <c r="P542" s="610"/>
      <c r="Q542" s="610"/>
      <c r="R542" s="610"/>
      <c r="S542" s="610"/>
      <c r="T542" s="610"/>
      <c r="U542" s="610"/>
      <c r="V542" s="610"/>
      <c r="W542" s="610"/>
      <c r="X542" s="610"/>
      <c r="Y542" s="610"/>
      <c r="Z542" s="610"/>
      <c r="AA542" s="610"/>
      <c r="AB542" s="610"/>
      <c r="AC542" s="610"/>
      <c r="AD542" s="610"/>
      <c r="AG542" s="610"/>
      <c r="AH542" s="610"/>
    </row>
    <row r="543">
      <c r="B543" s="610"/>
      <c r="C543" s="610"/>
      <c r="D543" s="610"/>
      <c r="E543" s="610"/>
      <c r="F543" s="610"/>
      <c r="G543" s="610"/>
      <c r="H543" s="610"/>
      <c r="I543" s="610"/>
      <c r="J543" s="610"/>
      <c r="K543" s="610"/>
      <c r="L543" s="610"/>
      <c r="M543" s="610"/>
      <c r="N543" s="610"/>
      <c r="O543" s="610"/>
      <c r="P543" s="610"/>
      <c r="Q543" s="610"/>
      <c r="R543" s="610"/>
      <c r="S543" s="610"/>
      <c r="T543" s="610"/>
      <c r="U543" s="610"/>
      <c r="V543" s="610"/>
      <c r="W543" s="610"/>
      <c r="X543" s="610"/>
      <c r="Y543" s="610"/>
      <c r="Z543" s="610"/>
      <c r="AA543" s="610"/>
      <c r="AB543" s="610"/>
      <c r="AC543" s="610"/>
      <c r="AD543" s="610"/>
      <c r="AG543" s="610"/>
      <c r="AH543" s="610"/>
    </row>
    <row r="544">
      <c r="B544" s="610"/>
      <c r="C544" s="610"/>
      <c r="D544" s="610"/>
      <c r="E544" s="610"/>
      <c r="F544" s="610"/>
      <c r="G544" s="610"/>
      <c r="H544" s="610"/>
      <c r="I544" s="610"/>
      <c r="J544" s="610"/>
      <c r="K544" s="610"/>
      <c r="L544" s="610"/>
      <c r="M544" s="610"/>
      <c r="N544" s="610"/>
      <c r="O544" s="610"/>
      <c r="P544" s="610"/>
      <c r="Q544" s="610"/>
      <c r="R544" s="610"/>
      <c r="S544" s="610"/>
      <c r="T544" s="610"/>
      <c r="U544" s="610"/>
      <c r="V544" s="610"/>
      <c r="W544" s="610"/>
      <c r="X544" s="610"/>
      <c r="Y544" s="610"/>
      <c r="Z544" s="610"/>
      <c r="AA544" s="610"/>
      <c r="AB544" s="610"/>
      <c r="AC544" s="610"/>
      <c r="AD544" s="610"/>
      <c r="AG544" s="610"/>
      <c r="AH544" s="610"/>
    </row>
    <row r="545">
      <c r="B545" s="610"/>
      <c r="C545" s="610"/>
      <c r="D545" s="610"/>
      <c r="E545" s="610"/>
      <c r="F545" s="610"/>
      <c r="G545" s="610"/>
      <c r="H545" s="610"/>
      <c r="I545" s="610"/>
      <c r="J545" s="610"/>
      <c r="K545" s="610"/>
      <c r="L545" s="610"/>
      <c r="M545" s="610"/>
      <c r="N545" s="610"/>
      <c r="O545" s="610"/>
      <c r="P545" s="610"/>
      <c r="Q545" s="610"/>
      <c r="R545" s="610"/>
      <c r="S545" s="610"/>
      <c r="T545" s="610"/>
      <c r="U545" s="610"/>
      <c r="V545" s="610"/>
      <c r="W545" s="610"/>
      <c r="X545" s="610"/>
      <c r="Y545" s="610"/>
      <c r="Z545" s="610"/>
      <c r="AA545" s="610"/>
      <c r="AB545" s="610"/>
      <c r="AC545" s="610"/>
      <c r="AD545" s="610"/>
      <c r="AG545" s="610"/>
      <c r="AH545" s="610"/>
    </row>
    <row r="546">
      <c r="B546" s="610"/>
      <c r="C546" s="610"/>
      <c r="D546" s="610"/>
      <c r="E546" s="610"/>
      <c r="F546" s="610"/>
      <c r="G546" s="610"/>
      <c r="H546" s="610"/>
      <c r="I546" s="610"/>
      <c r="J546" s="610"/>
      <c r="K546" s="610"/>
      <c r="L546" s="610"/>
      <c r="M546" s="610"/>
      <c r="N546" s="610"/>
      <c r="O546" s="610"/>
      <c r="P546" s="610"/>
      <c r="Q546" s="610"/>
      <c r="R546" s="610"/>
      <c r="S546" s="610"/>
      <c r="T546" s="610"/>
      <c r="U546" s="610"/>
      <c r="V546" s="610"/>
      <c r="W546" s="610"/>
      <c r="X546" s="610"/>
      <c r="Y546" s="610"/>
      <c r="Z546" s="610"/>
      <c r="AA546" s="610"/>
      <c r="AB546" s="610"/>
      <c r="AC546" s="610"/>
      <c r="AD546" s="610"/>
      <c r="AG546" s="610"/>
      <c r="AH546" s="610"/>
    </row>
    <row r="547">
      <c r="B547" s="610"/>
      <c r="C547" s="610"/>
      <c r="D547" s="610"/>
      <c r="E547" s="610"/>
      <c r="F547" s="610"/>
      <c r="G547" s="610"/>
      <c r="H547" s="610"/>
      <c r="I547" s="610"/>
      <c r="J547" s="610"/>
      <c r="K547" s="610"/>
      <c r="L547" s="610"/>
      <c r="M547" s="610"/>
      <c r="N547" s="610"/>
      <c r="O547" s="610"/>
      <c r="P547" s="610"/>
      <c r="Q547" s="610"/>
      <c r="R547" s="610"/>
      <c r="S547" s="610"/>
      <c r="T547" s="610"/>
      <c r="U547" s="610"/>
      <c r="V547" s="610"/>
      <c r="W547" s="610"/>
      <c r="X547" s="610"/>
      <c r="Y547" s="610"/>
      <c r="Z547" s="610"/>
      <c r="AA547" s="610"/>
      <c r="AB547" s="610"/>
      <c r="AC547" s="610"/>
      <c r="AD547" s="610"/>
      <c r="AG547" s="610"/>
      <c r="AH547" s="610"/>
    </row>
    <row r="548">
      <c r="B548" s="610"/>
      <c r="C548" s="610"/>
      <c r="D548" s="610"/>
      <c r="E548" s="610"/>
      <c r="F548" s="610"/>
      <c r="G548" s="610"/>
      <c r="H548" s="610"/>
      <c r="I548" s="610"/>
      <c r="J548" s="610"/>
      <c r="K548" s="610"/>
      <c r="L548" s="610"/>
      <c r="M548" s="610"/>
      <c r="N548" s="610"/>
      <c r="O548" s="610"/>
      <c r="P548" s="610"/>
      <c r="Q548" s="610"/>
      <c r="R548" s="610"/>
      <c r="S548" s="610"/>
      <c r="T548" s="610"/>
      <c r="U548" s="610"/>
      <c r="V548" s="610"/>
      <c r="W548" s="610"/>
      <c r="X548" s="610"/>
      <c r="Y548" s="610"/>
      <c r="Z548" s="610"/>
      <c r="AA548" s="610"/>
      <c r="AB548" s="610"/>
      <c r="AC548" s="610"/>
      <c r="AD548" s="610"/>
      <c r="AG548" s="610"/>
      <c r="AH548" s="610"/>
    </row>
    <row r="549">
      <c r="B549" s="610"/>
      <c r="C549" s="610"/>
      <c r="D549" s="610"/>
      <c r="E549" s="610"/>
      <c r="F549" s="610"/>
      <c r="G549" s="610"/>
      <c r="H549" s="610"/>
      <c r="I549" s="610"/>
      <c r="J549" s="610"/>
      <c r="K549" s="610"/>
      <c r="L549" s="610"/>
      <c r="M549" s="610"/>
      <c r="N549" s="610"/>
      <c r="O549" s="610"/>
      <c r="P549" s="610"/>
      <c r="Q549" s="610"/>
      <c r="R549" s="610"/>
      <c r="S549" s="610"/>
      <c r="T549" s="610"/>
      <c r="U549" s="610"/>
      <c r="V549" s="610"/>
      <c r="W549" s="610"/>
      <c r="X549" s="610"/>
      <c r="Y549" s="610"/>
      <c r="Z549" s="610"/>
      <c r="AA549" s="610"/>
      <c r="AB549" s="610"/>
      <c r="AC549" s="610"/>
      <c r="AD549" s="610"/>
      <c r="AG549" s="610"/>
      <c r="AH549" s="610"/>
    </row>
    <row r="550">
      <c r="B550" s="610"/>
      <c r="C550" s="610"/>
      <c r="D550" s="610"/>
      <c r="E550" s="610"/>
      <c r="F550" s="610"/>
      <c r="G550" s="610"/>
      <c r="H550" s="610"/>
      <c r="I550" s="610"/>
      <c r="J550" s="610"/>
      <c r="K550" s="610"/>
      <c r="L550" s="610"/>
      <c r="M550" s="610"/>
      <c r="N550" s="610"/>
      <c r="O550" s="610"/>
      <c r="P550" s="610"/>
      <c r="Q550" s="610"/>
      <c r="R550" s="610"/>
      <c r="S550" s="610"/>
      <c r="T550" s="610"/>
      <c r="U550" s="610"/>
      <c r="V550" s="610"/>
      <c r="W550" s="610"/>
      <c r="X550" s="610"/>
      <c r="Y550" s="610"/>
      <c r="Z550" s="610"/>
      <c r="AA550" s="610"/>
      <c r="AB550" s="610"/>
      <c r="AC550" s="610"/>
      <c r="AD550" s="610"/>
      <c r="AG550" s="610"/>
      <c r="AH550" s="610"/>
    </row>
    <row r="551">
      <c r="B551" s="610"/>
      <c r="C551" s="610"/>
      <c r="D551" s="610"/>
      <c r="E551" s="610"/>
      <c r="F551" s="610"/>
      <c r="G551" s="610"/>
      <c r="H551" s="610"/>
      <c r="I551" s="610"/>
      <c r="J551" s="610"/>
      <c r="K551" s="610"/>
      <c r="L551" s="610"/>
      <c r="M551" s="610"/>
      <c r="N551" s="610"/>
      <c r="O551" s="610"/>
      <c r="P551" s="610"/>
      <c r="Q551" s="610"/>
      <c r="R551" s="610"/>
      <c r="S551" s="610"/>
      <c r="T551" s="610"/>
      <c r="U551" s="610"/>
      <c r="V551" s="610"/>
      <c r="W551" s="610"/>
      <c r="X551" s="610"/>
      <c r="Y551" s="610"/>
      <c r="Z551" s="610"/>
      <c r="AA551" s="610"/>
      <c r="AB551" s="610"/>
      <c r="AC551" s="610"/>
      <c r="AD551" s="610"/>
      <c r="AG551" s="610"/>
      <c r="AH551" s="610"/>
    </row>
    <row r="552">
      <c r="B552" s="610"/>
      <c r="C552" s="610"/>
      <c r="D552" s="610"/>
      <c r="E552" s="610"/>
      <c r="F552" s="610"/>
      <c r="G552" s="610"/>
      <c r="H552" s="610"/>
      <c r="I552" s="610"/>
      <c r="J552" s="610"/>
      <c r="K552" s="610"/>
      <c r="L552" s="610"/>
      <c r="M552" s="610"/>
      <c r="N552" s="610"/>
      <c r="O552" s="610"/>
      <c r="P552" s="610"/>
      <c r="Q552" s="610"/>
      <c r="R552" s="610"/>
      <c r="S552" s="610"/>
      <c r="T552" s="610"/>
      <c r="U552" s="610"/>
      <c r="V552" s="610"/>
      <c r="W552" s="610"/>
      <c r="X552" s="610"/>
      <c r="Y552" s="610"/>
      <c r="Z552" s="610"/>
      <c r="AA552" s="610"/>
      <c r="AB552" s="610"/>
      <c r="AC552" s="610"/>
      <c r="AD552" s="610"/>
      <c r="AG552" s="610"/>
      <c r="AH552" s="610"/>
    </row>
    <row r="553">
      <c r="B553" s="610"/>
      <c r="C553" s="610"/>
      <c r="D553" s="610"/>
      <c r="E553" s="610"/>
      <c r="F553" s="610"/>
      <c r="G553" s="610"/>
      <c r="H553" s="610"/>
      <c r="I553" s="610"/>
      <c r="J553" s="610"/>
      <c r="K553" s="610"/>
      <c r="L553" s="610"/>
      <c r="M553" s="610"/>
      <c r="N553" s="610"/>
      <c r="O553" s="610"/>
      <c r="P553" s="610"/>
      <c r="Q553" s="610"/>
      <c r="R553" s="610"/>
      <c r="S553" s="610"/>
      <c r="T553" s="610"/>
      <c r="U553" s="610"/>
      <c r="V553" s="610"/>
      <c r="W553" s="610"/>
      <c r="X553" s="610"/>
      <c r="Y553" s="610"/>
      <c r="Z553" s="610"/>
      <c r="AA553" s="610"/>
      <c r="AB553" s="610"/>
      <c r="AC553" s="610"/>
      <c r="AD553" s="610"/>
      <c r="AG553" s="610"/>
      <c r="AH553" s="610"/>
    </row>
    <row r="554">
      <c r="B554" s="610"/>
      <c r="C554" s="610"/>
      <c r="D554" s="610"/>
      <c r="E554" s="610"/>
      <c r="F554" s="610"/>
      <c r="G554" s="610"/>
      <c r="H554" s="610"/>
      <c r="I554" s="610"/>
      <c r="J554" s="610"/>
      <c r="K554" s="610"/>
      <c r="L554" s="610"/>
      <c r="M554" s="610"/>
      <c r="N554" s="610"/>
      <c r="O554" s="610"/>
      <c r="P554" s="610"/>
      <c r="Q554" s="610"/>
      <c r="R554" s="610"/>
      <c r="S554" s="610"/>
      <c r="T554" s="610"/>
      <c r="U554" s="610"/>
      <c r="V554" s="610"/>
      <c r="W554" s="610"/>
      <c r="X554" s="610"/>
      <c r="Y554" s="610"/>
      <c r="Z554" s="610"/>
      <c r="AA554" s="610"/>
      <c r="AB554" s="610"/>
      <c r="AC554" s="610"/>
      <c r="AD554" s="610"/>
      <c r="AG554" s="610"/>
      <c r="AH554" s="610"/>
    </row>
    <row r="555">
      <c r="B555" s="610"/>
      <c r="C555" s="610"/>
      <c r="D555" s="610"/>
      <c r="E555" s="610"/>
      <c r="F555" s="610"/>
      <c r="G555" s="610"/>
      <c r="H555" s="610"/>
      <c r="I555" s="610"/>
      <c r="J555" s="610"/>
      <c r="K555" s="610"/>
      <c r="L555" s="610"/>
      <c r="M555" s="610"/>
      <c r="N555" s="610"/>
      <c r="O555" s="610"/>
      <c r="P555" s="610"/>
      <c r="Q555" s="610"/>
      <c r="R555" s="610"/>
      <c r="S555" s="610"/>
      <c r="T555" s="610"/>
      <c r="U555" s="610"/>
      <c r="V555" s="610"/>
      <c r="W555" s="610"/>
      <c r="X555" s="610"/>
      <c r="Y555" s="610"/>
      <c r="Z555" s="610"/>
      <c r="AA555" s="610"/>
      <c r="AB555" s="610"/>
      <c r="AC555" s="610"/>
      <c r="AD555" s="610"/>
      <c r="AG555" s="610"/>
      <c r="AH555" s="610"/>
    </row>
    <row r="556">
      <c r="B556" s="610"/>
      <c r="C556" s="610"/>
      <c r="D556" s="610"/>
      <c r="E556" s="610"/>
      <c r="F556" s="610"/>
      <c r="G556" s="610"/>
      <c r="H556" s="610"/>
      <c r="I556" s="610"/>
      <c r="J556" s="610"/>
      <c r="K556" s="610"/>
      <c r="L556" s="610"/>
      <c r="M556" s="610"/>
      <c r="N556" s="610"/>
      <c r="O556" s="610"/>
      <c r="P556" s="610"/>
      <c r="Q556" s="610"/>
      <c r="R556" s="610"/>
      <c r="S556" s="610"/>
      <c r="T556" s="610"/>
      <c r="U556" s="610"/>
      <c r="V556" s="610"/>
      <c r="W556" s="610"/>
      <c r="X556" s="610"/>
      <c r="Y556" s="610"/>
      <c r="Z556" s="610"/>
      <c r="AA556" s="610"/>
      <c r="AB556" s="610"/>
      <c r="AC556" s="610"/>
      <c r="AD556" s="610"/>
      <c r="AG556" s="610"/>
      <c r="AH556" s="610"/>
    </row>
    <row r="557">
      <c r="B557" s="610"/>
      <c r="C557" s="610"/>
      <c r="D557" s="610"/>
      <c r="E557" s="610"/>
      <c r="F557" s="610"/>
      <c r="G557" s="610"/>
      <c r="H557" s="610"/>
      <c r="I557" s="610"/>
      <c r="J557" s="610"/>
      <c r="K557" s="610"/>
      <c r="L557" s="610"/>
      <c r="M557" s="610"/>
      <c r="N557" s="610"/>
      <c r="O557" s="610"/>
      <c r="P557" s="610"/>
      <c r="Q557" s="610"/>
      <c r="R557" s="610"/>
      <c r="S557" s="610"/>
      <c r="T557" s="610"/>
      <c r="U557" s="610"/>
      <c r="V557" s="610"/>
      <c r="W557" s="610"/>
      <c r="X557" s="610"/>
      <c r="Y557" s="610"/>
      <c r="Z557" s="610"/>
      <c r="AA557" s="610"/>
      <c r="AB557" s="610"/>
      <c r="AC557" s="610"/>
      <c r="AD557" s="610"/>
      <c r="AG557" s="610"/>
      <c r="AH557" s="610"/>
    </row>
    <row r="558">
      <c r="B558" s="610"/>
      <c r="C558" s="610"/>
      <c r="D558" s="610"/>
      <c r="E558" s="610"/>
      <c r="F558" s="610"/>
      <c r="G558" s="610"/>
      <c r="H558" s="610"/>
      <c r="I558" s="610"/>
      <c r="J558" s="610"/>
      <c r="K558" s="610"/>
      <c r="L558" s="610"/>
      <c r="M558" s="610"/>
      <c r="N558" s="610"/>
      <c r="O558" s="610"/>
      <c r="P558" s="610"/>
      <c r="Q558" s="610"/>
      <c r="R558" s="610"/>
      <c r="S558" s="610"/>
      <c r="T558" s="610"/>
      <c r="U558" s="610"/>
      <c r="V558" s="610"/>
      <c r="W558" s="610"/>
      <c r="X558" s="610"/>
      <c r="Y558" s="610"/>
      <c r="Z558" s="610"/>
      <c r="AA558" s="610"/>
      <c r="AB558" s="610"/>
      <c r="AC558" s="610"/>
      <c r="AD558" s="610"/>
      <c r="AG558" s="610"/>
      <c r="AH558" s="610"/>
    </row>
    <row r="559">
      <c r="B559" s="610"/>
      <c r="C559" s="610"/>
      <c r="D559" s="610"/>
      <c r="E559" s="610"/>
      <c r="F559" s="610"/>
      <c r="G559" s="610"/>
      <c r="H559" s="610"/>
      <c r="I559" s="610"/>
      <c r="J559" s="610"/>
      <c r="K559" s="610"/>
      <c r="L559" s="610"/>
      <c r="M559" s="610"/>
      <c r="N559" s="610"/>
      <c r="O559" s="610"/>
      <c r="P559" s="610"/>
      <c r="Q559" s="610"/>
      <c r="R559" s="610"/>
      <c r="S559" s="610"/>
      <c r="T559" s="610"/>
      <c r="U559" s="610"/>
      <c r="V559" s="610"/>
      <c r="W559" s="610"/>
      <c r="X559" s="610"/>
      <c r="Y559" s="610"/>
      <c r="Z559" s="610"/>
      <c r="AA559" s="610"/>
      <c r="AB559" s="610"/>
      <c r="AC559" s="610"/>
      <c r="AD559" s="610"/>
      <c r="AG559" s="610"/>
      <c r="AH559" s="610"/>
    </row>
    <row r="560">
      <c r="B560" s="610"/>
      <c r="C560" s="610"/>
      <c r="D560" s="610"/>
      <c r="E560" s="610"/>
      <c r="F560" s="610"/>
      <c r="G560" s="610"/>
      <c r="H560" s="610"/>
      <c r="I560" s="610"/>
      <c r="J560" s="610"/>
      <c r="K560" s="610"/>
      <c r="L560" s="610"/>
      <c r="M560" s="610"/>
      <c r="N560" s="610"/>
      <c r="O560" s="610"/>
      <c r="P560" s="610"/>
      <c r="Q560" s="610"/>
      <c r="R560" s="610"/>
      <c r="S560" s="610"/>
      <c r="T560" s="610"/>
      <c r="U560" s="610"/>
      <c r="V560" s="610"/>
      <c r="W560" s="610"/>
      <c r="X560" s="610"/>
      <c r="Y560" s="610"/>
      <c r="Z560" s="610"/>
      <c r="AA560" s="610"/>
      <c r="AB560" s="610"/>
      <c r="AC560" s="610"/>
      <c r="AD560" s="610"/>
      <c r="AG560" s="610"/>
      <c r="AH560" s="610"/>
    </row>
    <row r="561">
      <c r="B561" s="610"/>
      <c r="C561" s="610"/>
      <c r="D561" s="610"/>
      <c r="E561" s="610"/>
      <c r="F561" s="610"/>
      <c r="G561" s="610"/>
      <c r="H561" s="610"/>
      <c r="I561" s="610"/>
      <c r="J561" s="610"/>
      <c r="K561" s="610"/>
      <c r="L561" s="610"/>
      <c r="M561" s="610"/>
      <c r="N561" s="610"/>
      <c r="O561" s="610"/>
      <c r="P561" s="610"/>
      <c r="Q561" s="610"/>
      <c r="R561" s="610"/>
      <c r="S561" s="610"/>
      <c r="T561" s="610"/>
      <c r="U561" s="610"/>
      <c r="V561" s="610"/>
      <c r="W561" s="610"/>
      <c r="X561" s="610"/>
      <c r="Y561" s="610"/>
      <c r="Z561" s="610"/>
      <c r="AA561" s="610"/>
      <c r="AB561" s="610"/>
      <c r="AC561" s="610"/>
      <c r="AD561" s="610"/>
      <c r="AG561" s="610"/>
      <c r="AH561" s="610"/>
    </row>
    <row r="562">
      <c r="B562" s="610"/>
      <c r="C562" s="610"/>
      <c r="D562" s="610"/>
      <c r="E562" s="610"/>
      <c r="F562" s="610"/>
      <c r="G562" s="610"/>
      <c r="H562" s="610"/>
      <c r="I562" s="610"/>
      <c r="J562" s="610"/>
      <c r="K562" s="610"/>
      <c r="L562" s="610"/>
      <c r="M562" s="610"/>
      <c r="N562" s="610"/>
      <c r="O562" s="610"/>
      <c r="P562" s="610"/>
      <c r="Q562" s="610"/>
      <c r="R562" s="610"/>
      <c r="S562" s="610"/>
      <c r="T562" s="610"/>
      <c r="U562" s="610"/>
      <c r="V562" s="610"/>
      <c r="W562" s="610"/>
      <c r="X562" s="610"/>
      <c r="Y562" s="610"/>
      <c r="Z562" s="610"/>
      <c r="AA562" s="610"/>
      <c r="AB562" s="610"/>
      <c r="AC562" s="610"/>
      <c r="AD562" s="610"/>
      <c r="AG562" s="610"/>
      <c r="AH562" s="610"/>
    </row>
    <row r="563">
      <c r="B563" s="610"/>
      <c r="C563" s="610"/>
      <c r="D563" s="610"/>
      <c r="E563" s="610"/>
      <c r="F563" s="610"/>
      <c r="G563" s="610"/>
      <c r="H563" s="610"/>
      <c r="I563" s="610"/>
      <c r="J563" s="610"/>
      <c r="K563" s="610"/>
      <c r="L563" s="610"/>
      <c r="M563" s="610"/>
      <c r="N563" s="610"/>
      <c r="O563" s="610"/>
      <c r="P563" s="610"/>
      <c r="Q563" s="610"/>
      <c r="R563" s="610"/>
      <c r="S563" s="610"/>
      <c r="T563" s="610"/>
      <c r="U563" s="610"/>
      <c r="V563" s="610"/>
      <c r="W563" s="610"/>
      <c r="X563" s="610"/>
      <c r="Y563" s="610"/>
      <c r="Z563" s="610"/>
      <c r="AA563" s="610"/>
      <c r="AB563" s="610"/>
      <c r="AC563" s="610"/>
      <c r="AD563" s="610"/>
      <c r="AG563" s="610"/>
      <c r="AH563" s="610"/>
    </row>
    <row r="564">
      <c r="B564" s="610"/>
      <c r="C564" s="610"/>
      <c r="D564" s="610"/>
      <c r="E564" s="610"/>
      <c r="F564" s="610"/>
      <c r="G564" s="610"/>
      <c r="H564" s="610"/>
      <c r="I564" s="610"/>
      <c r="J564" s="610"/>
      <c r="K564" s="610"/>
      <c r="L564" s="610"/>
      <c r="M564" s="610"/>
      <c r="N564" s="610"/>
      <c r="O564" s="610"/>
      <c r="P564" s="610"/>
      <c r="Q564" s="610"/>
      <c r="R564" s="610"/>
      <c r="S564" s="610"/>
      <c r="T564" s="610"/>
      <c r="U564" s="610"/>
      <c r="V564" s="610"/>
      <c r="W564" s="610"/>
      <c r="X564" s="610"/>
      <c r="Y564" s="610"/>
      <c r="Z564" s="610"/>
      <c r="AA564" s="610"/>
      <c r="AB564" s="610"/>
      <c r="AC564" s="610"/>
      <c r="AD564" s="610"/>
      <c r="AG564" s="610"/>
      <c r="AH564" s="610"/>
    </row>
    <row r="565">
      <c r="B565" s="610"/>
      <c r="C565" s="610"/>
      <c r="D565" s="610"/>
      <c r="E565" s="610"/>
      <c r="F565" s="610"/>
      <c r="G565" s="610"/>
      <c r="H565" s="610"/>
      <c r="I565" s="610"/>
      <c r="J565" s="610"/>
      <c r="K565" s="610"/>
      <c r="L565" s="610"/>
      <c r="M565" s="610"/>
      <c r="N565" s="610"/>
      <c r="O565" s="610"/>
      <c r="P565" s="610"/>
      <c r="Q565" s="610"/>
      <c r="R565" s="610"/>
      <c r="S565" s="610"/>
      <c r="T565" s="610"/>
      <c r="U565" s="610"/>
      <c r="V565" s="610"/>
      <c r="W565" s="610"/>
      <c r="X565" s="610"/>
      <c r="Y565" s="610"/>
      <c r="Z565" s="610"/>
      <c r="AA565" s="610"/>
      <c r="AB565" s="610"/>
      <c r="AC565" s="610"/>
      <c r="AD565" s="610"/>
      <c r="AG565" s="610"/>
      <c r="AH565" s="610"/>
    </row>
    <row r="566">
      <c r="B566" s="610"/>
      <c r="C566" s="610"/>
      <c r="D566" s="610"/>
      <c r="E566" s="610"/>
      <c r="F566" s="610"/>
      <c r="G566" s="610"/>
      <c r="H566" s="610"/>
      <c r="I566" s="610"/>
      <c r="J566" s="610"/>
      <c r="K566" s="610"/>
      <c r="L566" s="610"/>
      <c r="M566" s="610"/>
      <c r="N566" s="610"/>
      <c r="O566" s="610"/>
      <c r="P566" s="610"/>
      <c r="Q566" s="610"/>
      <c r="R566" s="610"/>
      <c r="S566" s="610"/>
      <c r="T566" s="610"/>
      <c r="U566" s="610"/>
      <c r="V566" s="610"/>
      <c r="W566" s="610"/>
      <c r="X566" s="610"/>
      <c r="Y566" s="610"/>
      <c r="Z566" s="610"/>
      <c r="AA566" s="610"/>
      <c r="AB566" s="610"/>
      <c r="AC566" s="610"/>
      <c r="AD566" s="610"/>
      <c r="AG566" s="610"/>
      <c r="AH566" s="610"/>
    </row>
    <row r="567">
      <c r="B567" s="610"/>
      <c r="C567" s="610"/>
      <c r="D567" s="610"/>
      <c r="E567" s="610"/>
      <c r="F567" s="610"/>
      <c r="G567" s="610"/>
      <c r="H567" s="610"/>
      <c r="I567" s="610"/>
      <c r="J567" s="610"/>
      <c r="K567" s="610"/>
      <c r="L567" s="610"/>
      <c r="M567" s="610"/>
      <c r="N567" s="610"/>
      <c r="O567" s="610"/>
      <c r="P567" s="610"/>
      <c r="Q567" s="610"/>
      <c r="R567" s="610"/>
      <c r="S567" s="610"/>
      <c r="T567" s="610"/>
      <c r="U567" s="610"/>
      <c r="V567" s="610"/>
      <c r="W567" s="610"/>
      <c r="X567" s="610"/>
      <c r="Y567" s="610"/>
      <c r="Z567" s="610"/>
      <c r="AA567" s="610"/>
      <c r="AB567" s="610"/>
      <c r="AC567" s="610"/>
      <c r="AD567" s="610"/>
      <c r="AG567" s="610"/>
      <c r="AH567" s="610"/>
    </row>
    <row r="568">
      <c r="B568" s="610"/>
      <c r="C568" s="610"/>
      <c r="D568" s="610"/>
      <c r="E568" s="610"/>
      <c r="F568" s="610"/>
      <c r="G568" s="610"/>
      <c r="H568" s="610"/>
      <c r="I568" s="610"/>
      <c r="J568" s="610"/>
      <c r="K568" s="610"/>
      <c r="L568" s="610"/>
      <c r="M568" s="610"/>
      <c r="N568" s="610"/>
      <c r="O568" s="610"/>
      <c r="P568" s="610"/>
      <c r="Q568" s="610"/>
      <c r="R568" s="610"/>
      <c r="S568" s="610"/>
      <c r="T568" s="610"/>
      <c r="U568" s="610"/>
      <c r="V568" s="610"/>
      <c r="W568" s="610"/>
      <c r="X568" s="610"/>
      <c r="Y568" s="610"/>
      <c r="Z568" s="610"/>
      <c r="AA568" s="610"/>
      <c r="AB568" s="610"/>
      <c r="AC568" s="610"/>
      <c r="AD568" s="610"/>
      <c r="AG568" s="610"/>
      <c r="AH568" s="610"/>
    </row>
    <row r="569">
      <c r="B569" s="610"/>
      <c r="C569" s="610"/>
      <c r="D569" s="610"/>
      <c r="E569" s="610"/>
      <c r="F569" s="610"/>
      <c r="G569" s="610"/>
      <c r="H569" s="610"/>
      <c r="I569" s="610"/>
      <c r="J569" s="610"/>
      <c r="K569" s="610"/>
      <c r="L569" s="610"/>
      <c r="M569" s="610"/>
      <c r="N569" s="610"/>
      <c r="O569" s="610"/>
      <c r="P569" s="610"/>
      <c r="Q569" s="610"/>
      <c r="R569" s="610"/>
      <c r="S569" s="610"/>
      <c r="T569" s="610"/>
      <c r="U569" s="610"/>
      <c r="V569" s="610"/>
      <c r="W569" s="610"/>
      <c r="X569" s="610"/>
      <c r="Y569" s="610"/>
      <c r="Z569" s="610"/>
      <c r="AA569" s="610"/>
      <c r="AB569" s="610"/>
      <c r="AC569" s="610"/>
      <c r="AD569" s="610"/>
      <c r="AG569" s="610"/>
      <c r="AH569" s="610"/>
    </row>
    <row r="570">
      <c r="B570" s="610"/>
      <c r="C570" s="610"/>
      <c r="D570" s="610"/>
      <c r="E570" s="610"/>
      <c r="F570" s="610"/>
      <c r="G570" s="610"/>
      <c r="H570" s="610"/>
      <c r="I570" s="610"/>
      <c r="J570" s="610"/>
      <c r="K570" s="610"/>
      <c r="L570" s="610"/>
      <c r="M570" s="610"/>
      <c r="N570" s="610"/>
      <c r="O570" s="610"/>
      <c r="P570" s="610"/>
      <c r="Q570" s="610"/>
      <c r="R570" s="610"/>
      <c r="S570" s="610"/>
      <c r="T570" s="610"/>
      <c r="U570" s="610"/>
      <c r="V570" s="610"/>
      <c r="W570" s="610"/>
      <c r="X570" s="610"/>
      <c r="Y570" s="610"/>
      <c r="Z570" s="610"/>
      <c r="AA570" s="610"/>
      <c r="AB570" s="610"/>
      <c r="AC570" s="610"/>
      <c r="AD570" s="610"/>
      <c r="AG570" s="610"/>
      <c r="AH570" s="610"/>
    </row>
    <row r="571">
      <c r="B571" s="610"/>
      <c r="C571" s="610"/>
      <c r="D571" s="610"/>
      <c r="E571" s="610"/>
      <c r="F571" s="610"/>
      <c r="G571" s="610"/>
      <c r="H571" s="610"/>
      <c r="I571" s="610"/>
      <c r="J571" s="610"/>
      <c r="K571" s="610"/>
      <c r="L571" s="610"/>
      <c r="M571" s="610"/>
      <c r="N571" s="610"/>
      <c r="O571" s="610"/>
      <c r="P571" s="610"/>
      <c r="Q571" s="610"/>
      <c r="R571" s="610"/>
      <c r="S571" s="610"/>
      <c r="T571" s="610"/>
      <c r="U571" s="610"/>
      <c r="V571" s="610"/>
      <c r="W571" s="610"/>
      <c r="X571" s="610"/>
      <c r="Y571" s="610"/>
      <c r="Z571" s="610"/>
      <c r="AA571" s="610"/>
      <c r="AB571" s="610"/>
      <c r="AC571" s="610"/>
      <c r="AD571" s="610"/>
      <c r="AG571" s="610"/>
      <c r="AH571" s="610"/>
    </row>
    <row r="572">
      <c r="B572" s="610"/>
      <c r="C572" s="610"/>
      <c r="D572" s="610"/>
      <c r="E572" s="610"/>
      <c r="F572" s="610"/>
      <c r="G572" s="610"/>
      <c r="H572" s="610"/>
      <c r="I572" s="610"/>
      <c r="J572" s="610"/>
      <c r="K572" s="610"/>
      <c r="L572" s="610"/>
      <c r="M572" s="610"/>
      <c r="N572" s="610"/>
      <c r="O572" s="610"/>
      <c r="P572" s="610"/>
      <c r="Q572" s="610"/>
      <c r="R572" s="610"/>
      <c r="S572" s="610"/>
      <c r="T572" s="610"/>
      <c r="U572" s="610"/>
      <c r="V572" s="610"/>
      <c r="W572" s="610"/>
      <c r="X572" s="610"/>
      <c r="Y572" s="610"/>
      <c r="Z572" s="610"/>
      <c r="AA572" s="610"/>
      <c r="AB572" s="610"/>
      <c r="AC572" s="610"/>
      <c r="AD572" s="610"/>
      <c r="AG572" s="610"/>
      <c r="AH572" s="610"/>
    </row>
    <row r="573">
      <c r="B573" s="610"/>
      <c r="C573" s="610"/>
      <c r="D573" s="610"/>
      <c r="E573" s="610"/>
      <c r="F573" s="610"/>
      <c r="G573" s="610"/>
      <c r="H573" s="610"/>
      <c r="I573" s="610"/>
      <c r="J573" s="610"/>
      <c r="K573" s="610"/>
      <c r="L573" s="610"/>
      <c r="M573" s="610"/>
      <c r="N573" s="610"/>
      <c r="O573" s="610"/>
      <c r="P573" s="610"/>
      <c r="Q573" s="610"/>
      <c r="R573" s="610"/>
      <c r="S573" s="610"/>
      <c r="T573" s="610"/>
      <c r="U573" s="610"/>
      <c r="V573" s="610"/>
      <c r="W573" s="610"/>
      <c r="X573" s="610"/>
      <c r="Y573" s="610"/>
      <c r="Z573" s="610"/>
      <c r="AA573" s="610"/>
      <c r="AB573" s="610"/>
      <c r="AC573" s="610"/>
      <c r="AD573" s="610"/>
      <c r="AG573" s="610"/>
      <c r="AH573" s="610"/>
    </row>
    <row r="574">
      <c r="B574" s="610"/>
      <c r="C574" s="610"/>
      <c r="D574" s="610"/>
      <c r="E574" s="610"/>
      <c r="F574" s="610"/>
      <c r="G574" s="610"/>
      <c r="H574" s="610"/>
      <c r="I574" s="610"/>
      <c r="J574" s="610"/>
      <c r="K574" s="610"/>
      <c r="L574" s="610"/>
      <c r="M574" s="610"/>
      <c r="N574" s="610"/>
      <c r="O574" s="610"/>
      <c r="P574" s="610"/>
      <c r="Q574" s="610"/>
      <c r="R574" s="610"/>
      <c r="S574" s="610"/>
      <c r="T574" s="610"/>
      <c r="U574" s="610"/>
      <c r="V574" s="610"/>
      <c r="W574" s="610"/>
      <c r="X574" s="610"/>
      <c r="Y574" s="610"/>
      <c r="Z574" s="610"/>
      <c r="AA574" s="610"/>
      <c r="AB574" s="610"/>
      <c r="AC574" s="610"/>
      <c r="AD574" s="610"/>
      <c r="AG574" s="610"/>
      <c r="AH574" s="610"/>
    </row>
    <row r="575">
      <c r="B575" s="610"/>
      <c r="C575" s="610"/>
      <c r="D575" s="610"/>
      <c r="E575" s="610"/>
      <c r="F575" s="610"/>
      <c r="G575" s="610"/>
      <c r="H575" s="610"/>
      <c r="I575" s="610"/>
      <c r="J575" s="610"/>
      <c r="K575" s="610"/>
      <c r="L575" s="610"/>
      <c r="M575" s="610"/>
      <c r="N575" s="610"/>
      <c r="O575" s="610"/>
      <c r="P575" s="610"/>
      <c r="Q575" s="610"/>
      <c r="R575" s="610"/>
      <c r="S575" s="610"/>
      <c r="T575" s="610"/>
      <c r="U575" s="610"/>
      <c r="V575" s="610"/>
      <c r="W575" s="610"/>
      <c r="X575" s="610"/>
      <c r="Y575" s="610"/>
      <c r="Z575" s="610"/>
      <c r="AA575" s="610"/>
      <c r="AB575" s="610"/>
      <c r="AC575" s="610"/>
      <c r="AD575" s="610"/>
      <c r="AG575" s="610"/>
      <c r="AH575" s="610"/>
    </row>
    <row r="576">
      <c r="B576" s="610"/>
      <c r="C576" s="610"/>
      <c r="D576" s="610"/>
      <c r="E576" s="610"/>
      <c r="F576" s="610"/>
      <c r="G576" s="610"/>
      <c r="H576" s="610"/>
      <c r="I576" s="610"/>
      <c r="J576" s="610"/>
      <c r="K576" s="610"/>
      <c r="L576" s="610"/>
      <c r="M576" s="610"/>
      <c r="N576" s="610"/>
      <c r="O576" s="610"/>
      <c r="P576" s="610"/>
      <c r="Q576" s="610"/>
      <c r="R576" s="610"/>
      <c r="S576" s="610"/>
      <c r="T576" s="610"/>
      <c r="U576" s="610"/>
      <c r="V576" s="610"/>
      <c r="W576" s="610"/>
      <c r="X576" s="610"/>
      <c r="Y576" s="610"/>
      <c r="Z576" s="610"/>
      <c r="AA576" s="610"/>
      <c r="AB576" s="610"/>
      <c r="AC576" s="610"/>
      <c r="AD576" s="610"/>
      <c r="AG576" s="610"/>
      <c r="AH576" s="610"/>
    </row>
    <row r="577">
      <c r="B577" s="610"/>
      <c r="C577" s="610"/>
      <c r="D577" s="610"/>
      <c r="E577" s="610"/>
      <c r="F577" s="610"/>
      <c r="G577" s="610"/>
      <c r="H577" s="610"/>
      <c r="I577" s="610"/>
      <c r="J577" s="610"/>
      <c r="K577" s="610"/>
      <c r="L577" s="610"/>
      <c r="M577" s="610"/>
      <c r="N577" s="610"/>
      <c r="O577" s="610"/>
      <c r="P577" s="610"/>
      <c r="Q577" s="610"/>
      <c r="R577" s="610"/>
      <c r="S577" s="610"/>
      <c r="T577" s="610"/>
      <c r="U577" s="610"/>
      <c r="V577" s="610"/>
      <c r="W577" s="610"/>
      <c r="X577" s="610"/>
      <c r="Y577" s="610"/>
      <c r="Z577" s="610"/>
      <c r="AA577" s="610"/>
      <c r="AB577" s="610"/>
      <c r="AC577" s="610"/>
      <c r="AD577" s="610"/>
      <c r="AG577" s="610"/>
      <c r="AH577" s="610"/>
    </row>
    <row r="578">
      <c r="B578" s="610"/>
      <c r="C578" s="610"/>
      <c r="D578" s="610"/>
      <c r="E578" s="610"/>
      <c r="F578" s="610"/>
      <c r="G578" s="610"/>
      <c r="H578" s="610"/>
      <c r="I578" s="610"/>
      <c r="J578" s="610"/>
      <c r="K578" s="610"/>
      <c r="L578" s="610"/>
      <c r="M578" s="610"/>
      <c r="N578" s="610"/>
      <c r="O578" s="610"/>
      <c r="P578" s="610"/>
      <c r="Q578" s="610"/>
      <c r="R578" s="610"/>
      <c r="S578" s="610"/>
      <c r="T578" s="610"/>
      <c r="U578" s="610"/>
      <c r="V578" s="610"/>
      <c r="W578" s="610"/>
      <c r="X578" s="610"/>
      <c r="Y578" s="610"/>
      <c r="Z578" s="610"/>
      <c r="AA578" s="610"/>
      <c r="AB578" s="610"/>
      <c r="AC578" s="610"/>
      <c r="AD578" s="610"/>
      <c r="AG578" s="610"/>
      <c r="AH578" s="610"/>
    </row>
    <row r="579">
      <c r="B579" s="610"/>
      <c r="C579" s="610"/>
      <c r="D579" s="610"/>
      <c r="E579" s="610"/>
      <c r="F579" s="610"/>
      <c r="G579" s="610"/>
      <c r="H579" s="610"/>
      <c r="I579" s="610"/>
      <c r="J579" s="610"/>
      <c r="K579" s="610"/>
      <c r="L579" s="610"/>
      <c r="M579" s="610"/>
      <c r="N579" s="610"/>
      <c r="O579" s="610"/>
      <c r="P579" s="610"/>
      <c r="Q579" s="610"/>
      <c r="R579" s="610"/>
      <c r="S579" s="610"/>
      <c r="T579" s="610"/>
      <c r="U579" s="610"/>
      <c r="V579" s="610"/>
      <c r="W579" s="610"/>
      <c r="X579" s="610"/>
      <c r="Y579" s="610"/>
      <c r="Z579" s="610"/>
      <c r="AA579" s="610"/>
      <c r="AB579" s="610"/>
      <c r="AC579" s="610"/>
      <c r="AD579" s="610"/>
      <c r="AG579" s="610"/>
      <c r="AH579" s="610"/>
    </row>
    <row r="580">
      <c r="B580" s="610"/>
      <c r="C580" s="610"/>
      <c r="D580" s="610"/>
      <c r="E580" s="610"/>
      <c r="F580" s="610"/>
      <c r="G580" s="610"/>
      <c r="H580" s="610"/>
      <c r="I580" s="610"/>
      <c r="J580" s="610"/>
      <c r="K580" s="610"/>
      <c r="L580" s="610"/>
      <c r="M580" s="610"/>
      <c r="N580" s="610"/>
      <c r="O580" s="610"/>
      <c r="P580" s="610"/>
      <c r="Q580" s="610"/>
      <c r="R580" s="610"/>
      <c r="S580" s="610"/>
      <c r="T580" s="610"/>
      <c r="U580" s="610"/>
      <c r="V580" s="610"/>
      <c r="W580" s="610"/>
      <c r="X580" s="610"/>
      <c r="Y580" s="610"/>
      <c r="Z580" s="610"/>
      <c r="AA580" s="610"/>
      <c r="AB580" s="610"/>
      <c r="AC580" s="610"/>
      <c r="AD580" s="610"/>
      <c r="AG580" s="610"/>
      <c r="AH580" s="610"/>
    </row>
    <row r="581">
      <c r="B581" s="610"/>
      <c r="C581" s="610"/>
      <c r="D581" s="610"/>
      <c r="E581" s="610"/>
      <c r="F581" s="610"/>
      <c r="G581" s="610"/>
      <c r="H581" s="610"/>
      <c r="I581" s="610"/>
      <c r="J581" s="610"/>
      <c r="K581" s="610"/>
      <c r="L581" s="610"/>
      <c r="M581" s="610"/>
      <c r="N581" s="610"/>
      <c r="O581" s="610"/>
      <c r="P581" s="610"/>
      <c r="Q581" s="610"/>
      <c r="R581" s="610"/>
      <c r="S581" s="610"/>
      <c r="T581" s="610"/>
      <c r="U581" s="610"/>
      <c r="V581" s="610"/>
      <c r="W581" s="610"/>
      <c r="X581" s="610"/>
      <c r="Y581" s="610"/>
      <c r="Z581" s="610"/>
      <c r="AA581" s="610"/>
      <c r="AB581" s="610"/>
      <c r="AC581" s="610"/>
      <c r="AD581" s="610"/>
      <c r="AG581" s="610"/>
      <c r="AH581" s="610"/>
    </row>
    <row r="582">
      <c r="B582" s="610"/>
      <c r="C582" s="610"/>
      <c r="D582" s="610"/>
      <c r="E582" s="610"/>
      <c r="F582" s="610"/>
      <c r="G582" s="610"/>
      <c r="H582" s="610"/>
      <c r="I582" s="610"/>
      <c r="J582" s="610"/>
      <c r="K582" s="610"/>
      <c r="L582" s="610"/>
      <c r="M582" s="610"/>
      <c r="N582" s="610"/>
      <c r="O582" s="610"/>
      <c r="P582" s="610"/>
      <c r="Q582" s="610"/>
      <c r="R582" s="610"/>
      <c r="S582" s="610"/>
      <c r="T582" s="610"/>
      <c r="U582" s="610"/>
      <c r="V582" s="610"/>
      <c r="W582" s="610"/>
      <c r="X582" s="610"/>
      <c r="Y582" s="610"/>
      <c r="Z582" s="610"/>
      <c r="AA582" s="610"/>
      <c r="AB582" s="610"/>
      <c r="AC582" s="610"/>
      <c r="AD582" s="610"/>
      <c r="AG582" s="610"/>
      <c r="AH582" s="610"/>
    </row>
    <row r="583">
      <c r="B583" s="610"/>
      <c r="C583" s="610"/>
      <c r="D583" s="610"/>
      <c r="E583" s="610"/>
      <c r="F583" s="610"/>
      <c r="G583" s="610"/>
      <c r="H583" s="610"/>
      <c r="I583" s="610"/>
      <c r="J583" s="610"/>
      <c r="K583" s="610"/>
      <c r="L583" s="610"/>
      <c r="M583" s="610"/>
      <c r="N583" s="610"/>
      <c r="O583" s="610"/>
      <c r="P583" s="610"/>
      <c r="Q583" s="610"/>
      <c r="R583" s="610"/>
      <c r="S583" s="610"/>
      <c r="T583" s="610"/>
      <c r="U583" s="610"/>
      <c r="V583" s="610"/>
      <c r="W583" s="610"/>
      <c r="X583" s="610"/>
      <c r="Y583" s="610"/>
      <c r="Z583" s="610"/>
      <c r="AA583" s="610"/>
      <c r="AB583" s="610"/>
      <c r="AC583" s="610"/>
      <c r="AD583" s="610"/>
      <c r="AG583" s="610"/>
      <c r="AH583" s="610"/>
    </row>
    <row r="584">
      <c r="B584" s="610"/>
      <c r="C584" s="610"/>
      <c r="D584" s="610"/>
      <c r="E584" s="610"/>
      <c r="F584" s="610"/>
      <c r="G584" s="610"/>
      <c r="H584" s="610"/>
      <c r="I584" s="610"/>
      <c r="J584" s="610"/>
      <c r="K584" s="610"/>
      <c r="L584" s="610"/>
      <c r="M584" s="610"/>
      <c r="N584" s="610"/>
      <c r="O584" s="610"/>
      <c r="P584" s="610"/>
      <c r="Q584" s="610"/>
      <c r="R584" s="610"/>
      <c r="S584" s="610"/>
      <c r="T584" s="610"/>
      <c r="U584" s="610"/>
      <c r="V584" s="610"/>
      <c r="W584" s="610"/>
      <c r="X584" s="610"/>
      <c r="Y584" s="610"/>
      <c r="Z584" s="610"/>
      <c r="AA584" s="610"/>
      <c r="AB584" s="610"/>
      <c r="AC584" s="610"/>
      <c r="AD584" s="610"/>
      <c r="AG584" s="610"/>
      <c r="AH584" s="610"/>
    </row>
    <row r="585">
      <c r="B585" s="610"/>
      <c r="C585" s="610"/>
      <c r="D585" s="610"/>
      <c r="E585" s="610"/>
      <c r="F585" s="610"/>
      <c r="G585" s="610"/>
      <c r="H585" s="610"/>
      <c r="I585" s="610"/>
      <c r="J585" s="610"/>
      <c r="K585" s="610"/>
      <c r="L585" s="610"/>
      <c r="M585" s="610"/>
      <c r="N585" s="610"/>
      <c r="O585" s="610"/>
      <c r="P585" s="610"/>
      <c r="Q585" s="610"/>
      <c r="R585" s="610"/>
      <c r="S585" s="610"/>
      <c r="T585" s="610"/>
      <c r="U585" s="610"/>
      <c r="V585" s="610"/>
      <c r="W585" s="610"/>
      <c r="X585" s="610"/>
      <c r="Y585" s="610"/>
      <c r="Z585" s="610"/>
      <c r="AA585" s="610"/>
      <c r="AB585" s="610"/>
      <c r="AC585" s="610"/>
      <c r="AD585" s="610"/>
      <c r="AG585" s="610"/>
      <c r="AH585" s="610"/>
    </row>
    <row r="586">
      <c r="B586" s="610"/>
      <c r="C586" s="610"/>
      <c r="D586" s="610"/>
      <c r="E586" s="610"/>
      <c r="F586" s="610"/>
      <c r="G586" s="610"/>
      <c r="H586" s="610"/>
      <c r="I586" s="610"/>
      <c r="J586" s="610"/>
      <c r="K586" s="610"/>
      <c r="L586" s="610"/>
      <c r="M586" s="610"/>
      <c r="N586" s="610"/>
      <c r="O586" s="610"/>
      <c r="P586" s="610"/>
      <c r="Q586" s="610"/>
      <c r="R586" s="610"/>
      <c r="S586" s="610"/>
      <c r="T586" s="610"/>
      <c r="U586" s="610"/>
      <c r="V586" s="610"/>
      <c r="W586" s="610"/>
      <c r="X586" s="610"/>
      <c r="Y586" s="610"/>
      <c r="Z586" s="610"/>
      <c r="AA586" s="610"/>
      <c r="AB586" s="610"/>
      <c r="AC586" s="610"/>
      <c r="AD586" s="610"/>
      <c r="AG586" s="610"/>
      <c r="AH586" s="610"/>
    </row>
    <row r="587">
      <c r="B587" s="610"/>
      <c r="C587" s="610"/>
      <c r="D587" s="610"/>
      <c r="E587" s="610"/>
      <c r="F587" s="610"/>
      <c r="G587" s="610"/>
      <c r="H587" s="610"/>
      <c r="I587" s="610"/>
      <c r="J587" s="610"/>
      <c r="K587" s="610"/>
      <c r="L587" s="610"/>
      <c r="M587" s="610"/>
      <c r="N587" s="610"/>
      <c r="O587" s="610"/>
      <c r="P587" s="610"/>
      <c r="Q587" s="610"/>
      <c r="R587" s="610"/>
      <c r="S587" s="610"/>
      <c r="T587" s="610"/>
      <c r="U587" s="610"/>
      <c r="V587" s="610"/>
      <c r="W587" s="610"/>
      <c r="X587" s="610"/>
      <c r="Y587" s="610"/>
      <c r="Z587" s="610"/>
      <c r="AA587" s="610"/>
      <c r="AB587" s="610"/>
      <c r="AC587" s="610"/>
      <c r="AD587" s="610"/>
      <c r="AG587" s="610"/>
      <c r="AH587" s="610"/>
    </row>
    <row r="588">
      <c r="B588" s="610"/>
      <c r="C588" s="610"/>
      <c r="D588" s="610"/>
      <c r="E588" s="610"/>
      <c r="F588" s="610"/>
      <c r="G588" s="610"/>
      <c r="H588" s="610"/>
      <c r="I588" s="610"/>
      <c r="J588" s="610"/>
      <c r="K588" s="610"/>
      <c r="L588" s="610"/>
      <c r="M588" s="610"/>
      <c r="N588" s="610"/>
      <c r="O588" s="610"/>
      <c r="P588" s="610"/>
      <c r="Q588" s="610"/>
      <c r="R588" s="610"/>
      <c r="S588" s="610"/>
      <c r="T588" s="610"/>
      <c r="U588" s="610"/>
      <c r="V588" s="610"/>
      <c r="W588" s="610"/>
      <c r="X588" s="610"/>
      <c r="Y588" s="610"/>
      <c r="Z588" s="610"/>
      <c r="AA588" s="610"/>
      <c r="AB588" s="610"/>
      <c r="AC588" s="610"/>
      <c r="AD588" s="610"/>
      <c r="AG588" s="610"/>
      <c r="AH588" s="610"/>
    </row>
    <row r="589">
      <c r="B589" s="610"/>
      <c r="C589" s="610"/>
      <c r="D589" s="610"/>
      <c r="E589" s="610"/>
      <c r="F589" s="610"/>
      <c r="G589" s="610"/>
      <c r="H589" s="610"/>
      <c r="I589" s="610"/>
      <c r="J589" s="610"/>
      <c r="K589" s="610"/>
      <c r="L589" s="610"/>
      <c r="M589" s="610"/>
      <c r="N589" s="610"/>
      <c r="O589" s="610"/>
      <c r="P589" s="610"/>
      <c r="Q589" s="610"/>
      <c r="R589" s="610"/>
      <c r="S589" s="610"/>
      <c r="T589" s="610"/>
      <c r="U589" s="610"/>
      <c r="V589" s="610"/>
      <c r="W589" s="610"/>
      <c r="X589" s="610"/>
      <c r="Y589" s="610"/>
      <c r="Z589" s="610"/>
      <c r="AA589" s="610"/>
      <c r="AB589" s="610"/>
      <c r="AC589" s="610"/>
      <c r="AD589" s="610"/>
      <c r="AG589" s="610"/>
      <c r="AH589" s="610"/>
    </row>
    <row r="590">
      <c r="B590" s="610"/>
      <c r="C590" s="610"/>
      <c r="D590" s="610"/>
      <c r="E590" s="610"/>
      <c r="F590" s="610"/>
      <c r="G590" s="610"/>
      <c r="H590" s="610"/>
      <c r="I590" s="610"/>
      <c r="J590" s="610"/>
      <c r="K590" s="610"/>
      <c r="L590" s="610"/>
      <c r="M590" s="610"/>
      <c r="N590" s="610"/>
      <c r="O590" s="610"/>
      <c r="P590" s="610"/>
      <c r="Q590" s="610"/>
      <c r="R590" s="610"/>
      <c r="S590" s="610"/>
      <c r="T590" s="610"/>
      <c r="U590" s="610"/>
      <c r="V590" s="610"/>
      <c r="W590" s="610"/>
      <c r="X590" s="610"/>
      <c r="Y590" s="610"/>
      <c r="Z590" s="610"/>
      <c r="AA590" s="610"/>
      <c r="AB590" s="610"/>
      <c r="AC590" s="610"/>
      <c r="AD590" s="610"/>
      <c r="AG590" s="610"/>
      <c r="AH590" s="610"/>
    </row>
    <row r="591">
      <c r="B591" s="610"/>
      <c r="C591" s="610"/>
      <c r="D591" s="610"/>
      <c r="E591" s="610"/>
      <c r="F591" s="610"/>
      <c r="G591" s="610"/>
      <c r="H591" s="610"/>
      <c r="I591" s="610"/>
      <c r="J591" s="610"/>
      <c r="K591" s="610"/>
      <c r="L591" s="610"/>
      <c r="M591" s="610"/>
      <c r="N591" s="610"/>
      <c r="O591" s="610"/>
      <c r="P591" s="610"/>
      <c r="Q591" s="610"/>
      <c r="R591" s="610"/>
      <c r="S591" s="610"/>
      <c r="T591" s="610"/>
      <c r="U591" s="610"/>
      <c r="V591" s="610"/>
      <c r="W591" s="610"/>
      <c r="X591" s="610"/>
      <c r="Y591" s="610"/>
      <c r="Z591" s="610"/>
      <c r="AA591" s="610"/>
      <c r="AB591" s="610"/>
      <c r="AC591" s="610"/>
      <c r="AD591" s="610"/>
      <c r="AG591" s="610"/>
      <c r="AH591" s="610"/>
    </row>
    <row r="592">
      <c r="B592" s="610"/>
      <c r="C592" s="610"/>
      <c r="D592" s="610"/>
      <c r="E592" s="610"/>
      <c r="F592" s="610"/>
      <c r="G592" s="610"/>
      <c r="H592" s="610"/>
      <c r="I592" s="610"/>
      <c r="J592" s="610"/>
      <c r="K592" s="610"/>
      <c r="L592" s="610"/>
      <c r="M592" s="610"/>
      <c r="N592" s="610"/>
      <c r="O592" s="610"/>
      <c r="P592" s="610"/>
      <c r="Q592" s="610"/>
      <c r="R592" s="610"/>
      <c r="S592" s="610"/>
      <c r="T592" s="610"/>
      <c r="U592" s="610"/>
      <c r="V592" s="610"/>
      <c r="W592" s="610"/>
      <c r="X592" s="610"/>
      <c r="Y592" s="610"/>
      <c r="Z592" s="610"/>
      <c r="AA592" s="610"/>
      <c r="AB592" s="610"/>
      <c r="AC592" s="610"/>
      <c r="AD592" s="610"/>
      <c r="AG592" s="610"/>
      <c r="AH592" s="610"/>
    </row>
    <row r="593">
      <c r="B593" s="610"/>
      <c r="C593" s="610"/>
      <c r="D593" s="610"/>
      <c r="E593" s="610"/>
      <c r="F593" s="610"/>
      <c r="G593" s="610"/>
      <c r="H593" s="610"/>
      <c r="I593" s="610"/>
      <c r="J593" s="610"/>
      <c r="K593" s="610"/>
      <c r="L593" s="610"/>
      <c r="M593" s="610"/>
      <c r="N593" s="610"/>
      <c r="O593" s="610"/>
      <c r="P593" s="610"/>
      <c r="Q593" s="610"/>
      <c r="R593" s="610"/>
      <c r="S593" s="610"/>
      <c r="T593" s="610"/>
      <c r="U593" s="610"/>
      <c r="V593" s="610"/>
      <c r="W593" s="610"/>
      <c r="X593" s="610"/>
      <c r="Y593" s="610"/>
      <c r="Z593" s="610"/>
      <c r="AA593" s="610"/>
      <c r="AB593" s="610"/>
      <c r="AC593" s="610"/>
      <c r="AD593" s="610"/>
      <c r="AG593" s="610"/>
      <c r="AH593" s="610"/>
    </row>
    <row r="594">
      <c r="B594" s="610"/>
      <c r="C594" s="610"/>
      <c r="D594" s="610"/>
      <c r="E594" s="610"/>
      <c r="F594" s="610"/>
      <c r="G594" s="610"/>
      <c r="H594" s="610"/>
      <c r="I594" s="610"/>
      <c r="J594" s="610"/>
      <c r="K594" s="610"/>
      <c r="L594" s="610"/>
      <c r="M594" s="610"/>
      <c r="N594" s="610"/>
      <c r="O594" s="610"/>
      <c r="P594" s="610"/>
      <c r="Q594" s="610"/>
      <c r="R594" s="610"/>
      <c r="S594" s="610"/>
      <c r="T594" s="610"/>
      <c r="U594" s="610"/>
      <c r="V594" s="610"/>
      <c r="W594" s="610"/>
      <c r="X594" s="610"/>
      <c r="Y594" s="610"/>
      <c r="Z594" s="610"/>
      <c r="AA594" s="610"/>
      <c r="AB594" s="610"/>
      <c r="AC594" s="610"/>
      <c r="AD594" s="610"/>
      <c r="AG594" s="610"/>
      <c r="AH594" s="610"/>
    </row>
    <row r="595">
      <c r="B595" s="610"/>
      <c r="C595" s="610"/>
      <c r="D595" s="610"/>
      <c r="E595" s="610"/>
      <c r="F595" s="610"/>
      <c r="G595" s="610"/>
      <c r="H595" s="610"/>
      <c r="I595" s="610"/>
      <c r="J595" s="610"/>
      <c r="K595" s="610"/>
      <c r="L595" s="610"/>
      <c r="M595" s="610"/>
      <c r="N595" s="610"/>
      <c r="O595" s="610"/>
      <c r="P595" s="610"/>
      <c r="Q595" s="610"/>
      <c r="R595" s="610"/>
      <c r="S595" s="610"/>
      <c r="T595" s="610"/>
      <c r="U595" s="610"/>
      <c r="V595" s="610"/>
      <c r="W595" s="610"/>
      <c r="X595" s="610"/>
      <c r="Y595" s="610"/>
      <c r="Z595" s="610"/>
      <c r="AA595" s="610"/>
      <c r="AB595" s="610"/>
      <c r="AC595" s="610"/>
      <c r="AD595" s="610"/>
      <c r="AG595" s="610"/>
      <c r="AH595" s="610"/>
    </row>
    <row r="596">
      <c r="B596" s="610"/>
      <c r="C596" s="610"/>
      <c r="D596" s="610"/>
      <c r="E596" s="610"/>
      <c r="F596" s="610"/>
      <c r="G596" s="610"/>
      <c r="H596" s="610"/>
      <c r="I596" s="610"/>
      <c r="J596" s="610"/>
      <c r="K596" s="610"/>
      <c r="L596" s="610"/>
      <c r="M596" s="610"/>
      <c r="N596" s="610"/>
      <c r="O596" s="610"/>
      <c r="P596" s="610"/>
      <c r="Q596" s="610"/>
      <c r="R596" s="610"/>
      <c r="S596" s="610"/>
      <c r="T596" s="610"/>
      <c r="U596" s="610"/>
      <c r="V596" s="610"/>
      <c r="W596" s="610"/>
      <c r="X596" s="610"/>
      <c r="Y596" s="610"/>
      <c r="Z596" s="610"/>
      <c r="AA596" s="610"/>
      <c r="AB596" s="610"/>
      <c r="AC596" s="610"/>
      <c r="AD596" s="610"/>
      <c r="AG596" s="610"/>
      <c r="AH596" s="610"/>
    </row>
    <row r="597">
      <c r="B597" s="610"/>
      <c r="C597" s="610"/>
      <c r="D597" s="610"/>
      <c r="E597" s="610"/>
      <c r="F597" s="610"/>
      <c r="G597" s="610"/>
      <c r="H597" s="610"/>
      <c r="I597" s="610"/>
      <c r="J597" s="610"/>
      <c r="K597" s="610"/>
      <c r="L597" s="610"/>
      <c r="M597" s="610"/>
      <c r="N597" s="610"/>
      <c r="O597" s="610"/>
      <c r="P597" s="610"/>
      <c r="Q597" s="610"/>
      <c r="R597" s="610"/>
      <c r="S597" s="610"/>
      <c r="T597" s="610"/>
      <c r="U597" s="610"/>
      <c r="V597" s="610"/>
      <c r="W597" s="610"/>
      <c r="X597" s="610"/>
      <c r="Y597" s="610"/>
      <c r="Z597" s="610"/>
      <c r="AA597" s="610"/>
      <c r="AB597" s="610"/>
      <c r="AC597" s="610"/>
      <c r="AD597" s="610"/>
      <c r="AG597" s="610"/>
      <c r="AH597" s="610"/>
    </row>
    <row r="598">
      <c r="B598" s="610"/>
      <c r="C598" s="610"/>
      <c r="D598" s="610"/>
      <c r="E598" s="610"/>
      <c r="F598" s="610"/>
      <c r="G598" s="610"/>
      <c r="H598" s="610"/>
      <c r="I598" s="610"/>
      <c r="J598" s="610"/>
      <c r="K598" s="610"/>
      <c r="L598" s="610"/>
      <c r="M598" s="610"/>
      <c r="N598" s="610"/>
      <c r="O598" s="610"/>
      <c r="P598" s="610"/>
      <c r="Q598" s="610"/>
      <c r="R598" s="610"/>
      <c r="S598" s="610"/>
      <c r="T598" s="610"/>
      <c r="U598" s="610"/>
      <c r="V598" s="610"/>
      <c r="W598" s="610"/>
      <c r="X598" s="610"/>
      <c r="Y598" s="610"/>
      <c r="Z598" s="610"/>
      <c r="AA598" s="610"/>
      <c r="AB598" s="610"/>
      <c r="AC598" s="610"/>
      <c r="AD598" s="610"/>
      <c r="AG598" s="610"/>
      <c r="AH598" s="610"/>
    </row>
    <row r="599">
      <c r="B599" s="610"/>
      <c r="C599" s="610"/>
      <c r="D599" s="610"/>
      <c r="E599" s="610"/>
      <c r="F599" s="610"/>
      <c r="G599" s="610"/>
      <c r="H599" s="610"/>
      <c r="I599" s="610"/>
      <c r="J599" s="610"/>
      <c r="K599" s="610"/>
      <c r="L599" s="610"/>
      <c r="M599" s="610"/>
      <c r="N599" s="610"/>
      <c r="O599" s="610"/>
      <c r="P599" s="610"/>
      <c r="Q599" s="610"/>
      <c r="R599" s="610"/>
      <c r="S599" s="610"/>
      <c r="T599" s="610"/>
      <c r="U599" s="610"/>
      <c r="V599" s="610"/>
      <c r="W599" s="610"/>
      <c r="X599" s="610"/>
      <c r="Y599" s="610"/>
      <c r="Z599" s="610"/>
      <c r="AA599" s="610"/>
      <c r="AB599" s="610"/>
      <c r="AC599" s="610"/>
      <c r="AD599" s="610"/>
      <c r="AG599" s="610"/>
      <c r="AH599" s="610"/>
    </row>
    <row r="600">
      <c r="B600" s="610"/>
      <c r="C600" s="610"/>
      <c r="D600" s="610"/>
      <c r="E600" s="610"/>
      <c r="F600" s="610"/>
      <c r="G600" s="610"/>
      <c r="H600" s="610"/>
      <c r="I600" s="610"/>
      <c r="J600" s="610"/>
      <c r="K600" s="610"/>
      <c r="L600" s="610"/>
      <c r="M600" s="610"/>
      <c r="N600" s="610"/>
      <c r="O600" s="610"/>
      <c r="P600" s="610"/>
      <c r="Q600" s="610"/>
      <c r="R600" s="610"/>
      <c r="S600" s="610"/>
      <c r="T600" s="610"/>
      <c r="U600" s="610"/>
      <c r="V600" s="610"/>
      <c r="W600" s="610"/>
      <c r="X600" s="610"/>
      <c r="Y600" s="610"/>
      <c r="Z600" s="610"/>
      <c r="AA600" s="610"/>
      <c r="AB600" s="610"/>
      <c r="AC600" s="610"/>
      <c r="AD600" s="610"/>
      <c r="AG600" s="610"/>
      <c r="AH600" s="610"/>
    </row>
    <row r="601">
      <c r="B601" s="610"/>
      <c r="C601" s="610"/>
      <c r="D601" s="610"/>
      <c r="E601" s="610"/>
      <c r="F601" s="610"/>
      <c r="G601" s="610"/>
      <c r="H601" s="610"/>
      <c r="I601" s="610"/>
      <c r="J601" s="610"/>
      <c r="K601" s="610"/>
      <c r="L601" s="610"/>
      <c r="M601" s="610"/>
      <c r="N601" s="610"/>
      <c r="O601" s="610"/>
      <c r="P601" s="610"/>
      <c r="Q601" s="610"/>
      <c r="R601" s="610"/>
      <c r="S601" s="610"/>
      <c r="T601" s="610"/>
      <c r="U601" s="610"/>
      <c r="V601" s="610"/>
      <c r="W601" s="610"/>
      <c r="X601" s="610"/>
      <c r="Y601" s="610"/>
      <c r="Z601" s="610"/>
      <c r="AA601" s="610"/>
      <c r="AB601" s="610"/>
      <c r="AC601" s="610"/>
      <c r="AD601" s="610"/>
      <c r="AG601" s="610"/>
      <c r="AH601" s="610"/>
    </row>
    <row r="602">
      <c r="B602" s="610"/>
      <c r="C602" s="610"/>
      <c r="D602" s="610"/>
      <c r="E602" s="610"/>
      <c r="F602" s="610"/>
      <c r="G602" s="610"/>
      <c r="H602" s="610"/>
      <c r="I602" s="610"/>
      <c r="J602" s="610"/>
      <c r="K602" s="610"/>
      <c r="L602" s="610"/>
      <c r="M602" s="610"/>
      <c r="N602" s="610"/>
      <c r="O602" s="610"/>
      <c r="P602" s="610"/>
      <c r="Q602" s="610"/>
      <c r="R602" s="610"/>
      <c r="S602" s="610"/>
      <c r="T602" s="610"/>
      <c r="U602" s="610"/>
      <c r="V602" s="610"/>
      <c r="W602" s="610"/>
      <c r="X602" s="610"/>
      <c r="Y602" s="610"/>
      <c r="Z602" s="610"/>
      <c r="AA602" s="610"/>
      <c r="AB602" s="610"/>
      <c r="AC602" s="610"/>
      <c r="AD602" s="610"/>
      <c r="AG602" s="610"/>
      <c r="AH602" s="610"/>
    </row>
    <row r="603">
      <c r="B603" s="610"/>
      <c r="C603" s="610"/>
      <c r="D603" s="610"/>
      <c r="E603" s="610"/>
      <c r="F603" s="610"/>
      <c r="G603" s="610"/>
      <c r="H603" s="610"/>
      <c r="I603" s="610"/>
      <c r="J603" s="610"/>
      <c r="K603" s="610"/>
      <c r="L603" s="610"/>
      <c r="M603" s="610"/>
      <c r="N603" s="610"/>
      <c r="O603" s="610"/>
      <c r="P603" s="610"/>
      <c r="Q603" s="610"/>
      <c r="R603" s="610"/>
      <c r="S603" s="610"/>
      <c r="T603" s="610"/>
      <c r="U603" s="610"/>
      <c r="V603" s="610"/>
      <c r="W603" s="610"/>
      <c r="X603" s="610"/>
      <c r="Y603" s="610"/>
      <c r="Z603" s="610"/>
      <c r="AA603" s="610"/>
      <c r="AB603" s="610"/>
      <c r="AC603" s="610"/>
      <c r="AD603" s="610"/>
      <c r="AG603" s="610"/>
      <c r="AH603" s="610"/>
    </row>
    <row r="604">
      <c r="B604" s="610"/>
      <c r="C604" s="610"/>
      <c r="D604" s="610"/>
      <c r="E604" s="610"/>
      <c r="F604" s="610"/>
      <c r="G604" s="610"/>
      <c r="H604" s="610"/>
      <c r="I604" s="610"/>
      <c r="J604" s="610"/>
      <c r="K604" s="610"/>
      <c r="L604" s="610"/>
      <c r="M604" s="610"/>
      <c r="N604" s="610"/>
      <c r="O604" s="610"/>
      <c r="P604" s="610"/>
      <c r="Q604" s="610"/>
      <c r="R604" s="610"/>
      <c r="S604" s="610"/>
      <c r="T604" s="610"/>
      <c r="U604" s="610"/>
      <c r="V604" s="610"/>
      <c r="W604" s="610"/>
      <c r="X604" s="610"/>
      <c r="Y604" s="610"/>
      <c r="Z604" s="610"/>
      <c r="AA604" s="610"/>
      <c r="AB604" s="610"/>
      <c r="AC604" s="610"/>
      <c r="AD604" s="610"/>
      <c r="AG604" s="610"/>
      <c r="AH604" s="610"/>
    </row>
    <row r="605">
      <c r="B605" s="610"/>
      <c r="C605" s="610"/>
      <c r="D605" s="610"/>
      <c r="E605" s="610"/>
      <c r="F605" s="610"/>
      <c r="G605" s="610"/>
      <c r="H605" s="610"/>
      <c r="I605" s="610"/>
      <c r="J605" s="610"/>
      <c r="K605" s="610"/>
      <c r="L605" s="610"/>
      <c r="M605" s="610"/>
      <c r="N605" s="610"/>
      <c r="O605" s="610"/>
      <c r="P605" s="610"/>
      <c r="Q605" s="610"/>
      <c r="R605" s="610"/>
      <c r="S605" s="610"/>
      <c r="T605" s="610"/>
      <c r="U605" s="610"/>
      <c r="V605" s="610"/>
      <c r="W605" s="610"/>
      <c r="X605" s="610"/>
      <c r="Y605" s="610"/>
      <c r="Z605" s="610"/>
      <c r="AA605" s="610"/>
      <c r="AB605" s="610"/>
      <c r="AC605" s="610"/>
      <c r="AD605" s="610"/>
      <c r="AG605" s="610"/>
      <c r="AH605" s="610"/>
    </row>
    <row r="606">
      <c r="B606" s="610"/>
      <c r="C606" s="610"/>
      <c r="D606" s="610"/>
      <c r="E606" s="610"/>
      <c r="F606" s="610"/>
      <c r="G606" s="610"/>
      <c r="H606" s="610"/>
      <c r="I606" s="610"/>
      <c r="J606" s="610"/>
      <c r="K606" s="610"/>
      <c r="L606" s="610"/>
      <c r="M606" s="610"/>
      <c r="N606" s="610"/>
      <c r="O606" s="610"/>
      <c r="P606" s="610"/>
      <c r="Q606" s="610"/>
      <c r="R606" s="610"/>
      <c r="S606" s="610"/>
      <c r="T606" s="610"/>
      <c r="U606" s="610"/>
      <c r="V606" s="610"/>
      <c r="W606" s="610"/>
      <c r="X606" s="610"/>
      <c r="Y606" s="610"/>
      <c r="Z606" s="610"/>
      <c r="AA606" s="610"/>
      <c r="AB606" s="610"/>
      <c r="AC606" s="610"/>
      <c r="AD606" s="610"/>
      <c r="AG606" s="610"/>
      <c r="AH606" s="610"/>
    </row>
    <row r="607">
      <c r="B607" s="610"/>
      <c r="C607" s="610"/>
      <c r="D607" s="610"/>
      <c r="E607" s="610"/>
      <c r="F607" s="610"/>
      <c r="G607" s="610"/>
      <c r="H607" s="610"/>
      <c r="I607" s="610"/>
      <c r="J607" s="610"/>
      <c r="K607" s="610"/>
      <c r="L607" s="610"/>
      <c r="M607" s="610"/>
      <c r="N607" s="610"/>
      <c r="O607" s="610"/>
      <c r="P607" s="610"/>
      <c r="Q607" s="610"/>
      <c r="R607" s="610"/>
      <c r="S607" s="610"/>
      <c r="T607" s="610"/>
      <c r="U607" s="610"/>
      <c r="V607" s="610"/>
      <c r="W607" s="610"/>
      <c r="X607" s="610"/>
      <c r="Y607" s="610"/>
      <c r="Z607" s="610"/>
      <c r="AA607" s="610"/>
      <c r="AB607" s="610"/>
      <c r="AC607" s="610"/>
      <c r="AD607" s="610"/>
      <c r="AG607" s="610"/>
      <c r="AH607" s="610"/>
    </row>
    <row r="608">
      <c r="B608" s="610"/>
      <c r="C608" s="610"/>
      <c r="D608" s="610"/>
      <c r="E608" s="610"/>
      <c r="F608" s="610"/>
      <c r="G608" s="610"/>
      <c r="H608" s="610"/>
      <c r="I608" s="610"/>
      <c r="J608" s="610"/>
      <c r="K608" s="610"/>
      <c r="L608" s="610"/>
      <c r="M608" s="610"/>
      <c r="N608" s="610"/>
      <c r="O608" s="610"/>
      <c r="P608" s="610"/>
      <c r="Q608" s="610"/>
      <c r="R608" s="610"/>
      <c r="S608" s="610"/>
      <c r="T608" s="610"/>
      <c r="U608" s="610"/>
      <c r="V608" s="610"/>
      <c r="W608" s="610"/>
      <c r="X608" s="610"/>
      <c r="Y608" s="610"/>
      <c r="Z608" s="610"/>
      <c r="AA608" s="610"/>
      <c r="AB608" s="610"/>
      <c r="AC608" s="610"/>
      <c r="AD608" s="610"/>
      <c r="AG608" s="610"/>
      <c r="AH608" s="610"/>
    </row>
    <row r="609">
      <c r="B609" s="610"/>
      <c r="C609" s="610"/>
      <c r="D609" s="610"/>
      <c r="E609" s="610"/>
      <c r="F609" s="610"/>
      <c r="G609" s="610"/>
      <c r="H609" s="610"/>
      <c r="I609" s="610"/>
      <c r="J609" s="610"/>
      <c r="K609" s="610"/>
      <c r="L609" s="610"/>
      <c r="M609" s="610"/>
      <c r="N609" s="610"/>
      <c r="O609" s="610"/>
      <c r="P609" s="610"/>
      <c r="Q609" s="610"/>
      <c r="R609" s="610"/>
      <c r="S609" s="610"/>
      <c r="T609" s="610"/>
      <c r="U609" s="610"/>
      <c r="V609" s="610"/>
      <c r="W609" s="610"/>
      <c r="X609" s="610"/>
      <c r="Y609" s="610"/>
      <c r="Z609" s="610"/>
      <c r="AA609" s="610"/>
      <c r="AB609" s="610"/>
      <c r="AC609" s="610"/>
      <c r="AD609" s="610"/>
      <c r="AG609" s="610"/>
      <c r="AH609" s="610"/>
    </row>
    <row r="610">
      <c r="B610" s="610"/>
      <c r="C610" s="610"/>
      <c r="D610" s="610"/>
      <c r="E610" s="610"/>
      <c r="F610" s="610"/>
      <c r="G610" s="610"/>
      <c r="H610" s="610"/>
      <c r="I610" s="610"/>
      <c r="J610" s="610"/>
      <c r="K610" s="610"/>
      <c r="L610" s="610"/>
      <c r="M610" s="610"/>
      <c r="N610" s="610"/>
      <c r="O610" s="610"/>
      <c r="P610" s="610"/>
      <c r="Q610" s="610"/>
      <c r="R610" s="610"/>
      <c r="S610" s="610"/>
      <c r="T610" s="610"/>
      <c r="U610" s="610"/>
      <c r="V610" s="610"/>
      <c r="W610" s="610"/>
      <c r="X610" s="610"/>
      <c r="Y610" s="610"/>
      <c r="Z610" s="610"/>
      <c r="AA610" s="610"/>
      <c r="AB610" s="610"/>
      <c r="AC610" s="610"/>
      <c r="AD610" s="610"/>
      <c r="AG610" s="610"/>
      <c r="AH610" s="610"/>
    </row>
    <row r="611">
      <c r="B611" s="610"/>
      <c r="C611" s="610"/>
      <c r="D611" s="610"/>
      <c r="E611" s="610"/>
      <c r="F611" s="610"/>
      <c r="G611" s="610"/>
      <c r="H611" s="610"/>
      <c r="I611" s="610"/>
      <c r="J611" s="610"/>
      <c r="K611" s="610"/>
      <c r="L611" s="610"/>
      <c r="M611" s="610"/>
      <c r="N611" s="610"/>
      <c r="O611" s="610"/>
      <c r="P611" s="610"/>
      <c r="Q611" s="610"/>
      <c r="R611" s="610"/>
      <c r="S611" s="610"/>
      <c r="T611" s="610"/>
      <c r="U611" s="610"/>
      <c r="V611" s="610"/>
      <c r="W611" s="610"/>
      <c r="X611" s="610"/>
      <c r="Y611" s="610"/>
      <c r="Z611" s="610"/>
      <c r="AA611" s="610"/>
      <c r="AB611" s="610"/>
      <c r="AC611" s="610"/>
      <c r="AD611" s="610"/>
      <c r="AG611" s="610"/>
      <c r="AH611" s="610"/>
    </row>
    <row r="612">
      <c r="B612" s="610"/>
      <c r="C612" s="610"/>
      <c r="D612" s="610"/>
      <c r="E612" s="610"/>
      <c r="F612" s="610"/>
      <c r="G612" s="610"/>
      <c r="H612" s="610"/>
      <c r="I612" s="610"/>
      <c r="J612" s="610"/>
      <c r="K612" s="610"/>
      <c r="L612" s="610"/>
      <c r="M612" s="610"/>
      <c r="N612" s="610"/>
      <c r="O612" s="610"/>
      <c r="P612" s="610"/>
      <c r="Q612" s="610"/>
      <c r="R612" s="610"/>
      <c r="S612" s="610"/>
      <c r="T612" s="610"/>
      <c r="U612" s="610"/>
      <c r="V612" s="610"/>
      <c r="W612" s="610"/>
      <c r="X612" s="610"/>
      <c r="Y612" s="610"/>
      <c r="Z612" s="610"/>
      <c r="AA612" s="610"/>
      <c r="AB612" s="610"/>
      <c r="AC612" s="610"/>
      <c r="AD612" s="610"/>
      <c r="AG612" s="610"/>
      <c r="AH612" s="610"/>
    </row>
    <row r="613">
      <c r="B613" s="610"/>
      <c r="C613" s="610"/>
      <c r="D613" s="610"/>
      <c r="E613" s="610"/>
      <c r="F613" s="610"/>
      <c r="G613" s="610"/>
      <c r="H613" s="610"/>
      <c r="I613" s="610"/>
      <c r="J613" s="610"/>
      <c r="K613" s="610"/>
      <c r="L613" s="610"/>
      <c r="M613" s="610"/>
      <c r="N613" s="610"/>
      <c r="O613" s="610"/>
      <c r="P613" s="610"/>
      <c r="Q613" s="610"/>
      <c r="R613" s="610"/>
      <c r="S613" s="610"/>
      <c r="T613" s="610"/>
      <c r="U613" s="610"/>
      <c r="V613" s="610"/>
      <c r="W613" s="610"/>
      <c r="X613" s="610"/>
      <c r="Y613" s="610"/>
      <c r="Z613" s="610"/>
      <c r="AA613" s="610"/>
      <c r="AB613" s="610"/>
      <c r="AC613" s="610"/>
      <c r="AD613" s="610"/>
      <c r="AG613" s="610"/>
      <c r="AH613" s="610"/>
    </row>
    <row r="614">
      <c r="B614" s="610"/>
      <c r="C614" s="610"/>
      <c r="D614" s="610"/>
      <c r="E614" s="610"/>
      <c r="F614" s="610"/>
      <c r="G614" s="610"/>
      <c r="H614" s="610"/>
      <c r="I614" s="610"/>
      <c r="J614" s="610"/>
      <c r="K614" s="610"/>
      <c r="L614" s="610"/>
      <c r="M614" s="610"/>
      <c r="N614" s="610"/>
      <c r="O614" s="610"/>
      <c r="P614" s="610"/>
      <c r="Q614" s="610"/>
      <c r="R614" s="610"/>
      <c r="S614" s="610"/>
      <c r="T614" s="610"/>
      <c r="U614" s="610"/>
      <c r="V614" s="610"/>
      <c r="W614" s="610"/>
      <c r="X614" s="610"/>
      <c r="Y614" s="610"/>
      <c r="Z614" s="610"/>
      <c r="AA614" s="610"/>
      <c r="AB614" s="610"/>
      <c r="AC614" s="610"/>
      <c r="AD614" s="610"/>
      <c r="AG614" s="610"/>
      <c r="AH614" s="610"/>
    </row>
    <row r="615">
      <c r="B615" s="610"/>
      <c r="C615" s="610"/>
      <c r="D615" s="610"/>
      <c r="E615" s="610"/>
      <c r="F615" s="610"/>
      <c r="G615" s="610"/>
      <c r="H615" s="610"/>
      <c r="I615" s="610"/>
      <c r="J615" s="610"/>
      <c r="K615" s="610"/>
      <c r="L615" s="610"/>
      <c r="M615" s="610"/>
      <c r="N615" s="610"/>
      <c r="O615" s="610"/>
      <c r="P615" s="610"/>
      <c r="Q615" s="610"/>
      <c r="R615" s="610"/>
      <c r="S615" s="610"/>
      <c r="T615" s="610"/>
      <c r="U615" s="610"/>
      <c r="V615" s="610"/>
      <c r="W615" s="610"/>
      <c r="X615" s="610"/>
      <c r="Y615" s="610"/>
      <c r="Z615" s="610"/>
      <c r="AA615" s="610"/>
      <c r="AB615" s="610"/>
      <c r="AC615" s="610"/>
      <c r="AD615" s="610"/>
      <c r="AG615" s="610"/>
      <c r="AH615" s="610"/>
    </row>
    <row r="616">
      <c r="B616" s="610"/>
      <c r="C616" s="610"/>
      <c r="D616" s="610"/>
      <c r="E616" s="610"/>
      <c r="F616" s="610"/>
      <c r="G616" s="610"/>
      <c r="H616" s="610"/>
      <c r="I616" s="610"/>
      <c r="J616" s="610"/>
      <c r="K616" s="610"/>
      <c r="L616" s="610"/>
      <c r="M616" s="610"/>
      <c r="N616" s="610"/>
      <c r="O616" s="610"/>
      <c r="P616" s="610"/>
      <c r="Q616" s="610"/>
      <c r="R616" s="610"/>
      <c r="S616" s="610"/>
      <c r="T616" s="610"/>
      <c r="U616" s="610"/>
      <c r="V616" s="610"/>
      <c r="W616" s="610"/>
      <c r="X616" s="610"/>
      <c r="Y616" s="610"/>
      <c r="Z616" s="610"/>
      <c r="AA616" s="610"/>
      <c r="AB616" s="610"/>
      <c r="AC616" s="610"/>
      <c r="AD616" s="610"/>
      <c r="AG616" s="610"/>
      <c r="AH616" s="610"/>
    </row>
    <row r="617">
      <c r="B617" s="610"/>
      <c r="C617" s="610"/>
      <c r="D617" s="610"/>
      <c r="E617" s="610"/>
      <c r="F617" s="610"/>
      <c r="G617" s="610"/>
      <c r="H617" s="610"/>
      <c r="I617" s="610"/>
      <c r="J617" s="610"/>
      <c r="K617" s="610"/>
      <c r="L617" s="610"/>
      <c r="M617" s="610"/>
      <c r="N617" s="610"/>
      <c r="O617" s="610"/>
      <c r="P617" s="610"/>
      <c r="Q617" s="610"/>
      <c r="R617" s="610"/>
      <c r="S617" s="610"/>
      <c r="T617" s="610"/>
      <c r="U617" s="610"/>
      <c r="V617" s="610"/>
      <c r="W617" s="610"/>
      <c r="X617" s="610"/>
      <c r="Y617" s="610"/>
      <c r="Z617" s="610"/>
      <c r="AA617" s="610"/>
      <c r="AB617" s="610"/>
      <c r="AC617" s="610"/>
      <c r="AD617" s="610"/>
      <c r="AG617" s="610"/>
      <c r="AH617" s="610"/>
    </row>
    <row r="618">
      <c r="B618" s="610"/>
      <c r="C618" s="610"/>
      <c r="D618" s="610"/>
      <c r="E618" s="610"/>
      <c r="F618" s="610"/>
      <c r="G618" s="610"/>
      <c r="H618" s="610"/>
      <c r="I618" s="610"/>
      <c r="J618" s="610"/>
      <c r="K618" s="610"/>
      <c r="L618" s="610"/>
      <c r="M618" s="610"/>
      <c r="N618" s="610"/>
      <c r="O618" s="610"/>
      <c r="P618" s="610"/>
      <c r="Q618" s="610"/>
      <c r="R618" s="610"/>
      <c r="S618" s="610"/>
      <c r="T618" s="610"/>
      <c r="U618" s="610"/>
      <c r="V618" s="610"/>
      <c r="W618" s="610"/>
      <c r="X618" s="610"/>
      <c r="Y618" s="610"/>
      <c r="Z618" s="610"/>
      <c r="AA618" s="610"/>
      <c r="AB618" s="610"/>
      <c r="AC618" s="610"/>
      <c r="AD618" s="610"/>
      <c r="AG618" s="610"/>
      <c r="AH618" s="610"/>
    </row>
    <row r="619">
      <c r="B619" s="610"/>
      <c r="C619" s="610"/>
      <c r="D619" s="610"/>
      <c r="E619" s="610"/>
      <c r="F619" s="610"/>
      <c r="G619" s="610"/>
      <c r="H619" s="610"/>
      <c r="I619" s="610"/>
      <c r="J619" s="610"/>
      <c r="K619" s="610"/>
      <c r="L619" s="610"/>
      <c r="M619" s="610"/>
      <c r="N619" s="610"/>
      <c r="O619" s="610"/>
      <c r="P619" s="610"/>
      <c r="Q619" s="610"/>
      <c r="R619" s="610"/>
      <c r="S619" s="610"/>
      <c r="T619" s="610"/>
      <c r="U619" s="610"/>
      <c r="V619" s="610"/>
      <c r="W619" s="610"/>
      <c r="X619" s="610"/>
      <c r="Y619" s="610"/>
      <c r="Z619" s="610"/>
      <c r="AA619" s="610"/>
      <c r="AB619" s="610"/>
      <c r="AC619" s="610"/>
      <c r="AD619" s="610"/>
      <c r="AG619" s="610"/>
      <c r="AH619" s="610"/>
    </row>
    <row r="620">
      <c r="B620" s="610"/>
      <c r="C620" s="610"/>
      <c r="D620" s="610"/>
      <c r="E620" s="610"/>
      <c r="F620" s="610"/>
      <c r="G620" s="610"/>
      <c r="H620" s="610"/>
      <c r="I620" s="610"/>
      <c r="J620" s="610"/>
      <c r="K620" s="610"/>
      <c r="L620" s="610"/>
      <c r="M620" s="610"/>
      <c r="N620" s="610"/>
      <c r="O620" s="610"/>
      <c r="P620" s="610"/>
      <c r="Q620" s="610"/>
      <c r="R620" s="610"/>
      <c r="S620" s="610"/>
      <c r="T620" s="610"/>
      <c r="U620" s="610"/>
      <c r="V620" s="610"/>
      <c r="W620" s="610"/>
      <c r="X620" s="610"/>
      <c r="Y620" s="610"/>
      <c r="Z620" s="610"/>
      <c r="AA620" s="610"/>
      <c r="AB620" s="610"/>
      <c r="AC620" s="610"/>
      <c r="AD620" s="610"/>
      <c r="AG620" s="610"/>
      <c r="AH620" s="610"/>
    </row>
    <row r="621">
      <c r="B621" s="610"/>
      <c r="C621" s="610"/>
      <c r="D621" s="610"/>
      <c r="E621" s="610"/>
      <c r="F621" s="610"/>
      <c r="G621" s="610"/>
      <c r="H621" s="610"/>
      <c r="I621" s="610"/>
      <c r="J621" s="610"/>
      <c r="K621" s="610"/>
      <c r="L621" s="610"/>
      <c r="M621" s="610"/>
      <c r="N621" s="610"/>
      <c r="O621" s="610"/>
      <c r="P621" s="610"/>
      <c r="Q621" s="610"/>
      <c r="R621" s="610"/>
      <c r="S621" s="610"/>
      <c r="T621" s="610"/>
      <c r="U621" s="610"/>
      <c r="V621" s="610"/>
      <c r="W621" s="610"/>
      <c r="X621" s="610"/>
      <c r="Y621" s="610"/>
      <c r="Z621" s="610"/>
      <c r="AA621" s="610"/>
      <c r="AB621" s="610"/>
      <c r="AC621" s="610"/>
      <c r="AD621" s="610"/>
      <c r="AG621" s="610"/>
      <c r="AH621" s="610"/>
    </row>
    <row r="622">
      <c r="B622" s="610"/>
      <c r="C622" s="610"/>
      <c r="D622" s="610"/>
      <c r="E622" s="610"/>
      <c r="F622" s="610"/>
      <c r="G622" s="610"/>
      <c r="H622" s="610"/>
      <c r="I622" s="610"/>
      <c r="J622" s="610"/>
      <c r="K622" s="610"/>
      <c r="L622" s="610"/>
      <c r="M622" s="610"/>
      <c r="N622" s="610"/>
      <c r="O622" s="610"/>
      <c r="P622" s="610"/>
      <c r="Q622" s="610"/>
      <c r="R622" s="610"/>
      <c r="S622" s="610"/>
      <c r="T622" s="610"/>
      <c r="U622" s="610"/>
      <c r="V622" s="610"/>
      <c r="W622" s="610"/>
      <c r="X622" s="610"/>
      <c r="Y622" s="610"/>
      <c r="Z622" s="610"/>
      <c r="AA622" s="610"/>
      <c r="AB622" s="610"/>
      <c r="AC622" s="610"/>
      <c r="AD622" s="610"/>
      <c r="AG622" s="610"/>
      <c r="AH622" s="610"/>
    </row>
    <row r="623">
      <c r="B623" s="610"/>
      <c r="C623" s="610"/>
      <c r="D623" s="610"/>
      <c r="E623" s="610"/>
      <c r="F623" s="610"/>
      <c r="G623" s="610"/>
      <c r="H623" s="610"/>
      <c r="I623" s="610"/>
      <c r="J623" s="610"/>
      <c r="K623" s="610"/>
      <c r="L623" s="610"/>
      <c r="M623" s="610"/>
      <c r="N623" s="610"/>
      <c r="O623" s="610"/>
      <c r="P623" s="610"/>
      <c r="Q623" s="610"/>
      <c r="R623" s="610"/>
      <c r="S623" s="610"/>
      <c r="T623" s="610"/>
      <c r="U623" s="610"/>
      <c r="V623" s="610"/>
      <c r="W623" s="610"/>
      <c r="X623" s="610"/>
      <c r="Y623" s="610"/>
      <c r="Z623" s="610"/>
      <c r="AA623" s="610"/>
      <c r="AB623" s="610"/>
      <c r="AC623" s="610"/>
      <c r="AD623" s="610"/>
      <c r="AG623" s="610"/>
      <c r="AH623" s="610"/>
    </row>
    <row r="624">
      <c r="B624" s="610"/>
      <c r="C624" s="610"/>
      <c r="D624" s="610"/>
      <c r="E624" s="610"/>
      <c r="F624" s="610"/>
      <c r="G624" s="610"/>
      <c r="H624" s="610"/>
      <c r="I624" s="610"/>
      <c r="J624" s="610"/>
      <c r="K624" s="610"/>
      <c r="L624" s="610"/>
      <c r="M624" s="610"/>
      <c r="N624" s="610"/>
      <c r="O624" s="610"/>
      <c r="P624" s="610"/>
      <c r="Q624" s="610"/>
      <c r="R624" s="610"/>
      <c r="S624" s="610"/>
      <c r="T624" s="610"/>
      <c r="U624" s="610"/>
      <c r="V624" s="610"/>
      <c r="W624" s="610"/>
      <c r="X624" s="610"/>
      <c r="Y624" s="610"/>
      <c r="Z624" s="610"/>
      <c r="AA624" s="610"/>
      <c r="AB624" s="610"/>
      <c r="AC624" s="610"/>
      <c r="AD624" s="610"/>
      <c r="AG624" s="610"/>
      <c r="AH624" s="610"/>
    </row>
    <row r="625">
      <c r="B625" s="610"/>
      <c r="C625" s="610"/>
      <c r="D625" s="610"/>
      <c r="E625" s="610"/>
      <c r="F625" s="610"/>
      <c r="G625" s="610"/>
      <c r="H625" s="610"/>
      <c r="I625" s="610"/>
      <c r="J625" s="610"/>
      <c r="K625" s="610"/>
      <c r="L625" s="610"/>
      <c r="M625" s="610"/>
      <c r="N625" s="610"/>
      <c r="O625" s="610"/>
      <c r="P625" s="610"/>
      <c r="Q625" s="610"/>
      <c r="R625" s="610"/>
      <c r="S625" s="610"/>
      <c r="T625" s="610"/>
      <c r="U625" s="610"/>
      <c r="V625" s="610"/>
      <c r="W625" s="610"/>
      <c r="X625" s="610"/>
      <c r="Y625" s="610"/>
      <c r="Z625" s="610"/>
      <c r="AA625" s="610"/>
      <c r="AB625" s="610"/>
      <c r="AC625" s="610"/>
      <c r="AD625" s="610"/>
      <c r="AG625" s="610"/>
      <c r="AH625" s="610"/>
    </row>
    <row r="626">
      <c r="B626" s="610"/>
      <c r="C626" s="610"/>
      <c r="D626" s="610"/>
      <c r="E626" s="610"/>
      <c r="F626" s="610"/>
      <c r="G626" s="610"/>
      <c r="H626" s="610"/>
      <c r="I626" s="610"/>
      <c r="J626" s="610"/>
      <c r="K626" s="610"/>
      <c r="L626" s="610"/>
      <c r="M626" s="610"/>
      <c r="N626" s="610"/>
      <c r="O626" s="610"/>
      <c r="P626" s="610"/>
      <c r="Q626" s="610"/>
      <c r="R626" s="610"/>
      <c r="S626" s="610"/>
      <c r="T626" s="610"/>
      <c r="U626" s="610"/>
      <c r="V626" s="610"/>
      <c r="W626" s="610"/>
      <c r="X626" s="610"/>
      <c r="Y626" s="610"/>
      <c r="Z626" s="610"/>
      <c r="AA626" s="610"/>
      <c r="AB626" s="610"/>
      <c r="AC626" s="610"/>
      <c r="AD626" s="610"/>
      <c r="AG626" s="610"/>
      <c r="AH626" s="610"/>
    </row>
    <row r="627">
      <c r="B627" s="610"/>
      <c r="C627" s="610"/>
      <c r="D627" s="610"/>
      <c r="E627" s="610"/>
      <c r="F627" s="610"/>
      <c r="G627" s="610"/>
      <c r="H627" s="610"/>
      <c r="I627" s="610"/>
      <c r="J627" s="610"/>
      <c r="K627" s="610"/>
      <c r="L627" s="610"/>
      <c r="M627" s="610"/>
      <c r="N627" s="610"/>
      <c r="O627" s="610"/>
      <c r="P627" s="610"/>
      <c r="Q627" s="610"/>
      <c r="R627" s="610"/>
      <c r="S627" s="610"/>
      <c r="T627" s="610"/>
      <c r="U627" s="610"/>
      <c r="V627" s="610"/>
      <c r="W627" s="610"/>
      <c r="X627" s="610"/>
      <c r="Y627" s="610"/>
      <c r="Z627" s="610"/>
      <c r="AA627" s="610"/>
      <c r="AB627" s="610"/>
      <c r="AC627" s="610"/>
      <c r="AD627" s="610"/>
      <c r="AG627" s="610"/>
      <c r="AH627" s="610"/>
    </row>
    <row r="628">
      <c r="B628" s="610"/>
      <c r="C628" s="610"/>
      <c r="D628" s="610"/>
      <c r="E628" s="610"/>
      <c r="F628" s="610"/>
      <c r="G628" s="610"/>
      <c r="H628" s="610"/>
      <c r="I628" s="610"/>
      <c r="J628" s="610"/>
      <c r="K628" s="610"/>
      <c r="L628" s="610"/>
      <c r="M628" s="610"/>
      <c r="N628" s="610"/>
      <c r="O628" s="610"/>
      <c r="P628" s="610"/>
      <c r="Q628" s="610"/>
      <c r="R628" s="610"/>
      <c r="S628" s="610"/>
      <c r="T628" s="610"/>
      <c r="U628" s="610"/>
      <c r="V628" s="610"/>
      <c r="W628" s="610"/>
      <c r="X628" s="610"/>
      <c r="Y628" s="610"/>
      <c r="Z628" s="610"/>
      <c r="AA628" s="610"/>
      <c r="AB628" s="610"/>
      <c r="AC628" s="610"/>
      <c r="AD628" s="610"/>
      <c r="AG628" s="610"/>
      <c r="AH628" s="610"/>
    </row>
    <row r="629">
      <c r="B629" s="610"/>
      <c r="C629" s="610"/>
      <c r="D629" s="610"/>
      <c r="E629" s="610"/>
      <c r="F629" s="610"/>
      <c r="G629" s="610"/>
      <c r="H629" s="610"/>
      <c r="I629" s="610"/>
      <c r="J629" s="610"/>
      <c r="K629" s="610"/>
      <c r="L629" s="610"/>
      <c r="M629" s="610"/>
      <c r="N629" s="610"/>
      <c r="O629" s="610"/>
      <c r="P629" s="610"/>
      <c r="Q629" s="610"/>
      <c r="R629" s="610"/>
      <c r="S629" s="610"/>
      <c r="T629" s="610"/>
      <c r="U629" s="610"/>
      <c r="V629" s="610"/>
      <c r="W629" s="610"/>
      <c r="X629" s="610"/>
      <c r="Y629" s="610"/>
      <c r="Z629" s="610"/>
      <c r="AA629" s="610"/>
      <c r="AB629" s="610"/>
      <c r="AC629" s="610"/>
      <c r="AD629" s="610"/>
      <c r="AG629" s="610"/>
      <c r="AH629" s="610"/>
    </row>
    <row r="630">
      <c r="B630" s="610"/>
      <c r="C630" s="610"/>
      <c r="D630" s="610"/>
      <c r="E630" s="610"/>
      <c r="F630" s="610"/>
      <c r="G630" s="610"/>
      <c r="H630" s="610"/>
      <c r="I630" s="610"/>
      <c r="J630" s="610"/>
      <c r="K630" s="610"/>
      <c r="L630" s="610"/>
      <c r="M630" s="610"/>
      <c r="N630" s="610"/>
      <c r="O630" s="610"/>
      <c r="P630" s="610"/>
      <c r="Q630" s="610"/>
      <c r="R630" s="610"/>
      <c r="S630" s="610"/>
      <c r="T630" s="610"/>
      <c r="U630" s="610"/>
      <c r="V630" s="610"/>
      <c r="W630" s="610"/>
      <c r="X630" s="610"/>
      <c r="Y630" s="610"/>
      <c r="Z630" s="610"/>
      <c r="AA630" s="610"/>
      <c r="AB630" s="610"/>
      <c r="AC630" s="610"/>
      <c r="AD630" s="610"/>
      <c r="AG630" s="610"/>
      <c r="AH630" s="610"/>
    </row>
    <row r="631">
      <c r="B631" s="610"/>
      <c r="C631" s="610"/>
      <c r="D631" s="610"/>
      <c r="E631" s="610"/>
      <c r="F631" s="610"/>
      <c r="G631" s="610"/>
      <c r="H631" s="610"/>
      <c r="I631" s="610"/>
      <c r="J631" s="610"/>
      <c r="K631" s="610"/>
      <c r="L631" s="610"/>
      <c r="M631" s="610"/>
      <c r="N631" s="610"/>
      <c r="O631" s="610"/>
      <c r="P631" s="610"/>
      <c r="Q631" s="610"/>
      <c r="R631" s="610"/>
      <c r="S631" s="610"/>
      <c r="T631" s="610"/>
      <c r="U631" s="610"/>
      <c r="V631" s="610"/>
      <c r="W631" s="610"/>
      <c r="X631" s="610"/>
      <c r="Y631" s="610"/>
      <c r="Z631" s="610"/>
      <c r="AA631" s="610"/>
      <c r="AB631" s="610"/>
      <c r="AC631" s="610"/>
      <c r="AD631" s="610"/>
      <c r="AG631" s="610"/>
      <c r="AH631" s="610"/>
    </row>
    <row r="632">
      <c r="B632" s="610"/>
      <c r="C632" s="610"/>
      <c r="D632" s="610"/>
      <c r="E632" s="610"/>
      <c r="F632" s="610"/>
      <c r="G632" s="610"/>
      <c r="H632" s="610"/>
      <c r="I632" s="610"/>
      <c r="J632" s="610"/>
      <c r="K632" s="610"/>
      <c r="L632" s="610"/>
      <c r="M632" s="610"/>
      <c r="N632" s="610"/>
      <c r="O632" s="610"/>
      <c r="P632" s="610"/>
      <c r="Q632" s="610"/>
      <c r="R632" s="610"/>
      <c r="S632" s="610"/>
      <c r="T632" s="610"/>
      <c r="U632" s="610"/>
      <c r="V632" s="610"/>
      <c r="W632" s="610"/>
      <c r="X632" s="610"/>
      <c r="Y632" s="610"/>
      <c r="Z632" s="610"/>
      <c r="AA632" s="610"/>
      <c r="AB632" s="610"/>
      <c r="AC632" s="610"/>
      <c r="AD632" s="610"/>
      <c r="AG632" s="610"/>
      <c r="AH632" s="610"/>
    </row>
    <row r="633">
      <c r="B633" s="610"/>
      <c r="C633" s="610"/>
      <c r="D633" s="610"/>
      <c r="E633" s="610"/>
      <c r="F633" s="610"/>
      <c r="G633" s="610"/>
      <c r="H633" s="610"/>
      <c r="I633" s="610"/>
      <c r="J633" s="610"/>
      <c r="K633" s="610"/>
      <c r="L633" s="610"/>
      <c r="M633" s="610"/>
      <c r="N633" s="610"/>
      <c r="O633" s="610"/>
      <c r="P633" s="610"/>
      <c r="Q633" s="610"/>
      <c r="R633" s="610"/>
      <c r="S633" s="610"/>
      <c r="T633" s="610"/>
      <c r="U633" s="610"/>
      <c r="V633" s="610"/>
      <c r="W633" s="610"/>
      <c r="X633" s="610"/>
      <c r="Y633" s="610"/>
      <c r="Z633" s="610"/>
      <c r="AA633" s="610"/>
      <c r="AB633" s="610"/>
      <c r="AC633" s="610"/>
      <c r="AD633" s="610"/>
      <c r="AG633" s="610"/>
      <c r="AH633" s="610"/>
    </row>
    <row r="634">
      <c r="B634" s="610"/>
      <c r="C634" s="610"/>
      <c r="D634" s="610"/>
      <c r="E634" s="610"/>
      <c r="F634" s="610"/>
      <c r="G634" s="610"/>
      <c r="H634" s="610"/>
      <c r="I634" s="610"/>
      <c r="J634" s="610"/>
      <c r="K634" s="610"/>
      <c r="L634" s="610"/>
      <c r="M634" s="610"/>
      <c r="N634" s="610"/>
      <c r="O634" s="610"/>
      <c r="P634" s="610"/>
      <c r="Q634" s="610"/>
      <c r="R634" s="610"/>
      <c r="S634" s="610"/>
      <c r="T634" s="610"/>
      <c r="U634" s="610"/>
      <c r="V634" s="610"/>
      <c r="W634" s="610"/>
      <c r="X634" s="610"/>
      <c r="Y634" s="610"/>
      <c r="Z634" s="610"/>
      <c r="AA634" s="610"/>
      <c r="AB634" s="610"/>
      <c r="AC634" s="610"/>
      <c r="AD634" s="610"/>
      <c r="AG634" s="610"/>
      <c r="AH634" s="610"/>
    </row>
    <row r="635">
      <c r="B635" s="610"/>
      <c r="C635" s="610"/>
      <c r="D635" s="610"/>
      <c r="E635" s="610"/>
      <c r="F635" s="610"/>
      <c r="G635" s="610"/>
      <c r="H635" s="610"/>
      <c r="I635" s="610"/>
      <c r="J635" s="610"/>
      <c r="K635" s="610"/>
      <c r="L635" s="610"/>
      <c r="M635" s="610"/>
      <c r="N635" s="610"/>
      <c r="O635" s="610"/>
      <c r="P635" s="610"/>
      <c r="Q635" s="610"/>
      <c r="R635" s="610"/>
      <c r="S635" s="610"/>
      <c r="T635" s="610"/>
      <c r="U635" s="610"/>
      <c r="V635" s="610"/>
      <c r="W635" s="610"/>
      <c r="X635" s="610"/>
      <c r="Y635" s="610"/>
      <c r="Z635" s="610"/>
      <c r="AA635" s="610"/>
      <c r="AB635" s="610"/>
      <c r="AC635" s="610"/>
      <c r="AD635" s="610"/>
      <c r="AG635" s="610"/>
      <c r="AH635" s="610"/>
    </row>
    <row r="636">
      <c r="B636" s="610"/>
      <c r="C636" s="610"/>
      <c r="D636" s="610"/>
      <c r="E636" s="610"/>
      <c r="F636" s="610"/>
      <c r="G636" s="610"/>
      <c r="H636" s="610"/>
      <c r="I636" s="610"/>
      <c r="J636" s="610"/>
      <c r="K636" s="610"/>
      <c r="L636" s="610"/>
      <c r="M636" s="610"/>
      <c r="N636" s="610"/>
      <c r="O636" s="610"/>
      <c r="P636" s="610"/>
      <c r="Q636" s="610"/>
      <c r="R636" s="610"/>
      <c r="S636" s="610"/>
      <c r="T636" s="610"/>
      <c r="U636" s="610"/>
      <c r="V636" s="610"/>
      <c r="W636" s="610"/>
      <c r="X636" s="610"/>
      <c r="Y636" s="610"/>
      <c r="Z636" s="610"/>
      <c r="AA636" s="610"/>
      <c r="AB636" s="610"/>
      <c r="AC636" s="610"/>
      <c r="AD636" s="610"/>
      <c r="AG636" s="610"/>
      <c r="AH636" s="610"/>
    </row>
    <row r="637">
      <c r="B637" s="610"/>
      <c r="C637" s="610"/>
      <c r="D637" s="610"/>
      <c r="E637" s="610"/>
      <c r="F637" s="610"/>
      <c r="G637" s="610"/>
      <c r="H637" s="610"/>
      <c r="I637" s="610"/>
      <c r="J637" s="610"/>
      <c r="K637" s="610"/>
      <c r="L637" s="610"/>
      <c r="M637" s="610"/>
      <c r="N637" s="610"/>
      <c r="O637" s="610"/>
      <c r="P637" s="610"/>
      <c r="Q637" s="610"/>
      <c r="R637" s="610"/>
      <c r="S637" s="610"/>
      <c r="T637" s="610"/>
      <c r="U637" s="610"/>
      <c r="V637" s="610"/>
      <c r="W637" s="610"/>
      <c r="X637" s="610"/>
      <c r="Y637" s="610"/>
      <c r="Z637" s="610"/>
      <c r="AA637" s="610"/>
      <c r="AB637" s="610"/>
      <c r="AC637" s="610"/>
      <c r="AD637" s="610"/>
      <c r="AG637" s="610"/>
      <c r="AH637" s="610"/>
    </row>
    <row r="638">
      <c r="B638" s="610"/>
      <c r="C638" s="610"/>
      <c r="D638" s="610"/>
      <c r="E638" s="610"/>
      <c r="F638" s="610"/>
      <c r="G638" s="610"/>
      <c r="H638" s="610"/>
      <c r="I638" s="610"/>
      <c r="J638" s="610"/>
      <c r="K638" s="610"/>
      <c r="L638" s="610"/>
      <c r="M638" s="610"/>
      <c r="N638" s="610"/>
      <c r="O638" s="610"/>
      <c r="P638" s="610"/>
      <c r="Q638" s="610"/>
      <c r="R638" s="610"/>
      <c r="S638" s="610"/>
      <c r="T638" s="610"/>
      <c r="U638" s="610"/>
      <c r="V638" s="610"/>
      <c r="W638" s="610"/>
      <c r="X638" s="610"/>
      <c r="Y638" s="610"/>
      <c r="Z638" s="610"/>
      <c r="AA638" s="610"/>
      <c r="AB638" s="610"/>
      <c r="AC638" s="610"/>
      <c r="AD638" s="610"/>
      <c r="AG638" s="610"/>
      <c r="AH638" s="610"/>
    </row>
    <row r="639">
      <c r="B639" s="610"/>
      <c r="C639" s="610"/>
      <c r="D639" s="610"/>
      <c r="E639" s="610"/>
      <c r="F639" s="610"/>
      <c r="G639" s="610"/>
      <c r="H639" s="610"/>
      <c r="I639" s="610"/>
      <c r="J639" s="610"/>
      <c r="K639" s="610"/>
      <c r="L639" s="610"/>
      <c r="M639" s="610"/>
      <c r="N639" s="610"/>
      <c r="O639" s="610"/>
      <c r="P639" s="610"/>
      <c r="Q639" s="610"/>
      <c r="R639" s="610"/>
      <c r="S639" s="610"/>
      <c r="T639" s="610"/>
      <c r="U639" s="610"/>
      <c r="V639" s="610"/>
      <c r="W639" s="610"/>
      <c r="X639" s="610"/>
      <c r="Y639" s="610"/>
      <c r="Z639" s="610"/>
      <c r="AA639" s="610"/>
      <c r="AB639" s="610"/>
      <c r="AC639" s="610"/>
      <c r="AD639" s="610"/>
      <c r="AG639" s="610"/>
      <c r="AH639" s="610"/>
    </row>
    <row r="640">
      <c r="B640" s="610"/>
      <c r="C640" s="610"/>
      <c r="D640" s="610"/>
      <c r="E640" s="610"/>
      <c r="F640" s="610"/>
      <c r="G640" s="610"/>
      <c r="H640" s="610"/>
      <c r="I640" s="610"/>
      <c r="J640" s="610"/>
      <c r="K640" s="610"/>
      <c r="L640" s="610"/>
      <c r="M640" s="610"/>
      <c r="N640" s="610"/>
      <c r="O640" s="610"/>
      <c r="P640" s="610"/>
      <c r="Q640" s="610"/>
      <c r="R640" s="610"/>
      <c r="S640" s="610"/>
      <c r="T640" s="610"/>
      <c r="U640" s="610"/>
      <c r="V640" s="610"/>
      <c r="W640" s="610"/>
      <c r="X640" s="610"/>
      <c r="Y640" s="610"/>
      <c r="Z640" s="610"/>
      <c r="AA640" s="610"/>
      <c r="AB640" s="610"/>
      <c r="AC640" s="610"/>
      <c r="AD640" s="610"/>
      <c r="AG640" s="610"/>
      <c r="AH640" s="610"/>
    </row>
    <row r="641">
      <c r="B641" s="610"/>
      <c r="C641" s="610"/>
      <c r="D641" s="610"/>
      <c r="E641" s="610"/>
      <c r="F641" s="610"/>
      <c r="G641" s="610"/>
      <c r="H641" s="610"/>
      <c r="I641" s="610"/>
      <c r="J641" s="610"/>
      <c r="K641" s="610"/>
      <c r="L641" s="610"/>
      <c r="M641" s="610"/>
      <c r="N641" s="610"/>
      <c r="O641" s="610"/>
      <c r="P641" s="610"/>
      <c r="Q641" s="610"/>
      <c r="R641" s="610"/>
      <c r="S641" s="610"/>
      <c r="T641" s="610"/>
      <c r="U641" s="610"/>
      <c r="V641" s="610"/>
      <c r="W641" s="610"/>
      <c r="X641" s="610"/>
      <c r="Y641" s="610"/>
      <c r="Z641" s="610"/>
      <c r="AA641" s="610"/>
      <c r="AB641" s="610"/>
      <c r="AC641" s="610"/>
      <c r="AD641" s="610"/>
      <c r="AG641" s="610"/>
      <c r="AH641" s="610"/>
    </row>
    <row r="642">
      <c r="B642" s="610"/>
      <c r="C642" s="610"/>
      <c r="D642" s="610"/>
      <c r="E642" s="610"/>
      <c r="F642" s="610"/>
      <c r="G642" s="610"/>
      <c r="H642" s="610"/>
      <c r="I642" s="610"/>
      <c r="J642" s="610"/>
      <c r="K642" s="610"/>
      <c r="L642" s="610"/>
      <c r="M642" s="610"/>
      <c r="N642" s="610"/>
      <c r="O642" s="610"/>
      <c r="P642" s="610"/>
      <c r="Q642" s="610"/>
      <c r="R642" s="610"/>
      <c r="S642" s="610"/>
      <c r="T642" s="610"/>
      <c r="U642" s="610"/>
      <c r="V642" s="610"/>
      <c r="W642" s="610"/>
      <c r="X642" s="610"/>
      <c r="Y642" s="610"/>
      <c r="Z642" s="610"/>
      <c r="AA642" s="610"/>
      <c r="AB642" s="610"/>
      <c r="AC642" s="610"/>
      <c r="AD642" s="610"/>
      <c r="AG642" s="610"/>
      <c r="AH642" s="610"/>
    </row>
    <row r="643">
      <c r="B643" s="610"/>
      <c r="C643" s="610"/>
      <c r="D643" s="610"/>
      <c r="E643" s="610"/>
      <c r="F643" s="610"/>
      <c r="G643" s="610"/>
      <c r="H643" s="610"/>
      <c r="I643" s="610"/>
      <c r="J643" s="610"/>
      <c r="K643" s="610"/>
      <c r="L643" s="610"/>
      <c r="M643" s="610"/>
      <c r="N643" s="610"/>
      <c r="O643" s="610"/>
      <c r="P643" s="610"/>
      <c r="Q643" s="610"/>
      <c r="R643" s="610"/>
      <c r="S643" s="610"/>
      <c r="T643" s="610"/>
      <c r="U643" s="610"/>
      <c r="V643" s="610"/>
      <c r="W643" s="610"/>
      <c r="X643" s="610"/>
      <c r="Y643" s="610"/>
      <c r="Z643" s="610"/>
      <c r="AA643" s="610"/>
      <c r="AB643" s="610"/>
      <c r="AC643" s="610"/>
      <c r="AD643" s="610"/>
      <c r="AG643" s="610"/>
      <c r="AH643" s="610"/>
    </row>
    <row r="644">
      <c r="B644" s="610"/>
      <c r="C644" s="610"/>
      <c r="D644" s="610"/>
      <c r="E644" s="610"/>
      <c r="F644" s="610"/>
      <c r="G644" s="610"/>
      <c r="H644" s="610"/>
      <c r="I644" s="610"/>
      <c r="J644" s="610"/>
      <c r="K644" s="610"/>
      <c r="L644" s="610"/>
      <c r="M644" s="610"/>
      <c r="N644" s="610"/>
      <c r="O644" s="610"/>
      <c r="P644" s="610"/>
      <c r="Q644" s="610"/>
      <c r="R644" s="610"/>
      <c r="S644" s="610"/>
      <c r="T644" s="610"/>
      <c r="U644" s="610"/>
      <c r="V644" s="610"/>
      <c r="W644" s="610"/>
      <c r="X644" s="610"/>
      <c r="Y644" s="610"/>
      <c r="Z644" s="610"/>
      <c r="AA644" s="610"/>
      <c r="AB644" s="610"/>
      <c r="AC644" s="610"/>
      <c r="AD644" s="610"/>
      <c r="AG644" s="610"/>
      <c r="AH644" s="610"/>
    </row>
    <row r="645">
      <c r="B645" s="610"/>
      <c r="C645" s="610"/>
      <c r="D645" s="610"/>
      <c r="E645" s="610"/>
      <c r="F645" s="610"/>
      <c r="G645" s="610"/>
      <c r="H645" s="610"/>
      <c r="I645" s="610"/>
      <c r="J645" s="610"/>
      <c r="K645" s="610"/>
      <c r="L645" s="610"/>
      <c r="M645" s="610"/>
      <c r="N645" s="610"/>
      <c r="O645" s="610"/>
      <c r="P645" s="610"/>
      <c r="Q645" s="610"/>
      <c r="R645" s="610"/>
      <c r="S645" s="610"/>
      <c r="T645" s="610"/>
      <c r="U645" s="610"/>
      <c r="V645" s="610"/>
      <c r="W645" s="610"/>
      <c r="X645" s="610"/>
      <c r="Y645" s="610"/>
      <c r="Z645" s="610"/>
      <c r="AA645" s="610"/>
      <c r="AB645" s="610"/>
      <c r="AC645" s="610"/>
      <c r="AD645" s="610"/>
      <c r="AG645" s="610"/>
      <c r="AH645" s="610"/>
    </row>
    <row r="646">
      <c r="B646" s="610"/>
      <c r="C646" s="610"/>
      <c r="D646" s="610"/>
      <c r="E646" s="610"/>
      <c r="F646" s="610"/>
      <c r="G646" s="610"/>
      <c r="H646" s="610"/>
      <c r="I646" s="610"/>
      <c r="J646" s="610"/>
      <c r="K646" s="610"/>
      <c r="L646" s="610"/>
      <c r="M646" s="610"/>
      <c r="N646" s="610"/>
      <c r="O646" s="610"/>
      <c r="P646" s="610"/>
      <c r="Q646" s="610"/>
      <c r="R646" s="610"/>
      <c r="S646" s="610"/>
      <c r="T646" s="610"/>
      <c r="U646" s="610"/>
      <c r="V646" s="610"/>
      <c r="W646" s="610"/>
      <c r="X646" s="610"/>
      <c r="Y646" s="610"/>
      <c r="Z646" s="610"/>
      <c r="AA646" s="610"/>
      <c r="AB646" s="610"/>
      <c r="AC646" s="610"/>
      <c r="AD646" s="610"/>
      <c r="AG646" s="610"/>
      <c r="AH646" s="610"/>
    </row>
    <row r="647">
      <c r="B647" s="610"/>
      <c r="C647" s="610"/>
      <c r="D647" s="610"/>
      <c r="E647" s="610"/>
      <c r="F647" s="610"/>
      <c r="G647" s="610"/>
      <c r="H647" s="610"/>
      <c r="I647" s="610"/>
      <c r="J647" s="610"/>
      <c r="K647" s="610"/>
      <c r="L647" s="610"/>
      <c r="M647" s="610"/>
      <c r="N647" s="610"/>
      <c r="O647" s="610"/>
      <c r="P647" s="610"/>
      <c r="Q647" s="610"/>
      <c r="R647" s="610"/>
      <c r="S647" s="610"/>
      <c r="T647" s="610"/>
      <c r="U647" s="610"/>
      <c r="V647" s="610"/>
      <c r="W647" s="610"/>
      <c r="X647" s="610"/>
      <c r="Y647" s="610"/>
      <c r="Z647" s="610"/>
      <c r="AA647" s="610"/>
      <c r="AB647" s="610"/>
      <c r="AC647" s="610"/>
      <c r="AD647" s="610"/>
      <c r="AG647" s="610"/>
      <c r="AH647" s="610"/>
    </row>
    <row r="648">
      <c r="B648" s="610"/>
      <c r="C648" s="610"/>
      <c r="D648" s="610"/>
      <c r="E648" s="610"/>
      <c r="F648" s="610"/>
      <c r="G648" s="610"/>
      <c r="H648" s="610"/>
      <c r="I648" s="610"/>
      <c r="J648" s="610"/>
      <c r="K648" s="610"/>
      <c r="L648" s="610"/>
      <c r="M648" s="610"/>
      <c r="N648" s="610"/>
      <c r="O648" s="610"/>
      <c r="P648" s="610"/>
      <c r="Q648" s="610"/>
      <c r="R648" s="610"/>
      <c r="S648" s="610"/>
      <c r="T648" s="610"/>
      <c r="U648" s="610"/>
      <c r="V648" s="610"/>
      <c r="W648" s="610"/>
      <c r="X648" s="610"/>
      <c r="Y648" s="610"/>
      <c r="Z648" s="610"/>
      <c r="AA648" s="610"/>
      <c r="AB648" s="610"/>
      <c r="AC648" s="610"/>
      <c r="AD648" s="610"/>
      <c r="AG648" s="610"/>
      <c r="AH648" s="610"/>
    </row>
    <row r="649">
      <c r="B649" s="610"/>
      <c r="C649" s="610"/>
      <c r="D649" s="610"/>
      <c r="E649" s="610"/>
      <c r="F649" s="610"/>
      <c r="G649" s="610"/>
      <c r="H649" s="610"/>
      <c r="I649" s="610"/>
      <c r="J649" s="610"/>
      <c r="K649" s="610"/>
      <c r="L649" s="610"/>
      <c r="M649" s="610"/>
      <c r="N649" s="610"/>
      <c r="O649" s="610"/>
      <c r="P649" s="610"/>
      <c r="Q649" s="610"/>
      <c r="R649" s="610"/>
      <c r="S649" s="610"/>
      <c r="T649" s="610"/>
      <c r="U649" s="610"/>
      <c r="V649" s="610"/>
      <c r="W649" s="610"/>
      <c r="X649" s="610"/>
      <c r="Y649" s="610"/>
      <c r="Z649" s="610"/>
      <c r="AA649" s="610"/>
      <c r="AB649" s="610"/>
      <c r="AC649" s="610"/>
      <c r="AD649" s="610"/>
      <c r="AG649" s="610"/>
      <c r="AH649" s="610"/>
    </row>
    <row r="650">
      <c r="B650" s="610"/>
      <c r="C650" s="610"/>
      <c r="D650" s="610"/>
      <c r="E650" s="610"/>
      <c r="F650" s="610"/>
      <c r="G650" s="610"/>
      <c r="H650" s="610"/>
      <c r="I650" s="610"/>
      <c r="J650" s="610"/>
      <c r="K650" s="610"/>
      <c r="L650" s="610"/>
      <c r="M650" s="610"/>
      <c r="N650" s="610"/>
      <c r="O650" s="610"/>
      <c r="P650" s="610"/>
      <c r="Q650" s="610"/>
      <c r="R650" s="610"/>
      <c r="S650" s="610"/>
      <c r="T650" s="610"/>
      <c r="U650" s="610"/>
      <c r="V650" s="610"/>
      <c r="W650" s="610"/>
      <c r="X650" s="610"/>
      <c r="Y650" s="610"/>
      <c r="Z650" s="610"/>
      <c r="AA650" s="610"/>
      <c r="AB650" s="610"/>
      <c r="AC650" s="610"/>
      <c r="AD650" s="610"/>
      <c r="AG650" s="610"/>
      <c r="AH650" s="610"/>
    </row>
    <row r="651">
      <c r="B651" s="610"/>
      <c r="C651" s="610"/>
      <c r="D651" s="610"/>
      <c r="E651" s="610"/>
      <c r="F651" s="610"/>
      <c r="G651" s="610"/>
      <c r="H651" s="610"/>
      <c r="I651" s="610"/>
      <c r="J651" s="610"/>
      <c r="K651" s="610"/>
      <c r="L651" s="610"/>
      <c r="M651" s="610"/>
      <c r="N651" s="610"/>
      <c r="O651" s="610"/>
      <c r="P651" s="610"/>
      <c r="Q651" s="610"/>
      <c r="R651" s="610"/>
      <c r="S651" s="610"/>
      <c r="T651" s="610"/>
      <c r="U651" s="610"/>
      <c r="V651" s="610"/>
      <c r="W651" s="610"/>
      <c r="X651" s="610"/>
      <c r="Y651" s="610"/>
      <c r="Z651" s="610"/>
      <c r="AA651" s="610"/>
      <c r="AB651" s="610"/>
      <c r="AC651" s="610"/>
      <c r="AD651" s="610"/>
      <c r="AG651" s="610"/>
      <c r="AH651" s="610"/>
    </row>
    <row r="652">
      <c r="B652" s="610"/>
      <c r="C652" s="610"/>
      <c r="D652" s="610"/>
      <c r="E652" s="610"/>
      <c r="F652" s="610"/>
      <c r="G652" s="610"/>
      <c r="H652" s="610"/>
      <c r="I652" s="610"/>
      <c r="J652" s="610"/>
      <c r="K652" s="610"/>
      <c r="L652" s="610"/>
      <c r="M652" s="610"/>
      <c r="N652" s="610"/>
      <c r="O652" s="610"/>
      <c r="P652" s="610"/>
      <c r="Q652" s="610"/>
      <c r="R652" s="610"/>
      <c r="S652" s="610"/>
      <c r="T652" s="610"/>
      <c r="U652" s="610"/>
      <c r="V652" s="610"/>
      <c r="W652" s="610"/>
      <c r="X652" s="610"/>
      <c r="Y652" s="610"/>
      <c r="Z652" s="610"/>
      <c r="AA652" s="610"/>
      <c r="AB652" s="610"/>
      <c r="AC652" s="610"/>
      <c r="AD652" s="610"/>
      <c r="AG652" s="610"/>
      <c r="AH652" s="610"/>
    </row>
    <row r="653">
      <c r="B653" s="610"/>
      <c r="C653" s="610"/>
      <c r="D653" s="610"/>
      <c r="E653" s="610"/>
      <c r="F653" s="610"/>
      <c r="G653" s="610"/>
      <c r="H653" s="610"/>
      <c r="I653" s="610"/>
      <c r="J653" s="610"/>
      <c r="K653" s="610"/>
      <c r="L653" s="610"/>
      <c r="M653" s="610"/>
      <c r="N653" s="610"/>
      <c r="O653" s="610"/>
      <c r="P653" s="610"/>
      <c r="Q653" s="610"/>
      <c r="R653" s="610"/>
      <c r="S653" s="610"/>
      <c r="T653" s="610"/>
      <c r="U653" s="610"/>
      <c r="V653" s="610"/>
      <c r="W653" s="610"/>
      <c r="X653" s="610"/>
      <c r="Y653" s="610"/>
      <c r="Z653" s="610"/>
      <c r="AA653" s="610"/>
      <c r="AB653" s="610"/>
      <c r="AC653" s="610"/>
      <c r="AD653" s="610"/>
      <c r="AG653" s="610"/>
      <c r="AH653" s="610"/>
    </row>
    <row r="654">
      <c r="B654" s="610"/>
      <c r="C654" s="610"/>
      <c r="D654" s="610"/>
      <c r="E654" s="610"/>
      <c r="F654" s="610"/>
      <c r="G654" s="610"/>
      <c r="H654" s="610"/>
      <c r="I654" s="610"/>
      <c r="J654" s="610"/>
      <c r="K654" s="610"/>
      <c r="L654" s="610"/>
      <c r="M654" s="610"/>
      <c r="N654" s="610"/>
      <c r="O654" s="610"/>
      <c r="P654" s="610"/>
      <c r="Q654" s="610"/>
      <c r="R654" s="610"/>
      <c r="S654" s="610"/>
      <c r="T654" s="610"/>
      <c r="U654" s="610"/>
      <c r="V654" s="610"/>
      <c r="W654" s="610"/>
      <c r="X654" s="610"/>
      <c r="Y654" s="610"/>
      <c r="Z654" s="610"/>
      <c r="AA654" s="610"/>
      <c r="AB654" s="610"/>
      <c r="AC654" s="610"/>
      <c r="AD654" s="610"/>
      <c r="AG654" s="610"/>
      <c r="AH654" s="610"/>
    </row>
    <row r="655">
      <c r="B655" s="610"/>
      <c r="C655" s="610"/>
      <c r="D655" s="610"/>
      <c r="E655" s="610"/>
      <c r="F655" s="610"/>
      <c r="G655" s="610"/>
      <c r="H655" s="610"/>
      <c r="I655" s="610"/>
      <c r="J655" s="610"/>
      <c r="K655" s="610"/>
      <c r="L655" s="610"/>
      <c r="M655" s="610"/>
      <c r="N655" s="610"/>
      <c r="O655" s="610"/>
      <c r="P655" s="610"/>
      <c r="Q655" s="610"/>
      <c r="R655" s="610"/>
      <c r="S655" s="610"/>
      <c r="T655" s="610"/>
      <c r="U655" s="610"/>
      <c r="V655" s="610"/>
      <c r="W655" s="610"/>
      <c r="X655" s="610"/>
      <c r="Y655" s="610"/>
      <c r="Z655" s="610"/>
      <c r="AA655" s="610"/>
      <c r="AB655" s="610"/>
      <c r="AC655" s="610"/>
      <c r="AD655" s="610"/>
      <c r="AG655" s="610"/>
      <c r="AH655" s="610"/>
    </row>
    <row r="656">
      <c r="B656" s="610"/>
      <c r="C656" s="610"/>
      <c r="D656" s="610"/>
      <c r="E656" s="610"/>
      <c r="F656" s="610"/>
      <c r="G656" s="610"/>
      <c r="H656" s="610"/>
      <c r="I656" s="610"/>
      <c r="J656" s="610"/>
      <c r="K656" s="610"/>
      <c r="L656" s="610"/>
      <c r="M656" s="610"/>
      <c r="N656" s="610"/>
      <c r="O656" s="610"/>
      <c r="P656" s="610"/>
      <c r="Q656" s="610"/>
      <c r="R656" s="610"/>
      <c r="S656" s="610"/>
      <c r="T656" s="610"/>
      <c r="U656" s="610"/>
      <c r="V656" s="610"/>
      <c r="W656" s="610"/>
      <c r="X656" s="610"/>
      <c r="Y656" s="610"/>
      <c r="Z656" s="610"/>
      <c r="AA656" s="610"/>
      <c r="AB656" s="610"/>
      <c r="AC656" s="610"/>
      <c r="AD656" s="610"/>
      <c r="AG656" s="610"/>
      <c r="AH656" s="610"/>
    </row>
    <row r="657">
      <c r="B657" s="610"/>
      <c r="C657" s="610"/>
      <c r="D657" s="610"/>
      <c r="E657" s="610"/>
      <c r="F657" s="610"/>
      <c r="G657" s="610"/>
      <c r="H657" s="610"/>
      <c r="I657" s="610"/>
      <c r="J657" s="610"/>
      <c r="K657" s="610"/>
      <c r="L657" s="610"/>
      <c r="M657" s="610"/>
      <c r="N657" s="610"/>
      <c r="O657" s="610"/>
      <c r="P657" s="610"/>
      <c r="Q657" s="610"/>
      <c r="R657" s="610"/>
      <c r="S657" s="610"/>
      <c r="T657" s="610"/>
      <c r="U657" s="610"/>
      <c r="V657" s="610"/>
      <c r="W657" s="610"/>
      <c r="X657" s="610"/>
      <c r="Y657" s="610"/>
      <c r="Z657" s="610"/>
      <c r="AA657" s="610"/>
      <c r="AB657" s="610"/>
      <c r="AC657" s="610"/>
      <c r="AD657" s="610"/>
      <c r="AG657" s="610"/>
      <c r="AH657" s="610"/>
    </row>
    <row r="658">
      <c r="B658" s="610"/>
      <c r="C658" s="610"/>
      <c r="D658" s="610"/>
      <c r="E658" s="610"/>
      <c r="F658" s="610"/>
      <c r="G658" s="610"/>
      <c r="H658" s="610"/>
      <c r="I658" s="610"/>
      <c r="J658" s="610"/>
      <c r="K658" s="610"/>
      <c r="L658" s="610"/>
      <c r="M658" s="610"/>
      <c r="N658" s="610"/>
      <c r="O658" s="610"/>
      <c r="P658" s="610"/>
      <c r="Q658" s="610"/>
      <c r="R658" s="610"/>
      <c r="S658" s="610"/>
      <c r="T658" s="610"/>
      <c r="U658" s="610"/>
      <c r="V658" s="610"/>
      <c r="W658" s="610"/>
      <c r="X658" s="610"/>
      <c r="Y658" s="610"/>
      <c r="Z658" s="610"/>
      <c r="AA658" s="610"/>
      <c r="AB658" s="610"/>
      <c r="AC658" s="610"/>
      <c r="AD658" s="610"/>
      <c r="AG658" s="610"/>
      <c r="AH658" s="610"/>
    </row>
    <row r="659">
      <c r="B659" s="610"/>
      <c r="C659" s="610"/>
      <c r="D659" s="610"/>
      <c r="E659" s="610"/>
      <c r="F659" s="610"/>
      <c r="G659" s="610"/>
      <c r="H659" s="610"/>
      <c r="I659" s="610"/>
      <c r="J659" s="610"/>
      <c r="K659" s="610"/>
      <c r="L659" s="610"/>
      <c r="M659" s="610"/>
      <c r="N659" s="610"/>
      <c r="O659" s="610"/>
      <c r="P659" s="610"/>
      <c r="Q659" s="610"/>
      <c r="R659" s="610"/>
      <c r="S659" s="610"/>
      <c r="T659" s="610"/>
      <c r="U659" s="610"/>
      <c r="V659" s="610"/>
      <c r="W659" s="610"/>
      <c r="X659" s="610"/>
      <c r="Y659" s="610"/>
      <c r="Z659" s="610"/>
      <c r="AA659" s="610"/>
      <c r="AB659" s="610"/>
      <c r="AC659" s="610"/>
      <c r="AD659" s="610"/>
      <c r="AG659" s="610"/>
      <c r="AH659" s="610"/>
    </row>
    <row r="660">
      <c r="B660" s="610"/>
      <c r="C660" s="610"/>
      <c r="D660" s="610"/>
      <c r="E660" s="610"/>
      <c r="F660" s="610"/>
      <c r="G660" s="610"/>
      <c r="H660" s="610"/>
      <c r="I660" s="610"/>
      <c r="J660" s="610"/>
      <c r="K660" s="610"/>
      <c r="L660" s="610"/>
      <c r="M660" s="610"/>
      <c r="N660" s="610"/>
      <c r="O660" s="610"/>
      <c r="P660" s="610"/>
      <c r="Q660" s="610"/>
      <c r="R660" s="610"/>
      <c r="S660" s="610"/>
      <c r="T660" s="610"/>
      <c r="U660" s="610"/>
      <c r="V660" s="610"/>
      <c r="W660" s="610"/>
      <c r="X660" s="610"/>
      <c r="Y660" s="610"/>
      <c r="Z660" s="610"/>
      <c r="AA660" s="610"/>
      <c r="AB660" s="610"/>
      <c r="AC660" s="610"/>
      <c r="AD660" s="610"/>
      <c r="AG660" s="610"/>
      <c r="AH660" s="610"/>
    </row>
    <row r="661">
      <c r="B661" s="610"/>
      <c r="C661" s="610"/>
      <c r="D661" s="610"/>
      <c r="E661" s="610"/>
      <c r="F661" s="610"/>
      <c r="G661" s="610"/>
      <c r="H661" s="610"/>
      <c r="I661" s="610"/>
      <c r="J661" s="610"/>
      <c r="K661" s="610"/>
      <c r="L661" s="610"/>
      <c r="M661" s="610"/>
      <c r="N661" s="610"/>
      <c r="O661" s="610"/>
      <c r="P661" s="610"/>
      <c r="Q661" s="610"/>
      <c r="R661" s="610"/>
      <c r="S661" s="610"/>
      <c r="T661" s="610"/>
      <c r="U661" s="610"/>
      <c r="V661" s="610"/>
      <c r="W661" s="610"/>
      <c r="X661" s="610"/>
      <c r="Y661" s="610"/>
      <c r="Z661" s="610"/>
      <c r="AA661" s="610"/>
      <c r="AB661" s="610"/>
      <c r="AC661" s="610"/>
      <c r="AD661" s="610"/>
      <c r="AG661" s="610"/>
      <c r="AH661" s="610"/>
    </row>
    <row r="662">
      <c r="B662" s="610"/>
      <c r="C662" s="610"/>
      <c r="D662" s="610"/>
      <c r="E662" s="610"/>
      <c r="F662" s="610"/>
      <c r="G662" s="610"/>
      <c r="H662" s="610"/>
      <c r="I662" s="610"/>
      <c r="J662" s="610"/>
      <c r="K662" s="610"/>
      <c r="L662" s="610"/>
      <c r="M662" s="610"/>
      <c r="N662" s="610"/>
      <c r="O662" s="610"/>
      <c r="P662" s="610"/>
      <c r="Q662" s="610"/>
      <c r="R662" s="610"/>
      <c r="S662" s="610"/>
      <c r="T662" s="610"/>
      <c r="U662" s="610"/>
      <c r="V662" s="610"/>
      <c r="W662" s="610"/>
      <c r="X662" s="610"/>
      <c r="Y662" s="610"/>
      <c r="Z662" s="610"/>
      <c r="AA662" s="610"/>
      <c r="AB662" s="610"/>
      <c r="AC662" s="610"/>
      <c r="AD662" s="610"/>
      <c r="AG662" s="610"/>
      <c r="AH662" s="610"/>
    </row>
    <row r="663">
      <c r="B663" s="610"/>
      <c r="C663" s="610"/>
      <c r="D663" s="610"/>
      <c r="E663" s="610"/>
      <c r="F663" s="610"/>
      <c r="G663" s="610"/>
      <c r="H663" s="610"/>
      <c r="I663" s="610"/>
      <c r="J663" s="610"/>
      <c r="K663" s="610"/>
      <c r="L663" s="610"/>
      <c r="M663" s="610"/>
      <c r="N663" s="610"/>
      <c r="O663" s="610"/>
      <c r="P663" s="610"/>
      <c r="Q663" s="610"/>
      <c r="R663" s="610"/>
      <c r="S663" s="610"/>
      <c r="T663" s="610"/>
      <c r="U663" s="610"/>
      <c r="V663" s="610"/>
      <c r="W663" s="610"/>
      <c r="X663" s="610"/>
      <c r="Y663" s="610"/>
      <c r="Z663" s="610"/>
      <c r="AA663" s="610"/>
      <c r="AB663" s="610"/>
      <c r="AC663" s="610"/>
      <c r="AD663" s="610"/>
      <c r="AG663" s="610"/>
      <c r="AH663" s="610"/>
    </row>
    <row r="664">
      <c r="B664" s="610"/>
      <c r="C664" s="610"/>
      <c r="D664" s="610"/>
      <c r="E664" s="610"/>
      <c r="F664" s="610"/>
      <c r="G664" s="610"/>
      <c r="H664" s="610"/>
      <c r="I664" s="610"/>
      <c r="J664" s="610"/>
      <c r="K664" s="610"/>
      <c r="L664" s="610"/>
      <c r="M664" s="610"/>
      <c r="N664" s="610"/>
      <c r="O664" s="610"/>
      <c r="P664" s="610"/>
      <c r="Q664" s="610"/>
      <c r="R664" s="610"/>
      <c r="S664" s="610"/>
      <c r="T664" s="610"/>
      <c r="U664" s="610"/>
      <c r="V664" s="610"/>
      <c r="W664" s="610"/>
      <c r="X664" s="610"/>
      <c r="Y664" s="610"/>
      <c r="Z664" s="610"/>
      <c r="AA664" s="610"/>
      <c r="AB664" s="610"/>
      <c r="AC664" s="610"/>
      <c r="AD664" s="610"/>
      <c r="AG664" s="610"/>
      <c r="AH664" s="610"/>
    </row>
    <row r="665">
      <c r="B665" s="610"/>
      <c r="C665" s="610"/>
      <c r="D665" s="610"/>
      <c r="E665" s="610"/>
      <c r="F665" s="610"/>
      <c r="G665" s="610"/>
      <c r="H665" s="610"/>
      <c r="I665" s="610"/>
      <c r="J665" s="610"/>
      <c r="K665" s="610"/>
      <c r="L665" s="610"/>
      <c r="M665" s="610"/>
      <c r="N665" s="610"/>
      <c r="O665" s="610"/>
      <c r="P665" s="610"/>
      <c r="Q665" s="610"/>
      <c r="R665" s="610"/>
      <c r="S665" s="610"/>
      <c r="T665" s="610"/>
      <c r="U665" s="610"/>
      <c r="V665" s="610"/>
      <c r="W665" s="610"/>
      <c r="X665" s="610"/>
      <c r="Y665" s="610"/>
      <c r="Z665" s="610"/>
      <c r="AA665" s="610"/>
      <c r="AB665" s="610"/>
      <c r="AC665" s="610"/>
      <c r="AD665" s="610"/>
      <c r="AG665" s="610"/>
      <c r="AH665" s="610"/>
    </row>
    <row r="666">
      <c r="B666" s="610"/>
      <c r="C666" s="610"/>
      <c r="D666" s="610"/>
      <c r="E666" s="610"/>
      <c r="F666" s="610"/>
      <c r="G666" s="610"/>
      <c r="H666" s="610"/>
      <c r="I666" s="610"/>
      <c r="J666" s="610"/>
      <c r="K666" s="610"/>
      <c r="L666" s="610"/>
      <c r="M666" s="610"/>
      <c r="N666" s="610"/>
      <c r="O666" s="610"/>
      <c r="P666" s="610"/>
      <c r="Q666" s="610"/>
      <c r="R666" s="610"/>
      <c r="S666" s="610"/>
      <c r="T666" s="610"/>
      <c r="U666" s="610"/>
      <c r="V666" s="610"/>
      <c r="W666" s="610"/>
      <c r="X666" s="610"/>
      <c r="Y666" s="610"/>
      <c r="Z666" s="610"/>
      <c r="AA666" s="610"/>
      <c r="AB666" s="610"/>
      <c r="AC666" s="610"/>
      <c r="AD666" s="610"/>
      <c r="AG666" s="610"/>
      <c r="AH666" s="610"/>
    </row>
    <row r="667">
      <c r="B667" s="610"/>
      <c r="C667" s="610"/>
      <c r="D667" s="610"/>
      <c r="E667" s="610"/>
      <c r="F667" s="610"/>
      <c r="G667" s="610"/>
      <c r="H667" s="610"/>
      <c r="I667" s="610"/>
      <c r="J667" s="610"/>
      <c r="K667" s="610"/>
      <c r="L667" s="610"/>
      <c r="M667" s="610"/>
      <c r="N667" s="610"/>
      <c r="O667" s="610"/>
      <c r="P667" s="610"/>
      <c r="Q667" s="610"/>
      <c r="R667" s="610"/>
      <c r="S667" s="610"/>
      <c r="T667" s="610"/>
      <c r="U667" s="610"/>
      <c r="V667" s="610"/>
      <c r="W667" s="610"/>
      <c r="X667" s="610"/>
      <c r="Y667" s="610"/>
      <c r="Z667" s="610"/>
      <c r="AA667" s="610"/>
      <c r="AB667" s="610"/>
      <c r="AC667" s="610"/>
      <c r="AD667" s="610"/>
      <c r="AG667" s="610"/>
      <c r="AH667" s="610"/>
    </row>
    <row r="668">
      <c r="B668" s="610"/>
      <c r="C668" s="610"/>
      <c r="D668" s="610"/>
      <c r="E668" s="610"/>
      <c r="F668" s="610"/>
      <c r="G668" s="610"/>
      <c r="H668" s="610"/>
      <c r="I668" s="610"/>
      <c r="J668" s="610"/>
      <c r="K668" s="610"/>
      <c r="L668" s="610"/>
      <c r="M668" s="610"/>
      <c r="N668" s="610"/>
      <c r="O668" s="610"/>
      <c r="P668" s="610"/>
      <c r="Q668" s="610"/>
      <c r="R668" s="610"/>
      <c r="S668" s="610"/>
      <c r="T668" s="610"/>
      <c r="U668" s="610"/>
      <c r="V668" s="610"/>
      <c r="W668" s="610"/>
      <c r="X668" s="610"/>
      <c r="Y668" s="610"/>
      <c r="Z668" s="610"/>
      <c r="AA668" s="610"/>
      <c r="AB668" s="610"/>
      <c r="AC668" s="610"/>
      <c r="AD668" s="610"/>
      <c r="AG668" s="610"/>
      <c r="AH668" s="610"/>
    </row>
    <row r="669">
      <c r="B669" s="610"/>
      <c r="C669" s="610"/>
      <c r="D669" s="610"/>
      <c r="E669" s="610"/>
      <c r="F669" s="610"/>
      <c r="G669" s="610"/>
      <c r="H669" s="610"/>
      <c r="I669" s="610"/>
      <c r="J669" s="610"/>
      <c r="K669" s="610"/>
      <c r="L669" s="610"/>
      <c r="M669" s="610"/>
      <c r="N669" s="610"/>
      <c r="O669" s="610"/>
      <c r="P669" s="610"/>
      <c r="Q669" s="610"/>
      <c r="R669" s="610"/>
      <c r="S669" s="610"/>
      <c r="T669" s="610"/>
      <c r="U669" s="610"/>
      <c r="V669" s="610"/>
      <c r="W669" s="610"/>
      <c r="X669" s="610"/>
      <c r="Y669" s="610"/>
      <c r="Z669" s="610"/>
      <c r="AA669" s="610"/>
      <c r="AB669" s="610"/>
      <c r="AC669" s="610"/>
      <c r="AD669" s="610"/>
      <c r="AG669" s="610"/>
      <c r="AH669" s="610"/>
    </row>
    <row r="670">
      <c r="B670" s="610"/>
      <c r="C670" s="610"/>
      <c r="D670" s="610"/>
      <c r="E670" s="610"/>
      <c r="F670" s="610"/>
      <c r="G670" s="610"/>
      <c r="H670" s="610"/>
      <c r="I670" s="610"/>
      <c r="J670" s="610"/>
      <c r="K670" s="610"/>
      <c r="L670" s="610"/>
      <c r="M670" s="610"/>
      <c r="N670" s="610"/>
      <c r="O670" s="610"/>
      <c r="P670" s="610"/>
      <c r="Q670" s="610"/>
      <c r="R670" s="610"/>
      <c r="S670" s="610"/>
      <c r="T670" s="610"/>
      <c r="U670" s="610"/>
      <c r="V670" s="610"/>
      <c r="W670" s="610"/>
      <c r="X670" s="610"/>
      <c r="Y670" s="610"/>
      <c r="Z670" s="610"/>
      <c r="AA670" s="610"/>
      <c r="AB670" s="610"/>
      <c r="AC670" s="610"/>
      <c r="AD670" s="610"/>
      <c r="AG670" s="610"/>
      <c r="AH670" s="610"/>
    </row>
    <row r="671">
      <c r="B671" s="610"/>
      <c r="C671" s="610"/>
      <c r="D671" s="610"/>
      <c r="E671" s="610"/>
      <c r="F671" s="610"/>
      <c r="G671" s="610"/>
      <c r="H671" s="610"/>
      <c r="I671" s="610"/>
      <c r="J671" s="610"/>
      <c r="K671" s="610"/>
      <c r="L671" s="610"/>
      <c r="M671" s="610"/>
      <c r="N671" s="610"/>
      <c r="O671" s="610"/>
      <c r="P671" s="610"/>
      <c r="Q671" s="610"/>
      <c r="R671" s="610"/>
      <c r="S671" s="610"/>
      <c r="T671" s="610"/>
      <c r="U671" s="610"/>
      <c r="V671" s="610"/>
      <c r="W671" s="610"/>
      <c r="X671" s="610"/>
      <c r="Y671" s="610"/>
      <c r="Z671" s="610"/>
      <c r="AA671" s="610"/>
      <c r="AB671" s="610"/>
      <c r="AC671" s="610"/>
      <c r="AD671" s="610"/>
      <c r="AG671" s="610"/>
      <c r="AH671" s="610"/>
    </row>
    <row r="672">
      <c r="B672" s="610"/>
      <c r="C672" s="610"/>
      <c r="D672" s="610"/>
      <c r="E672" s="610"/>
      <c r="F672" s="610"/>
      <c r="G672" s="610"/>
      <c r="H672" s="610"/>
      <c r="I672" s="610"/>
      <c r="J672" s="610"/>
      <c r="K672" s="610"/>
      <c r="L672" s="610"/>
      <c r="M672" s="610"/>
      <c r="N672" s="610"/>
      <c r="O672" s="610"/>
      <c r="P672" s="610"/>
      <c r="Q672" s="610"/>
      <c r="R672" s="610"/>
      <c r="S672" s="610"/>
      <c r="T672" s="610"/>
      <c r="U672" s="610"/>
      <c r="V672" s="610"/>
      <c r="W672" s="610"/>
      <c r="X672" s="610"/>
      <c r="Y672" s="610"/>
      <c r="Z672" s="610"/>
      <c r="AA672" s="610"/>
      <c r="AB672" s="610"/>
      <c r="AC672" s="610"/>
      <c r="AD672" s="610"/>
      <c r="AG672" s="610"/>
      <c r="AH672" s="610"/>
    </row>
    <row r="673">
      <c r="B673" s="610"/>
      <c r="C673" s="610"/>
      <c r="D673" s="610"/>
      <c r="E673" s="610"/>
      <c r="F673" s="610"/>
      <c r="G673" s="610"/>
      <c r="H673" s="610"/>
      <c r="I673" s="610"/>
      <c r="J673" s="610"/>
      <c r="K673" s="610"/>
      <c r="L673" s="610"/>
      <c r="M673" s="610"/>
      <c r="N673" s="610"/>
      <c r="O673" s="610"/>
      <c r="P673" s="610"/>
      <c r="Q673" s="610"/>
      <c r="R673" s="610"/>
      <c r="S673" s="610"/>
      <c r="T673" s="610"/>
      <c r="U673" s="610"/>
      <c r="V673" s="610"/>
      <c r="W673" s="610"/>
      <c r="X673" s="610"/>
      <c r="Y673" s="610"/>
      <c r="Z673" s="610"/>
      <c r="AA673" s="610"/>
      <c r="AB673" s="610"/>
      <c r="AC673" s="610"/>
      <c r="AD673" s="610"/>
      <c r="AG673" s="610"/>
      <c r="AH673" s="610"/>
    </row>
    <row r="674">
      <c r="B674" s="610"/>
      <c r="C674" s="610"/>
      <c r="D674" s="610"/>
      <c r="E674" s="610"/>
      <c r="F674" s="610"/>
      <c r="G674" s="610"/>
      <c r="H674" s="610"/>
      <c r="I674" s="610"/>
      <c r="J674" s="610"/>
      <c r="K674" s="610"/>
      <c r="L674" s="610"/>
      <c r="M674" s="610"/>
      <c r="N674" s="610"/>
      <c r="O674" s="610"/>
      <c r="P674" s="610"/>
      <c r="Q674" s="610"/>
      <c r="R674" s="610"/>
      <c r="S674" s="610"/>
      <c r="T674" s="610"/>
      <c r="U674" s="610"/>
      <c r="V674" s="610"/>
      <c r="W674" s="610"/>
      <c r="X674" s="610"/>
      <c r="Y674" s="610"/>
      <c r="Z674" s="610"/>
      <c r="AA674" s="610"/>
      <c r="AB674" s="610"/>
      <c r="AC674" s="610"/>
      <c r="AD674" s="610"/>
      <c r="AG674" s="610"/>
      <c r="AH674" s="610"/>
    </row>
    <row r="675">
      <c r="B675" s="610"/>
      <c r="C675" s="610"/>
      <c r="D675" s="610"/>
      <c r="E675" s="610"/>
      <c r="F675" s="610"/>
      <c r="G675" s="610"/>
      <c r="H675" s="610"/>
      <c r="I675" s="610"/>
      <c r="J675" s="610"/>
      <c r="K675" s="610"/>
      <c r="L675" s="610"/>
      <c r="M675" s="610"/>
      <c r="N675" s="610"/>
      <c r="O675" s="610"/>
      <c r="P675" s="610"/>
      <c r="Q675" s="610"/>
      <c r="R675" s="610"/>
      <c r="S675" s="610"/>
      <c r="T675" s="610"/>
      <c r="U675" s="610"/>
      <c r="V675" s="610"/>
      <c r="W675" s="610"/>
      <c r="X675" s="610"/>
      <c r="Y675" s="610"/>
      <c r="Z675" s="610"/>
      <c r="AA675" s="610"/>
      <c r="AB675" s="610"/>
      <c r="AC675" s="610"/>
      <c r="AD675" s="610"/>
      <c r="AG675" s="610"/>
      <c r="AH675" s="610"/>
    </row>
    <row r="676">
      <c r="B676" s="610"/>
      <c r="C676" s="610"/>
      <c r="D676" s="610"/>
      <c r="E676" s="610"/>
      <c r="F676" s="610"/>
      <c r="G676" s="610"/>
      <c r="H676" s="610"/>
      <c r="I676" s="610"/>
      <c r="J676" s="610"/>
      <c r="K676" s="610"/>
      <c r="L676" s="610"/>
      <c r="M676" s="610"/>
      <c r="N676" s="610"/>
      <c r="O676" s="610"/>
      <c r="P676" s="610"/>
      <c r="Q676" s="610"/>
      <c r="R676" s="610"/>
      <c r="S676" s="610"/>
      <c r="T676" s="610"/>
      <c r="U676" s="610"/>
      <c r="V676" s="610"/>
      <c r="W676" s="610"/>
      <c r="X676" s="610"/>
      <c r="Y676" s="610"/>
      <c r="Z676" s="610"/>
      <c r="AA676" s="610"/>
      <c r="AB676" s="610"/>
      <c r="AC676" s="610"/>
      <c r="AD676" s="610"/>
      <c r="AG676" s="610"/>
      <c r="AH676" s="610"/>
    </row>
    <row r="677">
      <c r="B677" s="610"/>
      <c r="C677" s="610"/>
      <c r="D677" s="610"/>
      <c r="E677" s="610"/>
      <c r="F677" s="610"/>
      <c r="G677" s="610"/>
      <c r="H677" s="610"/>
      <c r="I677" s="610"/>
      <c r="J677" s="610"/>
      <c r="K677" s="610"/>
      <c r="L677" s="610"/>
      <c r="M677" s="610"/>
      <c r="N677" s="610"/>
      <c r="O677" s="610"/>
      <c r="P677" s="610"/>
      <c r="Q677" s="610"/>
      <c r="R677" s="610"/>
      <c r="S677" s="610"/>
      <c r="T677" s="610"/>
      <c r="U677" s="610"/>
      <c r="V677" s="610"/>
      <c r="W677" s="610"/>
      <c r="X677" s="610"/>
      <c r="Y677" s="610"/>
      <c r="Z677" s="610"/>
      <c r="AA677" s="610"/>
      <c r="AB677" s="610"/>
      <c r="AC677" s="610"/>
      <c r="AD677" s="610"/>
      <c r="AG677" s="610"/>
      <c r="AH677" s="610"/>
    </row>
    <row r="678">
      <c r="B678" s="610"/>
      <c r="C678" s="610"/>
      <c r="D678" s="610"/>
      <c r="E678" s="610"/>
      <c r="F678" s="610"/>
      <c r="G678" s="610"/>
      <c r="H678" s="610"/>
      <c r="I678" s="610"/>
      <c r="J678" s="610"/>
      <c r="K678" s="610"/>
      <c r="L678" s="610"/>
      <c r="M678" s="610"/>
      <c r="N678" s="610"/>
      <c r="O678" s="610"/>
      <c r="P678" s="610"/>
      <c r="Q678" s="610"/>
      <c r="R678" s="610"/>
      <c r="S678" s="610"/>
      <c r="T678" s="610"/>
      <c r="U678" s="610"/>
      <c r="V678" s="610"/>
      <c r="W678" s="610"/>
      <c r="X678" s="610"/>
      <c r="Y678" s="610"/>
      <c r="Z678" s="610"/>
      <c r="AA678" s="610"/>
      <c r="AB678" s="610"/>
      <c r="AC678" s="610"/>
      <c r="AD678" s="610"/>
      <c r="AG678" s="610"/>
      <c r="AH678" s="610"/>
    </row>
    <row r="679">
      <c r="B679" s="610"/>
      <c r="C679" s="610"/>
      <c r="D679" s="610"/>
      <c r="E679" s="610"/>
      <c r="F679" s="610"/>
      <c r="G679" s="610"/>
      <c r="H679" s="610"/>
      <c r="I679" s="610"/>
      <c r="J679" s="610"/>
      <c r="K679" s="610"/>
      <c r="L679" s="610"/>
      <c r="M679" s="610"/>
      <c r="N679" s="610"/>
      <c r="O679" s="610"/>
      <c r="P679" s="610"/>
      <c r="Q679" s="610"/>
      <c r="R679" s="610"/>
      <c r="S679" s="610"/>
      <c r="T679" s="610"/>
      <c r="U679" s="610"/>
      <c r="V679" s="610"/>
      <c r="W679" s="610"/>
      <c r="X679" s="610"/>
      <c r="Y679" s="610"/>
      <c r="Z679" s="610"/>
      <c r="AA679" s="610"/>
      <c r="AB679" s="610"/>
      <c r="AC679" s="610"/>
      <c r="AD679" s="610"/>
      <c r="AG679" s="610"/>
      <c r="AH679" s="610"/>
    </row>
    <row r="680">
      <c r="B680" s="610"/>
      <c r="C680" s="610"/>
      <c r="D680" s="610"/>
      <c r="E680" s="610"/>
      <c r="F680" s="610"/>
      <c r="G680" s="610"/>
      <c r="H680" s="610"/>
      <c r="I680" s="610"/>
      <c r="J680" s="610"/>
      <c r="K680" s="610"/>
      <c r="L680" s="610"/>
      <c r="M680" s="610"/>
      <c r="N680" s="610"/>
      <c r="O680" s="610"/>
      <c r="P680" s="610"/>
      <c r="Q680" s="610"/>
      <c r="R680" s="610"/>
      <c r="S680" s="610"/>
      <c r="T680" s="610"/>
      <c r="U680" s="610"/>
      <c r="V680" s="610"/>
      <c r="W680" s="610"/>
      <c r="X680" s="610"/>
      <c r="Y680" s="610"/>
      <c r="Z680" s="610"/>
      <c r="AA680" s="610"/>
      <c r="AB680" s="610"/>
      <c r="AC680" s="610"/>
      <c r="AD680" s="610"/>
      <c r="AG680" s="610"/>
      <c r="AH680" s="610"/>
    </row>
    <row r="681">
      <c r="B681" s="610"/>
      <c r="C681" s="610"/>
      <c r="D681" s="610"/>
      <c r="E681" s="610"/>
      <c r="F681" s="610"/>
      <c r="G681" s="610"/>
      <c r="H681" s="610"/>
      <c r="I681" s="610"/>
      <c r="J681" s="610"/>
      <c r="K681" s="610"/>
      <c r="L681" s="610"/>
      <c r="M681" s="610"/>
      <c r="N681" s="610"/>
      <c r="O681" s="610"/>
      <c r="P681" s="610"/>
      <c r="Q681" s="610"/>
      <c r="R681" s="610"/>
      <c r="S681" s="610"/>
      <c r="T681" s="610"/>
      <c r="U681" s="610"/>
      <c r="V681" s="610"/>
      <c r="W681" s="610"/>
      <c r="X681" s="610"/>
      <c r="Y681" s="610"/>
      <c r="Z681" s="610"/>
      <c r="AA681" s="610"/>
      <c r="AB681" s="610"/>
      <c r="AC681" s="610"/>
      <c r="AD681" s="610"/>
      <c r="AG681" s="610"/>
      <c r="AH681" s="610"/>
    </row>
    <row r="682">
      <c r="B682" s="610"/>
      <c r="C682" s="610"/>
      <c r="D682" s="610"/>
      <c r="E682" s="610"/>
      <c r="F682" s="610"/>
      <c r="G682" s="610"/>
      <c r="H682" s="610"/>
      <c r="I682" s="610"/>
      <c r="J682" s="610"/>
      <c r="K682" s="610"/>
      <c r="L682" s="610"/>
      <c r="M682" s="610"/>
      <c r="N682" s="610"/>
      <c r="O682" s="610"/>
      <c r="P682" s="610"/>
      <c r="Q682" s="610"/>
      <c r="R682" s="610"/>
      <c r="S682" s="610"/>
      <c r="T682" s="610"/>
      <c r="U682" s="610"/>
      <c r="V682" s="610"/>
      <c r="W682" s="610"/>
      <c r="X682" s="610"/>
      <c r="Y682" s="610"/>
      <c r="Z682" s="610"/>
      <c r="AA682" s="610"/>
      <c r="AB682" s="610"/>
      <c r="AC682" s="610"/>
      <c r="AD682" s="610"/>
      <c r="AG682" s="610"/>
      <c r="AH682" s="610"/>
    </row>
    <row r="683">
      <c r="B683" s="610"/>
      <c r="C683" s="610"/>
      <c r="D683" s="610"/>
      <c r="E683" s="610"/>
      <c r="F683" s="610"/>
      <c r="G683" s="610"/>
      <c r="H683" s="610"/>
      <c r="I683" s="610"/>
      <c r="J683" s="610"/>
      <c r="K683" s="610"/>
      <c r="L683" s="610"/>
      <c r="M683" s="610"/>
      <c r="N683" s="610"/>
      <c r="O683" s="610"/>
      <c r="P683" s="610"/>
      <c r="Q683" s="610"/>
      <c r="R683" s="610"/>
      <c r="S683" s="610"/>
      <c r="T683" s="610"/>
      <c r="U683" s="610"/>
      <c r="V683" s="610"/>
      <c r="W683" s="610"/>
      <c r="X683" s="610"/>
      <c r="Y683" s="610"/>
      <c r="Z683" s="610"/>
      <c r="AA683" s="610"/>
      <c r="AB683" s="610"/>
      <c r="AC683" s="610"/>
      <c r="AD683" s="610"/>
      <c r="AG683" s="610"/>
      <c r="AH683" s="610"/>
    </row>
    <row r="684">
      <c r="B684" s="610"/>
      <c r="C684" s="610"/>
      <c r="D684" s="610"/>
      <c r="E684" s="610"/>
      <c r="F684" s="610"/>
      <c r="G684" s="610"/>
      <c r="H684" s="610"/>
      <c r="I684" s="610"/>
      <c r="J684" s="610"/>
      <c r="K684" s="610"/>
      <c r="L684" s="610"/>
      <c r="M684" s="610"/>
      <c r="N684" s="610"/>
      <c r="O684" s="610"/>
      <c r="P684" s="610"/>
      <c r="Q684" s="610"/>
      <c r="R684" s="610"/>
      <c r="S684" s="610"/>
      <c r="T684" s="610"/>
      <c r="U684" s="610"/>
      <c r="V684" s="610"/>
      <c r="W684" s="610"/>
      <c r="X684" s="610"/>
      <c r="Y684" s="610"/>
      <c r="Z684" s="610"/>
      <c r="AA684" s="610"/>
      <c r="AB684" s="610"/>
      <c r="AC684" s="610"/>
      <c r="AD684" s="610"/>
      <c r="AG684" s="610"/>
      <c r="AH684" s="610"/>
    </row>
    <row r="685">
      <c r="B685" s="610"/>
      <c r="C685" s="610"/>
      <c r="D685" s="610"/>
      <c r="E685" s="610"/>
      <c r="F685" s="610"/>
      <c r="G685" s="610"/>
      <c r="H685" s="610"/>
      <c r="I685" s="610"/>
      <c r="J685" s="610"/>
      <c r="K685" s="610"/>
      <c r="L685" s="610"/>
      <c r="M685" s="610"/>
      <c r="N685" s="610"/>
      <c r="O685" s="610"/>
      <c r="P685" s="610"/>
      <c r="Q685" s="610"/>
      <c r="R685" s="610"/>
      <c r="S685" s="610"/>
      <c r="T685" s="610"/>
      <c r="U685" s="610"/>
      <c r="V685" s="610"/>
      <c r="W685" s="610"/>
      <c r="X685" s="610"/>
      <c r="Y685" s="610"/>
      <c r="Z685" s="610"/>
      <c r="AA685" s="610"/>
      <c r="AB685" s="610"/>
      <c r="AC685" s="610"/>
      <c r="AD685" s="610"/>
      <c r="AG685" s="610"/>
      <c r="AH685" s="610"/>
    </row>
    <row r="686">
      <c r="B686" s="610"/>
      <c r="C686" s="610"/>
      <c r="D686" s="610"/>
      <c r="E686" s="610"/>
      <c r="F686" s="610"/>
      <c r="G686" s="610"/>
      <c r="H686" s="610"/>
      <c r="I686" s="610"/>
      <c r="J686" s="610"/>
      <c r="K686" s="610"/>
      <c r="L686" s="610"/>
      <c r="M686" s="610"/>
      <c r="N686" s="610"/>
      <c r="O686" s="610"/>
      <c r="P686" s="610"/>
      <c r="Q686" s="610"/>
      <c r="R686" s="610"/>
      <c r="S686" s="610"/>
      <c r="T686" s="610"/>
      <c r="U686" s="610"/>
      <c r="V686" s="610"/>
      <c r="W686" s="610"/>
      <c r="X686" s="610"/>
      <c r="Y686" s="610"/>
      <c r="Z686" s="610"/>
      <c r="AA686" s="610"/>
      <c r="AB686" s="610"/>
      <c r="AC686" s="610"/>
      <c r="AD686" s="610"/>
      <c r="AG686" s="610"/>
      <c r="AH686" s="610"/>
    </row>
    <row r="687">
      <c r="B687" s="610"/>
      <c r="C687" s="610"/>
      <c r="D687" s="610"/>
      <c r="E687" s="610"/>
      <c r="F687" s="610"/>
      <c r="G687" s="610"/>
      <c r="H687" s="610"/>
      <c r="I687" s="610"/>
      <c r="J687" s="610"/>
      <c r="K687" s="610"/>
      <c r="L687" s="610"/>
      <c r="M687" s="610"/>
      <c r="N687" s="610"/>
      <c r="O687" s="610"/>
      <c r="P687" s="610"/>
      <c r="Q687" s="610"/>
      <c r="R687" s="610"/>
      <c r="S687" s="610"/>
      <c r="T687" s="610"/>
      <c r="U687" s="610"/>
      <c r="V687" s="610"/>
      <c r="W687" s="610"/>
      <c r="X687" s="610"/>
      <c r="Y687" s="610"/>
      <c r="Z687" s="610"/>
      <c r="AA687" s="610"/>
      <c r="AB687" s="610"/>
      <c r="AC687" s="610"/>
      <c r="AD687" s="610"/>
      <c r="AG687" s="610"/>
      <c r="AH687" s="610"/>
    </row>
    <row r="688">
      <c r="B688" s="610"/>
      <c r="C688" s="610"/>
      <c r="D688" s="610"/>
      <c r="E688" s="610"/>
      <c r="F688" s="610"/>
      <c r="G688" s="610"/>
      <c r="H688" s="610"/>
      <c r="I688" s="610"/>
      <c r="J688" s="610"/>
      <c r="K688" s="610"/>
      <c r="L688" s="610"/>
      <c r="M688" s="610"/>
      <c r="N688" s="610"/>
      <c r="O688" s="610"/>
      <c r="P688" s="610"/>
      <c r="Q688" s="610"/>
      <c r="R688" s="610"/>
      <c r="S688" s="610"/>
      <c r="T688" s="610"/>
      <c r="U688" s="610"/>
      <c r="V688" s="610"/>
      <c r="W688" s="610"/>
      <c r="X688" s="610"/>
      <c r="Y688" s="610"/>
      <c r="Z688" s="610"/>
      <c r="AA688" s="610"/>
      <c r="AB688" s="610"/>
      <c r="AC688" s="610"/>
      <c r="AD688" s="610"/>
      <c r="AG688" s="610"/>
      <c r="AH688" s="610"/>
    </row>
    <row r="689">
      <c r="B689" s="610"/>
      <c r="C689" s="610"/>
      <c r="D689" s="610"/>
      <c r="E689" s="610"/>
      <c r="F689" s="610"/>
      <c r="G689" s="610"/>
      <c r="H689" s="610"/>
      <c r="I689" s="610"/>
      <c r="J689" s="610"/>
      <c r="K689" s="610"/>
      <c r="L689" s="610"/>
      <c r="M689" s="610"/>
      <c r="N689" s="610"/>
      <c r="O689" s="610"/>
      <c r="P689" s="610"/>
      <c r="Q689" s="610"/>
      <c r="R689" s="610"/>
      <c r="S689" s="610"/>
      <c r="T689" s="610"/>
      <c r="U689" s="610"/>
      <c r="V689" s="610"/>
      <c r="W689" s="610"/>
      <c r="X689" s="610"/>
      <c r="Y689" s="610"/>
      <c r="Z689" s="610"/>
      <c r="AA689" s="610"/>
      <c r="AB689" s="610"/>
      <c r="AC689" s="610"/>
      <c r="AD689" s="610"/>
      <c r="AG689" s="610"/>
      <c r="AH689" s="610"/>
    </row>
    <row r="690">
      <c r="B690" s="610"/>
      <c r="C690" s="610"/>
      <c r="D690" s="610"/>
      <c r="E690" s="610"/>
      <c r="F690" s="610"/>
      <c r="G690" s="610"/>
      <c r="H690" s="610"/>
      <c r="I690" s="610"/>
      <c r="J690" s="610"/>
      <c r="K690" s="610"/>
      <c r="L690" s="610"/>
      <c r="M690" s="610"/>
      <c r="N690" s="610"/>
      <c r="O690" s="610"/>
      <c r="P690" s="610"/>
      <c r="Q690" s="610"/>
      <c r="R690" s="610"/>
      <c r="S690" s="610"/>
      <c r="T690" s="610"/>
      <c r="U690" s="610"/>
      <c r="V690" s="610"/>
      <c r="W690" s="610"/>
      <c r="X690" s="610"/>
      <c r="Y690" s="610"/>
      <c r="Z690" s="610"/>
      <c r="AA690" s="610"/>
      <c r="AB690" s="610"/>
      <c r="AC690" s="610"/>
      <c r="AD690" s="610"/>
      <c r="AG690" s="610"/>
      <c r="AH690" s="610"/>
    </row>
    <row r="691">
      <c r="B691" s="610"/>
      <c r="C691" s="610"/>
      <c r="D691" s="610"/>
      <c r="E691" s="610"/>
      <c r="F691" s="610"/>
      <c r="G691" s="610"/>
      <c r="H691" s="610"/>
      <c r="I691" s="610"/>
      <c r="J691" s="610"/>
      <c r="K691" s="610"/>
      <c r="L691" s="610"/>
      <c r="M691" s="610"/>
      <c r="N691" s="610"/>
      <c r="O691" s="610"/>
      <c r="P691" s="610"/>
      <c r="Q691" s="610"/>
      <c r="R691" s="610"/>
      <c r="S691" s="610"/>
      <c r="T691" s="610"/>
      <c r="U691" s="610"/>
      <c r="V691" s="610"/>
      <c r="W691" s="610"/>
      <c r="X691" s="610"/>
      <c r="Y691" s="610"/>
      <c r="Z691" s="610"/>
      <c r="AA691" s="610"/>
      <c r="AB691" s="610"/>
      <c r="AC691" s="610"/>
      <c r="AD691" s="610"/>
      <c r="AG691" s="610"/>
      <c r="AH691" s="610"/>
    </row>
    <row r="692">
      <c r="B692" s="610"/>
      <c r="C692" s="610"/>
      <c r="D692" s="610"/>
      <c r="E692" s="610"/>
      <c r="F692" s="610"/>
      <c r="G692" s="610"/>
      <c r="H692" s="610"/>
      <c r="I692" s="610"/>
      <c r="J692" s="610"/>
      <c r="K692" s="610"/>
      <c r="L692" s="610"/>
      <c r="M692" s="610"/>
      <c r="N692" s="610"/>
      <c r="O692" s="610"/>
      <c r="P692" s="610"/>
      <c r="Q692" s="610"/>
      <c r="R692" s="610"/>
      <c r="S692" s="610"/>
      <c r="T692" s="610"/>
      <c r="U692" s="610"/>
      <c r="V692" s="610"/>
      <c r="W692" s="610"/>
      <c r="X692" s="610"/>
      <c r="Y692" s="610"/>
      <c r="Z692" s="610"/>
      <c r="AA692" s="610"/>
      <c r="AB692" s="610"/>
      <c r="AC692" s="610"/>
      <c r="AD692" s="610"/>
      <c r="AG692" s="610"/>
      <c r="AH692" s="610"/>
    </row>
    <row r="693">
      <c r="B693" s="610"/>
      <c r="C693" s="610"/>
      <c r="D693" s="610"/>
      <c r="E693" s="610"/>
      <c r="F693" s="610"/>
      <c r="G693" s="610"/>
      <c r="H693" s="610"/>
      <c r="I693" s="610"/>
      <c r="J693" s="610"/>
      <c r="K693" s="610"/>
      <c r="L693" s="610"/>
      <c r="M693" s="610"/>
      <c r="N693" s="610"/>
      <c r="O693" s="610"/>
      <c r="P693" s="610"/>
      <c r="Q693" s="610"/>
      <c r="R693" s="610"/>
      <c r="S693" s="610"/>
      <c r="T693" s="610"/>
      <c r="U693" s="610"/>
      <c r="V693" s="610"/>
      <c r="W693" s="610"/>
      <c r="X693" s="610"/>
      <c r="Y693" s="610"/>
      <c r="Z693" s="610"/>
      <c r="AA693" s="610"/>
      <c r="AB693" s="610"/>
      <c r="AC693" s="610"/>
      <c r="AD693" s="610"/>
      <c r="AG693" s="610"/>
      <c r="AH693" s="610"/>
    </row>
    <row r="694">
      <c r="B694" s="610"/>
      <c r="C694" s="610"/>
      <c r="D694" s="610"/>
      <c r="E694" s="610"/>
      <c r="F694" s="610"/>
      <c r="G694" s="610"/>
      <c r="H694" s="610"/>
      <c r="I694" s="610"/>
      <c r="J694" s="610"/>
      <c r="K694" s="610"/>
      <c r="L694" s="610"/>
      <c r="M694" s="610"/>
      <c r="N694" s="610"/>
      <c r="O694" s="610"/>
      <c r="P694" s="610"/>
      <c r="Q694" s="610"/>
      <c r="R694" s="610"/>
      <c r="S694" s="610"/>
      <c r="T694" s="610"/>
      <c r="U694" s="610"/>
      <c r="V694" s="610"/>
      <c r="W694" s="610"/>
      <c r="X694" s="610"/>
      <c r="Y694" s="610"/>
      <c r="Z694" s="610"/>
      <c r="AA694" s="610"/>
      <c r="AB694" s="610"/>
      <c r="AC694" s="610"/>
      <c r="AD694" s="610"/>
      <c r="AG694" s="610"/>
      <c r="AH694" s="610"/>
    </row>
    <row r="695">
      <c r="B695" s="610"/>
      <c r="C695" s="610"/>
      <c r="D695" s="610"/>
      <c r="E695" s="610"/>
      <c r="F695" s="610"/>
      <c r="G695" s="610"/>
      <c r="H695" s="610"/>
      <c r="I695" s="610"/>
      <c r="J695" s="610"/>
      <c r="K695" s="610"/>
      <c r="L695" s="610"/>
      <c r="M695" s="610"/>
      <c r="N695" s="610"/>
      <c r="O695" s="610"/>
      <c r="P695" s="610"/>
      <c r="Q695" s="610"/>
      <c r="R695" s="610"/>
      <c r="S695" s="610"/>
      <c r="T695" s="610"/>
      <c r="U695" s="610"/>
      <c r="V695" s="610"/>
      <c r="W695" s="610"/>
      <c r="X695" s="610"/>
      <c r="Y695" s="610"/>
      <c r="Z695" s="610"/>
      <c r="AA695" s="610"/>
      <c r="AB695" s="610"/>
      <c r="AC695" s="610"/>
      <c r="AD695" s="610"/>
      <c r="AG695" s="610"/>
      <c r="AH695" s="610"/>
    </row>
    <row r="696">
      <c r="B696" s="610"/>
      <c r="C696" s="610"/>
      <c r="D696" s="610"/>
      <c r="E696" s="610"/>
      <c r="F696" s="610"/>
      <c r="G696" s="610"/>
      <c r="H696" s="610"/>
      <c r="I696" s="610"/>
      <c r="J696" s="610"/>
      <c r="K696" s="610"/>
      <c r="L696" s="610"/>
      <c r="M696" s="610"/>
      <c r="N696" s="610"/>
      <c r="O696" s="610"/>
      <c r="P696" s="610"/>
      <c r="Q696" s="610"/>
      <c r="R696" s="610"/>
      <c r="S696" s="610"/>
      <c r="T696" s="610"/>
      <c r="U696" s="610"/>
      <c r="V696" s="610"/>
      <c r="W696" s="610"/>
      <c r="X696" s="610"/>
      <c r="Y696" s="610"/>
      <c r="Z696" s="610"/>
      <c r="AA696" s="610"/>
      <c r="AB696" s="610"/>
      <c r="AC696" s="610"/>
      <c r="AD696" s="610"/>
      <c r="AG696" s="610"/>
      <c r="AH696" s="610"/>
    </row>
    <row r="697">
      <c r="B697" s="610"/>
      <c r="C697" s="610"/>
      <c r="D697" s="610"/>
      <c r="E697" s="610"/>
      <c r="F697" s="610"/>
      <c r="G697" s="610"/>
      <c r="H697" s="610"/>
      <c r="I697" s="610"/>
      <c r="J697" s="610"/>
      <c r="K697" s="610"/>
      <c r="L697" s="610"/>
      <c r="M697" s="610"/>
      <c r="N697" s="610"/>
      <c r="O697" s="610"/>
      <c r="P697" s="610"/>
      <c r="Q697" s="610"/>
      <c r="R697" s="610"/>
      <c r="S697" s="610"/>
      <c r="T697" s="610"/>
      <c r="U697" s="610"/>
      <c r="V697" s="610"/>
      <c r="W697" s="610"/>
      <c r="X697" s="610"/>
      <c r="Y697" s="610"/>
      <c r="Z697" s="610"/>
      <c r="AA697" s="610"/>
      <c r="AB697" s="610"/>
      <c r="AC697" s="610"/>
      <c r="AD697" s="610"/>
      <c r="AG697" s="610"/>
      <c r="AH697" s="610"/>
    </row>
    <row r="698">
      <c r="B698" s="610"/>
      <c r="C698" s="610"/>
      <c r="D698" s="610"/>
      <c r="E698" s="610"/>
      <c r="F698" s="610"/>
      <c r="G698" s="610"/>
      <c r="H698" s="610"/>
      <c r="I698" s="610"/>
      <c r="J698" s="610"/>
      <c r="K698" s="610"/>
      <c r="L698" s="610"/>
      <c r="M698" s="610"/>
      <c r="N698" s="610"/>
      <c r="O698" s="610"/>
      <c r="P698" s="610"/>
      <c r="Q698" s="610"/>
      <c r="R698" s="610"/>
      <c r="S698" s="610"/>
      <c r="T698" s="610"/>
      <c r="U698" s="610"/>
      <c r="V698" s="610"/>
      <c r="W698" s="610"/>
      <c r="X698" s="610"/>
      <c r="Y698" s="610"/>
      <c r="Z698" s="610"/>
      <c r="AA698" s="610"/>
      <c r="AB698" s="610"/>
      <c r="AC698" s="610"/>
      <c r="AD698" s="610"/>
      <c r="AG698" s="610"/>
      <c r="AH698" s="610"/>
    </row>
    <row r="699">
      <c r="B699" s="610"/>
      <c r="C699" s="610"/>
      <c r="D699" s="610"/>
      <c r="E699" s="610"/>
      <c r="F699" s="610"/>
      <c r="G699" s="610"/>
      <c r="H699" s="610"/>
      <c r="I699" s="610"/>
      <c r="J699" s="610"/>
      <c r="K699" s="610"/>
      <c r="L699" s="610"/>
      <c r="M699" s="610"/>
      <c r="N699" s="610"/>
      <c r="O699" s="610"/>
      <c r="P699" s="610"/>
      <c r="Q699" s="610"/>
      <c r="R699" s="610"/>
      <c r="S699" s="610"/>
      <c r="T699" s="610"/>
      <c r="U699" s="610"/>
      <c r="V699" s="610"/>
      <c r="W699" s="610"/>
      <c r="X699" s="610"/>
      <c r="Y699" s="610"/>
      <c r="Z699" s="610"/>
      <c r="AA699" s="610"/>
      <c r="AB699" s="610"/>
      <c r="AC699" s="610"/>
      <c r="AD699" s="610"/>
      <c r="AG699" s="610"/>
      <c r="AH699" s="610"/>
    </row>
    <row r="700">
      <c r="B700" s="610"/>
      <c r="C700" s="610"/>
      <c r="D700" s="610"/>
      <c r="E700" s="610"/>
      <c r="F700" s="610"/>
      <c r="G700" s="610"/>
      <c r="H700" s="610"/>
      <c r="I700" s="610"/>
      <c r="J700" s="610"/>
      <c r="K700" s="610"/>
      <c r="L700" s="610"/>
      <c r="M700" s="610"/>
      <c r="N700" s="610"/>
      <c r="O700" s="610"/>
      <c r="P700" s="610"/>
      <c r="Q700" s="610"/>
      <c r="R700" s="610"/>
      <c r="S700" s="610"/>
      <c r="T700" s="610"/>
      <c r="U700" s="610"/>
      <c r="V700" s="610"/>
      <c r="W700" s="610"/>
      <c r="X700" s="610"/>
      <c r="Y700" s="610"/>
      <c r="Z700" s="610"/>
      <c r="AA700" s="610"/>
      <c r="AB700" s="610"/>
      <c r="AC700" s="610"/>
      <c r="AD700" s="610"/>
      <c r="AG700" s="610"/>
      <c r="AH700" s="610"/>
    </row>
    <row r="701">
      <c r="B701" s="610"/>
      <c r="C701" s="610"/>
      <c r="D701" s="610"/>
      <c r="E701" s="610"/>
      <c r="F701" s="610"/>
      <c r="G701" s="610"/>
      <c r="H701" s="610"/>
      <c r="I701" s="610"/>
      <c r="J701" s="610"/>
      <c r="K701" s="610"/>
      <c r="L701" s="610"/>
      <c r="M701" s="610"/>
      <c r="N701" s="610"/>
      <c r="O701" s="610"/>
      <c r="P701" s="610"/>
      <c r="Q701" s="610"/>
      <c r="R701" s="610"/>
      <c r="S701" s="610"/>
      <c r="T701" s="610"/>
      <c r="U701" s="610"/>
      <c r="V701" s="610"/>
      <c r="W701" s="610"/>
      <c r="X701" s="610"/>
      <c r="Y701" s="610"/>
      <c r="Z701" s="610"/>
      <c r="AA701" s="610"/>
      <c r="AB701" s="610"/>
      <c r="AC701" s="610"/>
      <c r="AD701" s="610"/>
      <c r="AG701" s="610"/>
      <c r="AH701" s="610"/>
    </row>
    <row r="702">
      <c r="B702" s="610"/>
      <c r="C702" s="610"/>
      <c r="D702" s="610"/>
      <c r="E702" s="610"/>
      <c r="F702" s="610"/>
      <c r="G702" s="610"/>
      <c r="H702" s="610"/>
      <c r="I702" s="610"/>
      <c r="J702" s="610"/>
      <c r="K702" s="610"/>
      <c r="L702" s="610"/>
      <c r="M702" s="610"/>
      <c r="N702" s="610"/>
      <c r="O702" s="610"/>
      <c r="P702" s="610"/>
      <c r="Q702" s="610"/>
      <c r="R702" s="610"/>
      <c r="S702" s="610"/>
      <c r="T702" s="610"/>
      <c r="U702" s="610"/>
      <c r="V702" s="610"/>
      <c r="W702" s="610"/>
      <c r="X702" s="610"/>
      <c r="Y702" s="610"/>
      <c r="Z702" s="610"/>
      <c r="AA702" s="610"/>
      <c r="AB702" s="610"/>
      <c r="AC702" s="610"/>
      <c r="AD702" s="610"/>
      <c r="AG702" s="610"/>
      <c r="AH702" s="610"/>
    </row>
    <row r="703">
      <c r="B703" s="610"/>
      <c r="C703" s="610"/>
      <c r="D703" s="610"/>
      <c r="E703" s="610"/>
      <c r="F703" s="610"/>
      <c r="G703" s="610"/>
      <c r="H703" s="610"/>
      <c r="I703" s="610"/>
      <c r="J703" s="610"/>
      <c r="K703" s="610"/>
      <c r="L703" s="610"/>
      <c r="M703" s="610"/>
      <c r="N703" s="610"/>
      <c r="O703" s="610"/>
      <c r="P703" s="610"/>
      <c r="Q703" s="610"/>
      <c r="R703" s="610"/>
      <c r="S703" s="610"/>
      <c r="T703" s="610"/>
      <c r="U703" s="610"/>
      <c r="V703" s="610"/>
      <c r="W703" s="610"/>
      <c r="X703" s="610"/>
      <c r="Y703" s="610"/>
      <c r="Z703" s="610"/>
      <c r="AA703" s="610"/>
      <c r="AB703" s="610"/>
      <c r="AC703" s="610"/>
      <c r="AD703" s="610"/>
      <c r="AG703" s="610"/>
      <c r="AH703" s="610"/>
    </row>
    <row r="704">
      <c r="B704" s="610"/>
      <c r="C704" s="610"/>
      <c r="D704" s="610"/>
      <c r="E704" s="610"/>
      <c r="F704" s="610"/>
      <c r="G704" s="610"/>
      <c r="H704" s="610"/>
      <c r="I704" s="610"/>
      <c r="J704" s="610"/>
      <c r="K704" s="610"/>
      <c r="L704" s="610"/>
      <c r="M704" s="610"/>
      <c r="N704" s="610"/>
      <c r="O704" s="610"/>
      <c r="P704" s="610"/>
      <c r="Q704" s="610"/>
      <c r="R704" s="610"/>
      <c r="S704" s="610"/>
      <c r="T704" s="610"/>
      <c r="U704" s="610"/>
      <c r="V704" s="610"/>
      <c r="W704" s="610"/>
      <c r="X704" s="610"/>
      <c r="Y704" s="610"/>
      <c r="Z704" s="610"/>
      <c r="AA704" s="610"/>
      <c r="AB704" s="610"/>
      <c r="AC704" s="610"/>
      <c r="AD704" s="610"/>
      <c r="AG704" s="610"/>
      <c r="AH704" s="610"/>
    </row>
    <row r="705">
      <c r="B705" s="610"/>
      <c r="C705" s="610"/>
      <c r="D705" s="610"/>
      <c r="E705" s="610"/>
      <c r="F705" s="610"/>
      <c r="G705" s="610"/>
      <c r="H705" s="610"/>
      <c r="I705" s="610"/>
      <c r="J705" s="610"/>
      <c r="K705" s="610"/>
      <c r="L705" s="610"/>
      <c r="M705" s="610"/>
      <c r="N705" s="610"/>
      <c r="O705" s="610"/>
      <c r="P705" s="610"/>
      <c r="Q705" s="610"/>
      <c r="R705" s="610"/>
      <c r="S705" s="610"/>
      <c r="T705" s="610"/>
      <c r="U705" s="610"/>
      <c r="V705" s="610"/>
      <c r="W705" s="610"/>
      <c r="X705" s="610"/>
      <c r="Y705" s="610"/>
      <c r="Z705" s="610"/>
      <c r="AA705" s="610"/>
      <c r="AB705" s="610"/>
      <c r="AC705" s="610"/>
      <c r="AD705" s="610"/>
      <c r="AG705" s="610"/>
      <c r="AH705" s="610"/>
    </row>
    <row r="706">
      <c r="B706" s="610"/>
      <c r="C706" s="610"/>
      <c r="D706" s="610"/>
      <c r="E706" s="610"/>
      <c r="F706" s="610"/>
      <c r="G706" s="610"/>
      <c r="H706" s="610"/>
      <c r="I706" s="610"/>
      <c r="J706" s="610"/>
      <c r="K706" s="610"/>
      <c r="L706" s="610"/>
      <c r="M706" s="610"/>
      <c r="N706" s="610"/>
      <c r="O706" s="610"/>
      <c r="P706" s="610"/>
      <c r="Q706" s="610"/>
      <c r="R706" s="610"/>
      <c r="S706" s="610"/>
      <c r="T706" s="610"/>
      <c r="U706" s="610"/>
      <c r="V706" s="610"/>
      <c r="W706" s="610"/>
      <c r="X706" s="610"/>
      <c r="Y706" s="610"/>
      <c r="Z706" s="610"/>
      <c r="AA706" s="610"/>
      <c r="AB706" s="610"/>
      <c r="AC706" s="610"/>
      <c r="AD706" s="610"/>
      <c r="AG706" s="610"/>
      <c r="AH706" s="610"/>
    </row>
    <row r="707">
      <c r="B707" s="610"/>
      <c r="C707" s="610"/>
      <c r="D707" s="610"/>
      <c r="E707" s="610"/>
      <c r="F707" s="610"/>
      <c r="G707" s="610"/>
      <c r="H707" s="610"/>
      <c r="I707" s="610"/>
      <c r="J707" s="610"/>
      <c r="K707" s="610"/>
      <c r="L707" s="610"/>
      <c r="M707" s="610"/>
      <c r="N707" s="610"/>
      <c r="O707" s="610"/>
      <c r="P707" s="610"/>
      <c r="Q707" s="610"/>
      <c r="R707" s="610"/>
      <c r="S707" s="610"/>
      <c r="T707" s="610"/>
      <c r="U707" s="610"/>
      <c r="V707" s="610"/>
      <c r="W707" s="610"/>
      <c r="X707" s="610"/>
      <c r="Y707" s="610"/>
      <c r="Z707" s="610"/>
      <c r="AA707" s="610"/>
      <c r="AB707" s="610"/>
      <c r="AC707" s="610"/>
      <c r="AD707" s="610"/>
      <c r="AG707" s="610"/>
      <c r="AH707" s="610"/>
    </row>
    <row r="708">
      <c r="B708" s="610"/>
      <c r="C708" s="610"/>
      <c r="D708" s="610"/>
      <c r="E708" s="610"/>
      <c r="F708" s="610"/>
      <c r="G708" s="610"/>
      <c r="H708" s="610"/>
      <c r="I708" s="610"/>
      <c r="J708" s="610"/>
      <c r="K708" s="610"/>
      <c r="L708" s="610"/>
      <c r="M708" s="610"/>
      <c r="N708" s="610"/>
      <c r="O708" s="610"/>
      <c r="P708" s="610"/>
      <c r="Q708" s="610"/>
      <c r="R708" s="610"/>
      <c r="S708" s="610"/>
      <c r="T708" s="610"/>
      <c r="U708" s="610"/>
      <c r="V708" s="610"/>
      <c r="W708" s="610"/>
      <c r="X708" s="610"/>
      <c r="Y708" s="610"/>
      <c r="Z708" s="610"/>
      <c r="AA708" s="610"/>
      <c r="AB708" s="610"/>
      <c r="AC708" s="610"/>
      <c r="AD708" s="610"/>
      <c r="AG708" s="610"/>
      <c r="AH708" s="610"/>
    </row>
    <row r="709">
      <c r="B709" s="610"/>
      <c r="C709" s="610"/>
      <c r="D709" s="610"/>
      <c r="E709" s="610"/>
      <c r="F709" s="610"/>
      <c r="G709" s="610"/>
      <c r="H709" s="610"/>
      <c r="I709" s="610"/>
      <c r="J709" s="610"/>
      <c r="K709" s="610"/>
      <c r="L709" s="610"/>
      <c r="M709" s="610"/>
      <c r="N709" s="610"/>
      <c r="O709" s="610"/>
      <c r="P709" s="610"/>
      <c r="Q709" s="610"/>
      <c r="R709" s="610"/>
      <c r="S709" s="610"/>
      <c r="T709" s="610"/>
      <c r="U709" s="610"/>
      <c r="V709" s="610"/>
      <c r="W709" s="610"/>
      <c r="X709" s="610"/>
      <c r="Y709" s="610"/>
      <c r="Z709" s="610"/>
      <c r="AA709" s="610"/>
      <c r="AB709" s="610"/>
      <c r="AC709" s="610"/>
      <c r="AD709" s="610"/>
      <c r="AG709" s="610"/>
      <c r="AH709" s="610"/>
    </row>
    <row r="710">
      <c r="B710" s="610"/>
      <c r="C710" s="610"/>
      <c r="D710" s="610"/>
      <c r="E710" s="610"/>
      <c r="F710" s="610"/>
      <c r="G710" s="610"/>
      <c r="H710" s="610"/>
      <c r="I710" s="610"/>
      <c r="J710" s="610"/>
      <c r="K710" s="610"/>
      <c r="L710" s="610"/>
      <c r="M710" s="610"/>
      <c r="N710" s="610"/>
      <c r="O710" s="610"/>
      <c r="P710" s="610"/>
      <c r="Q710" s="610"/>
      <c r="R710" s="610"/>
      <c r="S710" s="610"/>
      <c r="T710" s="610"/>
      <c r="U710" s="610"/>
      <c r="V710" s="610"/>
      <c r="W710" s="610"/>
      <c r="X710" s="610"/>
      <c r="Y710" s="610"/>
      <c r="Z710" s="610"/>
      <c r="AA710" s="610"/>
      <c r="AB710" s="610"/>
      <c r="AC710" s="610"/>
      <c r="AD710" s="610"/>
      <c r="AG710" s="610"/>
      <c r="AH710" s="610"/>
    </row>
    <row r="711">
      <c r="B711" s="610"/>
      <c r="C711" s="610"/>
      <c r="D711" s="610"/>
      <c r="E711" s="610"/>
      <c r="F711" s="610"/>
      <c r="G711" s="610"/>
      <c r="H711" s="610"/>
      <c r="I711" s="610"/>
      <c r="J711" s="610"/>
      <c r="K711" s="610"/>
      <c r="L711" s="610"/>
      <c r="M711" s="610"/>
      <c r="N711" s="610"/>
      <c r="O711" s="610"/>
      <c r="P711" s="610"/>
      <c r="Q711" s="610"/>
      <c r="R711" s="610"/>
      <c r="S711" s="610"/>
      <c r="T711" s="610"/>
      <c r="U711" s="610"/>
      <c r="V711" s="610"/>
      <c r="W711" s="610"/>
      <c r="X711" s="610"/>
      <c r="Y711" s="610"/>
      <c r="Z711" s="610"/>
      <c r="AA711" s="610"/>
      <c r="AB711" s="610"/>
      <c r="AC711" s="610"/>
      <c r="AD711" s="610"/>
      <c r="AG711" s="610"/>
      <c r="AH711" s="610"/>
    </row>
    <row r="712">
      <c r="B712" s="610"/>
      <c r="C712" s="610"/>
      <c r="D712" s="610"/>
      <c r="E712" s="610"/>
      <c r="F712" s="610"/>
      <c r="G712" s="610"/>
      <c r="H712" s="610"/>
      <c r="I712" s="610"/>
      <c r="J712" s="610"/>
      <c r="K712" s="610"/>
      <c r="L712" s="610"/>
      <c r="M712" s="610"/>
      <c r="N712" s="610"/>
      <c r="O712" s="610"/>
      <c r="P712" s="610"/>
      <c r="Q712" s="610"/>
      <c r="R712" s="610"/>
      <c r="S712" s="610"/>
      <c r="T712" s="610"/>
      <c r="U712" s="610"/>
      <c r="V712" s="610"/>
      <c r="W712" s="610"/>
      <c r="X712" s="610"/>
      <c r="Y712" s="610"/>
      <c r="Z712" s="610"/>
      <c r="AA712" s="610"/>
      <c r="AB712" s="610"/>
      <c r="AC712" s="610"/>
      <c r="AD712" s="610"/>
      <c r="AG712" s="610"/>
      <c r="AH712" s="610"/>
    </row>
    <row r="713">
      <c r="B713" s="610"/>
      <c r="C713" s="610"/>
      <c r="D713" s="610"/>
      <c r="E713" s="610"/>
      <c r="F713" s="610"/>
      <c r="G713" s="610"/>
      <c r="H713" s="610"/>
      <c r="I713" s="610"/>
      <c r="J713" s="610"/>
      <c r="K713" s="610"/>
      <c r="L713" s="610"/>
      <c r="M713" s="610"/>
      <c r="N713" s="610"/>
      <c r="O713" s="610"/>
      <c r="P713" s="610"/>
      <c r="Q713" s="610"/>
      <c r="R713" s="610"/>
      <c r="S713" s="610"/>
      <c r="T713" s="610"/>
      <c r="U713" s="610"/>
      <c r="V713" s="610"/>
      <c r="W713" s="610"/>
      <c r="X713" s="610"/>
      <c r="Y713" s="610"/>
      <c r="Z713" s="610"/>
      <c r="AA713" s="610"/>
      <c r="AB713" s="610"/>
      <c r="AC713" s="610"/>
      <c r="AD713" s="610"/>
      <c r="AG713" s="610"/>
      <c r="AH713" s="610"/>
    </row>
    <row r="714">
      <c r="B714" s="610"/>
      <c r="C714" s="610"/>
      <c r="D714" s="610"/>
      <c r="E714" s="610"/>
      <c r="F714" s="610"/>
      <c r="G714" s="610"/>
      <c r="H714" s="610"/>
      <c r="I714" s="610"/>
      <c r="J714" s="610"/>
      <c r="K714" s="610"/>
      <c r="L714" s="610"/>
      <c r="M714" s="610"/>
      <c r="N714" s="610"/>
      <c r="O714" s="610"/>
      <c r="P714" s="610"/>
      <c r="Q714" s="610"/>
      <c r="R714" s="610"/>
      <c r="S714" s="610"/>
      <c r="T714" s="610"/>
      <c r="U714" s="610"/>
      <c r="V714" s="610"/>
      <c r="W714" s="610"/>
      <c r="X714" s="610"/>
      <c r="Y714" s="610"/>
      <c r="Z714" s="610"/>
      <c r="AA714" s="610"/>
      <c r="AB714" s="610"/>
      <c r="AC714" s="610"/>
      <c r="AD714" s="610"/>
      <c r="AG714" s="610"/>
      <c r="AH714" s="610"/>
    </row>
    <row r="715">
      <c r="B715" s="610"/>
      <c r="C715" s="610"/>
      <c r="D715" s="610"/>
      <c r="E715" s="610"/>
      <c r="F715" s="610"/>
      <c r="G715" s="610"/>
      <c r="H715" s="610"/>
      <c r="I715" s="610"/>
      <c r="J715" s="610"/>
      <c r="K715" s="610"/>
      <c r="L715" s="610"/>
      <c r="M715" s="610"/>
      <c r="N715" s="610"/>
      <c r="O715" s="610"/>
      <c r="P715" s="610"/>
      <c r="Q715" s="610"/>
      <c r="R715" s="610"/>
      <c r="S715" s="610"/>
      <c r="T715" s="610"/>
      <c r="U715" s="610"/>
      <c r="V715" s="610"/>
      <c r="W715" s="610"/>
      <c r="X715" s="610"/>
      <c r="Y715" s="610"/>
      <c r="Z715" s="610"/>
      <c r="AA715" s="610"/>
      <c r="AB715" s="610"/>
      <c r="AC715" s="610"/>
      <c r="AD715" s="610"/>
      <c r="AG715" s="610"/>
      <c r="AH715" s="610"/>
    </row>
    <row r="716">
      <c r="B716" s="610"/>
      <c r="C716" s="610"/>
      <c r="D716" s="610"/>
      <c r="E716" s="610"/>
      <c r="F716" s="610"/>
      <c r="G716" s="610"/>
      <c r="H716" s="610"/>
      <c r="I716" s="610"/>
      <c r="J716" s="610"/>
      <c r="K716" s="610"/>
      <c r="L716" s="610"/>
      <c r="M716" s="610"/>
      <c r="N716" s="610"/>
      <c r="O716" s="610"/>
      <c r="P716" s="610"/>
      <c r="Q716" s="610"/>
      <c r="R716" s="610"/>
      <c r="S716" s="610"/>
      <c r="T716" s="610"/>
      <c r="U716" s="610"/>
      <c r="V716" s="610"/>
      <c r="W716" s="610"/>
      <c r="X716" s="610"/>
      <c r="Y716" s="610"/>
      <c r="Z716" s="610"/>
      <c r="AA716" s="610"/>
      <c r="AB716" s="610"/>
      <c r="AC716" s="610"/>
      <c r="AD716" s="610"/>
      <c r="AG716" s="610"/>
      <c r="AH716" s="610"/>
    </row>
    <row r="717">
      <c r="B717" s="610"/>
      <c r="C717" s="610"/>
      <c r="D717" s="610"/>
      <c r="E717" s="610"/>
      <c r="F717" s="610"/>
      <c r="G717" s="610"/>
      <c r="H717" s="610"/>
      <c r="I717" s="610"/>
      <c r="J717" s="610"/>
      <c r="K717" s="610"/>
      <c r="L717" s="610"/>
      <c r="M717" s="610"/>
      <c r="N717" s="610"/>
      <c r="O717" s="610"/>
      <c r="P717" s="610"/>
      <c r="Q717" s="610"/>
      <c r="R717" s="610"/>
      <c r="S717" s="610"/>
      <c r="T717" s="610"/>
      <c r="U717" s="610"/>
      <c r="V717" s="610"/>
      <c r="W717" s="610"/>
      <c r="X717" s="610"/>
      <c r="Y717" s="610"/>
      <c r="Z717" s="610"/>
      <c r="AA717" s="610"/>
      <c r="AB717" s="610"/>
      <c r="AC717" s="610"/>
      <c r="AD717" s="610"/>
      <c r="AG717" s="610"/>
      <c r="AH717" s="610"/>
    </row>
    <row r="718">
      <c r="B718" s="610"/>
      <c r="C718" s="610"/>
      <c r="D718" s="610"/>
      <c r="E718" s="610"/>
      <c r="F718" s="610"/>
      <c r="G718" s="610"/>
      <c r="H718" s="610"/>
      <c r="I718" s="610"/>
      <c r="J718" s="610"/>
      <c r="K718" s="610"/>
      <c r="L718" s="610"/>
      <c r="M718" s="610"/>
      <c r="N718" s="610"/>
      <c r="O718" s="610"/>
      <c r="P718" s="610"/>
      <c r="Q718" s="610"/>
      <c r="R718" s="610"/>
      <c r="S718" s="610"/>
      <c r="T718" s="610"/>
      <c r="U718" s="610"/>
      <c r="V718" s="610"/>
      <c r="W718" s="610"/>
      <c r="X718" s="610"/>
      <c r="Y718" s="610"/>
      <c r="Z718" s="610"/>
      <c r="AA718" s="610"/>
      <c r="AB718" s="610"/>
      <c r="AC718" s="610"/>
      <c r="AD718" s="610"/>
      <c r="AG718" s="610"/>
      <c r="AH718" s="610"/>
    </row>
    <row r="719">
      <c r="B719" s="610"/>
      <c r="C719" s="610"/>
      <c r="D719" s="610"/>
      <c r="E719" s="610"/>
      <c r="F719" s="610"/>
      <c r="G719" s="610"/>
      <c r="H719" s="610"/>
      <c r="I719" s="610"/>
      <c r="J719" s="610"/>
      <c r="K719" s="610"/>
      <c r="L719" s="610"/>
      <c r="M719" s="610"/>
      <c r="N719" s="610"/>
      <c r="O719" s="610"/>
      <c r="P719" s="610"/>
      <c r="Q719" s="610"/>
      <c r="R719" s="610"/>
      <c r="S719" s="610"/>
      <c r="T719" s="610"/>
      <c r="U719" s="610"/>
      <c r="V719" s="610"/>
      <c r="W719" s="610"/>
      <c r="X719" s="610"/>
      <c r="Y719" s="610"/>
      <c r="Z719" s="610"/>
      <c r="AA719" s="610"/>
      <c r="AB719" s="610"/>
      <c r="AC719" s="610"/>
      <c r="AD719" s="610"/>
      <c r="AG719" s="610"/>
      <c r="AH719" s="610"/>
    </row>
    <row r="720">
      <c r="B720" s="610"/>
      <c r="C720" s="610"/>
      <c r="D720" s="610"/>
      <c r="E720" s="610"/>
      <c r="F720" s="610"/>
      <c r="G720" s="610"/>
      <c r="H720" s="610"/>
      <c r="I720" s="610"/>
      <c r="J720" s="610"/>
      <c r="K720" s="610"/>
      <c r="L720" s="610"/>
      <c r="M720" s="610"/>
      <c r="N720" s="610"/>
      <c r="O720" s="610"/>
      <c r="P720" s="610"/>
      <c r="Q720" s="610"/>
      <c r="R720" s="610"/>
      <c r="S720" s="610"/>
      <c r="T720" s="610"/>
      <c r="U720" s="610"/>
      <c r="V720" s="610"/>
      <c r="W720" s="610"/>
      <c r="X720" s="610"/>
      <c r="Y720" s="610"/>
      <c r="Z720" s="610"/>
      <c r="AA720" s="610"/>
      <c r="AB720" s="610"/>
      <c r="AC720" s="610"/>
      <c r="AD720" s="610"/>
      <c r="AG720" s="610"/>
      <c r="AH720" s="610"/>
    </row>
    <row r="721">
      <c r="B721" s="610"/>
      <c r="C721" s="610"/>
      <c r="D721" s="610"/>
      <c r="E721" s="610"/>
      <c r="F721" s="610"/>
      <c r="G721" s="610"/>
      <c r="H721" s="610"/>
      <c r="I721" s="610"/>
      <c r="J721" s="610"/>
      <c r="K721" s="610"/>
      <c r="L721" s="610"/>
      <c r="M721" s="610"/>
      <c r="N721" s="610"/>
      <c r="O721" s="610"/>
      <c r="P721" s="610"/>
      <c r="Q721" s="610"/>
      <c r="R721" s="610"/>
      <c r="S721" s="610"/>
      <c r="T721" s="610"/>
      <c r="U721" s="610"/>
      <c r="V721" s="610"/>
      <c r="W721" s="610"/>
      <c r="X721" s="610"/>
      <c r="Y721" s="610"/>
      <c r="Z721" s="610"/>
      <c r="AA721" s="610"/>
      <c r="AB721" s="610"/>
      <c r="AC721" s="610"/>
      <c r="AD721" s="610"/>
      <c r="AG721" s="610"/>
      <c r="AH721" s="610"/>
    </row>
    <row r="722">
      <c r="B722" s="610"/>
      <c r="C722" s="610"/>
      <c r="D722" s="610"/>
      <c r="E722" s="610"/>
      <c r="F722" s="610"/>
      <c r="G722" s="610"/>
      <c r="H722" s="610"/>
      <c r="I722" s="610"/>
      <c r="J722" s="610"/>
      <c r="K722" s="610"/>
      <c r="L722" s="610"/>
      <c r="M722" s="610"/>
      <c r="N722" s="610"/>
      <c r="O722" s="610"/>
      <c r="P722" s="610"/>
      <c r="Q722" s="610"/>
      <c r="R722" s="610"/>
      <c r="S722" s="610"/>
      <c r="T722" s="610"/>
      <c r="U722" s="610"/>
      <c r="V722" s="610"/>
      <c r="W722" s="610"/>
      <c r="X722" s="610"/>
      <c r="Y722" s="610"/>
      <c r="Z722" s="610"/>
      <c r="AA722" s="610"/>
      <c r="AB722" s="610"/>
      <c r="AC722" s="610"/>
      <c r="AD722" s="610"/>
      <c r="AG722" s="610"/>
      <c r="AH722" s="610"/>
    </row>
    <row r="723">
      <c r="B723" s="610"/>
      <c r="C723" s="610"/>
      <c r="D723" s="610"/>
      <c r="E723" s="610"/>
      <c r="F723" s="610"/>
      <c r="G723" s="610"/>
      <c r="H723" s="610"/>
      <c r="I723" s="610"/>
      <c r="J723" s="610"/>
      <c r="K723" s="610"/>
      <c r="L723" s="610"/>
      <c r="M723" s="610"/>
      <c r="N723" s="610"/>
      <c r="O723" s="610"/>
      <c r="P723" s="610"/>
      <c r="Q723" s="610"/>
      <c r="R723" s="610"/>
      <c r="S723" s="610"/>
      <c r="T723" s="610"/>
      <c r="U723" s="610"/>
      <c r="V723" s="610"/>
      <c r="W723" s="610"/>
      <c r="X723" s="610"/>
      <c r="Y723" s="610"/>
      <c r="Z723" s="610"/>
      <c r="AA723" s="610"/>
      <c r="AB723" s="610"/>
      <c r="AC723" s="610"/>
      <c r="AD723" s="610"/>
      <c r="AG723" s="610"/>
      <c r="AH723" s="610"/>
    </row>
    <row r="724">
      <c r="B724" s="610"/>
      <c r="C724" s="610"/>
      <c r="D724" s="610"/>
      <c r="E724" s="610"/>
      <c r="F724" s="610"/>
      <c r="G724" s="610"/>
      <c r="H724" s="610"/>
      <c r="I724" s="610"/>
      <c r="J724" s="610"/>
      <c r="K724" s="610"/>
      <c r="L724" s="610"/>
      <c r="M724" s="610"/>
      <c r="N724" s="610"/>
      <c r="O724" s="610"/>
      <c r="P724" s="610"/>
      <c r="Q724" s="610"/>
      <c r="R724" s="610"/>
      <c r="S724" s="610"/>
      <c r="T724" s="610"/>
      <c r="U724" s="610"/>
      <c r="V724" s="610"/>
      <c r="W724" s="610"/>
      <c r="X724" s="610"/>
      <c r="Y724" s="610"/>
      <c r="Z724" s="610"/>
      <c r="AA724" s="610"/>
      <c r="AB724" s="610"/>
      <c r="AC724" s="610"/>
      <c r="AD724" s="610"/>
      <c r="AG724" s="610"/>
      <c r="AH724" s="610"/>
    </row>
    <row r="725">
      <c r="B725" s="610"/>
      <c r="C725" s="610"/>
      <c r="D725" s="610"/>
      <c r="E725" s="610"/>
      <c r="F725" s="610"/>
      <c r="G725" s="610"/>
      <c r="H725" s="610"/>
      <c r="I725" s="610"/>
      <c r="J725" s="610"/>
      <c r="K725" s="610"/>
      <c r="L725" s="610"/>
      <c r="M725" s="610"/>
      <c r="N725" s="610"/>
      <c r="O725" s="610"/>
      <c r="P725" s="610"/>
      <c r="Q725" s="610"/>
      <c r="R725" s="610"/>
      <c r="S725" s="610"/>
      <c r="T725" s="610"/>
      <c r="U725" s="610"/>
      <c r="V725" s="610"/>
      <c r="W725" s="610"/>
      <c r="X725" s="610"/>
      <c r="Y725" s="610"/>
      <c r="Z725" s="610"/>
      <c r="AA725" s="610"/>
      <c r="AB725" s="610"/>
      <c r="AC725" s="610"/>
      <c r="AD725" s="610"/>
      <c r="AG725" s="610"/>
      <c r="AH725" s="610"/>
    </row>
    <row r="726">
      <c r="B726" s="610"/>
      <c r="C726" s="610"/>
      <c r="D726" s="610"/>
      <c r="E726" s="610"/>
      <c r="F726" s="610"/>
      <c r="G726" s="610"/>
      <c r="H726" s="610"/>
      <c r="I726" s="610"/>
      <c r="J726" s="610"/>
      <c r="K726" s="610"/>
      <c r="L726" s="610"/>
      <c r="M726" s="610"/>
      <c r="N726" s="610"/>
      <c r="O726" s="610"/>
      <c r="P726" s="610"/>
      <c r="Q726" s="610"/>
      <c r="R726" s="610"/>
      <c r="S726" s="610"/>
      <c r="T726" s="610"/>
      <c r="U726" s="610"/>
      <c r="V726" s="610"/>
      <c r="W726" s="610"/>
      <c r="X726" s="610"/>
      <c r="Y726" s="610"/>
      <c r="Z726" s="610"/>
      <c r="AA726" s="610"/>
      <c r="AB726" s="610"/>
      <c r="AC726" s="610"/>
      <c r="AD726" s="610"/>
      <c r="AG726" s="610"/>
      <c r="AH726" s="610"/>
    </row>
    <row r="727">
      <c r="B727" s="610"/>
      <c r="C727" s="610"/>
      <c r="D727" s="610"/>
      <c r="E727" s="610"/>
      <c r="F727" s="610"/>
      <c r="G727" s="610"/>
      <c r="H727" s="610"/>
      <c r="I727" s="610"/>
      <c r="J727" s="610"/>
      <c r="K727" s="610"/>
      <c r="L727" s="610"/>
      <c r="M727" s="610"/>
      <c r="N727" s="610"/>
      <c r="O727" s="610"/>
      <c r="P727" s="610"/>
      <c r="Q727" s="610"/>
      <c r="R727" s="610"/>
      <c r="S727" s="610"/>
      <c r="T727" s="610"/>
      <c r="U727" s="610"/>
      <c r="V727" s="610"/>
      <c r="W727" s="610"/>
      <c r="X727" s="610"/>
      <c r="Y727" s="610"/>
      <c r="Z727" s="610"/>
      <c r="AA727" s="610"/>
      <c r="AB727" s="610"/>
      <c r="AC727" s="610"/>
      <c r="AD727" s="610"/>
      <c r="AG727" s="610"/>
      <c r="AH727" s="610"/>
    </row>
    <row r="728">
      <c r="B728" s="610"/>
      <c r="C728" s="610"/>
      <c r="D728" s="610"/>
      <c r="E728" s="610"/>
      <c r="F728" s="610"/>
      <c r="G728" s="610"/>
      <c r="H728" s="610"/>
      <c r="I728" s="610"/>
      <c r="J728" s="610"/>
      <c r="K728" s="610"/>
      <c r="L728" s="610"/>
      <c r="M728" s="610"/>
      <c r="N728" s="610"/>
      <c r="O728" s="610"/>
      <c r="P728" s="610"/>
      <c r="Q728" s="610"/>
      <c r="R728" s="610"/>
      <c r="S728" s="610"/>
      <c r="T728" s="610"/>
      <c r="U728" s="610"/>
      <c r="V728" s="610"/>
      <c r="W728" s="610"/>
      <c r="X728" s="610"/>
      <c r="Y728" s="610"/>
      <c r="Z728" s="610"/>
      <c r="AA728" s="610"/>
      <c r="AB728" s="610"/>
      <c r="AC728" s="610"/>
      <c r="AD728" s="610"/>
      <c r="AG728" s="610"/>
      <c r="AH728" s="610"/>
    </row>
    <row r="729">
      <c r="B729" s="610"/>
      <c r="C729" s="610"/>
      <c r="D729" s="610"/>
      <c r="E729" s="610"/>
      <c r="F729" s="610"/>
      <c r="G729" s="610"/>
      <c r="H729" s="610"/>
      <c r="I729" s="610"/>
      <c r="J729" s="610"/>
      <c r="K729" s="610"/>
      <c r="L729" s="610"/>
      <c r="M729" s="610"/>
      <c r="N729" s="610"/>
      <c r="O729" s="610"/>
      <c r="P729" s="610"/>
      <c r="Q729" s="610"/>
      <c r="R729" s="610"/>
      <c r="S729" s="610"/>
      <c r="T729" s="610"/>
      <c r="U729" s="610"/>
      <c r="V729" s="610"/>
      <c r="W729" s="610"/>
      <c r="X729" s="610"/>
      <c r="Y729" s="610"/>
      <c r="Z729" s="610"/>
      <c r="AA729" s="610"/>
      <c r="AB729" s="610"/>
      <c r="AC729" s="610"/>
      <c r="AD729" s="610"/>
      <c r="AG729" s="610"/>
      <c r="AH729" s="610"/>
    </row>
    <row r="730">
      <c r="B730" s="610"/>
      <c r="C730" s="610"/>
      <c r="D730" s="610"/>
      <c r="E730" s="610"/>
      <c r="F730" s="610"/>
      <c r="G730" s="610"/>
      <c r="H730" s="610"/>
      <c r="I730" s="610"/>
      <c r="J730" s="610"/>
      <c r="K730" s="610"/>
      <c r="L730" s="610"/>
      <c r="M730" s="610"/>
      <c r="N730" s="610"/>
      <c r="O730" s="610"/>
      <c r="P730" s="610"/>
      <c r="Q730" s="610"/>
      <c r="R730" s="610"/>
      <c r="S730" s="610"/>
      <c r="T730" s="610"/>
      <c r="U730" s="610"/>
      <c r="V730" s="610"/>
      <c r="W730" s="610"/>
      <c r="X730" s="610"/>
      <c r="Y730" s="610"/>
      <c r="Z730" s="610"/>
      <c r="AA730" s="610"/>
      <c r="AB730" s="610"/>
      <c r="AC730" s="610"/>
      <c r="AD730" s="610"/>
      <c r="AG730" s="610"/>
      <c r="AH730" s="610"/>
    </row>
    <row r="731">
      <c r="B731" s="610"/>
      <c r="C731" s="610"/>
      <c r="D731" s="610"/>
      <c r="E731" s="610"/>
      <c r="F731" s="610"/>
      <c r="G731" s="610"/>
      <c r="H731" s="610"/>
      <c r="I731" s="610"/>
      <c r="J731" s="610"/>
      <c r="K731" s="610"/>
      <c r="L731" s="610"/>
      <c r="M731" s="610"/>
      <c r="N731" s="610"/>
      <c r="O731" s="610"/>
      <c r="P731" s="610"/>
      <c r="Q731" s="610"/>
      <c r="R731" s="610"/>
      <c r="S731" s="610"/>
      <c r="T731" s="610"/>
      <c r="U731" s="610"/>
      <c r="V731" s="610"/>
      <c r="W731" s="610"/>
      <c r="X731" s="610"/>
      <c r="Y731" s="610"/>
      <c r="Z731" s="610"/>
      <c r="AA731" s="610"/>
      <c r="AB731" s="610"/>
      <c r="AC731" s="610"/>
      <c r="AD731" s="610"/>
      <c r="AG731" s="610"/>
      <c r="AH731" s="610"/>
    </row>
    <row r="732">
      <c r="B732" s="610"/>
      <c r="C732" s="610"/>
      <c r="D732" s="610"/>
      <c r="E732" s="610"/>
      <c r="F732" s="610"/>
      <c r="G732" s="610"/>
      <c r="H732" s="610"/>
      <c r="I732" s="610"/>
      <c r="J732" s="610"/>
      <c r="K732" s="610"/>
      <c r="L732" s="610"/>
      <c r="M732" s="610"/>
      <c r="N732" s="610"/>
      <c r="O732" s="610"/>
      <c r="P732" s="610"/>
      <c r="Q732" s="610"/>
      <c r="R732" s="610"/>
      <c r="S732" s="610"/>
      <c r="T732" s="610"/>
      <c r="U732" s="610"/>
      <c r="V732" s="610"/>
      <c r="W732" s="610"/>
      <c r="X732" s="610"/>
      <c r="Y732" s="610"/>
      <c r="Z732" s="610"/>
      <c r="AA732" s="610"/>
      <c r="AB732" s="610"/>
      <c r="AC732" s="610"/>
      <c r="AD732" s="610"/>
      <c r="AG732" s="610"/>
      <c r="AH732" s="610"/>
    </row>
    <row r="733">
      <c r="B733" s="610"/>
      <c r="C733" s="610"/>
      <c r="D733" s="610"/>
      <c r="E733" s="610"/>
      <c r="F733" s="610"/>
      <c r="G733" s="610"/>
      <c r="H733" s="610"/>
      <c r="I733" s="610"/>
      <c r="J733" s="610"/>
      <c r="K733" s="610"/>
      <c r="L733" s="610"/>
      <c r="M733" s="610"/>
      <c r="N733" s="610"/>
      <c r="O733" s="610"/>
      <c r="P733" s="610"/>
      <c r="Q733" s="610"/>
      <c r="R733" s="610"/>
      <c r="S733" s="610"/>
      <c r="T733" s="610"/>
      <c r="U733" s="610"/>
      <c r="V733" s="610"/>
      <c r="W733" s="610"/>
      <c r="X733" s="610"/>
      <c r="Y733" s="610"/>
      <c r="Z733" s="610"/>
      <c r="AA733" s="610"/>
      <c r="AB733" s="610"/>
      <c r="AC733" s="610"/>
      <c r="AD733" s="610"/>
      <c r="AG733" s="610"/>
      <c r="AH733" s="610"/>
    </row>
    <row r="734">
      <c r="B734" s="610"/>
      <c r="C734" s="610"/>
      <c r="D734" s="610"/>
      <c r="E734" s="610"/>
      <c r="F734" s="610"/>
      <c r="G734" s="610"/>
      <c r="H734" s="610"/>
      <c r="I734" s="610"/>
      <c r="J734" s="610"/>
      <c r="K734" s="610"/>
      <c r="L734" s="610"/>
      <c r="M734" s="610"/>
      <c r="N734" s="610"/>
      <c r="O734" s="610"/>
      <c r="P734" s="610"/>
      <c r="Q734" s="610"/>
      <c r="R734" s="610"/>
      <c r="S734" s="610"/>
      <c r="T734" s="610"/>
      <c r="U734" s="610"/>
      <c r="V734" s="610"/>
      <c r="W734" s="610"/>
      <c r="X734" s="610"/>
      <c r="Y734" s="610"/>
      <c r="Z734" s="610"/>
      <c r="AA734" s="610"/>
      <c r="AB734" s="610"/>
      <c r="AC734" s="610"/>
      <c r="AD734" s="610"/>
      <c r="AG734" s="610"/>
      <c r="AH734" s="610"/>
    </row>
    <row r="735">
      <c r="B735" s="610"/>
      <c r="C735" s="610"/>
      <c r="D735" s="610"/>
      <c r="E735" s="610"/>
      <c r="F735" s="610"/>
      <c r="G735" s="610"/>
      <c r="H735" s="610"/>
      <c r="I735" s="610"/>
      <c r="J735" s="610"/>
      <c r="K735" s="610"/>
      <c r="L735" s="610"/>
      <c r="M735" s="610"/>
      <c r="N735" s="610"/>
      <c r="O735" s="610"/>
      <c r="P735" s="610"/>
      <c r="Q735" s="610"/>
      <c r="R735" s="610"/>
      <c r="S735" s="610"/>
      <c r="T735" s="610"/>
      <c r="U735" s="610"/>
      <c r="V735" s="610"/>
      <c r="W735" s="610"/>
      <c r="X735" s="610"/>
      <c r="Y735" s="610"/>
      <c r="Z735" s="610"/>
      <c r="AA735" s="610"/>
      <c r="AB735" s="610"/>
      <c r="AC735" s="610"/>
      <c r="AD735" s="610"/>
      <c r="AG735" s="610"/>
      <c r="AH735" s="610"/>
    </row>
    <row r="736">
      <c r="B736" s="610"/>
      <c r="C736" s="610"/>
      <c r="D736" s="610"/>
      <c r="E736" s="610"/>
      <c r="F736" s="610"/>
      <c r="G736" s="610"/>
      <c r="H736" s="610"/>
      <c r="I736" s="610"/>
      <c r="J736" s="610"/>
      <c r="K736" s="610"/>
      <c r="L736" s="610"/>
      <c r="M736" s="610"/>
      <c r="N736" s="610"/>
      <c r="O736" s="610"/>
      <c r="P736" s="610"/>
      <c r="Q736" s="610"/>
      <c r="R736" s="610"/>
      <c r="S736" s="610"/>
      <c r="T736" s="610"/>
      <c r="U736" s="610"/>
      <c r="V736" s="610"/>
      <c r="W736" s="610"/>
      <c r="X736" s="610"/>
      <c r="Y736" s="610"/>
      <c r="Z736" s="610"/>
      <c r="AA736" s="610"/>
      <c r="AB736" s="610"/>
      <c r="AC736" s="610"/>
      <c r="AD736" s="610"/>
      <c r="AG736" s="610"/>
      <c r="AH736" s="610"/>
    </row>
    <row r="737">
      <c r="B737" s="610"/>
      <c r="C737" s="610"/>
      <c r="D737" s="610"/>
      <c r="E737" s="610"/>
      <c r="F737" s="610"/>
      <c r="G737" s="610"/>
      <c r="H737" s="610"/>
      <c r="I737" s="610"/>
      <c r="J737" s="610"/>
      <c r="K737" s="610"/>
      <c r="L737" s="610"/>
      <c r="M737" s="610"/>
      <c r="N737" s="610"/>
      <c r="O737" s="610"/>
      <c r="P737" s="610"/>
      <c r="Q737" s="610"/>
      <c r="R737" s="610"/>
      <c r="S737" s="610"/>
      <c r="T737" s="610"/>
      <c r="U737" s="610"/>
      <c r="V737" s="610"/>
      <c r="W737" s="610"/>
      <c r="X737" s="610"/>
      <c r="Y737" s="610"/>
      <c r="Z737" s="610"/>
      <c r="AA737" s="610"/>
      <c r="AB737" s="610"/>
      <c r="AC737" s="610"/>
      <c r="AD737" s="610"/>
      <c r="AG737" s="610"/>
      <c r="AH737" s="610"/>
    </row>
    <row r="738">
      <c r="B738" s="610"/>
      <c r="C738" s="610"/>
      <c r="D738" s="610"/>
      <c r="E738" s="610"/>
      <c r="F738" s="610"/>
      <c r="G738" s="610"/>
      <c r="H738" s="610"/>
      <c r="I738" s="610"/>
      <c r="J738" s="610"/>
      <c r="K738" s="610"/>
      <c r="L738" s="610"/>
      <c r="M738" s="610"/>
      <c r="N738" s="610"/>
      <c r="O738" s="610"/>
      <c r="P738" s="610"/>
      <c r="Q738" s="610"/>
      <c r="R738" s="610"/>
      <c r="S738" s="610"/>
      <c r="T738" s="610"/>
      <c r="U738" s="610"/>
      <c r="V738" s="610"/>
      <c r="W738" s="610"/>
      <c r="X738" s="610"/>
      <c r="Y738" s="610"/>
      <c r="Z738" s="610"/>
      <c r="AA738" s="610"/>
      <c r="AB738" s="610"/>
      <c r="AC738" s="610"/>
      <c r="AD738" s="610"/>
      <c r="AG738" s="610"/>
      <c r="AH738" s="610"/>
    </row>
    <row r="739">
      <c r="B739" s="610"/>
      <c r="C739" s="610"/>
      <c r="D739" s="610"/>
      <c r="E739" s="610"/>
      <c r="F739" s="610"/>
      <c r="G739" s="610"/>
      <c r="H739" s="610"/>
      <c r="I739" s="610"/>
      <c r="J739" s="610"/>
      <c r="K739" s="610"/>
      <c r="L739" s="610"/>
      <c r="M739" s="610"/>
      <c r="N739" s="610"/>
      <c r="O739" s="610"/>
      <c r="P739" s="610"/>
      <c r="Q739" s="610"/>
      <c r="R739" s="610"/>
      <c r="S739" s="610"/>
      <c r="T739" s="610"/>
      <c r="U739" s="610"/>
      <c r="V739" s="610"/>
      <c r="W739" s="610"/>
      <c r="X739" s="610"/>
      <c r="Y739" s="610"/>
      <c r="Z739" s="610"/>
      <c r="AA739" s="610"/>
      <c r="AB739" s="610"/>
      <c r="AC739" s="610"/>
      <c r="AD739" s="610"/>
      <c r="AG739" s="610"/>
      <c r="AH739" s="610"/>
    </row>
    <row r="740">
      <c r="B740" s="610"/>
      <c r="C740" s="610"/>
      <c r="D740" s="610"/>
      <c r="E740" s="610"/>
      <c r="F740" s="610"/>
      <c r="G740" s="610"/>
      <c r="H740" s="610"/>
      <c r="I740" s="610"/>
      <c r="J740" s="610"/>
      <c r="K740" s="610"/>
      <c r="L740" s="610"/>
      <c r="M740" s="610"/>
      <c r="N740" s="610"/>
      <c r="O740" s="610"/>
      <c r="P740" s="610"/>
      <c r="Q740" s="610"/>
      <c r="R740" s="610"/>
      <c r="S740" s="610"/>
      <c r="T740" s="610"/>
      <c r="U740" s="610"/>
      <c r="V740" s="610"/>
      <c r="W740" s="610"/>
      <c r="X740" s="610"/>
      <c r="Y740" s="610"/>
      <c r="Z740" s="610"/>
      <c r="AA740" s="610"/>
      <c r="AB740" s="610"/>
      <c r="AC740" s="610"/>
      <c r="AD740" s="610"/>
      <c r="AG740" s="610"/>
      <c r="AH740" s="610"/>
    </row>
    <row r="741">
      <c r="B741" s="610"/>
      <c r="C741" s="610"/>
      <c r="D741" s="610"/>
      <c r="E741" s="610"/>
      <c r="F741" s="610"/>
      <c r="G741" s="610"/>
      <c r="H741" s="610"/>
      <c r="I741" s="610"/>
      <c r="J741" s="610"/>
      <c r="K741" s="610"/>
      <c r="L741" s="610"/>
      <c r="M741" s="610"/>
      <c r="N741" s="610"/>
      <c r="O741" s="610"/>
      <c r="P741" s="610"/>
      <c r="Q741" s="610"/>
      <c r="R741" s="610"/>
      <c r="S741" s="610"/>
      <c r="T741" s="610"/>
      <c r="U741" s="610"/>
      <c r="V741" s="610"/>
      <c r="W741" s="610"/>
      <c r="X741" s="610"/>
      <c r="Y741" s="610"/>
      <c r="Z741" s="610"/>
      <c r="AA741" s="610"/>
      <c r="AB741" s="610"/>
      <c r="AC741" s="610"/>
      <c r="AD741" s="610"/>
      <c r="AG741" s="610"/>
      <c r="AH741" s="610"/>
    </row>
    <row r="742">
      <c r="B742" s="610"/>
      <c r="C742" s="610"/>
      <c r="D742" s="610"/>
      <c r="E742" s="610"/>
      <c r="F742" s="610"/>
      <c r="G742" s="610"/>
      <c r="H742" s="610"/>
      <c r="I742" s="610"/>
      <c r="J742" s="610"/>
      <c r="K742" s="610"/>
      <c r="L742" s="610"/>
      <c r="M742" s="610"/>
      <c r="N742" s="610"/>
      <c r="O742" s="610"/>
      <c r="P742" s="610"/>
      <c r="Q742" s="610"/>
      <c r="R742" s="610"/>
      <c r="S742" s="610"/>
      <c r="T742" s="610"/>
      <c r="U742" s="610"/>
      <c r="V742" s="610"/>
      <c r="W742" s="610"/>
      <c r="X742" s="610"/>
      <c r="Y742" s="610"/>
      <c r="Z742" s="610"/>
      <c r="AA742" s="610"/>
      <c r="AB742" s="610"/>
      <c r="AC742" s="610"/>
      <c r="AD742" s="610"/>
      <c r="AG742" s="610"/>
      <c r="AH742" s="610"/>
    </row>
    <row r="743">
      <c r="B743" s="610"/>
      <c r="C743" s="610"/>
      <c r="D743" s="610"/>
      <c r="E743" s="610"/>
      <c r="F743" s="610"/>
      <c r="G743" s="610"/>
      <c r="H743" s="610"/>
      <c r="I743" s="610"/>
      <c r="J743" s="610"/>
      <c r="K743" s="610"/>
      <c r="L743" s="610"/>
      <c r="M743" s="610"/>
      <c r="N743" s="610"/>
      <c r="O743" s="610"/>
      <c r="P743" s="610"/>
      <c r="Q743" s="610"/>
      <c r="R743" s="610"/>
      <c r="S743" s="610"/>
      <c r="T743" s="610"/>
      <c r="U743" s="610"/>
      <c r="V743" s="610"/>
      <c r="W743" s="610"/>
      <c r="X743" s="610"/>
      <c r="Y743" s="610"/>
      <c r="Z743" s="610"/>
      <c r="AA743" s="610"/>
      <c r="AB743" s="610"/>
      <c r="AC743" s="610"/>
      <c r="AD743" s="610"/>
      <c r="AG743" s="610"/>
      <c r="AH743" s="610"/>
    </row>
    <row r="744">
      <c r="B744" s="610"/>
      <c r="C744" s="610"/>
      <c r="D744" s="610"/>
      <c r="E744" s="610"/>
      <c r="F744" s="610"/>
      <c r="G744" s="610"/>
      <c r="H744" s="610"/>
      <c r="I744" s="610"/>
      <c r="J744" s="610"/>
      <c r="K744" s="610"/>
      <c r="L744" s="610"/>
      <c r="M744" s="610"/>
      <c r="N744" s="610"/>
      <c r="O744" s="610"/>
      <c r="P744" s="610"/>
      <c r="Q744" s="610"/>
      <c r="R744" s="610"/>
      <c r="S744" s="610"/>
      <c r="T744" s="610"/>
      <c r="U744" s="610"/>
      <c r="V744" s="610"/>
      <c r="W744" s="610"/>
      <c r="X744" s="610"/>
      <c r="Y744" s="610"/>
      <c r="Z744" s="610"/>
      <c r="AA744" s="610"/>
      <c r="AB744" s="610"/>
      <c r="AC744" s="610"/>
      <c r="AD744" s="610"/>
      <c r="AG744" s="610"/>
      <c r="AH744" s="610"/>
    </row>
    <row r="745">
      <c r="B745" s="610"/>
      <c r="C745" s="610"/>
      <c r="D745" s="610"/>
      <c r="E745" s="610"/>
      <c r="F745" s="610"/>
      <c r="G745" s="610"/>
      <c r="H745" s="610"/>
      <c r="I745" s="610"/>
      <c r="J745" s="610"/>
      <c r="K745" s="610"/>
      <c r="L745" s="610"/>
      <c r="M745" s="610"/>
      <c r="N745" s="610"/>
      <c r="O745" s="610"/>
      <c r="P745" s="610"/>
      <c r="Q745" s="610"/>
      <c r="R745" s="610"/>
      <c r="S745" s="610"/>
      <c r="T745" s="610"/>
      <c r="U745" s="610"/>
      <c r="V745" s="610"/>
      <c r="W745" s="610"/>
      <c r="X745" s="610"/>
      <c r="Y745" s="610"/>
      <c r="Z745" s="610"/>
      <c r="AA745" s="610"/>
      <c r="AB745" s="610"/>
      <c r="AC745" s="610"/>
      <c r="AD745" s="610"/>
      <c r="AG745" s="610"/>
      <c r="AH745" s="610"/>
    </row>
    <row r="746">
      <c r="B746" s="610"/>
      <c r="C746" s="610"/>
      <c r="D746" s="610"/>
      <c r="E746" s="610"/>
      <c r="F746" s="610"/>
      <c r="G746" s="610"/>
      <c r="H746" s="610"/>
      <c r="I746" s="610"/>
      <c r="J746" s="610"/>
      <c r="K746" s="610"/>
      <c r="L746" s="610"/>
      <c r="M746" s="610"/>
      <c r="N746" s="610"/>
      <c r="O746" s="610"/>
      <c r="P746" s="610"/>
      <c r="Q746" s="610"/>
      <c r="R746" s="610"/>
      <c r="S746" s="610"/>
      <c r="T746" s="610"/>
      <c r="U746" s="610"/>
      <c r="V746" s="610"/>
      <c r="W746" s="610"/>
      <c r="X746" s="610"/>
      <c r="Y746" s="610"/>
      <c r="Z746" s="610"/>
      <c r="AA746" s="610"/>
      <c r="AB746" s="610"/>
      <c r="AC746" s="610"/>
      <c r="AD746" s="610"/>
      <c r="AG746" s="610"/>
      <c r="AH746" s="610"/>
    </row>
    <row r="747">
      <c r="B747" s="610"/>
      <c r="C747" s="610"/>
      <c r="D747" s="610"/>
      <c r="E747" s="610"/>
      <c r="F747" s="610"/>
      <c r="G747" s="610"/>
      <c r="H747" s="610"/>
      <c r="I747" s="610"/>
      <c r="J747" s="610"/>
      <c r="K747" s="610"/>
      <c r="L747" s="610"/>
      <c r="M747" s="610"/>
      <c r="N747" s="610"/>
      <c r="O747" s="610"/>
      <c r="P747" s="610"/>
      <c r="Q747" s="610"/>
      <c r="R747" s="610"/>
      <c r="S747" s="610"/>
      <c r="T747" s="610"/>
      <c r="U747" s="610"/>
      <c r="V747" s="610"/>
      <c r="W747" s="610"/>
      <c r="X747" s="610"/>
      <c r="Y747" s="610"/>
      <c r="Z747" s="610"/>
      <c r="AA747" s="610"/>
      <c r="AB747" s="610"/>
      <c r="AC747" s="610"/>
      <c r="AD747" s="610"/>
      <c r="AG747" s="610"/>
      <c r="AH747" s="610"/>
    </row>
    <row r="748">
      <c r="B748" s="610"/>
      <c r="C748" s="610"/>
      <c r="D748" s="610"/>
      <c r="E748" s="610"/>
      <c r="F748" s="610"/>
      <c r="G748" s="610"/>
      <c r="H748" s="610"/>
      <c r="I748" s="610"/>
      <c r="J748" s="610"/>
      <c r="K748" s="610"/>
      <c r="L748" s="610"/>
      <c r="M748" s="610"/>
      <c r="N748" s="610"/>
      <c r="O748" s="610"/>
      <c r="P748" s="610"/>
      <c r="Q748" s="610"/>
      <c r="R748" s="610"/>
      <c r="S748" s="610"/>
      <c r="T748" s="610"/>
      <c r="U748" s="610"/>
      <c r="V748" s="610"/>
      <c r="W748" s="610"/>
      <c r="X748" s="610"/>
      <c r="Y748" s="610"/>
      <c r="Z748" s="610"/>
      <c r="AA748" s="610"/>
      <c r="AB748" s="610"/>
      <c r="AC748" s="610"/>
      <c r="AD748" s="610"/>
      <c r="AG748" s="610"/>
      <c r="AH748" s="610"/>
    </row>
    <row r="749">
      <c r="B749" s="610"/>
      <c r="C749" s="610"/>
      <c r="D749" s="610"/>
      <c r="E749" s="610"/>
      <c r="F749" s="610"/>
      <c r="G749" s="610"/>
      <c r="H749" s="610"/>
      <c r="I749" s="610"/>
      <c r="J749" s="610"/>
      <c r="K749" s="610"/>
      <c r="L749" s="610"/>
      <c r="M749" s="610"/>
      <c r="N749" s="610"/>
      <c r="O749" s="610"/>
      <c r="P749" s="610"/>
      <c r="Q749" s="610"/>
      <c r="R749" s="610"/>
      <c r="S749" s="610"/>
      <c r="T749" s="610"/>
      <c r="U749" s="610"/>
      <c r="V749" s="610"/>
      <c r="W749" s="610"/>
      <c r="X749" s="610"/>
      <c r="Y749" s="610"/>
      <c r="Z749" s="610"/>
      <c r="AA749" s="610"/>
      <c r="AB749" s="610"/>
      <c r="AC749" s="610"/>
      <c r="AD749" s="610"/>
      <c r="AG749" s="610"/>
      <c r="AH749" s="610"/>
    </row>
    <row r="750">
      <c r="B750" s="610"/>
      <c r="C750" s="610"/>
      <c r="D750" s="610"/>
      <c r="E750" s="610"/>
      <c r="F750" s="610"/>
      <c r="G750" s="610"/>
      <c r="H750" s="610"/>
      <c r="I750" s="610"/>
      <c r="J750" s="610"/>
      <c r="K750" s="610"/>
      <c r="L750" s="610"/>
      <c r="M750" s="610"/>
      <c r="N750" s="610"/>
      <c r="O750" s="610"/>
      <c r="P750" s="610"/>
      <c r="Q750" s="610"/>
      <c r="R750" s="610"/>
      <c r="S750" s="610"/>
      <c r="T750" s="610"/>
      <c r="U750" s="610"/>
      <c r="V750" s="610"/>
      <c r="W750" s="610"/>
      <c r="X750" s="610"/>
      <c r="Y750" s="610"/>
      <c r="Z750" s="610"/>
      <c r="AA750" s="610"/>
      <c r="AB750" s="610"/>
      <c r="AC750" s="610"/>
      <c r="AD750" s="610"/>
      <c r="AG750" s="610"/>
      <c r="AH750" s="610"/>
    </row>
    <row r="751">
      <c r="B751" s="610"/>
      <c r="C751" s="610"/>
      <c r="D751" s="610"/>
      <c r="E751" s="610"/>
      <c r="F751" s="610"/>
      <c r="G751" s="610"/>
      <c r="H751" s="610"/>
      <c r="I751" s="610"/>
      <c r="J751" s="610"/>
      <c r="K751" s="610"/>
      <c r="L751" s="610"/>
      <c r="M751" s="610"/>
      <c r="N751" s="610"/>
      <c r="O751" s="610"/>
      <c r="P751" s="610"/>
      <c r="Q751" s="610"/>
      <c r="R751" s="610"/>
      <c r="S751" s="610"/>
      <c r="T751" s="610"/>
      <c r="U751" s="610"/>
      <c r="V751" s="610"/>
      <c r="W751" s="610"/>
      <c r="X751" s="610"/>
      <c r="Y751" s="610"/>
      <c r="Z751" s="610"/>
      <c r="AA751" s="610"/>
      <c r="AB751" s="610"/>
      <c r="AC751" s="610"/>
      <c r="AD751" s="610"/>
      <c r="AG751" s="610"/>
      <c r="AH751" s="610"/>
    </row>
    <row r="752">
      <c r="B752" s="610"/>
      <c r="C752" s="610"/>
      <c r="D752" s="610"/>
      <c r="E752" s="610"/>
      <c r="F752" s="610"/>
      <c r="G752" s="610"/>
      <c r="H752" s="610"/>
      <c r="I752" s="610"/>
      <c r="J752" s="610"/>
      <c r="K752" s="610"/>
      <c r="L752" s="610"/>
      <c r="M752" s="610"/>
      <c r="N752" s="610"/>
      <c r="O752" s="610"/>
      <c r="P752" s="610"/>
      <c r="Q752" s="610"/>
      <c r="R752" s="610"/>
      <c r="S752" s="610"/>
      <c r="T752" s="610"/>
      <c r="U752" s="610"/>
      <c r="V752" s="610"/>
      <c r="W752" s="610"/>
      <c r="X752" s="610"/>
      <c r="Y752" s="610"/>
      <c r="Z752" s="610"/>
      <c r="AA752" s="610"/>
      <c r="AB752" s="610"/>
      <c r="AC752" s="610"/>
      <c r="AD752" s="610"/>
      <c r="AG752" s="610"/>
      <c r="AH752" s="610"/>
    </row>
    <row r="753">
      <c r="B753" s="610"/>
      <c r="C753" s="610"/>
      <c r="D753" s="610"/>
      <c r="E753" s="610"/>
      <c r="F753" s="610"/>
      <c r="G753" s="610"/>
      <c r="H753" s="610"/>
      <c r="I753" s="610"/>
      <c r="J753" s="610"/>
      <c r="K753" s="610"/>
      <c r="L753" s="610"/>
      <c r="M753" s="610"/>
      <c r="N753" s="610"/>
      <c r="O753" s="610"/>
      <c r="P753" s="610"/>
      <c r="Q753" s="610"/>
      <c r="R753" s="610"/>
      <c r="S753" s="610"/>
      <c r="T753" s="610"/>
      <c r="U753" s="610"/>
      <c r="V753" s="610"/>
      <c r="W753" s="610"/>
      <c r="X753" s="610"/>
      <c r="Y753" s="610"/>
      <c r="Z753" s="610"/>
      <c r="AA753" s="610"/>
      <c r="AB753" s="610"/>
      <c r="AC753" s="610"/>
      <c r="AD753" s="610"/>
      <c r="AG753" s="610"/>
      <c r="AH753" s="610"/>
    </row>
    <row r="754">
      <c r="B754" s="610"/>
      <c r="C754" s="610"/>
      <c r="D754" s="610"/>
      <c r="E754" s="610"/>
      <c r="F754" s="610"/>
      <c r="G754" s="610"/>
      <c r="H754" s="610"/>
      <c r="I754" s="610"/>
      <c r="J754" s="610"/>
      <c r="K754" s="610"/>
      <c r="L754" s="610"/>
      <c r="M754" s="610"/>
      <c r="N754" s="610"/>
      <c r="O754" s="610"/>
      <c r="P754" s="610"/>
      <c r="Q754" s="610"/>
      <c r="R754" s="610"/>
      <c r="S754" s="610"/>
      <c r="T754" s="610"/>
      <c r="U754" s="610"/>
      <c r="V754" s="610"/>
      <c r="W754" s="610"/>
      <c r="X754" s="610"/>
      <c r="Y754" s="610"/>
      <c r="Z754" s="610"/>
      <c r="AA754" s="610"/>
      <c r="AB754" s="610"/>
      <c r="AC754" s="610"/>
      <c r="AD754" s="610"/>
      <c r="AG754" s="610"/>
      <c r="AH754" s="610"/>
    </row>
    <row r="755">
      <c r="B755" s="610"/>
      <c r="C755" s="610"/>
      <c r="D755" s="610"/>
      <c r="E755" s="610"/>
      <c r="F755" s="610"/>
      <c r="G755" s="610"/>
      <c r="H755" s="610"/>
      <c r="I755" s="610"/>
      <c r="J755" s="610"/>
      <c r="K755" s="610"/>
      <c r="L755" s="610"/>
      <c r="M755" s="610"/>
      <c r="N755" s="610"/>
      <c r="O755" s="610"/>
      <c r="P755" s="610"/>
      <c r="Q755" s="610"/>
      <c r="R755" s="610"/>
      <c r="S755" s="610"/>
      <c r="T755" s="610"/>
      <c r="U755" s="610"/>
      <c r="V755" s="610"/>
      <c r="W755" s="610"/>
      <c r="X755" s="610"/>
      <c r="Y755" s="610"/>
      <c r="Z755" s="610"/>
      <c r="AA755" s="610"/>
      <c r="AB755" s="610"/>
      <c r="AC755" s="610"/>
      <c r="AD755" s="610"/>
      <c r="AG755" s="610"/>
      <c r="AH755" s="610"/>
    </row>
    <row r="756">
      <c r="B756" s="610"/>
      <c r="C756" s="610"/>
      <c r="D756" s="610"/>
      <c r="E756" s="610"/>
      <c r="F756" s="610"/>
      <c r="G756" s="610"/>
      <c r="H756" s="610"/>
      <c r="I756" s="610"/>
      <c r="J756" s="610"/>
      <c r="K756" s="610"/>
      <c r="L756" s="610"/>
      <c r="M756" s="610"/>
      <c r="N756" s="610"/>
      <c r="O756" s="610"/>
      <c r="P756" s="610"/>
      <c r="Q756" s="610"/>
      <c r="R756" s="610"/>
      <c r="S756" s="610"/>
      <c r="T756" s="610"/>
      <c r="U756" s="610"/>
      <c r="V756" s="610"/>
      <c r="W756" s="610"/>
      <c r="X756" s="610"/>
      <c r="Y756" s="610"/>
      <c r="Z756" s="610"/>
      <c r="AA756" s="610"/>
      <c r="AB756" s="610"/>
      <c r="AC756" s="610"/>
      <c r="AD756" s="610"/>
      <c r="AG756" s="610"/>
      <c r="AH756" s="610"/>
    </row>
    <row r="757">
      <c r="B757" s="610"/>
      <c r="C757" s="610"/>
      <c r="D757" s="610"/>
      <c r="E757" s="610"/>
      <c r="F757" s="610"/>
      <c r="G757" s="610"/>
      <c r="H757" s="610"/>
      <c r="I757" s="610"/>
      <c r="J757" s="610"/>
      <c r="K757" s="610"/>
      <c r="L757" s="610"/>
      <c r="M757" s="610"/>
      <c r="N757" s="610"/>
      <c r="O757" s="610"/>
      <c r="P757" s="610"/>
      <c r="Q757" s="610"/>
      <c r="R757" s="610"/>
      <c r="S757" s="610"/>
      <c r="T757" s="610"/>
      <c r="U757" s="610"/>
      <c r="V757" s="610"/>
      <c r="W757" s="610"/>
      <c r="X757" s="610"/>
      <c r="Y757" s="610"/>
      <c r="Z757" s="610"/>
      <c r="AA757" s="610"/>
      <c r="AB757" s="610"/>
      <c r="AC757" s="610"/>
      <c r="AD757" s="610"/>
      <c r="AG757" s="610"/>
      <c r="AH757" s="610"/>
    </row>
    <row r="758">
      <c r="B758" s="610"/>
      <c r="C758" s="610"/>
      <c r="D758" s="610"/>
      <c r="E758" s="610"/>
      <c r="F758" s="610"/>
      <c r="G758" s="610"/>
      <c r="H758" s="610"/>
      <c r="I758" s="610"/>
      <c r="J758" s="610"/>
      <c r="K758" s="610"/>
      <c r="L758" s="610"/>
      <c r="M758" s="610"/>
      <c r="N758" s="610"/>
      <c r="O758" s="610"/>
      <c r="P758" s="610"/>
      <c r="Q758" s="610"/>
      <c r="R758" s="610"/>
      <c r="S758" s="610"/>
      <c r="T758" s="610"/>
      <c r="U758" s="610"/>
      <c r="V758" s="610"/>
      <c r="W758" s="610"/>
      <c r="X758" s="610"/>
      <c r="Y758" s="610"/>
      <c r="Z758" s="610"/>
      <c r="AA758" s="610"/>
      <c r="AB758" s="610"/>
      <c r="AC758" s="610"/>
      <c r="AD758" s="610"/>
      <c r="AG758" s="610"/>
      <c r="AH758" s="610"/>
    </row>
    <row r="759">
      <c r="B759" s="610"/>
      <c r="C759" s="610"/>
      <c r="D759" s="610"/>
      <c r="E759" s="610"/>
      <c r="F759" s="610"/>
      <c r="G759" s="610"/>
      <c r="H759" s="610"/>
      <c r="I759" s="610"/>
      <c r="J759" s="610"/>
      <c r="K759" s="610"/>
      <c r="L759" s="610"/>
      <c r="M759" s="610"/>
      <c r="N759" s="610"/>
      <c r="O759" s="610"/>
      <c r="P759" s="610"/>
      <c r="Q759" s="610"/>
      <c r="R759" s="610"/>
      <c r="S759" s="610"/>
      <c r="T759" s="610"/>
      <c r="U759" s="610"/>
      <c r="V759" s="610"/>
      <c r="W759" s="610"/>
      <c r="X759" s="610"/>
      <c r="Y759" s="610"/>
      <c r="Z759" s="610"/>
      <c r="AA759" s="610"/>
      <c r="AB759" s="610"/>
      <c r="AC759" s="610"/>
      <c r="AD759" s="610"/>
      <c r="AG759" s="610"/>
      <c r="AH759" s="610"/>
    </row>
    <row r="760">
      <c r="B760" s="610"/>
      <c r="C760" s="610"/>
      <c r="D760" s="610"/>
      <c r="E760" s="610"/>
      <c r="F760" s="610"/>
      <c r="G760" s="610"/>
      <c r="H760" s="610"/>
      <c r="I760" s="610"/>
      <c r="J760" s="610"/>
      <c r="K760" s="610"/>
      <c r="L760" s="610"/>
      <c r="M760" s="610"/>
      <c r="N760" s="610"/>
      <c r="O760" s="610"/>
      <c r="P760" s="610"/>
      <c r="Q760" s="610"/>
      <c r="R760" s="610"/>
      <c r="S760" s="610"/>
      <c r="T760" s="610"/>
      <c r="U760" s="610"/>
      <c r="V760" s="610"/>
      <c r="W760" s="610"/>
      <c r="X760" s="610"/>
      <c r="Y760" s="610"/>
      <c r="Z760" s="610"/>
      <c r="AA760" s="610"/>
      <c r="AB760" s="610"/>
      <c r="AC760" s="610"/>
      <c r="AD760" s="610"/>
      <c r="AG760" s="610"/>
      <c r="AH760" s="610"/>
    </row>
    <row r="761">
      <c r="B761" s="610"/>
      <c r="C761" s="610"/>
      <c r="D761" s="610"/>
      <c r="E761" s="610"/>
      <c r="F761" s="610"/>
      <c r="G761" s="610"/>
      <c r="H761" s="610"/>
      <c r="I761" s="610"/>
      <c r="J761" s="610"/>
      <c r="K761" s="610"/>
      <c r="L761" s="610"/>
      <c r="M761" s="610"/>
      <c r="N761" s="610"/>
      <c r="O761" s="610"/>
      <c r="P761" s="610"/>
      <c r="Q761" s="610"/>
      <c r="R761" s="610"/>
      <c r="S761" s="610"/>
      <c r="T761" s="610"/>
      <c r="U761" s="610"/>
      <c r="V761" s="610"/>
      <c r="W761" s="610"/>
      <c r="X761" s="610"/>
      <c r="Y761" s="610"/>
      <c r="Z761" s="610"/>
      <c r="AA761" s="610"/>
      <c r="AB761" s="610"/>
      <c r="AC761" s="610"/>
      <c r="AD761" s="610"/>
      <c r="AG761" s="610"/>
      <c r="AH761" s="610"/>
    </row>
    <row r="762">
      <c r="B762" s="610"/>
      <c r="C762" s="610"/>
      <c r="D762" s="610"/>
      <c r="E762" s="610"/>
      <c r="F762" s="610"/>
      <c r="G762" s="610"/>
      <c r="H762" s="610"/>
      <c r="I762" s="610"/>
      <c r="J762" s="610"/>
      <c r="K762" s="610"/>
      <c r="L762" s="610"/>
      <c r="M762" s="610"/>
      <c r="N762" s="610"/>
      <c r="O762" s="610"/>
      <c r="P762" s="610"/>
      <c r="Q762" s="610"/>
      <c r="R762" s="610"/>
      <c r="S762" s="610"/>
      <c r="T762" s="610"/>
      <c r="U762" s="610"/>
      <c r="V762" s="610"/>
      <c r="W762" s="610"/>
      <c r="X762" s="610"/>
      <c r="Y762" s="610"/>
      <c r="Z762" s="610"/>
      <c r="AA762" s="610"/>
      <c r="AB762" s="610"/>
      <c r="AC762" s="610"/>
      <c r="AD762" s="610"/>
      <c r="AG762" s="610"/>
      <c r="AH762" s="610"/>
    </row>
    <row r="763">
      <c r="B763" s="610"/>
      <c r="C763" s="610"/>
      <c r="D763" s="610"/>
      <c r="E763" s="610"/>
      <c r="F763" s="610"/>
      <c r="G763" s="610"/>
      <c r="H763" s="610"/>
      <c r="I763" s="610"/>
      <c r="J763" s="610"/>
      <c r="K763" s="610"/>
      <c r="L763" s="610"/>
      <c r="M763" s="610"/>
      <c r="N763" s="610"/>
      <c r="O763" s="610"/>
      <c r="P763" s="610"/>
      <c r="Q763" s="610"/>
      <c r="R763" s="610"/>
      <c r="S763" s="610"/>
      <c r="T763" s="610"/>
      <c r="U763" s="610"/>
      <c r="V763" s="610"/>
      <c r="W763" s="610"/>
      <c r="X763" s="610"/>
      <c r="Y763" s="610"/>
      <c r="Z763" s="610"/>
      <c r="AA763" s="610"/>
      <c r="AB763" s="610"/>
      <c r="AC763" s="610"/>
      <c r="AD763" s="610"/>
      <c r="AG763" s="610"/>
      <c r="AH763" s="610"/>
    </row>
    <row r="764">
      <c r="B764" s="610"/>
      <c r="C764" s="610"/>
      <c r="D764" s="610"/>
      <c r="E764" s="610"/>
      <c r="F764" s="610"/>
      <c r="G764" s="610"/>
      <c r="H764" s="610"/>
      <c r="I764" s="610"/>
      <c r="J764" s="610"/>
      <c r="K764" s="610"/>
      <c r="L764" s="610"/>
      <c r="M764" s="610"/>
      <c r="N764" s="610"/>
      <c r="O764" s="610"/>
      <c r="P764" s="610"/>
      <c r="Q764" s="610"/>
      <c r="R764" s="610"/>
      <c r="S764" s="610"/>
      <c r="T764" s="610"/>
      <c r="U764" s="610"/>
      <c r="V764" s="610"/>
      <c r="W764" s="610"/>
      <c r="X764" s="610"/>
      <c r="Y764" s="610"/>
      <c r="Z764" s="610"/>
      <c r="AA764" s="610"/>
      <c r="AB764" s="610"/>
      <c r="AC764" s="610"/>
      <c r="AD764" s="610"/>
      <c r="AG764" s="610"/>
      <c r="AH764" s="610"/>
    </row>
    <row r="765">
      <c r="B765" s="610"/>
      <c r="C765" s="610"/>
      <c r="D765" s="610"/>
      <c r="E765" s="610"/>
      <c r="F765" s="610"/>
      <c r="G765" s="610"/>
      <c r="H765" s="610"/>
      <c r="I765" s="610"/>
      <c r="J765" s="610"/>
      <c r="K765" s="610"/>
      <c r="L765" s="610"/>
      <c r="M765" s="610"/>
      <c r="N765" s="610"/>
      <c r="O765" s="610"/>
      <c r="P765" s="610"/>
      <c r="Q765" s="610"/>
      <c r="R765" s="610"/>
      <c r="S765" s="610"/>
      <c r="T765" s="610"/>
      <c r="U765" s="610"/>
      <c r="V765" s="610"/>
      <c r="W765" s="610"/>
      <c r="X765" s="610"/>
      <c r="Y765" s="610"/>
      <c r="Z765" s="610"/>
      <c r="AA765" s="610"/>
      <c r="AB765" s="610"/>
      <c r="AC765" s="610"/>
      <c r="AD765" s="610"/>
      <c r="AG765" s="610"/>
      <c r="AH765" s="610"/>
    </row>
    <row r="766">
      <c r="B766" s="610"/>
      <c r="C766" s="610"/>
      <c r="D766" s="610"/>
      <c r="E766" s="610"/>
      <c r="F766" s="610"/>
      <c r="G766" s="610"/>
      <c r="H766" s="610"/>
      <c r="I766" s="610"/>
      <c r="J766" s="610"/>
      <c r="K766" s="610"/>
      <c r="L766" s="610"/>
      <c r="M766" s="610"/>
      <c r="N766" s="610"/>
      <c r="O766" s="610"/>
      <c r="P766" s="610"/>
      <c r="Q766" s="610"/>
      <c r="R766" s="610"/>
      <c r="S766" s="610"/>
      <c r="T766" s="610"/>
      <c r="U766" s="610"/>
      <c r="V766" s="610"/>
      <c r="W766" s="610"/>
      <c r="X766" s="610"/>
      <c r="Y766" s="610"/>
      <c r="Z766" s="610"/>
      <c r="AA766" s="610"/>
      <c r="AB766" s="610"/>
      <c r="AC766" s="610"/>
      <c r="AD766" s="610"/>
      <c r="AG766" s="610"/>
      <c r="AH766" s="610"/>
    </row>
    <row r="767">
      <c r="B767" s="610"/>
      <c r="C767" s="610"/>
      <c r="D767" s="610"/>
      <c r="E767" s="610"/>
      <c r="F767" s="610"/>
      <c r="G767" s="610"/>
      <c r="H767" s="610"/>
      <c r="I767" s="610"/>
      <c r="J767" s="610"/>
      <c r="K767" s="610"/>
      <c r="L767" s="610"/>
      <c r="M767" s="610"/>
      <c r="N767" s="610"/>
      <c r="O767" s="610"/>
      <c r="P767" s="610"/>
      <c r="Q767" s="610"/>
      <c r="R767" s="610"/>
      <c r="S767" s="610"/>
      <c r="T767" s="610"/>
      <c r="U767" s="610"/>
      <c r="V767" s="610"/>
      <c r="W767" s="610"/>
      <c r="X767" s="610"/>
      <c r="Y767" s="610"/>
      <c r="Z767" s="610"/>
      <c r="AA767" s="610"/>
      <c r="AB767" s="610"/>
      <c r="AC767" s="610"/>
      <c r="AD767" s="610"/>
      <c r="AG767" s="610"/>
      <c r="AH767" s="610"/>
    </row>
    <row r="768">
      <c r="B768" s="610"/>
      <c r="C768" s="610"/>
      <c r="D768" s="610"/>
      <c r="E768" s="610"/>
      <c r="F768" s="610"/>
      <c r="G768" s="610"/>
      <c r="H768" s="610"/>
      <c r="I768" s="610"/>
      <c r="J768" s="610"/>
      <c r="K768" s="610"/>
      <c r="L768" s="610"/>
      <c r="M768" s="610"/>
      <c r="N768" s="610"/>
      <c r="O768" s="610"/>
      <c r="P768" s="610"/>
      <c r="Q768" s="610"/>
      <c r="R768" s="610"/>
      <c r="S768" s="610"/>
      <c r="T768" s="610"/>
      <c r="U768" s="610"/>
      <c r="V768" s="610"/>
      <c r="W768" s="610"/>
      <c r="X768" s="610"/>
      <c r="Y768" s="610"/>
      <c r="Z768" s="610"/>
      <c r="AA768" s="610"/>
      <c r="AB768" s="610"/>
      <c r="AC768" s="610"/>
      <c r="AD768" s="610"/>
      <c r="AG768" s="610"/>
      <c r="AH768" s="610"/>
    </row>
    <row r="769">
      <c r="B769" s="610"/>
      <c r="C769" s="610"/>
      <c r="D769" s="610"/>
      <c r="E769" s="610"/>
      <c r="F769" s="610"/>
      <c r="G769" s="610"/>
      <c r="H769" s="610"/>
      <c r="I769" s="610"/>
      <c r="J769" s="610"/>
      <c r="K769" s="610"/>
      <c r="L769" s="610"/>
      <c r="M769" s="610"/>
      <c r="N769" s="610"/>
      <c r="O769" s="610"/>
      <c r="P769" s="610"/>
      <c r="Q769" s="610"/>
      <c r="R769" s="610"/>
      <c r="S769" s="610"/>
      <c r="T769" s="610"/>
      <c r="U769" s="610"/>
      <c r="V769" s="610"/>
      <c r="W769" s="610"/>
      <c r="X769" s="610"/>
      <c r="Y769" s="610"/>
      <c r="Z769" s="610"/>
      <c r="AA769" s="610"/>
      <c r="AB769" s="610"/>
      <c r="AC769" s="610"/>
      <c r="AD769" s="610"/>
      <c r="AG769" s="610"/>
      <c r="AH769" s="610"/>
    </row>
    <row r="770">
      <c r="B770" s="610"/>
      <c r="C770" s="610"/>
      <c r="D770" s="610"/>
      <c r="E770" s="610"/>
      <c r="F770" s="610"/>
      <c r="G770" s="610"/>
      <c r="H770" s="610"/>
      <c r="I770" s="610"/>
      <c r="J770" s="610"/>
      <c r="K770" s="610"/>
      <c r="L770" s="610"/>
      <c r="M770" s="610"/>
      <c r="N770" s="610"/>
      <c r="O770" s="610"/>
      <c r="P770" s="610"/>
      <c r="Q770" s="610"/>
      <c r="R770" s="610"/>
      <c r="S770" s="610"/>
      <c r="T770" s="610"/>
      <c r="U770" s="610"/>
      <c r="V770" s="610"/>
      <c r="W770" s="610"/>
      <c r="X770" s="610"/>
      <c r="Y770" s="610"/>
      <c r="Z770" s="610"/>
      <c r="AA770" s="610"/>
      <c r="AB770" s="610"/>
      <c r="AC770" s="610"/>
      <c r="AD770" s="610"/>
      <c r="AG770" s="610"/>
      <c r="AH770" s="610"/>
    </row>
    <row r="771">
      <c r="B771" s="610"/>
      <c r="C771" s="610"/>
      <c r="D771" s="610"/>
      <c r="E771" s="610"/>
      <c r="F771" s="610"/>
      <c r="G771" s="610"/>
      <c r="H771" s="610"/>
      <c r="I771" s="610"/>
      <c r="J771" s="610"/>
      <c r="K771" s="610"/>
      <c r="L771" s="610"/>
      <c r="M771" s="610"/>
      <c r="N771" s="610"/>
      <c r="O771" s="610"/>
      <c r="P771" s="610"/>
      <c r="Q771" s="610"/>
      <c r="R771" s="610"/>
      <c r="S771" s="610"/>
      <c r="T771" s="610"/>
      <c r="U771" s="610"/>
      <c r="V771" s="610"/>
      <c r="W771" s="610"/>
      <c r="X771" s="610"/>
      <c r="Y771" s="610"/>
      <c r="Z771" s="610"/>
      <c r="AA771" s="610"/>
      <c r="AB771" s="610"/>
      <c r="AC771" s="610"/>
      <c r="AD771" s="610"/>
      <c r="AG771" s="610"/>
      <c r="AH771" s="610"/>
    </row>
    <row r="772">
      <c r="B772" s="610"/>
      <c r="C772" s="610"/>
      <c r="D772" s="610"/>
      <c r="E772" s="610"/>
      <c r="F772" s="610"/>
      <c r="G772" s="610"/>
      <c r="H772" s="610"/>
      <c r="I772" s="610"/>
      <c r="J772" s="610"/>
      <c r="K772" s="610"/>
      <c r="L772" s="610"/>
      <c r="M772" s="610"/>
      <c r="N772" s="610"/>
      <c r="O772" s="610"/>
      <c r="P772" s="610"/>
      <c r="Q772" s="610"/>
      <c r="R772" s="610"/>
      <c r="S772" s="610"/>
      <c r="T772" s="610"/>
      <c r="U772" s="610"/>
      <c r="V772" s="610"/>
      <c r="W772" s="610"/>
      <c r="X772" s="610"/>
      <c r="Y772" s="610"/>
      <c r="Z772" s="610"/>
      <c r="AA772" s="610"/>
      <c r="AB772" s="610"/>
      <c r="AC772" s="610"/>
      <c r="AD772" s="610"/>
      <c r="AG772" s="610"/>
      <c r="AH772" s="610"/>
    </row>
    <row r="773">
      <c r="B773" s="610"/>
      <c r="C773" s="610"/>
      <c r="D773" s="610"/>
      <c r="E773" s="610"/>
      <c r="F773" s="610"/>
      <c r="G773" s="610"/>
      <c r="H773" s="610"/>
      <c r="I773" s="610"/>
      <c r="J773" s="610"/>
      <c r="K773" s="610"/>
      <c r="L773" s="610"/>
      <c r="M773" s="610"/>
      <c r="N773" s="610"/>
      <c r="O773" s="610"/>
      <c r="P773" s="610"/>
      <c r="Q773" s="610"/>
      <c r="R773" s="610"/>
      <c r="S773" s="610"/>
      <c r="T773" s="610"/>
      <c r="U773" s="610"/>
      <c r="V773" s="610"/>
      <c r="W773" s="610"/>
      <c r="X773" s="610"/>
      <c r="Y773" s="610"/>
      <c r="Z773" s="610"/>
      <c r="AA773" s="610"/>
      <c r="AB773" s="610"/>
      <c r="AC773" s="610"/>
      <c r="AD773" s="610"/>
      <c r="AG773" s="610"/>
      <c r="AH773" s="610"/>
    </row>
    <row r="774">
      <c r="B774" s="610"/>
      <c r="C774" s="610"/>
      <c r="D774" s="610"/>
      <c r="E774" s="610"/>
      <c r="F774" s="610"/>
      <c r="G774" s="610"/>
      <c r="H774" s="610"/>
      <c r="I774" s="610"/>
      <c r="J774" s="610"/>
      <c r="K774" s="610"/>
      <c r="L774" s="610"/>
      <c r="M774" s="610"/>
      <c r="N774" s="610"/>
      <c r="O774" s="610"/>
      <c r="P774" s="610"/>
      <c r="Q774" s="610"/>
      <c r="R774" s="610"/>
      <c r="S774" s="610"/>
      <c r="T774" s="610"/>
      <c r="U774" s="610"/>
      <c r="V774" s="610"/>
      <c r="W774" s="610"/>
      <c r="X774" s="610"/>
      <c r="Y774" s="610"/>
      <c r="Z774" s="610"/>
      <c r="AA774" s="610"/>
      <c r="AB774" s="610"/>
      <c r="AC774" s="610"/>
      <c r="AD774" s="610"/>
      <c r="AG774" s="610"/>
      <c r="AH774" s="610"/>
    </row>
    <row r="775">
      <c r="B775" s="610"/>
      <c r="C775" s="610"/>
      <c r="D775" s="610"/>
      <c r="E775" s="610"/>
      <c r="F775" s="610"/>
      <c r="G775" s="610"/>
      <c r="H775" s="610"/>
      <c r="I775" s="610"/>
      <c r="J775" s="610"/>
      <c r="K775" s="610"/>
      <c r="L775" s="610"/>
      <c r="M775" s="610"/>
      <c r="N775" s="610"/>
      <c r="O775" s="610"/>
      <c r="P775" s="610"/>
      <c r="Q775" s="610"/>
      <c r="R775" s="610"/>
      <c r="S775" s="610"/>
      <c r="T775" s="610"/>
      <c r="U775" s="610"/>
      <c r="V775" s="610"/>
      <c r="W775" s="610"/>
      <c r="X775" s="610"/>
      <c r="Y775" s="610"/>
      <c r="Z775" s="610"/>
      <c r="AA775" s="610"/>
      <c r="AB775" s="610"/>
      <c r="AC775" s="610"/>
      <c r="AD775" s="610"/>
      <c r="AG775" s="610"/>
      <c r="AH775" s="610"/>
    </row>
    <row r="776">
      <c r="B776" s="610"/>
      <c r="C776" s="610"/>
      <c r="D776" s="610"/>
      <c r="E776" s="610"/>
      <c r="F776" s="610"/>
      <c r="G776" s="610"/>
      <c r="H776" s="610"/>
      <c r="I776" s="610"/>
      <c r="J776" s="610"/>
      <c r="K776" s="610"/>
      <c r="L776" s="610"/>
      <c r="M776" s="610"/>
      <c r="N776" s="610"/>
      <c r="O776" s="610"/>
      <c r="P776" s="610"/>
      <c r="Q776" s="610"/>
      <c r="R776" s="610"/>
      <c r="S776" s="610"/>
      <c r="T776" s="610"/>
      <c r="U776" s="610"/>
      <c r="V776" s="610"/>
      <c r="W776" s="610"/>
      <c r="X776" s="610"/>
      <c r="Y776" s="610"/>
      <c r="Z776" s="610"/>
      <c r="AA776" s="610"/>
      <c r="AB776" s="610"/>
      <c r="AC776" s="610"/>
      <c r="AD776" s="610"/>
      <c r="AG776" s="610"/>
      <c r="AH776" s="610"/>
    </row>
    <row r="777">
      <c r="B777" s="610"/>
      <c r="C777" s="610"/>
      <c r="D777" s="610"/>
      <c r="E777" s="610"/>
      <c r="F777" s="610"/>
      <c r="G777" s="610"/>
      <c r="H777" s="610"/>
      <c r="I777" s="610"/>
      <c r="J777" s="610"/>
      <c r="K777" s="610"/>
      <c r="L777" s="610"/>
      <c r="M777" s="610"/>
      <c r="N777" s="610"/>
      <c r="O777" s="610"/>
      <c r="P777" s="610"/>
      <c r="Q777" s="610"/>
      <c r="R777" s="610"/>
      <c r="S777" s="610"/>
      <c r="T777" s="610"/>
      <c r="U777" s="610"/>
      <c r="V777" s="610"/>
      <c r="W777" s="610"/>
      <c r="X777" s="610"/>
      <c r="Y777" s="610"/>
      <c r="Z777" s="610"/>
      <c r="AA777" s="610"/>
      <c r="AB777" s="610"/>
      <c r="AC777" s="610"/>
      <c r="AD777" s="610"/>
      <c r="AG777" s="610"/>
      <c r="AH777" s="610"/>
    </row>
    <row r="778">
      <c r="B778" s="610"/>
      <c r="C778" s="610"/>
      <c r="D778" s="610"/>
      <c r="E778" s="610"/>
      <c r="F778" s="610"/>
      <c r="G778" s="610"/>
      <c r="H778" s="610"/>
      <c r="I778" s="610"/>
      <c r="J778" s="610"/>
      <c r="K778" s="610"/>
      <c r="L778" s="610"/>
      <c r="M778" s="610"/>
      <c r="N778" s="610"/>
      <c r="O778" s="610"/>
      <c r="P778" s="610"/>
      <c r="Q778" s="610"/>
      <c r="R778" s="610"/>
      <c r="S778" s="610"/>
      <c r="T778" s="610"/>
      <c r="U778" s="610"/>
      <c r="V778" s="610"/>
      <c r="W778" s="610"/>
      <c r="X778" s="610"/>
      <c r="Y778" s="610"/>
      <c r="Z778" s="610"/>
      <c r="AA778" s="610"/>
      <c r="AB778" s="610"/>
      <c r="AC778" s="610"/>
      <c r="AD778" s="610"/>
      <c r="AG778" s="610"/>
      <c r="AH778" s="610"/>
    </row>
    <row r="779">
      <c r="B779" s="610"/>
      <c r="C779" s="610"/>
      <c r="D779" s="610"/>
      <c r="E779" s="610"/>
      <c r="F779" s="610"/>
      <c r="G779" s="610"/>
      <c r="H779" s="610"/>
      <c r="I779" s="610"/>
      <c r="J779" s="610"/>
      <c r="K779" s="610"/>
      <c r="L779" s="610"/>
      <c r="M779" s="610"/>
      <c r="N779" s="610"/>
      <c r="O779" s="610"/>
      <c r="P779" s="610"/>
      <c r="Q779" s="610"/>
      <c r="R779" s="610"/>
      <c r="S779" s="610"/>
      <c r="T779" s="610"/>
      <c r="U779" s="610"/>
      <c r="V779" s="610"/>
      <c r="W779" s="610"/>
      <c r="X779" s="610"/>
      <c r="Y779" s="610"/>
      <c r="Z779" s="610"/>
      <c r="AA779" s="610"/>
      <c r="AB779" s="610"/>
      <c r="AC779" s="610"/>
      <c r="AD779" s="610"/>
      <c r="AG779" s="610"/>
      <c r="AH779" s="610"/>
    </row>
    <row r="780">
      <c r="B780" s="610"/>
      <c r="C780" s="610"/>
      <c r="D780" s="610"/>
      <c r="E780" s="610"/>
      <c r="F780" s="610"/>
      <c r="G780" s="610"/>
      <c r="H780" s="610"/>
      <c r="I780" s="610"/>
      <c r="J780" s="610"/>
      <c r="K780" s="610"/>
      <c r="L780" s="610"/>
      <c r="M780" s="610"/>
      <c r="N780" s="610"/>
      <c r="O780" s="610"/>
      <c r="P780" s="610"/>
      <c r="Q780" s="610"/>
      <c r="R780" s="610"/>
      <c r="S780" s="610"/>
      <c r="T780" s="610"/>
      <c r="U780" s="610"/>
      <c r="V780" s="610"/>
      <c r="W780" s="610"/>
      <c r="X780" s="610"/>
      <c r="Y780" s="610"/>
      <c r="Z780" s="610"/>
      <c r="AA780" s="610"/>
      <c r="AB780" s="610"/>
      <c r="AC780" s="610"/>
      <c r="AD780" s="610"/>
      <c r="AG780" s="610"/>
      <c r="AH780" s="610"/>
    </row>
    <row r="781">
      <c r="B781" s="610"/>
      <c r="C781" s="610"/>
      <c r="D781" s="610"/>
      <c r="E781" s="610"/>
      <c r="F781" s="610"/>
      <c r="G781" s="610"/>
      <c r="H781" s="610"/>
      <c r="I781" s="610"/>
      <c r="J781" s="610"/>
      <c r="K781" s="610"/>
      <c r="L781" s="610"/>
      <c r="M781" s="610"/>
      <c r="N781" s="610"/>
      <c r="O781" s="610"/>
      <c r="P781" s="610"/>
      <c r="Q781" s="610"/>
      <c r="R781" s="610"/>
      <c r="S781" s="610"/>
      <c r="T781" s="610"/>
      <c r="U781" s="610"/>
      <c r="V781" s="610"/>
      <c r="W781" s="610"/>
      <c r="X781" s="610"/>
      <c r="Y781" s="610"/>
      <c r="Z781" s="610"/>
      <c r="AA781" s="610"/>
      <c r="AB781" s="610"/>
      <c r="AC781" s="610"/>
      <c r="AD781" s="610"/>
      <c r="AG781" s="610"/>
      <c r="AH781" s="610"/>
    </row>
    <row r="782">
      <c r="B782" s="610"/>
      <c r="C782" s="610"/>
      <c r="D782" s="610"/>
      <c r="E782" s="610"/>
      <c r="F782" s="610"/>
      <c r="G782" s="610"/>
      <c r="H782" s="610"/>
      <c r="I782" s="610"/>
      <c r="J782" s="610"/>
      <c r="K782" s="610"/>
      <c r="L782" s="610"/>
      <c r="M782" s="610"/>
      <c r="N782" s="610"/>
      <c r="O782" s="610"/>
      <c r="P782" s="610"/>
      <c r="Q782" s="610"/>
      <c r="R782" s="610"/>
      <c r="S782" s="610"/>
      <c r="T782" s="610"/>
      <c r="U782" s="610"/>
      <c r="V782" s="610"/>
      <c r="W782" s="610"/>
      <c r="X782" s="610"/>
      <c r="Y782" s="610"/>
      <c r="Z782" s="610"/>
      <c r="AA782" s="610"/>
      <c r="AB782" s="610"/>
      <c r="AC782" s="610"/>
      <c r="AD782" s="610"/>
      <c r="AG782" s="610"/>
      <c r="AH782" s="610"/>
    </row>
    <row r="783">
      <c r="B783" s="610"/>
      <c r="C783" s="610"/>
      <c r="D783" s="610"/>
      <c r="E783" s="610"/>
      <c r="F783" s="610"/>
      <c r="G783" s="610"/>
      <c r="H783" s="610"/>
      <c r="I783" s="610"/>
      <c r="J783" s="610"/>
      <c r="K783" s="610"/>
      <c r="L783" s="610"/>
      <c r="M783" s="610"/>
      <c r="N783" s="610"/>
      <c r="O783" s="610"/>
      <c r="P783" s="610"/>
      <c r="Q783" s="610"/>
      <c r="R783" s="610"/>
      <c r="S783" s="610"/>
      <c r="T783" s="610"/>
      <c r="U783" s="610"/>
      <c r="V783" s="610"/>
      <c r="W783" s="610"/>
      <c r="X783" s="610"/>
      <c r="Y783" s="610"/>
      <c r="Z783" s="610"/>
      <c r="AA783" s="610"/>
      <c r="AB783" s="610"/>
      <c r="AC783" s="610"/>
      <c r="AD783" s="610"/>
      <c r="AG783" s="610"/>
      <c r="AH783" s="610"/>
    </row>
    <row r="784">
      <c r="B784" s="610"/>
      <c r="C784" s="610"/>
      <c r="D784" s="610"/>
      <c r="E784" s="610"/>
      <c r="F784" s="610"/>
      <c r="G784" s="610"/>
      <c r="H784" s="610"/>
      <c r="I784" s="610"/>
      <c r="J784" s="610"/>
      <c r="K784" s="610"/>
      <c r="L784" s="610"/>
      <c r="M784" s="610"/>
      <c r="N784" s="610"/>
      <c r="O784" s="610"/>
      <c r="P784" s="610"/>
      <c r="Q784" s="610"/>
      <c r="R784" s="610"/>
      <c r="S784" s="610"/>
      <c r="T784" s="610"/>
      <c r="U784" s="610"/>
      <c r="V784" s="610"/>
      <c r="W784" s="610"/>
      <c r="X784" s="610"/>
      <c r="Y784" s="610"/>
      <c r="Z784" s="610"/>
      <c r="AA784" s="610"/>
      <c r="AB784" s="610"/>
      <c r="AC784" s="610"/>
      <c r="AD784" s="610"/>
      <c r="AG784" s="610"/>
      <c r="AH784" s="610"/>
    </row>
    <row r="785">
      <c r="B785" s="610"/>
      <c r="C785" s="610"/>
      <c r="D785" s="610"/>
      <c r="E785" s="610"/>
      <c r="F785" s="610"/>
      <c r="G785" s="610"/>
      <c r="H785" s="610"/>
      <c r="I785" s="610"/>
      <c r="J785" s="610"/>
      <c r="K785" s="610"/>
      <c r="L785" s="610"/>
      <c r="M785" s="610"/>
      <c r="N785" s="610"/>
      <c r="O785" s="610"/>
      <c r="P785" s="610"/>
      <c r="Q785" s="610"/>
      <c r="R785" s="610"/>
      <c r="S785" s="610"/>
      <c r="T785" s="610"/>
      <c r="U785" s="610"/>
      <c r="V785" s="610"/>
      <c r="W785" s="610"/>
      <c r="X785" s="610"/>
      <c r="Y785" s="610"/>
      <c r="Z785" s="610"/>
      <c r="AA785" s="610"/>
      <c r="AB785" s="610"/>
      <c r="AC785" s="610"/>
      <c r="AD785" s="610"/>
      <c r="AG785" s="610"/>
      <c r="AH785" s="610"/>
    </row>
    <row r="786">
      <c r="B786" s="610"/>
      <c r="C786" s="610"/>
      <c r="D786" s="610"/>
      <c r="E786" s="610"/>
      <c r="F786" s="610"/>
      <c r="G786" s="610"/>
      <c r="H786" s="610"/>
      <c r="I786" s="610"/>
      <c r="J786" s="610"/>
      <c r="K786" s="610"/>
      <c r="L786" s="610"/>
      <c r="M786" s="610"/>
      <c r="N786" s="610"/>
      <c r="O786" s="610"/>
      <c r="P786" s="610"/>
      <c r="Q786" s="610"/>
      <c r="R786" s="610"/>
      <c r="S786" s="610"/>
      <c r="T786" s="610"/>
      <c r="U786" s="610"/>
      <c r="V786" s="610"/>
      <c r="W786" s="610"/>
      <c r="X786" s="610"/>
      <c r="Y786" s="610"/>
      <c r="Z786" s="610"/>
      <c r="AA786" s="610"/>
      <c r="AB786" s="610"/>
      <c r="AC786" s="610"/>
      <c r="AD786" s="610"/>
      <c r="AG786" s="610"/>
      <c r="AH786" s="610"/>
    </row>
    <row r="787">
      <c r="B787" s="610"/>
      <c r="C787" s="610"/>
      <c r="D787" s="610"/>
      <c r="E787" s="610"/>
      <c r="F787" s="610"/>
      <c r="G787" s="610"/>
      <c r="H787" s="610"/>
      <c r="I787" s="610"/>
      <c r="J787" s="610"/>
      <c r="K787" s="610"/>
      <c r="L787" s="610"/>
      <c r="M787" s="610"/>
      <c r="N787" s="610"/>
      <c r="O787" s="610"/>
      <c r="P787" s="610"/>
      <c r="Q787" s="610"/>
      <c r="R787" s="610"/>
      <c r="S787" s="610"/>
      <c r="T787" s="610"/>
      <c r="U787" s="610"/>
      <c r="V787" s="610"/>
      <c r="W787" s="610"/>
      <c r="X787" s="610"/>
      <c r="Y787" s="610"/>
      <c r="Z787" s="610"/>
      <c r="AA787" s="610"/>
      <c r="AB787" s="610"/>
      <c r="AC787" s="610"/>
      <c r="AD787" s="610"/>
      <c r="AG787" s="610"/>
      <c r="AH787" s="610"/>
    </row>
    <row r="788">
      <c r="B788" s="610"/>
      <c r="C788" s="610"/>
      <c r="D788" s="610"/>
      <c r="E788" s="610"/>
      <c r="F788" s="610"/>
      <c r="G788" s="610"/>
      <c r="H788" s="610"/>
      <c r="I788" s="610"/>
      <c r="J788" s="610"/>
      <c r="K788" s="610"/>
      <c r="L788" s="610"/>
      <c r="M788" s="610"/>
      <c r="N788" s="610"/>
      <c r="O788" s="610"/>
      <c r="P788" s="610"/>
      <c r="Q788" s="610"/>
      <c r="R788" s="610"/>
      <c r="S788" s="610"/>
      <c r="T788" s="610"/>
      <c r="U788" s="610"/>
      <c r="V788" s="610"/>
      <c r="W788" s="610"/>
      <c r="X788" s="610"/>
      <c r="Y788" s="610"/>
      <c r="Z788" s="610"/>
      <c r="AA788" s="610"/>
      <c r="AB788" s="610"/>
      <c r="AC788" s="610"/>
      <c r="AD788" s="610"/>
      <c r="AG788" s="610"/>
      <c r="AH788" s="610"/>
    </row>
    <row r="789">
      <c r="B789" s="610"/>
      <c r="C789" s="610"/>
      <c r="D789" s="610"/>
      <c r="E789" s="610"/>
      <c r="F789" s="610"/>
      <c r="G789" s="610"/>
      <c r="H789" s="610"/>
      <c r="I789" s="610"/>
      <c r="J789" s="610"/>
      <c r="K789" s="610"/>
      <c r="L789" s="610"/>
      <c r="M789" s="610"/>
      <c r="N789" s="610"/>
      <c r="O789" s="610"/>
      <c r="P789" s="610"/>
      <c r="Q789" s="610"/>
      <c r="R789" s="610"/>
      <c r="S789" s="610"/>
      <c r="T789" s="610"/>
      <c r="U789" s="610"/>
      <c r="V789" s="610"/>
      <c r="W789" s="610"/>
      <c r="X789" s="610"/>
      <c r="Y789" s="610"/>
      <c r="Z789" s="610"/>
      <c r="AA789" s="610"/>
      <c r="AB789" s="610"/>
      <c r="AC789" s="610"/>
      <c r="AD789" s="610"/>
      <c r="AG789" s="610"/>
      <c r="AH789" s="610"/>
    </row>
    <row r="790">
      <c r="B790" s="610"/>
      <c r="C790" s="610"/>
      <c r="D790" s="610"/>
      <c r="E790" s="610"/>
      <c r="F790" s="610"/>
      <c r="G790" s="610"/>
      <c r="H790" s="610"/>
      <c r="I790" s="610"/>
      <c r="J790" s="610"/>
      <c r="K790" s="610"/>
      <c r="L790" s="610"/>
      <c r="M790" s="610"/>
      <c r="N790" s="610"/>
      <c r="O790" s="610"/>
      <c r="P790" s="610"/>
      <c r="Q790" s="610"/>
      <c r="R790" s="610"/>
      <c r="S790" s="610"/>
      <c r="T790" s="610"/>
      <c r="U790" s="610"/>
      <c r="V790" s="610"/>
      <c r="W790" s="610"/>
      <c r="X790" s="610"/>
      <c r="Y790" s="610"/>
      <c r="Z790" s="610"/>
      <c r="AA790" s="610"/>
      <c r="AB790" s="610"/>
      <c r="AC790" s="610"/>
      <c r="AD790" s="610"/>
      <c r="AG790" s="610"/>
      <c r="AH790" s="610"/>
    </row>
    <row r="791">
      <c r="B791" s="610"/>
      <c r="C791" s="610"/>
      <c r="D791" s="610"/>
      <c r="E791" s="610"/>
      <c r="F791" s="610"/>
      <c r="G791" s="610"/>
      <c r="H791" s="610"/>
      <c r="I791" s="610"/>
      <c r="J791" s="610"/>
      <c r="K791" s="610"/>
      <c r="L791" s="610"/>
      <c r="M791" s="610"/>
      <c r="N791" s="610"/>
      <c r="O791" s="610"/>
      <c r="P791" s="610"/>
      <c r="Q791" s="610"/>
      <c r="R791" s="610"/>
      <c r="S791" s="610"/>
      <c r="T791" s="610"/>
      <c r="U791" s="610"/>
      <c r="V791" s="610"/>
      <c r="W791" s="610"/>
      <c r="X791" s="610"/>
      <c r="Y791" s="610"/>
      <c r="Z791" s="610"/>
      <c r="AA791" s="610"/>
      <c r="AB791" s="610"/>
      <c r="AC791" s="610"/>
      <c r="AD791" s="610"/>
      <c r="AG791" s="610"/>
      <c r="AH791" s="610"/>
    </row>
    <row r="792">
      <c r="B792" s="610"/>
      <c r="C792" s="610"/>
      <c r="D792" s="610"/>
      <c r="E792" s="610"/>
      <c r="F792" s="610"/>
      <c r="G792" s="610"/>
      <c r="H792" s="610"/>
      <c r="I792" s="610"/>
      <c r="J792" s="610"/>
      <c r="K792" s="610"/>
      <c r="L792" s="610"/>
      <c r="M792" s="610"/>
      <c r="N792" s="610"/>
      <c r="O792" s="610"/>
      <c r="P792" s="610"/>
      <c r="Q792" s="610"/>
      <c r="R792" s="610"/>
      <c r="S792" s="610"/>
      <c r="T792" s="610"/>
      <c r="U792" s="610"/>
      <c r="V792" s="610"/>
      <c r="W792" s="610"/>
      <c r="X792" s="610"/>
      <c r="Y792" s="610"/>
      <c r="Z792" s="610"/>
      <c r="AA792" s="610"/>
      <c r="AB792" s="610"/>
      <c r="AC792" s="610"/>
      <c r="AD792" s="610"/>
      <c r="AG792" s="610"/>
      <c r="AH792" s="610"/>
    </row>
    <row r="793">
      <c r="B793" s="610"/>
      <c r="C793" s="610"/>
      <c r="D793" s="610"/>
      <c r="E793" s="610"/>
      <c r="F793" s="610"/>
      <c r="G793" s="610"/>
      <c r="H793" s="610"/>
      <c r="I793" s="610"/>
      <c r="J793" s="610"/>
      <c r="K793" s="610"/>
      <c r="L793" s="610"/>
      <c r="M793" s="610"/>
      <c r="N793" s="610"/>
      <c r="O793" s="610"/>
      <c r="P793" s="610"/>
      <c r="Q793" s="610"/>
      <c r="R793" s="610"/>
      <c r="S793" s="610"/>
      <c r="T793" s="610"/>
      <c r="U793" s="610"/>
      <c r="V793" s="610"/>
      <c r="W793" s="610"/>
      <c r="X793" s="610"/>
      <c r="Y793" s="610"/>
      <c r="Z793" s="610"/>
      <c r="AA793" s="610"/>
      <c r="AB793" s="610"/>
      <c r="AC793" s="610"/>
      <c r="AD793" s="610"/>
      <c r="AG793" s="610"/>
      <c r="AH793" s="610"/>
    </row>
    <row r="794">
      <c r="B794" s="610"/>
      <c r="C794" s="610"/>
      <c r="D794" s="610"/>
      <c r="E794" s="610"/>
      <c r="F794" s="610"/>
      <c r="G794" s="610"/>
      <c r="H794" s="610"/>
      <c r="I794" s="610"/>
      <c r="J794" s="610"/>
      <c r="K794" s="610"/>
      <c r="L794" s="610"/>
      <c r="M794" s="610"/>
      <c r="N794" s="610"/>
      <c r="O794" s="610"/>
      <c r="P794" s="610"/>
      <c r="Q794" s="610"/>
      <c r="R794" s="610"/>
      <c r="S794" s="610"/>
      <c r="T794" s="610"/>
      <c r="U794" s="610"/>
      <c r="V794" s="610"/>
      <c r="W794" s="610"/>
      <c r="X794" s="610"/>
      <c r="Y794" s="610"/>
      <c r="Z794" s="610"/>
      <c r="AA794" s="610"/>
      <c r="AB794" s="610"/>
      <c r="AC794" s="610"/>
      <c r="AD794" s="610"/>
      <c r="AG794" s="610"/>
      <c r="AH794" s="610"/>
    </row>
    <row r="795">
      <c r="B795" s="610"/>
      <c r="C795" s="610"/>
      <c r="D795" s="610"/>
      <c r="E795" s="610"/>
      <c r="F795" s="610"/>
      <c r="G795" s="610"/>
      <c r="H795" s="610"/>
      <c r="I795" s="610"/>
      <c r="J795" s="610"/>
      <c r="K795" s="610"/>
      <c r="L795" s="610"/>
      <c r="M795" s="610"/>
      <c r="N795" s="610"/>
      <c r="O795" s="610"/>
      <c r="P795" s="610"/>
      <c r="Q795" s="610"/>
      <c r="R795" s="610"/>
      <c r="S795" s="610"/>
      <c r="T795" s="610"/>
      <c r="U795" s="610"/>
      <c r="V795" s="610"/>
      <c r="W795" s="610"/>
      <c r="X795" s="610"/>
      <c r="Y795" s="610"/>
      <c r="Z795" s="610"/>
      <c r="AA795" s="610"/>
      <c r="AB795" s="610"/>
      <c r="AC795" s="610"/>
      <c r="AD795" s="610"/>
      <c r="AG795" s="610"/>
      <c r="AH795" s="610"/>
    </row>
    <row r="796">
      <c r="B796" s="610"/>
      <c r="C796" s="610"/>
      <c r="D796" s="610"/>
      <c r="E796" s="610"/>
      <c r="F796" s="610"/>
      <c r="G796" s="610"/>
      <c r="H796" s="610"/>
      <c r="I796" s="610"/>
      <c r="J796" s="610"/>
      <c r="K796" s="610"/>
      <c r="L796" s="610"/>
      <c r="M796" s="610"/>
      <c r="N796" s="610"/>
      <c r="O796" s="610"/>
      <c r="P796" s="610"/>
      <c r="Q796" s="610"/>
      <c r="R796" s="610"/>
      <c r="S796" s="610"/>
      <c r="T796" s="610"/>
      <c r="U796" s="610"/>
      <c r="V796" s="610"/>
      <c r="W796" s="610"/>
      <c r="X796" s="610"/>
      <c r="Y796" s="610"/>
      <c r="Z796" s="610"/>
      <c r="AA796" s="610"/>
      <c r="AB796" s="610"/>
      <c r="AC796" s="610"/>
      <c r="AD796" s="610"/>
      <c r="AG796" s="610"/>
      <c r="AH796" s="610"/>
    </row>
    <row r="797">
      <c r="B797" s="610"/>
      <c r="C797" s="610"/>
      <c r="D797" s="610"/>
      <c r="E797" s="610"/>
      <c r="F797" s="610"/>
      <c r="G797" s="610"/>
      <c r="H797" s="610"/>
      <c r="I797" s="610"/>
      <c r="J797" s="610"/>
      <c r="K797" s="610"/>
      <c r="L797" s="610"/>
      <c r="M797" s="610"/>
      <c r="N797" s="610"/>
      <c r="O797" s="610"/>
      <c r="P797" s="610"/>
      <c r="Q797" s="610"/>
      <c r="R797" s="610"/>
      <c r="S797" s="610"/>
      <c r="T797" s="610"/>
      <c r="U797" s="610"/>
      <c r="V797" s="610"/>
      <c r="W797" s="610"/>
      <c r="X797" s="610"/>
      <c r="Y797" s="610"/>
      <c r="Z797" s="610"/>
      <c r="AA797" s="610"/>
      <c r="AB797" s="610"/>
      <c r="AC797" s="610"/>
      <c r="AD797" s="610"/>
      <c r="AG797" s="610"/>
      <c r="AH797" s="610"/>
    </row>
    <row r="798">
      <c r="B798" s="610"/>
      <c r="C798" s="610"/>
      <c r="D798" s="610"/>
      <c r="E798" s="610"/>
      <c r="F798" s="610"/>
      <c r="G798" s="610"/>
      <c r="H798" s="610"/>
      <c r="I798" s="610"/>
      <c r="J798" s="610"/>
      <c r="K798" s="610"/>
      <c r="L798" s="610"/>
      <c r="M798" s="610"/>
      <c r="N798" s="610"/>
      <c r="O798" s="610"/>
      <c r="P798" s="610"/>
      <c r="Q798" s="610"/>
      <c r="R798" s="610"/>
      <c r="S798" s="610"/>
      <c r="T798" s="610"/>
      <c r="U798" s="610"/>
      <c r="V798" s="610"/>
      <c r="W798" s="610"/>
      <c r="X798" s="610"/>
      <c r="Y798" s="610"/>
      <c r="Z798" s="610"/>
      <c r="AA798" s="610"/>
      <c r="AB798" s="610"/>
      <c r="AC798" s="610"/>
      <c r="AD798" s="610"/>
      <c r="AG798" s="610"/>
      <c r="AH798" s="610"/>
    </row>
    <row r="799">
      <c r="B799" s="610"/>
      <c r="C799" s="610"/>
      <c r="D799" s="610"/>
      <c r="E799" s="610"/>
      <c r="F799" s="610"/>
      <c r="G799" s="610"/>
      <c r="H799" s="610"/>
      <c r="I799" s="610"/>
      <c r="J799" s="610"/>
      <c r="K799" s="610"/>
      <c r="L799" s="610"/>
      <c r="M799" s="610"/>
      <c r="N799" s="610"/>
      <c r="O799" s="610"/>
      <c r="P799" s="610"/>
      <c r="Q799" s="610"/>
      <c r="R799" s="610"/>
      <c r="S799" s="610"/>
      <c r="T799" s="610"/>
      <c r="U799" s="610"/>
      <c r="V799" s="610"/>
      <c r="W799" s="610"/>
      <c r="X799" s="610"/>
      <c r="Y799" s="610"/>
      <c r="Z799" s="610"/>
      <c r="AA799" s="610"/>
      <c r="AB799" s="610"/>
      <c r="AC799" s="610"/>
      <c r="AD799" s="610"/>
      <c r="AG799" s="610"/>
      <c r="AH799" s="610"/>
    </row>
    <row r="800">
      <c r="B800" s="610"/>
      <c r="C800" s="610"/>
      <c r="D800" s="610"/>
      <c r="E800" s="610"/>
      <c r="F800" s="610"/>
      <c r="G800" s="610"/>
      <c r="H800" s="610"/>
      <c r="I800" s="610"/>
      <c r="J800" s="610"/>
      <c r="K800" s="610"/>
      <c r="L800" s="610"/>
      <c r="M800" s="610"/>
      <c r="N800" s="610"/>
      <c r="O800" s="610"/>
      <c r="P800" s="610"/>
      <c r="Q800" s="610"/>
      <c r="R800" s="610"/>
      <c r="S800" s="610"/>
      <c r="T800" s="610"/>
      <c r="U800" s="610"/>
      <c r="V800" s="610"/>
      <c r="W800" s="610"/>
      <c r="X800" s="610"/>
      <c r="Y800" s="610"/>
      <c r="Z800" s="610"/>
      <c r="AA800" s="610"/>
      <c r="AB800" s="610"/>
      <c r="AC800" s="610"/>
      <c r="AD800" s="610"/>
      <c r="AG800" s="610"/>
      <c r="AH800" s="610"/>
    </row>
    <row r="801">
      <c r="B801" s="610"/>
      <c r="C801" s="610"/>
      <c r="D801" s="610"/>
      <c r="E801" s="610"/>
      <c r="F801" s="610"/>
      <c r="G801" s="610"/>
      <c r="H801" s="610"/>
      <c r="I801" s="610"/>
      <c r="J801" s="610"/>
      <c r="K801" s="610"/>
      <c r="L801" s="610"/>
      <c r="M801" s="610"/>
      <c r="N801" s="610"/>
      <c r="O801" s="610"/>
      <c r="P801" s="610"/>
      <c r="Q801" s="610"/>
      <c r="R801" s="610"/>
      <c r="S801" s="610"/>
      <c r="T801" s="610"/>
      <c r="U801" s="610"/>
      <c r="V801" s="610"/>
      <c r="W801" s="610"/>
      <c r="X801" s="610"/>
      <c r="Y801" s="610"/>
      <c r="Z801" s="610"/>
      <c r="AA801" s="610"/>
      <c r="AB801" s="610"/>
      <c r="AC801" s="610"/>
      <c r="AD801" s="610"/>
      <c r="AG801" s="610"/>
      <c r="AH801" s="610"/>
    </row>
    <row r="802">
      <c r="B802" s="610"/>
      <c r="C802" s="610"/>
      <c r="D802" s="610"/>
      <c r="E802" s="610"/>
      <c r="F802" s="610"/>
      <c r="G802" s="610"/>
      <c r="H802" s="610"/>
      <c r="I802" s="610"/>
      <c r="J802" s="610"/>
      <c r="K802" s="610"/>
      <c r="L802" s="610"/>
      <c r="M802" s="610"/>
      <c r="N802" s="610"/>
      <c r="O802" s="610"/>
      <c r="P802" s="610"/>
      <c r="Q802" s="610"/>
      <c r="R802" s="610"/>
      <c r="S802" s="610"/>
      <c r="T802" s="610"/>
      <c r="U802" s="610"/>
      <c r="V802" s="610"/>
      <c r="W802" s="610"/>
      <c r="X802" s="610"/>
      <c r="Y802" s="610"/>
      <c r="Z802" s="610"/>
      <c r="AA802" s="610"/>
      <c r="AB802" s="610"/>
      <c r="AC802" s="610"/>
      <c r="AD802" s="610"/>
      <c r="AG802" s="610"/>
      <c r="AH802" s="610"/>
    </row>
    <row r="803">
      <c r="B803" s="610"/>
      <c r="C803" s="610"/>
      <c r="D803" s="610"/>
      <c r="E803" s="610"/>
      <c r="F803" s="610"/>
      <c r="G803" s="610"/>
      <c r="H803" s="610"/>
      <c r="I803" s="610"/>
      <c r="J803" s="610"/>
      <c r="K803" s="610"/>
      <c r="L803" s="610"/>
      <c r="M803" s="610"/>
      <c r="N803" s="610"/>
      <c r="O803" s="610"/>
      <c r="P803" s="610"/>
      <c r="Q803" s="610"/>
      <c r="R803" s="610"/>
      <c r="S803" s="610"/>
      <c r="T803" s="610"/>
      <c r="U803" s="610"/>
      <c r="V803" s="610"/>
      <c r="W803" s="610"/>
      <c r="X803" s="610"/>
      <c r="Y803" s="610"/>
      <c r="Z803" s="610"/>
      <c r="AA803" s="610"/>
      <c r="AB803" s="610"/>
      <c r="AC803" s="610"/>
      <c r="AD803" s="610"/>
      <c r="AG803" s="610"/>
      <c r="AH803" s="610"/>
    </row>
    <row r="804">
      <c r="B804" s="610"/>
      <c r="C804" s="610"/>
      <c r="D804" s="610"/>
      <c r="E804" s="610"/>
      <c r="F804" s="610"/>
      <c r="G804" s="610"/>
      <c r="H804" s="610"/>
      <c r="I804" s="610"/>
      <c r="J804" s="610"/>
      <c r="K804" s="610"/>
      <c r="L804" s="610"/>
      <c r="M804" s="610"/>
      <c r="N804" s="610"/>
      <c r="O804" s="610"/>
      <c r="P804" s="610"/>
      <c r="Q804" s="610"/>
      <c r="R804" s="610"/>
      <c r="S804" s="610"/>
      <c r="T804" s="610"/>
      <c r="U804" s="610"/>
      <c r="V804" s="610"/>
      <c r="W804" s="610"/>
      <c r="X804" s="610"/>
      <c r="Y804" s="610"/>
      <c r="Z804" s="610"/>
      <c r="AA804" s="610"/>
      <c r="AB804" s="610"/>
      <c r="AC804" s="610"/>
      <c r="AD804" s="610"/>
      <c r="AG804" s="610"/>
      <c r="AH804" s="610"/>
    </row>
    <row r="805">
      <c r="B805" s="610"/>
      <c r="C805" s="610"/>
      <c r="D805" s="610"/>
      <c r="E805" s="610"/>
      <c r="F805" s="610"/>
      <c r="G805" s="610"/>
      <c r="H805" s="610"/>
      <c r="I805" s="610"/>
      <c r="J805" s="610"/>
      <c r="K805" s="610"/>
      <c r="L805" s="610"/>
      <c r="M805" s="610"/>
      <c r="N805" s="610"/>
      <c r="O805" s="610"/>
      <c r="P805" s="610"/>
      <c r="Q805" s="610"/>
      <c r="R805" s="610"/>
      <c r="S805" s="610"/>
      <c r="T805" s="610"/>
      <c r="U805" s="610"/>
      <c r="V805" s="610"/>
      <c r="W805" s="610"/>
      <c r="X805" s="610"/>
      <c r="Y805" s="610"/>
      <c r="Z805" s="610"/>
      <c r="AA805" s="610"/>
      <c r="AB805" s="610"/>
      <c r="AC805" s="610"/>
      <c r="AD805" s="610"/>
      <c r="AG805" s="610"/>
      <c r="AH805" s="610"/>
    </row>
    <row r="806">
      <c r="B806" s="610"/>
      <c r="C806" s="610"/>
      <c r="D806" s="610"/>
      <c r="E806" s="610"/>
      <c r="F806" s="610"/>
      <c r="G806" s="610"/>
      <c r="H806" s="610"/>
      <c r="I806" s="610"/>
      <c r="J806" s="610"/>
      <c r="K806" s="610"/>
      <c r="L806" s="610"/>
      <c r="M806" s="610"/>
      <c r="N806" s="610"/>
      <c r="O806" s="610"/>
      <c r="P806" s="610"/>
      <c r="Q806" s="610"/>
      <c r="R806" s="610"/>
      <c r="S806" s="610"/>
      <c r="T806" s="610"/>
      <c r="U806" s="610"/>
      <c r="V806" s="610"/>
      <c r="W806" s="610"/>
      <c r="X806" s="610"/>
      <c r="Y806" s="610"/>
      <c r="Z806" s="610"/>
      <c r="AA806" s="610"/>
      <c r="AB806" s="610"/>
      <c r="AC806" s="610"/>
      <c r="AD806" s="610"/>
      <c r="AG806" s="610"/>
      <c r="AH806" s="610"/>
    </row>
    <row r="807">
      <c r="B807" s="610"/>
      <c r="C807" s="610"/>
      <c r="D807" s="610"/>
      <c r="E807" s="610"/>
      <c r="F807" s="610"/>
      <c r="G807" s="610"/>
      <c r="H807" s="610"/>
      <c r="I807" s="610"/>
      <c r="J807" s="610"/>
      <c r="K807" s="610"/>
      <c r="L807" s="610"/>
      <c r="M807" s="610"/>
      <c r="N807" s="610"/>
      <c r="O807" s="610"/>
      <c r="P807" s="610"/>
      <c r="Q807" s="610"/>
      <c r="R807" s="610"/>
      <c r="S807" s="610"/>
      <c r="T807" s="610"/>
      <c r="U807" s="610"/>
      <c r="V807" s="610"/>
      <c r="W807" s="610"/>
      <c r="X807" s="610"/>
      <c r="Y807" s="610"/>
      <c r="Z807" s="610"/>
      <c r="AA807" s="610"/>
      <c r="AB807" s="610"/>
      <c r="AC807" s="610"/>
      <c r="AD807" s="610"/>
      <c r="AG807" s="610"/>
      <c r="AH807" s="610"/>
    </row>
    <row r="808">
      <c r="B808" s="610"/>
      <c r="C808" s="610"/>
      <c r="D808" s="610"/>
      <c r="E808" s="610"/>
      <c r="F808" s="610"/>
      <c r="G808" s="610"/>
      <c r="H808" s="610"/>
      <c r="I808" s="610"/>
      <c r="J808" s="610"/>
      <c r="K808" s="610"/>
      <c r="L808" s="610"/>
      <c r="M808" s="610"/>
      <c r="N808" s="610"/>
      <c r="O808" s="610"/>
      <c r="P808" s="610"/>
      <c r="Q808" s="610"/>
      <c r="R808" s="610"/>
      <c r="S808" s="610"/>
      <c r="T808" s="610"/>
      <c r="U808" s="610"/>
      <c r="V808" s="610"/>
      <c r="W808" s="610"/>
      <c r="X808" s="610"/>
      <c r="Y808" s="610"/>
      <c r="Z808" s="610"/>
      <c r="AA808" s="610"/>
      <c r="AB808" s="610"/>
      <c r="AC808" s="610"/>
      <c r="AD808" s="610"/>
      <c r="AG808" s="610"/>
      <c r="AH808" s="610"/>
    </row>
    <row r="809">
      <c r="B809" s="610"/>
      <c r="C809" s="610"/>
      <c r="D809" s="610"/>
      <c r="E809" s="610"/>
      <c r="F809" s="610"/>
      <c r="G809" s="610"/>
      <c r="H809" s="610"/>
      <c r="I809" s="610"/>
      <c r="J809" s="610"/>
      <c r="K809" s="610"/>
      <c r="L809" s="610"/>
      <c r="M809" s="610"/>
      <c r="N809" s="610"/>
      <c r="O809" s="610"/>
      <c r="P809" s="610"/>
      <c r="Q809" s="610"/>
      <c r="R809" s="610"/>
      <c r="S809" s="610"/>
      <c r="T809" s="610"/>
      <c r="U809" s="610"/>
      <c r="V809" s="610"/>
      <c r="W809" s="610"/>
      <c r="X809" s="610"/>
      <c r="Y809" s="610"/>
      <c r="Z809" s="610"/>
      <c r="AA809" s="610"/>
      <c r="AB809" s="610"/>
      <c r="AC809" s="610"/>
      <c r="AD809" s="610"/>
      <c r="AG809" s="610"/>
      <c r="AH809" s="610"/>
    </row>
    <row r="810">
      <c r="B810" s="610"/>
      <c r="C810" s="610"/>
      <c r="D810" s="610"/>
      <c r="E810" s="610"/>
      <c r="F810" s="610"/>
      <c r="G810" s="610"/>
      <c r="H810" s="610"/>
      <c r="I810" s="610"/>
      <c r="J810" s="610"/>
      <c r="K810" s="610"/>
      <c r="L810" s="610"/>
      <c r="M810" s="610"/>
      <c r="N810" s="610"/>
      <c r="O810" s="610"/>
      <c r="P810" s="610"/>
      <c r="Q810" s="610"/>
      <c r="R810" s="610"/>
      <c r="S810" s="610"/>
      <c r="T810" s="610"/>
      <c r="U810" s="610"/>
      <c r="V810" s="610"/>
      <c r="W810" s="610"/>
      <c r="X810" s="610"/>
      <c r="Y810" s="610"/>
      <c r="Z810" s="610"/>
      <c r="AA810" s="610"/>
      <c r="AB810" s="610"/>
      <c r="AC810" s="610"/>
      <c r="AD810" s="610"/>
      <c r="AG810" s="610"/>
      <c r="AH810" s="610"/>
    </row>
    <row r="811">
      <c r="B811" s="610"/>
      <c r="C811" s="610"/>
      <c r="D811" s="610"/>
      <c r="E811" s="610"/>
      <c r="F811" s="610"/>
      <c r="G811" s="610"/>
      <c r="H811" s="610"/>
      <c r="I811" s="610"/>
      <c r="J811" s="610"/>
      <c r="K811" s="610"/>
      <c r="L811" s="610"/>
      <c r="M811" s="610"/>
      <c r="N811" s="610"/>
      <c r="O811" s="610"/>
      <c r="P811" s="610"/>
      <c r="Q811" s="610"/>
      <c r="R811" s="610"/>
      <c r="S811" s="610"/>
      <c r="T811" s="610"/>
      <c r="U811" s="610"/>
      <c r="V811" s="610"/>
      <c r="W811" s="610"/>
      <c r="X811" s="610"/>
      <c r="Y811" s="610"/>
      <c r="Z811" s="610"/>
      <c r="AA811" s="610"/>
      <c r="AB811" s="610"/>
      <c r="AC811" s="610"/>
      <c r="AD811" s="610"/>
      <c r="AG811" s="610"/>
      <c r="AH811" s="610"/>
    </row>
    <row r="812">
      <c r="B812" s="610"/>
      <c r="C812" s="610"/>
      <c r="D812" s="610"/>
      <c r="E812" s="610"/>
      <c r="F812" s="610"/>
      <c r="G812" s="610"/>
      <c r="H812" s="610"/>
      <c r="I812" s="610"/>
      <c r="J812" s="610"/>
      <c r="K812" s="610"/>
      <c r="L812" s="610"/>
      <c r="M812" s="610"/>
      <c r="N812" s="610"/>
      <c r="O812" s="610"/>
      <c r="P812" s="610"/>
      <c r="Q812" s="610"/>
      <c r="R812" s="610"/>
      <c r="S812" s="610"/>
      <c r="T812" s="610"/>
      <c r="U812" s="610"/>
      <c r="V812" s="610"/>
      <c r="W812" s="610"/>
      <c r="X812" s="610"/>
      <c r="Y812" s="610"/>
      <c r="Z812" s="610"/>
      <c r="AA812" s="610"/>
      <c r="AB812" s="610"/>
      <c r="AC812" s="610"/>
      <c r="AD812" s="610"/>
      <c r="AG812" s="610"/>
      <c r="AH812" s="610"/>
    </row>
    <row r="813">
      <c r="B813" s="610"/>
      <c r="C813" s="610"/>
      <c r="D813" s="610"/>
      <c r="E813" s="610"/>
      <c r="F813" s="610"/>
      <c r="G813" s="610"/>
      <c r="H813" s="610"/>
      <c r="I813" s="610"/>
      <c r="J813" s="610"/>
      <c r="K813" s="610"/>
      <c r="L813" s="610"/>
      <c r="M813" s="610"/>
      <c r="N813" s="610"/>
      <c r="O813" s="610"/>
      <c r="P813" s="610"/>
      <c r="Q813" s="610"/>
      <c r="R813" s="610"/>
      <c r="S813" s="610"/>
      <c r="T813" s="610"/>
      <c r="U813" s="610"/>
      <c r="V813" s="610"/>
      <c r="W813" s="610"/>
      <c r="X813" s="610"/>
      <c r="Y813" s="610"/>
      <c r="Z813" s="610"/>
      <c r="AA813" s="610"/>
      <c r="AB813" s="610"/>
      <c r="AC813" s="610"/>
      <c r="AD813" s="610"/>
      <c r="AG813" s="610"/>
      <c r="AH813" s="610"/>
    </row>
    <row r="814">
      <c r="B814" s="610"/>
      <c r="C814" s="610"/>
      <c r="D814" s="610"/>
      <c r="E814" s="610"/>
      <c r="F814" s="610"/>
      <c r="G814" s="610"/>
      <c r="H814" s="610"/>
      <c r="I814" s="610"/>
      <c r="J814" s="610"/>
      <c r="K814" s="610"/>
      <c r="L814" s="610"/>
      <c r="M814" s="610"/>
      <c r="N814" s="610"/>
      <c r="O814" s="610"/>
      <c r="P814" s="610"/>
      <c r="Q814" s="610"/>
      <c r="R814" s="610"/>
      <c r="S814" s="610"/>
      <c r="T814" s="610"/>
      <c r="U814" s="610"/>
      <c r="V814" s="610"/>
      <c r="W814" s="610"/>
      <c r="X814" s="610"/>
      <c r="Y814" s="610"/>
      <c r="Z814" s="610"/>
      <c r="AA814" s="610"/>
      <c r="AB814" s="610"/>
      <c r="AC814" s="610"/>
      <c r="AD814" s="610"/>
      <c r="AG814" s="610"/>
      <c r="AH814" s="610"/>
    </row>
    <row r="815">
      <c r="B815" s="610"/>
      <c r="C815" s="610"/>
      <c r="D815" s="610"/>
      <c r="E815" s="610"/>
      <c r="F815" s="610"/>
      <c r="G815" s="610"/>
      <c r="H815" s="610"/>
      <c r="I815" s="610"/>
      <c r="J815" s="610"/>
      <c r="K815" s="610"/>
      <c r="L815" s="610"/>
      <c r="M815" s="610"/>
      <c r="N815" s="610"/>
      <c r="O815" s="610"/>
      <c r="P815" s="610"/>
      <c r="Q815" s="610"/>
      <c r="R815" s="610"/>
      <c r="S815" s="610"/>
      <c r="T815" s="610"/>
      <c r="U815" s="610"/>
      <c r="V815" s="610"/>
      <c r="W815" s="610"/>
      <c r="X815" s="610"/>
      <c r="Y815" s="610"/>
      <c r="Z815" s="610"/>
      <c r="AA815" s="610"/>
      <c r="AB815" s="610"/>
      <c r="AC815" s="610"/>
      <c r="AD815" s="610"/>
      <c r="AG815" s="610"/>
      <c r="AH815" s="610"/>
    </row>
    <row r="816">
      <c r="B816" s="610"/>
      <c r="C816" s="610"/>
      <c r="D816" s="610"/>
      <c r="E816" s="610"/>
      <c r="F816" s="610"/>
      <c r="G816" s="610"/>
      <c r="H816" s="610"/>
      <c r="I816" s="610"/>
      <c r="J816" s="610"/>
      <c r="K816" s="610"/>
      <c r="L816" s="610"/>
      <c r="M816" s="610"/>
      <c r="N816" s="610"/>
      <c r="O816" s="610"/>
      <c r="P816" s="610"/>
      <c r="Q816" s="610"/>
      <c r="R816" s="610"/>
      <c r="S816" s="610"/>
      <c r="T816" s="610"/>
      <c r="U816" s="610"/>
      <c r="V816" s="610"/>
      <c r="W816" s="610"/>
      <c r="X816" s="610"/>
      <c r="Y816" s="610"/>
      <c r="Z816" s="610"/>
      <c r="AA816" s="610"/>
      <c r="AB816" s="610"/>
      <c r="AC816" s="610"/>
      <c r="AD816" s="610"/>
      <c r="AG816" s="610"/>
      <c r="AH816" s="610"/>
    </row>
    <row r="817">
      <c r="B817" s="610"/>
      <c r="C817" s="610"/>
      <c r="D817" s="610"/>
      <c r="E817" s="610"/>
      <c r="F817" s="610"/>
      <c r="G817" s="610"/>
      <c r="H817" s="610"/>
      <c r="I817" s="610"/>
      <c r="J817" s="610"/>
      <c r="K817" s="610"/>
      <c r="L817" s="610"/>
      <c r="M817" s="610"/>
      <c r="N817" s="610"/>
      <c r="O817" s="610"/>
      <c r="P817" s="610"/>
      <c r="Q817" s="610"/>
      <c r="R817" s="610"/>
      <c r="S817" s="610"/>
      <c r="T817" s="610"/>
      <c r="U817" s="610"/>
      <c r="V817" s="610"/>
      <c r="W817" s="610"/>
      <c r="X817" s="610"/>
      <c r="Y817" s="610"/>
      <c r="Z817" s="610"/>
      <c r="AA817" s="610"/>
      <c r="AB817" s="610"/>
      <c r="AC817" s="610"/>
      <c r="AD817" s="610"/>
      <c r="AG817" s="610"/>
      <c r="AH817" s="610"/>
    </row>
    <row r="818">
      <c r="B818" s="610"/>
      <c r="C818" s="610"/>
      <c r="D818" s="610"/>
      <c r="E818" s="610"/>
      <c r="F818" s="610"/>
      <c r="G818" s="610"/>
      <c r="H818" s="610"/>
      <c r="I818" s="610"/>
      <c r="J818" s="610"/>
      <c r="K818" s="610"/>
      <c r="L818" s="610"/>
      <c r="M818" s="610"/>
      <c r="N818" s="610"/>
      <c r="O818" s="610"/>
      <c r="P818" s="610"/>
      <c r="Q818" s="610"/>
      <c r="R818" s="610"/>
      <c r="S818" s="610"/>
      <c r="T818" s="610"/>
      <c r="U818" s="610"/>
      <c r="V818" s="610"/>
      <c r="W818" s="610"/>
      <c r="X818" s="610"/>
      <c r="Y818" s="610"/>
      <c r="Z818" s="610"/>
      <c r="AA818" s="610"/>
      <c r="AB818" s="610"/>
      <c r="AC818" s="610"/>
      <c r="AD818" s="610"/>
      <c r="AG818" s="610"/>
      <c r="AH818" s="610"/>
    </row>
    <row r="819">
      <c r="B819" s="610"/>
      <c r="C819" s="610"/>
      <c r="D819" s="610"/>
      <c r="E819" s="610"/>
      <c r="F819" s="610"/>
      <c r="G819" s="610"/>
      <c r="H819" s="610"/>
      <c r="I819" s="610"/>
      <c r="J819" s="610"/>
      <c r="K819" s="610"/>
      <c r="L819" s="610"/>
      <c r="M819" s="610"/>
      <c r="N819" s="610"/>
      <c r="O819" s="610"/>
      <c r="P819" s="610"/>
      <c r="Q819" s="610"/>
      <c r="R819" s="610"/>
      <c r="S819" s="610"/>
      <c r="T819" s="610"/>
      <c r="U819" s="610"/>
      <c r="V819" s="610"/>
      <c r="W819" s="610"/>
      <c r="X819" s="610"/>
      <c r="Y819" s="610"/>
      <c r="Z819" s="610"/>
      <c r="AA819" s="610"/>
      <c r="AB819" s="610"/>
      <c r="AC819" s="610"/>
      <c r="AD819" s="610"/>
      <c r="AG819" s="610"/>
      <c r="AH819" s="610"/>
    </row>
    <row r="820">
      <c r="B820" s="610"/>
      <c r="C820" s="610"/>
      <c r="D820" s="610"/>
      <c r="E820" s="610"/>
      <c r="F820" s="610"/>
      <c r="G820" s="610"/>
      <c r="H820" s="610"/>
      <c r="I820" s="610"/>
      <c r="J820" s="610"/>
      <c r="K820" s="610"/>
      <c r="L820" s="610"/>
      <c r="M820" s="610"/>
      <c r="N820" s="610"/>
      <c r="O820" s="610"/>
      <c r="P820" s="610"/>
      <c r="Q820" s="610"/>
      <c r="R820" s="610"/>
      <c r="S820" s="610"/>
      <c r="T820" s="610"/>
      <c r="U820" s="610"/>
      <c r="V820" s="610"/>
      <c r="W820" s="610"/>
      <c r="X820" s="610"/>
      <c r="Y820" s="610"/>
      <c r="Z820" s="610"/>
      <c r="AA820" s="610"/>
      <c r="AB820" s="610"/>
      <c r="AC820" s="610"/>
      <c r="AD820" s="610"/>
      <c r="AG820" s="610"/>
      <c r="AH820" s="610"/>
    </row>
    <row r="821">
      <c r="B821" s="610"/>
      <c r="C821" s="610"/>
      <c r="D821" s="610"/>
      <c r="E821" s="610"/>
      <c r="F821" s="610"/>
      <c r="G821" s="610"/>
      <c r="H821" s="610"/>
      <c r="I821" s="610"/>
      <c r="J821" s="610"/>
      <c r="K821" s="610"/>
      <c r="L821" s="610"/>
      <c r="M821" s="610"/>
      <c r="N821" s="610"/>
      <c r="O821" s="610"/>
      <c r="P821" s="610"/>
      <c r="Q821" s="610"/>
      <c r="R821" s="610"/>
      <c r="S821" s="610"/>
      <c r="T821" s="610"/>
      <c r="U821" s="610"/>
      <c r="V821" s="610"/>
      <c r="W821" s="610"/>
      <c r="X821" s="610"/>
      <c r="Y821" s="610"/>
      <c r="Z821" s="610"/>
      <c r="AA821" s="610"/>
      <c r="AB821" s="610"/>
      <c r="AC821" s="610"/>
      <c r="AD821" s="610"/>
      <c r="AG821" s="610"/>
      <c r="AH821" s="610"/>
    </row>
    <row r="822">
      <c r="B822" s="610"/>
      <c r="C822" s="610"/>
      <c r="D822" s="610"/>
      <c r="E822" s="610"/>
      <c r="F822" s="610"/>
      <c r="G822" s="610"/>
      <c r="H822" s="610"/>
      <c r="I822" s="610"/>
      <c r="J822" s="610"/>
      <c r="K822" s="610"/>
      <c r="L822" s="610"/>
      <c r="M822" s="610"/>
      <c r="N822" s="610"/>
      <c r="O822" s="610"/>
      <c r="P822" s="610"/>
      <c r="Q822" s="610"/>
      <c r="R822" s="610"/>
      <c r="S822" s="610"/>
      <c r="T822" s="610"/>
      <c r="U822" s="610"/>
      <c r="V822" s="610"/>
      <c r="W822" s="610"/>
      <c r="X822" s="610"/>
      <c r="Y822" s="610"/>
      <c r="Z822" s="610"/>
      <c r="AA822" s="610"/>
      <c r="AB822" s="610"/>
      <c r="AC822" s="610"/>
      <c r="AD822" s="610"/>
      <c r="AG822" s="610"/>
      <c r="AH822" s="610"/>
    </row>
    <row r="823">
      <c r="B823" s="610"/>
      <c r="C823" s="610"/>
      <c r="D823" s="610"/>
      <c r="E823" s="610"/>
      <c r="F823" s="610"/>
      <c r="G823" s="610"/>
      <c r="H823" s="610"/>
      <c r="I823" s="610"/>
      <c r="J823" s="610"/>
      <c r="K823" s="610"/>
      <c r="L823" s="610"/>
      <c r="M823" s="610"/>
      <c r="N823" s="610"/>
      <c r="O823" s="610"/>
      <c r="P823" s="610"/>
      <c r="Q823" s="610"/>
      <c r="R823" s="610"/>
      <c r="S823" s="610"/>
      <c r="T823" s="610"/>
      <c r="U823" s="610"/>
      <c r="V823" s="610"/>
      <c r="W823" s="610"/>
      <c r="X823" s="610"/>
      <c r="Y823" s="610"/>
      <c r="Z823" s="610"/>
      <c r="AA823" s="610"/>
      <c r="AB823" s="610"/>
      <c r="AC823" s="610"/>
      <c r="AD823" s="610"/>
      <c r="AG823" s="610"/>
      <c r="AH823" s="610"/>
    </row>
    <row r="824">
      <c r="B824" s="610"/>
      <c r="C824" s="610"/>
      <c r="D824" s="610"/>
      <c r="E824" s="610"/>
      <c r="F824" s="610"/>
      <c r="G824" s="610"/>
      <c r="H824" s="610"/>
      <c r="I824" s="610"/>
      <c r="J824" s="610"/>
      <c r="K824" s="610"/>
      <c r="L824" s="610"/>
      <c r="M824" s="610"/>
      <c r="N824" s="610"/>
      <c r="O824" s="610"/>
      <c r="P824" s="610"/>
      <c r="Q824" s="610"/>
      <c r="R824" s="610"/>
      <c r="S824" s="610"/>
      <c r="T824" s="610"/>
      <c r="U824" s="610"/>
      <c r="V824" s="610"/>
      <c r="W824" s="610"/>
      <c r="X824" s="610"/>
      <c r="Y824" s="610"/>
      <c r="Z824" s="610"/>
      <c r="AA824" s="610"/>
      <c r="AB824" s="610"/>
      <c r="AC824" s="610"/>
      <c r="AD824" s="610"/>
      <c r="AG824" s="610"/>
      <c r="AH824" s="610"/>
    </row>
    <row r="825">
      <c r="B825" s="610"/>
      <c r="C825" s="610"/>
      <c r="D825" s="610"/>
      <c r="E825" s="610"/>
      <c r="F825" s="610"/>
      <c r="G825" s="610"/>
      <c r="H825" s="610"/>
      <c r="I825" s="610"/>
      <c r="J825" s="610"/>
      <c r="K825" s="610"/>
      <c r="L825" s="610"/>
      <c r="M825" s="610"/>
      <c r="N825" s="610"/>
      <c r="O825" s="610"/>
      <c r="P825" s="610"/>
      <c r="Q825" s="610"/>
      <c r="R825" s="610"/>
      <c r="S825" s="610"/>
      <c r="T825" s="610"/>
      <c r="U825" s="610"/>
      <c r="V825" s="610"/>
      <c r="W825" s="610"/>
      <c r="X825" s="610"/>
      <c r="Y825" s="610"/>
      <c r="Z825" s="610"/>
      <c r="AA825" s="610"/>
      <c r="AB825" s="610"/>
      <c r="AC825" s="610"/>
      <c r="AD825" s="610"/>
      <c r="AG825" s="610"/>
      <c r="AH825" s="610"/>
    </row>
    <row r="826">
      <c r="B826" s="610"/>
      <c r="C826" s="610"/>
      <c r="D826" s="610"/>
      <c r="E826" s="610"/>
      <c r="F826" s="610"/>
      <c r="G826" s="610"/>
      <c r="H826" s="610"/>
      <c r="I826" s="610"/>
      <c r="J826" s="610"/>
      <c r="K826" s="610"/>
      <c r="L826" s="610"/>
      <c r="M826" s="610"/>
      <c r="N826" s="610"/>
      <c r="O826" s="610"/>
      <c r="P826" s="610"/>
      <c r="Q826" s="610"/>
      <c r="R826" s="610"/>
      <c r="S826" s="610"/>
      <c r="T826" s="610"/>
      <c r="U826" s="610"/>
      <c r="V826" s="610"/>
      <c r="W826" s="610"/>
      <c r="X826" s="610"/>
      <c r="Y826" s="610"/>
      <c r="Z826" s="610"/>
      <c r="AA826" s="610"/>
      <c r="AB826" s="610"/>
      <c r="AC826" s="610"/>
      <c r="AD826" s="610"/>
      <c r="AG826" s="610"/>
      <c r="AH826" s="610"/>
    </row>
    <row r="827">
      <c r="B827" s="610"/>
      <c r="C827" s="610"/>
      <c r="D827" s="610"/>
      <c r="E827" s="610"/>
      <c r="F827" s="610"/>
      <c r="G827" s="610"/>
      <c r="H827" s="610"/>
      <c r="I827" s="610"/>
      <c r="J827" s="610"/>
      <c r="K827" s="610"/>
      <c r="L827" s="610"/>
      <c r="M827" s="610"/>
      <c r="N827" s="610"/>
      <c r="O827" s="610"/>
      <c r="P827" s="610"/>
      <c r="Q827" s="610"/>
      <c r="R827" s="610"/>
      <c r="S827" s="610"/>
      <c r="T827" s="610"/>
      <c r="U827" s="610"/>
      <c r="V827" s="610"/>
      <c r="W827" s="610"/>
      <c r="X827" s="610"/>
      <c r="Y827" s="610"/>
      <c r="Z827" s="610"/>
      <c r="AA827" s="610"/>
      <c r="AB827" s="610"/>
      <c r="AC827" s="610"/>
      <c r="AD827" s="610"/>
      <c r="AG827" s="610"/>
      <c r="AH827" s="610"/>
    </row>
    <row r="828">
      <c r="B828" s="610"/>
      <c r="C828" s="610"/>
      <c r="D828" s="610"/>
      <c r="E828" s="610"/>
      <c r="F828" s="610"/>
      <c r="G828" s="610"/>
      <c r="H828" s="610"/>
      <c r="I828" s="610"/>
      <c r="J828" s="610"/>
      <c r="K828" s="610"/>
      <c r="L828" s="610"/>
      <c r="M828" s="610"/>
      <c r="N828" s="610"/>
      <c r="O828" s="610"/>
      <c r="P828" s="610"/>
      <c r="Q828" s="610"/>
      <c r="R828" s="610"/>
      <c r="S828" s="610"/>
      <c r="T828" s="610"/>
      <c r="U828" s="610"/>
      <c r="V828" s="610"/>
      <c r="W828" s="610"/>
      <c r="X828" s="610"/>
      <c r="Y828" s="610"/>
      <c r="Z828" s="610"/>
      <c r="AA828" s="610"/>
      <c r="AB828" s="610"/>
      <c r="AC828" s="610"/>
      <c r="AD828" s="610"/>
      <c r="AG828" s="610"/>
      <c r="AH828" s="610"/>
    </row>
    <row r="829">
      <c r="B829" s="610"/>
      <c r="C829" s="610"/>
      <c r="D829" s="610"/>
      <c r="E829" s="610"/>
      <c r="F829" s="610"/>
      <c r="G829" s="610"/>
      <c r="H829" s="610"/>
      <c r="I829" s="610"/>
      <c r="J829" s="610"/>
      <c r="K829" s="610"/>
      <c r="L829" s="610"/>
      <c r="M829" s="610"/>
      <c r="N829" s="610"/>
      <c r="O829" s="610"/>
      <c r="P829" s="610"/>
      <c r="Q829" s="610"/>
      <c r="R829" s="610"/>
      <c r="S829" s="610"/>
      <c r="T829" s="610"/>
      <c r="U829" s="610"/>
      <c r="V829" s="610"/>
      <c r="W829" s="610"/>
      <c r="X829" s="610"/>
      <c r="Y829" s="610"/>
      <c r="Z829" s="610"/>
      <c r="AA829" s="610"/>
      <c r="AB829" s="610"/>
      <c r="AC829" s="610"/>
      <c r="AD829" s="610"/>
      <c r="AG829" s="610"/>
      <c r="AH829" s="610"/>
    </row>
    <row r="830">
      <c r="B830" s="610"/>
      <c r="C830" s="610"/>
      <c r="D830" s="610"/>
      <c r="E830" s="610"/>
      <c r="F830" s="610"/>
      <c r="G830" s="610"/>
      <c r="H830" s="610"/>
      <c r="I830" s="610"/>
      <c r="J830" s="610"/>
      <c r="K830" s="610"/>
      <c r="L830" s="610"/>
      <c r="M830" s="610"/>
      <c r="N830" s="610"/>
      <c r="O830" s="610"/>
      <c r="P830" s="610"/>
      <c r="Q830" s="610"/>
      <c r="R830" s="610"/>
      <c r="S830" s="610"/>
      <c r="T830" s="610"/>
      <c r="U830" s="610"/>
      <c r="V830" s="610"/>
      <c r="W830" s="610"/>
      <c r="X830" s="610"/>
      <c r="Y830" s="610"/>
      <c r="Z830" s="610"/>
      <c r="AA830" s="610"/>
      <c r="AB830" s="610"/>
      <c r="AC830" s="610"/>
      <c r="AD830" s="610"/>
      <c r="AG830" s="610"/>
      <c r="AH830" s="610"/>
    </row>
    <row r="831">
      <c r="B831" s="610"/>
      <c r="C831" s="610"/>
      <c r="D831" s="610"/>
      <c r="E831" s="610"/>
      <c r="F831" s="610"/>
      <c r="G831" s="610"/>
      <c r="H831" s="610"/>
      <c r="I831" s="610"/>
      <c r="J831" s="610"/>
      <c r="K831" s="610"/>
      <c r="L831" s="610"/>
      <c r="M831" s="610"/>
      <c r="N831" s="610"/>
      <c r="O831" s="610"/>
      <c r="P831" s="610"/>
      <c r="Q831" s="610"/>
      <c r="R831" s="610"/>
      <c r="S831" s="610"/>
      <c r="T831" s="610"/>
      <c r="U831" s="610"/>
      <c r="V831" s="610"/>
      <c r="W831" s="610"/>
      <c r="X831" s="610"/>
      <c r="Y831" s="610"/>
      <c r="Z831" s="610"/>
      <c r="AA831" s="610"/>
      <c r="AB831" s="610"/>
      <c r="AC831" s="610"/>
      <c r="AD831" s="610"/>
      <c r="AG831" s="610"/>
      <c r="AH831" s="610"/>
    </row>
    <row r="832">
      <c r="B832" s="610"/>
      <c r="C832" s="610"/>
      <c r="D832" s="610"/>
      <c r="E832" s="610"/>
      <c r="F832" s="610"/>
      <c r="G832" s="610"/>
      <c r="H832" s="610"/>
      <c r="I832" s="610"/>
      <c r="J832" s="610"/>
      <c r="K832" s="610"/>
      <c r="L832" s="610"/>
      <c r="M832" s="610"/>
      <c r="N832" s="610"/>
      <c r="O832" s="610"/>
      <c r="P832" s="610"/>
      <c r="Q832" s="610"/>
      <c r="R832" s="610"/>
      <c r="S832" s="610"/>
      <c r="T832" s="610"/>
      <c r="U832" s="610"/>
      <c r="V832" s="610"/>
      <c r="W832" s="610"/>
      <c r="X832" s="610"/>
      <c r="Y832" s="610"/>
      <c r="Z832" s="610"/>
      <c r="AA832" s="610"/>
      <c r="AB832" s="610"/>
      <c r="AC832" s="610"/>
      <c r="AD832" s="610"/>
      <c r="AG832" s="610"/>
      <c r="AH832" s="610"/>
    </row>
    <row r="833">
      <c r="B833" s="610"/>
      <c r="C833" s="610"/>
      <c r="D833" s="610"/>
      <c r="E833" s="610"/>
      <c r="F833" s="610"/>
      <c r="G833" s="610"/>
      <c r="H833" s="610"/>
      <c r="I833" s="610"/>
      <c r="J833" s="610"/>
      <c r="K833" s="610"/>
      <c r="L833" s="610"/>
      <c r="M833" s="610"/>
      <c r="N833" s="610"/>
      <c r="O833" s="610"/>
      <c r="P833" s="610"/>
      <c r="Q833" s="610"/>
      <c r="R833" s="610"/>
      <c r="S833" s="610"/>
      <c r="T833" s="610"/>
      <c r="U833" s="610"/>
      <c r="V833" s="610"/>
      <c r="W833" s="610"/>
      <c r="X833" s="610"/>
      <c r="Y833" s="610"/>
      <c r="Z833" s="610"/>
      <c r="AA833" s="610"/>
      <c r="AB833" s="610"/>
      <c r="AC833" s="610"/>
      <c r="AD833" s="610"/>
      <c r="AG833" s="610"/>
      <c r="AH833" s="610"/>
    </row>
    <row r="834">
      <c r="B834" s="610"/>
      <c r="C834" s="610"/>
      <c r="D834" s="610"/>
      <c r="E834" s="610"/>
      <c r="F834" s="610"/>
      <c r="G834" s="610"/>
      <c r="H834" s="610"/>
      <c r="I834" s="610"/>
      <c r="J834" s="610"/>
      <c r="K834" s="610"/>
      <c r="L834" s="610"/>
      <c r="M834" s="610"/>
      <c r="N834" s="610"/>
      <c r="O834" s="610"/>
      <c r="P834" s="610"/>
      <c r="Q834" s="610"/>
      <c r="R834" s="610"/>
      <c r="S834" s="610"/>
      <c r="T834" s="610"/>
      <c r="U834" s="610"/>
      <c r="V834" s="610"/>
      <c r="W834" s="610"/>
      <c r="X834" s="610"/>
      <c r="Y834" s="610"/>
      <c r="Z834" s="610"/>
      <c r="AA834" s="610"/>
      <c r="AB834" s="610"/>
      <c r="AC834" s="610"/>
      <c r="AD834" s="610"/>
      <c r="AG834" s="610"/>
      <c r="AH834" s="610"/>
    </row>
    <row r="835">
      <c r="B835" s="610"/>
      <c r="C835" s="610"/>
      <c r="D835" s="610"/>
      <c r="E835" s="610"/>
      <c r="F835" s="610"/>
      <c r="G835" s="610"/>
      <c r="H835" s="610"/>
      <c r="I835" s="610"/>
      <c r="J835" s="610"/>
      <c r="K835" s="610"/>
      <c r="L835" s="610"/>
      <c r="M835" s="610"/>
      <c r="N835" s="610"/>
      <c r="O835" s="610"/>
      <c r="P835" s="610"/>
      <c r="Q835" s="610"/>
      <c r="R835" s="610"/>
      <c r="S835" s="610"/>
      <c r="T835" s="610"/>
      <c r="U835" s="610"/>
      <c r="V835" s="610"/>
      <c r="W835" s="610"/>
      <c r="X835" s="610"/>
      <c r="Y835" s="610"/>
      <c r="Z835" s="610"/>
      <c r="AA835" s="610"/>
      <c r="AB835" s="610"/>
      <c r="AC835" s="610"/>
      <c r="AD835" s="610"/>
      <c r="AG835" s="610"/>
      <c r="AH835" s="610"/>
    </row>
    <row r="836">
      <c r="B836" s="610"/>
      <c r="C836" s="610"/>
      <c r="D836" s="610"/>
      <c r="E836" s="610"/>
      <c r="F836" s="610"/>
      <c r="G836" s="610"/>
      <c r="H836" s="610"/>
      <c r="I836" s="610"/>
      <c r="J836" s="610"/>
      <c r="K836" s="610"/>
      <c r="L836" s="610"/>
      <c r="M836" s="610"/>
      <c r="N836" s="610"/>
      <c r="O836" s="610"/>
      <c r="P836" s="610"/>
      <c r="Q836" s="610"/>
      <c r="R836" s="610"/>
      <c r="S836" s="610"/>
      <c r="T836" s="610"/>
      <c r="U836" s="610"/>
      <c r="V836" s="610"/>
      <c r="W836" s="610"/>
      <c r="X836" s="610"/>
      <c r="Y836" s="610"/>
      <c r="Z836" s="610"/>
      <c r="AA836" s="610"/>
      <c r="AB836" s="610"/>
      <c r="AC836" s="610"/>
      <c r="AD836" s="610"/>
      <c r="AG836" s="610"/>
      <c r="AH836" s="610"/>
    </row>
    <row r="837">
      <c r="B837" s="610"/>
      <c r="C837" s="610"/>
      <c r="D837" s="610"/>
      <c r="E837" s="610"/>
      <c r="F837" s="610"/>
      <c r="G837" s="610"/>
      <c r="H837" s="610"/>
      <c r="I837" s="610"/>
      <c r="J837" s="610"/>
      <c r="K837" s="610"/>
      <c r="L837" s="610"/>
      <c r="M837" s="610"/>
      <c r="N837" s="610"/>
      <c r="O837" s="610"/>
      <c r="P837" s="610"/>
      <c r="Q837" s="610"/>
      <c r="R837" s="610"/>
      <c r="S837" s="610"/>
      <c r="T837" s="610"/>
      <c r="U837" s="610"/>
      <c r="V837" s="610"/>
      <c r="W837" s="610"/>
      <c r="X837" s="610"/>
      <c r="Y837" s="610"/>
      <c r="Z837" s="610"/>
      <c r="AA837" s="610"/>
      <c r="AB837" s="610"/>
      <c r="AC837" s="610"/>
      <c r="AD837" s="610"/>
      <c r="AG837" s="610"/>
      <c r="AH837" s="610"/>
    </row>
    <row r="838">
      <c r="B838" s="610"/>
      <c r="C838" s="610"/>
      <c r="D838" s="610"/>
      <c r="E838" s="610"/>
      <c r="F838" s="610"/>
      <c r="G838" s="610"/>
      <c r="H838" s="610"/>
      <c r="I838" s="610"/>
      <c r="J838" s="610"/>
      <c r="K838" s="610"/>
      <c r="L838" s="610"/>
      <c r="M838" s="610"/>
      <c r="N838" s="610"/>
      <c r="O838" s="610"/>
      <c r="P838" s="610"/>
      <c r="Q838" s="610"/>
      <c r="R838" s="610"/>
      <c r="S838" s="610"/>
      <c r="T838" s="610"/>
      <c r="U838" s="610"/>
      <c r="V838" s="610"/>
      <c r="W838" s="610"/>
      <c r="X838" s="610"/>
      <c r="Y838" s="610"/>
      <c r="Z838" s="610"/>
      <c r="AA838" s="610"/>
      <c r="AB838" s="610"/>
      <c r="AC838" s="610"/>
      <c r="AD838" s="610"/>
      <c r="AG838" s="610"/>
      <c r="AH838" s="610"/>
    </row>
    <row r="839">
      <c r="B839" s="610"/>
      <c r="C839" s="610"/>
      <c r="D839" s="610"/>
      <c r="E839" s="610"/>
      <c r="F839" s="610"/>
      <c r="G839" s="610"/>
      <c r="H839" s="610"/>
      <c r="I839" s="610"/>
      <c r="J839" s="610"/>
      <c r="K839" s="610"/>
      <c r="L839" s="610"/>
      <c r="M839" s="610"/>
      <c r="N839" s="610"/>
      <c r="O839" s="610"/>
      <c r="P839" s="610"/>
      <c r="Q839" s="610"/>
      <c r="R839" s="610"/>
      <c r="S839" s="610"/>
      <c r="T839" s="610"/>
      <c r="U839" s="610"/>
      <c r="V839" s="610"/>
      <c r="W839" s="610"/>
      <c r="X839" s="610"/>
      <c r="Y839" s="610"/>
      <c r="Z839" s="610"/>
      <c r="AA839" s="610"/>
      <c r="AB839" s="610"/>
      <c r="AC839" s="610"/>
      <c r="AD839" s="610"/>
      <c r="AG839" s="610"/>
      <c r="AH839" s="610"/>
    </row>
    <row r="840">
      <c r="B840" s="610"/>
      <c r="C840" s="610"/>
      <c r="D840" s="610"/>
      <c r="E840" s="610"/>
      <c r="F840" s="610"/>
      <c r="G840" s="610"/>
      <c r="H840" s="610"/>
      <c r="I840" s="610"/>
      <c r="J840" s="610"/>
      <c r="K840" s="610"/>
      <c r="L840" s="610"/>
      <c r="M840" s="610"/>
      <c r="N840" s="610"/>
      <c r="O840" s="610"/>
      <c r="P840" s="610"/>
      <c r="Q840" s="610"/>
      <c r="R840" s="610"/>
      <c r="S840" s="610"/>
      <c r="T840" s="610"/>
      <c r="U840" s="610"/>
      <c r="V840" s="610"/>
      <c r="W840" s="610"/>
      <c r="X840" s="610"/>
      <c r="Y840" s="610"/>
      <c r="Z840" s="610"/>
      <c r="AA840" s="610"/>
      <c r="AB840" s="610"/>
      <c r="AC840" s="610"/>
      <c r="AD840" s="610"/>
      <c r="AG840" s="610"/>
      <c r="AH840" s="610"/>
    </row>
    <row r="841">
      <c r="B841" s="610"/>
      <c r="C841" s="610"/>
      <c r="D841" s="610"/>
      <c r="E841" s="610"/>
      <c r="F841" s="610"/>
      <c r="G841" s="610"/>
      <c r="H841" s="610"/>
      <c r="I841" s="610"/>
      <c r="J841" s="610"/>
      <c r="K841" s="610"/>
      <c r="L841" s="610"/>
      <c r="M841" s="610"/>
      <c r="N841" s="610"/>
      <c r="O841" s="610"/>
      <c r="P841" s="610"/>
      <c r="Q841" s="610"/>
      <c r="R841" s="610"/>
      <c r="S841" s="610"/>
      <c r="T841" s="610"/>
      <c r="U841" s="610"/>
      <c r="V841" s="610"/>
      <c r="W841" s="610"/>
      <c r="X841" s="610"/>
      <c r="Y841" s="610"/>
      <c r="Z841" s="610"/>
      <c r="AA841" s="610"/>
      <c r="AB841" s="610"/>
      <c r="AC841" s="610"/>
      <c r="AD841" s="610"/>
      <c r="AG841" s="610"/>
      <c r="AH841" s="610"/>
    </row>
    <row r="842">
      <c r="B842" s="610"/>
      <c r="C842" s="610"/>
      <c r="D842" s="610"/>
      <c r="E842" s="610"/>
      <c r="F842" s="610"/>
      <c r="G842" s="610"/>
      <c r="H842" s="610"/>
      <c r="I842" s="610"/>
      <c r="J842" s="610"/>
      <c r="K842" s="610"/>
      <c r="L842" s="610"/>
      <c r="M842" s="610"/>
      <c r="N842" s="610"/>
      <c r="O842" s="610"/>
      <c r="P842" s="610"/>
      <c r="Q842" s="610"/>
      <c r="R842" s="610"/>
      <c r="S842" s="610"/>
      <c r="T842" s="610"/>
      <c r="U842" s="610"/>
      <c r="V842" s="610"/>
      <c r="W842" s="610"/>
      <c r="X842" s="610"/>
      <c r="Y842" s="610"/>
      <c r="Z842" s="610"/>
      <c r="AA842" s="610"/>
      <c r="AB842" s="610"/>
      <c r="AC842" s="610"/>
      <c r="AD842" s="610"/>
      <c r="AG842" s="610"/>
      <c r="AH842" s="610"/>
    </row>
    <row r="843">
      <c r="B843" s="610"/>
      <c r="C843" s="610"/>
      <c r="D843" s="610"/>
      <c r="E843" s="610"/>
      <c r="F843" s="610"/>
      <c r="G843" s="610"/>
      <c r="H843" s="610"/>
      <c r="I843" s="610"/>
      <c r="J843" s="610"/>
      <c r="K843" s="610"/>
      <c r="L843" s="610"/>
      <c r="M843" s="610"/>
      <c r="N843" s="610"/>
      <c r="O843" s="610"/>
      <c r="P843" s="610"/>
      <c r="Q843" s="610"/>
      <c r="R843" s="610"/>
      <c r="S843" s="610"/>
      <c r="T843" s="610"/>
      <c r="U843" s="610"/>
      <c r="V843" s="610"/>
      <c r="W843" s="610"/>
      <c r="X843" s="610"/>
      <c r="Y843" s="610"/>
      <c r="Z843" s="610"/>
      <c r="AA843" s="610"/>
      <c r="AB843" s="610"/>
      <c r="AC843" s="610"/>
      <c r="AD843" s="610"/>
      <c r="AG843" s="610"/>
      <c r="AH843" s="610"/>
    </row>
    <row r="844">
      <c r="B844" s="610"/>
      <c r="C844" s="610"/>
      <c r="D844" s="610"/>
      <c r="E844" s="610"/>
      <c r="F844" s="610"/>
      <c r="G844" s="610"/>
      <c r="H844" s="610"/>
      <c r="I844" s="610"/>
      <c r="J844" s="610"/>
      <c r="K844" s="610"/>
      <c r="L844" s="610"/>
      <c r="M844" s="610"/>
      <c r="N844" s="610"/>
      <c r="O844" s="610"/>
      <c r="P844" s="610"/>
      <c r="Q844" s="610"/>
      <c r="R844" s="610"/>
      <c r="S844" s="610"/>
      <c r="T844" s="610"/>
      <c r="U844" s="610"/>
      <c r="V844" s="610"/>
      <c r="W844" s="610"/>
      <c r="X844" s="610"/>
      <c r="Y844" s="610"/>
      <c r="Z844" s="610"/>
      <c r="AA844" s="610"/>
      <c r="AB844" s="610"/>
      <c r="AC844" s="610"/>
      <c r="AD844" s="610"/>
      <c r="AG844" s="610"/>
      <c r="AH844" s="610"/>
    </row>
    <row r="845">
      <c r="B845" s="610"/>
      <c r="C845" s="610"/>
      <c r="D845" s="610"/>
      <c r="E845" s="610"/>
      <c r="F845" s="610"/>
      <c r="G845" s="610"/>
      <c r="H845" s="610"/>
      <c r="I845" s="610"/>
      <c r="J845" s="610"/>
      <c r="K845" s="610"/>
      <c r="L845" s="610"/>
      <c r="M845" s="610"/>
      <c r="N845" s="610"/>
      <c r="O845" s="610"/>
      <c r="P845" s="610"/>
      <c r="Q845" s="610"/>
      <c r="R845" s="610"/>
      <c r="S845" s="610"/>
      <c r="T845" s="610"/>
      <c r="U845" s="610"/>
      <c r="V845" s="610"/>
      <c r="W845" s="610"/>
      <c r="X845" s="610"/>
      <c r="Y845" s="610"/>
      <c r="Z845" s="610"/>
      <c r="AA845" s="610"/>
      <c r="AB845" s="610"/>
      <c r="AC845" s="610"/>
      <c r="AD845" s="610"/>
      <c r="AG845" s="610"/>
      <c r="AH845" s="610"/>
    </row>
    <row r="846">
      <c r="B846" s="610"/>
      <c r="C846" s="610"/>
      <c r="D846" s="610"/>
      <c r="E846" s="610"/>
      <c r="F846" s="610"/>
      <c r="G846" s="610"/>
      <c r="H846" s="610"/>
      <c r="I846" s="610"/>
      <c r="J846" s="610"/>
      <c r="K846" s="610"/>
      <c r="L846" s="610"/>
      <c r="M846" s="610"/>
      <c r="N846" s="610"/>
      <c r="O846" s="610"/>
      <c r="P846" s="610"/>
      <c r="Q846" s="610"/>
      <c r="R846" s="610"/>
      <c r="S846" s="610"/>
      <c r="T846" s="610"/>
      <c r="U846" s="610"/>
      <c r="V846" s="610"/>
      <c r="W846" s="610"/>
      <c r="X846" s="610"/>
      <c r="Y846" s="610"/>
      <c r="Z846" s="610"/>
      <c r="AA846" s="610"/>
      <c r="AB846" s="610"/>
      <c r="AC846" s="610"/>
      <c r="AD846" s="610"/>
      <c r="AG846" s="610"/>
      <c r="AH846" s="610"/>
    </row>
    <row r="847">
      <c r="B847" s="610"/>
      <c r="C847" s="610"/>
      <c r="D847" s="610"/>
      <c r="E847" s="610"/>
      <c r="F847" s="610"/>
      <c r="G847" s="610"/>
      <c r="H847" s="610"/>
      <c r="I847" s="610"/>
      <c r="J847" s="610"/>
      <c r="K847" s="610"/>
      <c r="L847" s="610"/>
      <c r="M847" s="610"/>
      <c r="N847" s="610"/>
      <c r="O847" s="610"/>
      <c r="P847" s="610"/>
      <c r="Q847" s="610"/>
      <c r="R847" s="610"/>
      <c r="S847" s="610"/>
      <c r="T847" s="610"/>
      <c r="U847" s="610"/>
      <c r="V847" s="610"/>
      <c r="W847" s="610"/>
      <c r="X847" s="610"/>
      <c r="Y847" s="610"/>
      <c r="Z847" s="610"/>
      <c r="AA847" s="610"/>
      <c r="AB847" s="610"/>
      <c r="AC847" s="610"/>
      <c r="AD847" s="610"/>
      <c r="AG847" s="610"/>
      <c r="AH847" s="610"/>
    </row>
    <row r="848">
      <c r="B848" s="610"/>
      <c r="C848" s="610"/>
      <c r="D848" s="610"/>
      <c r="E848" s="610"/>
      <c r="F848" s="610"/>
      <c r="G848" s="610"/>
      <c r="H848" s="610"/>
      <c r="I848" s="610"/>
      <c r="J848" s="610"/>
      <c r="K848" s="610"/>
      <c r="L848" s="610"/>
      <c r="M848" s="610"/>
      <c r="N848" s="610"/>
      <c r="O848" s="610"/>
      <c r="P848" s="610"/>
      <c r="Q848" s="610"/>
      <c r="R848" s="610"/>
      <c r="S848" s="610"/>
      <c r="T848" s="610"/>
      <c r="U848" s="610"/>
      <c r="V848" s="610"/>
      <c r="W848" s="610"/>
      <c r="X848" s="610"/>
      <c r="Y848" s="610"/>
      <c r="Z848" s="610"/>
      <c r="AA848" s="610"/>
      <c r="AB848" s="610"/>
      <c r="AC848" s="610"/>
      <c r="AD848" s="610"/>
      <c r="AG848" s="610"/>
      <c r="AH848" s="610"/>
    </row>
    <row r="849">
      <c r="B849" s="610"/>
      <c r="C849" s="610"/>
      <c r="D849" s="610"/>
      <c r="E849" s="610"/>
      <c r="F849" s="610"/>
      <c r="G849" s="610"/>
      <c r="H849" s="610"/>
      <c r="I849" s="610"/>
      <c r="J849" s="610"/>
      <c r="K849" s="610"/>
      <c r="L849" s="610"/>
      <c r="M849" s="610"/>
      <c r="N849" s="610"/>
      <c r="O849" s="610"/>
      <c r="P849" s="610"/>
      <c r="Q849" s="610"/>
      <c r="R849" s="610"/>
      <c r="S849" s="610"/>
      <c r="T849" s="610"/>
      <c r="U849" s="610"/>
      <c r="V849" s="610"/>
      <c r="W849" s="610"/>
      <c r="X849" s="610"/>
      <c r="Y849" s="610"/>
      <c r="Z849" s="610"/>
      <c r="AA849" s="610"/>
      <c r="AB849" s="610"/>
      <c r="AC849" s="610"/>
      <c r="AD849" s="610"/>
      <c r="AG849" s="610"/>
      <c r="AH849" s="610"/>
    </row>
    <row r="850">
      <c r="B850" s="610"/>
      <c r="C850" s="610"/>
      <c r="D850" s="610"/>
      <c r="E850" s="610"/>
      <c r="F850" s="610"/>
      <c r="G850" s="610"/>
      <c r="H850" s="610"/>
      <c r="I850" s="610"/>
      <c r="J850" s="610"/>
      <c r="K850" s="610"/>
      <c r="L850" s="610"/>
      <c r="M850" s="610"/>
      <c r="N850" s="610"/>
      <c r="O850" s="610"/>
      <c r="P850" s="610"/>
      <c r="Q850" s="610"/>
      <c r="R850" s="610"/>
      <c r="S850" s="610"/>
      <c r="T850" s="610"/>
      <c r="U850" s="610"/>
      <c r="V850" s="610"/>
      <c r="W850" s="610"/>
      <c r="X850" s="610"/>
      <c r="Y850" s="610"/>
      <c r="Z850" s="610"/>
      <c r="AA850" s="610"/>
      <c r="AB850" s="610"/>
      <c r="AC850" s="610"/>
      <c r="AD850" s="610"/>
      <c r="AG850" s="610"/>
      <c r="AH850" s="610"/>
    </row>
    <row r="851">
      <c r="B851" s="610"/>
      <c r="C851" s="610"/>
      <c r="D851" s="610"/>
      <c r="E851" s="610"/>
      <c r="F851" s="610"/>
      <c r="G851" s="610"/>
      <c r="H851" s="610"/>
      <c r="I851" s="610"/>
      <c r="J851" s="610"/>
      <c r="K851" s="610"/>
      <c r="L851" s="610"/>
      <c r="M851" s="610"/>
      <c r="N851" s="610"/>
      <c r="O851" s="610"/>
      <c r="P851" s="610"/>
      <c r="Q851" s="610"/>
      <c r="R851" s="610"/>
      <c r="S851" s="610"/>
      <c r="T851" s="610"/>
      <c r="U851" s="610"/>
      <c r="V851" s="610"/>
      <c r="W851" s="610"/>
      <c r="X851" s="610"/>
      <c r="Y851" s="610"/>
      <c r="Z851" s="610"/>
      <c r="AA851" s="610"/>
      <c r="AB851" s="610"/>
      <c r="AC851" s="610"/>
      <c r="AD851" s="610"/>
      <c r="AG851" s="610"/>
      <c r="AH851" s="610"/>
    </row>
    <row r="852">
      <c r="B852" s="610"/>
      <c r="C852" s="610"/>
      <c r="D852" s="610"/>
      <c r="E852" s="610"/>
      <c r="F852" s="610"/>
      <c r="G852" s="610"/>
      <c r="H852" s="610"/>
      <c r="I852" s="610"/>
      <c r="J852" s="610"/>
      <c r="K852" s="610"/>
      <c r="L852" s="610"/>
      <c r="M852" s="610"/>
      <c r="N852" s="610"/>
      <c r="O852" s="610"/>
      <c r="P852" s="610"/>
      <c r="Q852" s="610"/>
      <c r="R852" s="610"/>
      <c r="S852" s="610"/>
      <c r="T852" s="610"/>
      <c r="U852" s="610"/>
      <c r="V852" s="610"/>
      <c r="W852" s="610"/>
      <c r="X852" s="610"/>
      <c r="Y852" s="610"/>
      <c r="Z852" s="610"/>
      <c r="AA852" s="610"/>
      <c r="AB852" s="610"/>
      <c r="AC852" s="610"/>
      <c r="AD852" s="610"/>
      <c r="AG852" s="610"/>
      <c r="AH852" s="610"/>
    </row>
    <row r="853">
      <c r="B853" s="610"/>
      <c r="C853" s="610"/>
      <c r="D853" s="610"/>
      <c r="E853" s="610"/>
      <c r="F853" s="610"/>
      <c r="G853" s="610"/>
      <c r="H853" s="610"/>
      <c r="I853" s="610"/>
      <c r="J853" s="610"/>
      <c r="K853" s="610"/>
      <c r="L853" s="610"/>
      <c r="M853" s="610"/>
      <c r="N853" s="610"/>
      <c r="O853" s="610"/>
      <c r="P853" s="610"/>
      <c r="Q853" s="610"/>
      <c r="R853" s="610"/>
      <c r="S853" s="610"/>
      <c r="T853" s="610"/>
      <c r="U853" s="610"/>
      <c r="V853" s="610"/>
      <c r="W853" s="610"/>
      <c r="X853" s="610"/>
      <c r="Y853" s="610"/>
      <c r="Z853" s="610"/>
      <c r="AA853" s="610"/>
      <c r="AB853" s="610"/>
      <c r="AC853" s="610"/>
      <c r="AD853" s="610"/>
      <c r="AG853" s="610"/>
      <c r="AH853" s="610"/>
    </row>
    <row r="854">
      <c r="B854" s="610"/>
      <c r="C854" s="610"/>
      <c r="D854" s="610"/>
      <c r="E854" s="610"/>
      <c r="F854" s="610"/>
      <c r="G854" s="610"/>
      <c r="H854" s="610"/>
      <c r="I854" s="610"/>
      <c r="J854" s="610"/>
      <c r="K854" s="610"/>
      <c r="L854" s="610"/>
      <c r="M854" s="610"/>
      <c r="N854" s="610"/>
      <c r="O854" s="610"/>
      <c r="P854" s="610"/>
      <c r="Q854" s="610"/>
      <c r="R854" s="610"/>
      <c r="S854" s="610"/>
      <c r="T854" s="610"/>
      <c r="U854" s="610"/>
      <c r="V854" s="610"/>
      <c r="W854" s="610"/>
      <c r="X854" s="610"/>
      <c r="Y854" s="610"/>
      <c r="Z854" s="610"/>
      <c r="AA854" s="610"/>
      <c r="AB854" s="610"/>
      <c r="AC854" s="610"/>
      <c r="AD854" s="610"/>
      <c r="AG854" s="610"/>
      <c r="AH854" s="610"/>
    </row>
    <row r="855">
      <c r="B855" s="610"/>
      <c r="C855" s="610"/>
      <c r="D855" s="610"/>
      <c r="E855" s="610"/>
      <c r="F855" s="610"/>
      <c r="G855" s="610"/>
      <c r="H855" s="610"/>
      <c r="I855" s="610"/>
      <c r="J855" s="610"/>
      <c r="K855" s="610"/>
      <c r="L855" s="610"/>
      <c r="M855" s="610"/>
      <c r="N855" s="610"/>
      <c r="O855" s="610"/>
      <c r="P855" s="610"/>
      <c r="Q855" s="610"/>
      <c r="R855" s="610"/>
      <c r="S855" s="610"/>
      <c r="T855" s="610"/>
      <c r="U855" s="610"/>
      <c r="V855" s="610"/>
      <c r="W855" s="610"/>
      <c r="X855" s="610"/>
      <c r="Y855" s="610"/>
      <c r="Z855" s="610"/>
      <c r="AA855" s="610"/>
      <c r="AB855" s="610"/>
      <c r="AC855" s="610"/>
      <c r="AD855" s="610"/>
      <c r="AG855" s="610"/>
      <c r="AH855" s="610"/>
    </row>
  </sheetData>
  <mergeCells count="2">
    <mergeCell ref="B1:AF1"/>
    <mergeCell ref="B16:AF16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25.13"/>
    <col customWidth="1" min="5" max="5" width="30.88"/>
  </cols>
  <sheetData>
    <row r="1">
      <c r="A1" s="828" t="s">
        <v>496</v>
      </c>
      <c r="B1" s="829" t="s">
        <v>497</v>
      </c>
      <c r="C1" s="830" t="s">
        <v>498</v>
      </c>
      <c r="D1" s="831" t="s">
        <v>499</v>
      </c>
      <c r="E1" s="832" t="s">
        <v>500</v>
      </c>
    </row>
    <row r="2">
      <c r="A2" s="833"/>
      <c r="B2" s="834"/>
      <c r="C2" s="835"/>
      <c r="D2" s="836"/>
    </row>
    <row r="3">
      <c r="A3" s="833"/>
      <c r="B3" s="834"/>
      <c r="C3" s="835"/>
      <c r="D3" s="836"/>
    </row>
    <row r="4">
      <c r="A4" s="833" t="s">
        <v>501</v>
      </c>
      <c r="B4" s="834" t="s">
        <v>502</v>
      </c>
      <c r="C4" s="835" t="s">
        <v>503</v>
      </c>
      <c r="D4" s="610"/>
    </row>
    <row r="5">
      <c r="A5" s="833"/>
      <c r="B5" s="834"/>
      <c r="C5" s="835"/>
      <c r="D5" s="610"/>
    </row>
    <row r="6">
      <c r="A6" s="833" t="s">
        <v>504</v>
      </c>
      <c r="B6" s="834" t="s">
        <v>387</v>
      </c>
      <c r="C6" s="837" t="s">
        <v>503</v>
      </c>
      <c r="D6" s="836" t="s">
        <v>505</v>
      </c>
      <c r="E6" s="208" t="s">
        <v>506</v>
      </c>
    </row>
    <row r="7">
      <c r="A7" s="833" t="s">
        <v>507</v>
      </c>
      <c r="B7" s="834" t="s">
        <v>502</v>
      </c>
      <c r="C7" s="837" t="s">
        <v>503</v>
      </c>
      <c r="D7" s="610"/>
    </row>
    <row r="8">
      <c r="A8" s="838" t="s">
        <v>508</v>
      </c>
      <c r="B8" s="839" t="s">
        <v>509</v>
      </c>
      <c r="C8" s="731"/>
      <c r="D8" s="610"/>
    </row>
    <row r="9">
      <c r="A9" s="833"/>
      <c r="B9" s="834"/>
      <c r="C9" s="835"/>
      <c r="D9" s="610"/>
    </row>
    <row r="10">
      <c r="A10" s="838" t="s">
        <v>510</v>
      </c>
      <c r="B10" s="839" t="s">
        <v>473</v>
      </c>
      <c r="C10" s="840"/>
      <c r="D10" s="841"/>
      <c r="E10" s="842" t="s">
        <v>511</v>
      </c>
      <c r="F10" s="843"/>
      <c r="G10" s="843"/>
      <c r="H10" s="843"/>
      <c r="I10" s="843"/>
      <c r="J10" s="843"/>
      <c r="K10" s="843"/>
      <c r="L10" s="843"/>
      <c r="M10" s="843"/>
      <c r="N10" s="843"/>
      <c r="O10" s="843"/>
      <c r="P10" s="843"/>
      <c r="Q10" s="843"/>
      <c r="R10" s="843"/>
      <c r="S10" s="843"/>
      <c r="T10" s="843"/>
      <c r="U10" s="843"/>
      <c r="V10" s="843"/>
      <c r="W10" s="843"/>
      <c r="X10" s="843"/>
      <c r="Y10" s="843"/>
      <c r="Z10" s="843"/>
    </row>
    <row r="11">
      <c r="A11" s="833" t="s">
        <v>512</v>
      </c>
      <c r="B11" s="834" t="s">
        <v>473</v>
      </c>
      <c r="C11" s="835">
        <v>500.0</v>
      </c>
      <c r="D11" s="836" t="s">
        <v>513</v>
      </c>
      <c r="E11" s="208" t="s">
        <v>514</v>
      </c>
      <c r="F11" s="208" t="s">
        <v>515</v>
      </c>
    </row>
    <row r="12">
      <c r="A12" s="833" t="s">
        <v>516</v>
      </c>
      <c r="B12" s="834" t="s">
        <v>473</v>
      </c>
      <c r="C12" s="731"/>
      <c r="D12" s="610"/>
      <c r="E12" s="208" t="s">
        <v>517</v>
      </c>
    </row>
    <row r="13">
      <c r="A13" s="844" t="s">
        <v>518</v>
      </c>
      <c r="B13" s="845"/>
      <c r="C13" s="731"/>
      <c r="D13" s="610"/>
    </row>
    <row r="14">
      <c r="A14" s="833" t="s">
        <v>519</v>
      </c>
      <c r="B14" s="834" t="s">
        <v>520</v>
      </c>
      <c r="C14" s="731"/>
      <c r="D14" s="836" t="s">
        <v>521</v>
      </c>
    </row>
    <row r="15">
      <c r="A15" s="833" t="s">
        <v>522</v>
      </c>
      <c r="B15" s="834" t="s">
        <v>523</v>
      </c>
      <c r="C15" s="731"/>
      <c r="D15" s="836" t="s">
        <v>521</v>
      </c>
    </row>
    <row r="16">
      <c r="A16" s="833" t="s">
        <v>524</v>
      </c>
      <c r="B16" s="834" t="s">
        <v>525</v>
      </c>
      <c r="C16" s="731"/>
      <c r="D16" s="610"/>
    </row>
    <row r="17">
      <c r="A17" s="838" t="s">
        <v>526</v>
      </c>
      <c r="B17" s="839" t="s">
        <v>478</v>
      </c>
      <c r="C17" s="840"/>
      <c r="D17" s="841"/>
    </row>
    <row r="18">
      <c r="A18" s="833" t="s">
        <v>527</v>
      </c>
      <c r="B18" s="834" t="s">
        <v>482</v>
      </c>
      <c r="C18" s="731"/>
      <c r="D18" s="610"/>
      <c r="E18" s="208" t="s">
        <v>528</v>
      </c>
    </row>
    <row r="19">
      <c r="A19" s="833"/>
      <c r="B19" s="834"/>
      <c r="C19" s="731"/>
      <c r="D19" s="610"/>
    </row>
    <row r="20">
      <c r="A20" s="833" t="s">
        <v>529</v>
      </c>
      <c r="B20" s="834" t="s">
        <v>483</v>
      </c>
      <c r="C20" s="731"/>
      <c r="D20" s="836" t="s">
        <v>354</v>
      </c>
    </row>
    <row r="21">
      <c r="A21" s="846" t="s">
        <v>530</v>
      </c>
      <c r="B21" s="845"/>
      <c r="C21" s="731"/>
      <c r="D21" s="610"/>
    </row>
    <row r="22">
      <c r="A22" s="833" t="s">
        <v>531</v>
      </c>
      <c r="B22" s="834" t="s">
        <v>532</v>
      </c>
      <c r="C22" s="835" t="s">
        <v>533</v>
      </c>
      <c r="D22" s="610"/>
    </row>
    <row r="23">
      <c r="A23" s="833" t="s">
        <v>534</v>
      </c>
      <c r="B23" s="834" t="s">
        <v>535</v>
      </c>
      <c r="C23" s="731"/>
      <c r="D23" s="610"/>
    </row>
    <row r="24">
      <c r="A24" s="833" t="s">
        <v>536</v>
      </c>
      <c r="B24" s="834" t="s">
        <v>537</v>
      </c>
      <c r="C24" s="731"/>
      <c r="D24" s="610"/>
    </row>
    <row r="25">
      <c r="A25" s="833" t="s">
        <v>330</v>
      </c>
      <c r="B25" s="834" t="s">
        <v>538</v>
      </c>
      <c r="C25" s="731"/>
      <c r="D25" s="610"/>
    </row>
    <row r="26">
      <c r="A26" s="847"/>
      <c r="B26" s="845"/>
      <c r="C26" s="731"/>
      <c r="D26" s="610"/>
    </row>
    <row r="27">
      <c r="A27" s="847"/>
      <c r="B27" s="845"/>
      <c r="C27" s="731"/>
      <c r="D27" s="610"/>
    </row>
    <row r="28">
      <c r="A28" s="847"/>
      <c r="B28" s="845"/>
      <c r="C28" s="731"/>
      <c r="D28" s="610"/>
    </row>
    <row r="29">
      <c r="A29" s="847"/>
      <c r="B29" s="845"/>
      <c r="C29" s="731"/>
      <c r="D29" s="610"/>
    </row>
    <row r="30">
      <c r="A30" s="847"/>
      <c r="B30" s="845"/>
      <c r="C30" s="731"/>
      <c r="D30" s="610"/>
    </row>
    <row r="31">
      <c r="A31" s="847"/>
      <c r="B31" s="845"/>
      <c r="C31" s="731"/>
      <c r="D31" s="610"/>
    </row>
    <row r="32">
      <c r="A32" s="847"/>
      <c r="B32" s="845"/>
      <c r="C32" s="731"/>
      <c r="D32" s="610"/>
    </row>
    <row r="33">
      <c r="A33" s="847"/>
      <c r="B33" s="845"/>
      <c r="C33" s="731"/>
      <c r="D33" s="610"/>
    </row>
    <row r="34">
      <c r="A34" s="847"/>
      <c r="B34" s="845"/>
      <c r="C34" s="731"/>
      <c r="D34" s="610"/>
    </row>
    <row r="35">
      <c r="A35" s="847"/>
      <c r="B35" s="845"/>
      <c r="C35" s="731"/>
      <c r="D35" s="610"/>
    </row>
    <row r="36">
      <c r="A36" s="847"/>
      <c r="B36" s="845"/>
      <c r="C36" s="731"/>
      <c r="D36" s="610"/>
    </row>
    <row r="37">
      <c r="A37" s="847"/>
      <c r="B37" s="845"/>
      <c r="C37" s="731"/>
      <c r="D37" s="610"/>
    </row>
    <row r="38">
      <c r="A38" s="847"/>
      <c r="B38" s="845"/>
      <c r="C38" s="731"/>
      <c r="D38" s="610"/>
    </row>
    <row r="39">
      <c r="A39" s="847"/>
      <c r="B39" s="845"/>
      <c r="C39" s="731"/>
      <c r="D39" s="610"/>
    </row>
    <row r="40">
      <c r="A40" s="847"/>
      <c r="B40" s="845"/>
      <c r="C40" s="731"/>
      <c r="D40" s="610"/>
    </row>
    <row r="41">
      <c r="A41" s="847"/>
      <c r="B41" s="845"/>
      <c r="C41" s="731"/>
      <c r="D41" s="610"/>
    </row>
    <row r="42">
      <c r="A42" s="847"/>
      <c r="B42" s="845"/>
      <c r="C42" s="731"/>
      <c r="D42" s="610"/>
    </row>
    <row r="43">
      <c r="A43" s="847"/>
      <c r="B43" s="845"/>
      <c r="C43" s="731"/>
      <c r="D43" s="610"/>
    </row>
    <row r="44">
      <c r="A44" s="847"/>
      <c r="B44" s="845"/>
      <c r="C44" s="731"/>
      <c r="D44" s="610"/>
    </row>
    <row r="45">
      <c r="A45" s="847"/>
      <c r="B45" s="845"/>
      <c r="C45" s="731"/>
      <c r="D45" s="610"/>
    </row>
    <row r="46">
      <c r="A46" s="847"/>
      <c r="B46" s="845"/>
      <c r="C46" s="731"/>
      <c r="D46" s="610"/>
    </row>
    <row r="47">
      <c r="A47" s="847"/>
      <c r="B47" s="845"/>
      <c r="C47" s="731"/>
      <c r="D47" s="610"/>
    </row>
    <row r="48">
      <c r="A48" s="847"/>
      <c r="B48" s="845"/>
      <c r="C48" s="731"/>
      <c r="D48" s="610"/>
    </row>
    <row r="49">
      <c r="A49" s="847"/>
      <c r="B49" s="845"/>
      <c r="C49" s="731"/>
      <c r="D49" s="610"/>
    </row>
    <row r="50">
      <c r="A50" s="847"/>
      <c r="B50" s="845"/>
      <c r="C50" s="731"/>
      <c r="D50" s="610"/>
    </row>
    <row r="51">
      <c r="A51" s="847"/>
      <c r="B51" s="845"/>
      <c r="C51" s="731"/>
      <c r="D51" s="610"/>
    </row>
    <row r="52">
      <c r="A52" s="847"/>
      <c r="B52" s="845"/>
      <c r="C52" s="731"/>
      <c r="D52" s="610"/>
    </row>
    <row r="53">
      <c r="A53" s="847"/>
      <c r="B53" s="845"/>
      <c r="C53" s="731"/>
      <c r="D53" s="610"/>
    </row>
    <row r="54">
      <c r="A54" s="847"/>
      <c r="B54" s="845"/>
      <c r="C54" s="731"/>
      <c r="D54" s="610"/>
    </row>
    <row r="55">
      <c r="A55" s="847"/>
      <c r="B55" s="845"/>
      <c r="C55" s="731"/>
      <c r="D55" s="610"/>
    </row>
    <row r="56">
      <c r="A56" s="847"/>
      <c r="B56" s="845"/>
      <c r="C56" s="731"/>
      <c r="D56" s="610"/>
    </row>
    <row r="57">
      <c r="A57" s="847"/>
      <c r="B57" s="845"/>
      <c r="C57" s="731"/>
      <c r="D57" s="610"/>
    </row>
    <row r="58">
      <c r="A58" s="847"/>
      <c r="B58" s="845"/>
      <c r="C58" s="731"/>
      <c r="D58" s="610"/>
    </row>
    <row r="59">
      <c r="A59" s="847"/>
      <c r="B59" s="845"/>
      <c r="C59" s="731"/>
      <c r="D59" s="610"/>
    </row>
    <row r="60">
      <c r="A60" s="847"/>
      <c r="B60" s="845"/>
      <c r="C60" s="731"/>
      <c r="D60" s="610"/>
    </row>
    <row r="61">
      <c r="A61" s="847"/>
      <c r="B61" s="845"/>
      <c r="C61" s="731"/>
      <c r="D61" s="610"/>
    </row>
    <row r="62">
      <c r="A62" s="847"/>
      <c r="B62" s="845"/>
      <c r="C62" s="731"/>
      <c r="D62" s="610"/>
    </row>
    <row r="63">
      <c r="A63" s="847"/>
      <c r="B63" s="845"/>
      <c r="C63" s="731"/>
      <c r="D63" s="610"/>
    </row>
    <row r="64">
      <c r="A64" s="847"/>
      <c r="B64" s="845"/>
      <c r="C64" s="731"/>
      <c r="D64" s="610"/>
    </row>
    <row r="65">
      <c r="A65" s="847"/>
      <c r="B65" s="845"/>
      <c r="C65" s="731"/>
      <c r="D65" s="610"/>
    </row>
    <row r="66">
      <c r="A66" s="847"/>
      <c r="B66" s="845"/>
      <c r="C66" s="731"/>
      <c r="D66" s="610"/>
    </row>
    <row r="67">
      <c r="A67" s="847"/>
      <c r="B67" s="845"/>
      <c r="C67" s="731"/>
      <c r="D67" s="610"/>
    </row>
    <row r="68">
      <c r="A68" s="847"/>
      <c r="B68" s="845"/>
      <c r="C68" s="731"/>
      <c r="D68" s="610"/>
    </row>
    <row r="69">
      <c r="A69" s="847"/>
      <c r="B69" s="845"/>
      <c r="C69" s="731"/>
      <c r="D69" s="610"/>
    </row>
    <row r="70">
      <c r="A70" s="847"/>
      <c r="B70" s="845"/>
      <c r="C70" s="731"/>
      <c r="D70" s="610"/>
    </row>
    <row r="71">
      <c r="A71" s="847"/>
      <c r="B71" s="845"/>
      <c r="C71" s="731"/>
      <c r="D71" s="610"/>
    </row>
    <row r="72">
      <c r="A72" s="847"/>
      <c r="B72" s="845"/>
      <c r="C72" s="731"/>
      <c r="D72" s="610"/>
    </row>
    <row r="73">
      <c r="A73" s="847"/>
      <c r="B73" s="845"/>
      <c r="C73" s="731"/>
      <c r="D73" s="610"/>
    </row>
    <row r="74">
      <c r="A74" s="847"/>
      <c r="B74" s="845"/>
      <c r="C74" s="731"/>
      <c r="D74" s="610"/>
    </row>
    <row r="75">
      <c r="A75" s="847"/>
      <c r="B75" s="845"/>
      <c r="C75" s="731"/>
      <c r="D75" s="610"/>
    </row>
    <row r="76">
      <c r="A76" s="847"/>
      <c r="B76" s="845"/>
      <c r="C76" s="731"/>
      <c r="D76" s="610"/>
    </row>
    <row r="77">
      <c r="A77" s="847"/>
      <c r="B77" s="845"/>
      <c r="C77" s="731"/>
      <c r="D77" s="610"/>
    </row>
    <row r="78">
      <c r="A78" s="847"/>
      <c r="B78" s="845"/>
      <c r="C78" s="731"/>
      <c r="D78" s="610"/>
    </row>
    <row r="79">
      <c r="A79" s="847"/>
      <c r="B79" s="845"/>
      <c r="C79" s="731"/>
      <c r="D79" s="610"/>
    </row>
    <row r="80">
      <c r="A80" s="847"/>
      <c r="B80" s="845"/>
      <c r="C80" s="731"/>
      <c r="D80" s="610"/>
    </row>
    <row r="81">
      <c r="A81" s="847"/>
      <c r="B81" s="845"/>
      <c r="C81" s="731"/>
      <c r="D81" s="610"/>
    </row>
    <row r="82">
      <c r="A82" s="847"/>
      <c r="B82" s="845"/>
      <c r="C82" s="731"/>
      <c r="D82" s="610"/>
    </row>
    <row r="83">
      <c r="A83" s="847"/>
      <c r="B83" s="845"/>
      <c r="C83" s="731"/>
      <c r="D83" s="610"/>
    </row>
    <row r="84">
      <c r="A84" s="847"/>
      <c r="B84" s="845"/>
      <c r="C84" s="731"/>
      <c r="D84" s="610"/>
    </row>
    <row r="85">
      <c r="A85" s="847"/>
      <c r="B85" s="845"/>
      <c r="C85" s="731"/>
      <c r="D85" s="610"/>
    </row>
    <row r="86">
      <c r="A86" s="847"/>
      <c r="B86" s="845"/>
      <c r="C86" s="731"/>
      <c r="D86" s="610"/>
    </row>
    <row r="87">
      <c r="A87" s="847"/>
      <c r="B87" s="845"/>
      <c r="C87" s="731"/>
      <c r="D87" s="610"/>
    </row>
    <row r="88">
      <c r="A88" s="847"/>
      <c r="B88" s="845"/>
      <c r="C88" s="731"/>
      <c r="D88" s="610"/>
    </row>
    <row r="89">
      <c r="A89" s="847"/>
      <c r="B89" s="845"/>
      <c r="C89" s="731"/>
      <c r="D89" s="610"/>
    </row>
    <row r="90">
      <c r="A90" s="847"/>
      <c r="B90" s="845"/>
      <c r="C90" s="731"/>
      <c r="D90" s="610"/>
    </row>
    <row r="91">
      <c r="A91" s="847"/>
      <c r="B91" s="845"/>
      <c r="C91" s="731"/>
      <c r="D91" s="610"/>
    </row>
    <row r="92">
      <c r="A92" s="847"/>
      <c r="B92" s="845"/>
      <c r="C92" s="731"/>
      <c r="D92" s="610"/>
    </row>
    <row r="93">
      <c r="A93" s="847"/>
      <c r="B93" s="845"/>
      <c r="C93" s="731"/>
      <c r="D93" s="610"/>
    </row>
    <row r="94">
      <c r="A94" s="847"/>
      <c r="B94" s="845"/>
      <c r="C94" s="731"/>
      <c r="D94" s="610"/>
    </row>
    <row r="95">
      <c r="A95" s="847"/>
      <c r="B95" s="845"/>
      <c r="C95" s="731"/>
      <c r="D95" s="610"/>
    </row>
    <row r="96">
      <c r="A96" s="847"/>
      <c r="B96" s="845"/>
      <c r="C96" s="731"/>
      <c r="D96" s="610"/>
    </row>
    <row r="97">
      <c r="A97" s="847"/>
      <c r="B97" s="845"/>
      <c r="C97" s="731"/>
      <c r="D97" s="610"/>
    </row>
    <row r="98">
      <c r="A98" s="847"/>
      <c r="B98" s="845"/>
      <c r="C98" s="731"/>
      <c r="D98" s="610"/>
    </row>
    <row r="99">
      <c r="A99" s="847"/>
      <c r="B99" s="845"/>
      <c r="C99" s="731"/>
      <c r="D99" s="610"/>
    </row>
    <row r="100">
      <c r="A100" s="847"/>
      <c r="B100" s="845"/>
      <c r="C100" s="731"/>
      <c r="D100" s="610"/>
    </row>
    <row r="101">
      <c r="A101" s="847"/>
      <c r="B101" s="845"/>
      <c r="C101" s="731"/>
      <c r="D101" s="610"/>
    </row>
    <row r="102">
      <c r="A102" s="847"/>
      <c r="B102" s="845"/>
      <c r="C102" s="731"/>
      <c r="D102" s="610"/>
    </row>
    <row r="103">
      <c r="A103" s="847"/>
      <c r="B103" s="845"/>
      <c r="C103" s="731"/>
      <c r="D103" s="610"/>
    </row>
    <row r="104">
      <c r="A104" s="847"/>
      <c r="B104" s="845"/>
      <c r="C104" s="731"/>
      <c r="D104" s="610"/>
    </row>
    <row r="105">
      <c r="A105" s="847"/>
      <c r="B105" s="845"/>
      <c r="C105" s="731"/>
      <c r="D105" s="610"/>
    </row>
    <row r="106">
      <c r="A106" s="847"/>
      <c r="B106" s="845"/>
      <c r="C106" s="731"/>
      <c r="D106" s="610"/>
    </row>
    <row r="107">
      <c r="A107" s="847"/>
      <c r="B107" s="845"/>
      <c r="C107" s="731"/>
      <c r="D107" s="610"/>
    </row>
    <row r="108">
      <c r="A108" s="847"/>
      <c r="B108" s="845"/>
      <c r="C108" s="731"/>
      <c r="D108" s="610"/>
    </row>
    <row r="109">
      <c r="A109" s="847"/>
      <c r="B109" s="845"/>
      <c r="C109" s="731"/>
      <c r="D109" s="610"/>
    </row>
    <row r="110">
      <c r="A110" s="847"/>
      <c r="B110" s="845"/>
      <c r="C110" s="731"/>
      <c r="D110" s="610"/>
    </row>
    <row r="111">
      <c r="A111" s="847"/>
      <c r="B111" s="845"/>
      <c r="C111" s="731"/>
      <c r="D111" s="610"/>
    </row>
    <row r="112">
      <c r="A112" s="847"/>
      <c r="B112" s="845"/>
      <c r="C112" s="731"/>
      <c r="D112" s="610"/>
    </row>
    <row r="113">
      <c r="A113" s="847"/>
      <c r="B113" s="845"/>
      <c r="C113" s="731"/>
      <c r="D113" s="610"/>
    </row>
    <row r="114">
      <c r="A114" s="847"/>
      <c r="B114" s="845"/>
      <c r="C114" s="731"/>
      <c r="D114" s="610"/>
    </row>
    <row r="115">
      <c r="A115" s="847"/>
      <c r="B115" s="845"/>
      <c r="C115" s="731"/>
      <c r="D115" s="610"/>
    </row>
    <row r="116">
      <c r="A116" s="847"/>
      <c r="B116" s="845"/>
      <c r="C116" s="731"/>
      <c r="D116" s="610"/>
    </row>
    <row r="117">
      <c r="A117" s="847"/>
      <c r="B117" s="845"/>
      <c r="C117" s="731"/>
      <c r="D117" s="610"/>
    </row>
    <row r="118">
      <c r="A118" s="847"/>
      <c r="B118" s="845"/>
      <c r="C118" s="731"/>
      <c r="D118" s="610"/>
    </row>
    <row r="119">
      <c r="A119" s="847"/>
      <c r="B119" s="845"/>
      <c r="C119" s="731"/>
      <c r="D119" s="610"/>
    </row>
    <row r="120">
      <c r="A120" s="847"/>
      <c r="B120" s="845"/>
      <c r="C120" s="731"/>
      <c r="D120" s="610"/>
    </row>
    <row r="121">
      <c r="A121" s="847"/>
      <c r="B121" s="845"/>
      <c r="C121" s="731"/>
      <c r="D121" s="610"/>
    </row>
    <row r="122">
      <c r="A122" s="847"/>
      <c r="B122" s="845"/>
      <c r="C122" s="731"/>
      <c r="D122" s="610"/>
    </row>
    <row r="123">
      <c r="A123" s="847"/>
      <c r="B123" s="845"/>
      <c r="C123" s="731"/>
      <c r="D123" s="610"/>
    </row>
    <row r="124">
      <c r="A124" s="847"/>
      <c r="B124" s="845"/>
      <c r="C124" s="731"/>
      <c r="D124" s="610"/>
    </row>
    <row r="125">
      <c r="A125" s="847"/>
      <c r="B125" s="845"/>
      <c r="C125" s="731"/>
      <c r="D125" s="610"/>
    </row>
    <row r="126">
      <c r="A126" s="847"/>
      <c r="B126" s="845"/>
      <c r="C126" s="731"/>
      <c r="D126" s="610"/>
    </row>
    <row r="127">
      <c r="A127" s="847"/>
      <c r="B127" s="845"/>
      <c r="C127" s="731"/>
      <c r="D127" s="610"/>
    </row>
    <row r="128">
      <c r="A128" s="847"/>
      <c r="B128" s="845"/>
      <c r="C128" s="731"/>
      <c r="D128" s="610"/>
    </row>
    <row r="129">
      <c r="A129" s="847"/>
      <c r="B129" s="845"/>
      <c r="C129" s="731"/>
      <c r="D129" s="610"/>
    </row>
    <row r="130">
      <c r="A130" s="847"/>
      <c r="B130" s="845"/>
      <c r="C130" s="731"/>
      <c r="D130" s="610"/>
    </row>
    <row r="131">
      <c r="A131" s="847"/>
      <c r="B131" s="845"/>
      <c r="C131" s="731"/>
      <c r="D131" s="610"/>
    </row>
    <row r="132">
      <c r="A132" s="847"/>
      <c r="B132" s="845"/>
      <c r="C132" s="731"/>
      <c r="D132" s="610"/>
    </row>
    <row r="133">
      <c r="A133" s="847"/>
      <c r="B133" s="845"/>
      <c r="C133" s="731"/>
      <c r="D133" s="610"/>
    </row>
    <row r="134">
      <c r="A134" s="847"/>
      <c r="B134" s="845"/>
      <c r="C134" s="731"/>
      <c r="D134" s="610"/>
    </row>
    <row r="135">
      <c r="A135" s="847"/>
      <c r="B135" s="845"/>
      <c r="C135" s="731"/>
      <c r="D135" s="610"/>
    </row>
    <row r="136">
      <c r="A136" s="847"/>
      <c r="B136" s="845"/>
      <c r="C136" s="731"/>
      <c r="D136" s="610"/>
    </row>
    <row r="137">
      <c r="A137" s="847"/>
      <c r="B137" s="845"/>
      <c r="C137" s="731"/>
      <c r="D137" s="610"/>
    </row>
    <row r="138">
      <c r="A138" s="847"/>
      <c r="B138" s="845"/>
      <c r="C138" s="731"/>
      <c r="D138" s="610"/>
    </row>
    <row r="139">
      <c r="A139" s="847"/>
      <c r="B139" s="845"/>
      <c r="C139" s="731"/>
      <c r="D139" s="610"/>
    </row>
    <row r="140">
      <c r="A140" s="847"/>
      <c r="B140" s="845"/>
      <c r="C140" s="731"/>
      <c r="D140" s="610"/>
    </row>
    <row r="141">
      <c r="A141" s="847"/>
      <c r="B141" s="845"/>
      <c r="C141" s="731"/>
      <c r="D141" s="610"/>
    </row>
    <row r="142">
      <c r="A142" s="847"/>
      <c r="B142" s="845"/>
      <c r="C142" s="731"/>
      <c r="D142" s="610"/>
    </row>
    <row r="143">
      <c r="A143" s="847"/>
      <c r="B143" s="845"/>
      <c r="C143" s="731"/>
      <c r="D143" s="610"/>
    </row>
    <row r="144">
      <c r="A144" s="847"/>
      <c r="B144" s="845"/>
      <c r="C144" s="731"/>
      <c r="D144" s="610"/>
    </row>
    <row r="145">
      <c r="A145" s="847"/>
      <c r="B145" s="845"/>
      <c r="C145" s="731"/>
      <c r="D145" s="610"/>
    </row>
    <row r="146">
      <c r="A146" s="847"/>
      <c r="B146" s="845"/>
      <c r="C146" s="731"/>
      <c r="D146" s="610"/>
    </row>
    <row r="147">
      <c r="A147" s="847"/>
      <c r="B147" s="845"/>
      <c r="C147" s="731"/>
      <c r="D147" s="610"/>
    </row>
    <row r="148">
      <c r="A148" s="847"/>
      <c r="B148" s="845"/>
      <c r="C148" s="731"/>
      <c r="D148" s="610"/>
    </row>
    <row r="149">
      <c r="A149" s="847"/>
      <c r="B149" s="845"/>
      <c r="C149" s="731"/>
      <c r="D149" s="610"/>
    </row>
    <row r="150">
      <c r="A150" s="847"/>
      <c r="B150" s="845"/>
      <c r="C150" s="731"/>
      <c r="D150" s="610"/>
    </row>
    <row r="151">
      <c r="A151" s="847"/>
      <c r="B151" s="845"/>
      <c r="C151" s="731"/>
      <c r="D151" s="610"/>
    </row>
    <row r="152">
      <c r="A152" s="847"/>
      <c r="B152" s="845"/>
      <c r="C152" s="731"/>
      <c r="D152" s="610"/>
    </row>
    <row r="153">
      <c r="A153" s="847"/>
      <c r="B153" s="845"/>
      <c r="C153" s="731"/>
      <c r="D153" s="610"/>
    </row>
    <row r="154">
      <c r="A154" s="847"/>
      <c r="B154" s="845"/>
      <c r="C154" s="731"/>
      <c r="D154" s="610"/>
    </row>
    <row r="155">
      <c r="A155" s="847"/>
      <c r="B155" s="845"/>
      <c r="C155" s="731"/>
      <c r="D155" s="610"/>
    </row>
    <row r="156">
      <c r="A156" s="847"/>
      <c r="B156" s="845"/>
      <c r="C156" s="731"/>
      <c r="D156" s="610"/>
    </row>
    <row r="157">
      <c r="A157" s="847"/>
      <c r="B157" s="845"/>
      <c r="C157" s="731"/>
      <c r="D157" s="610"/>
    </row>
    <row r="158">
      <c r="A158" s="847"/>
      <c r="B158" s="845"/>
      <c r="C158" s="731"/>
      <c r="D158" s="610"/>
    </row>
    <row r="159">
      <c r="A159" s="847"/>
      <c r="B159" s="845"/>
      <c r="C159" s="731"/>
      <c r="D159" s="610"/>
    </row>
    <row r="160">
      <c r="A160" s="847"/>
      <c r="B160" s="845"/>
      <c r="C160" s="731"/>
      <c r="D160" s="610"/>
    </row>
    <row r="161">
      <c r="A161" s="847"/>
      <c r="B161" s="845"/>
      <c r="C161" s="731"/>
      <c r="D161" s="610"/>
    </row>
    <row r="162">
      <c r="A162" s="847"/>
      <c r="B162" s="845"/>
      <c r="C162" s="731"/>
      <c r="D162" s="610"/>
    </row>
    <row r="163">
      <c r="A163" s="847"/>
      <c r="B163" s="845"/>
      <c r="C163" s="731"/>
      <c r="D163" s="610"/>
    </row>
    <row r="164">
      <c r="A164" s="847"/>
      <c r="B164" s="845"/>
      <c r="C164" s="731"/>
      <c r="D164" s="610"/>
    </row>
    <row r="165">
      <c r="A165" s="847"/>
      <c r="B165" s="845"/>
      <c r="C165" s="731"/>
      <c r="D165" s="610"/>
    </row>
    <row r="166">
      <c r="A166" s="847"/>
      <c r="B166" s="845"/>
      <c r="C166" s="731"/>
      <c r="D166" s="610"/>
    </row>
    <row r="167">
      <c r="A167" s="847"/>
      <c r="B167" s="845"/>
      <c r="C167" s="731"/>
      <c r="D167" s="610"/>
    </row>
    <row r="168">
      <c r="A168" s="847"/>
      <c r="B168" s="845"/>
      <c r="C168" s="731"/>
      <c r="D168" s="610"/>
    </row>
    <row r="169">
      <c r="A169" s="847"/>
      <c r="B169" s="845"/>
      <c r="C169" s="731"/>
      <c r="D169" s="610"/>
    </row>
    <row r="170">
      <c r="A170" s="847"/>
      <c r="B170" s="845"/>
      <c r="C170" s="731"/>
      <c r="D170" s="610"/>
    </row>
    <row r="171">
      <c r="A171" s="847"/>
      <c r="B171" s="845"/>
      <c r="C171" s="731"/>
      <c r="D171" s="610"/>
    </row>
    <row r="172">
      <c r="A172" s="847"/>
      <c r="B172" s="845"/>
      <c r="C172" s="731"/>
      <c r="D172" s="610"/>
    </row>
    <row r="173">
      <c r="A173" s="847"/>
      <c r="B173" s="845"/>
      <c r="C173" s="731"/>
      <c r="D173" s="610"/>
    </row>
    <row r="174">
      <c r="A174" s="847"/>
      <c r="B174" s="845"/>
      <c r="C174" s="731"/>
      <c r="D174" s="610"/>
    </row>
    <row r="175">
      <c r="A175" s="847"/>
      <c r="B175" s="845"/>
      <c r="C175" s="731"/>
      <c r="D175" s="610"/>
    </row>
    <row r="176">
      <c r="A176" s="847"/>
      <c r="B176" s="845"/>
      <c r="C176" s="731"/>
      <c r="D176" s="610"/>
    </row>
    <row r="177">
      <c r="A177" s="847"/>
      <c r="B177" s="845"/>
      <c r="C177" s="731"/>
      <c r="D177" s="610"/>
    </row>
    <row r="178">
      <c r="A178" s="847"/>
      <c r="B178" s="845"/>
      <c r="C178" s="731"/>
      <c r="D178" s="610"/>
    </row>
    <row r="179">
      <c r="A179" s="847"/>
      <c r="B179" s="845"/>
      <c r="C179" s="731"/>
      <c r="D179" s="610"/>
    </row>
    <row r="180">
      <c r="A180" s="847"/>
      <c r="B180" s="845"/>
      <c r="C180" s="731"/>
      <c r="D180" s="610"/>
    </row>
    <row r="181">
      <c r="A181" s="847"/>
      <c r="B181" s="845"/>
      <c r="C181" s="731"/>
      <c r="D181" s="610"/>
    </row>
    <row r="182">
      <c r="A182" s="847"/>
      <c r="B182" s="845"/>
      <c r="C182" s="731"/>
      <c r="D182" s="610"/>
    </row>
    <row r="183">
      <c r="A183" s="847"/>
      <c r="B183" s="845"/>
      <c r="C183" s="731"/>
      <c r="D183" s="610"/>
    </row>
    <row r="184">
      <c r="A184" s="847"/>
      <c r="B184" s="845"/>
      <c r="C184" s="731"/>
      <c r="D184" s="610"/>
    </row>
    <row r="185">
      <c r="A185" s="847"/>
      <c r="B185" s="845"/>
      <c r="C185" s="731"/>
      <c r="D185" s="610"/>
    </row>
    <row r="186">
      <c r="A186" s="847"/>
      <c r="B186" s="845"/>
      <c r="C186" s="731"/>
      <c r="D186" s="610"/>
    </row>
    <row r="187">
      <c r="A187" s="847"/>
      <c r="B187" s="845"/>
      <c r="C187" s="731"/>
      <c r="D187" s="610"/>
    </row>
    <row r="188">
      <c r="A188" s="847"/>
      <c r="B188" s="845"/>
      <c r="C188" s="731"/>
      <c r="D188" s="610"/>
    </row>
    <row r="189">
      <c r="A189" s="847"/>
      <c r="B189" s="845"/>
      <c r="C189" s="731"/>
      <c r="D189" s="610"/>
    </row>
    <row r="190">
      <c r="A190" s="847"/>
      <c r="B190" s="845"/>
      <c r="C190" s="731"/>
      <c r="D190" s="610"/>
    </row>
    <row r="191">
      <c r="A191" s="847"/>
      <c r="B191" s="845"/>
      <c r="C191" s="731"/>
      <c r="D191" s="610"/>
    </row>
    <row r="192">
      <c r="A192" s="847"/>
      <c r="B192" s="845"/>
      <c r="C192" s="731"/>
      <c r="D192" s="610"/>
    </row>
    <row r="193">
      <c r="A193" s="847"/>
      <c r="B193" s="845"/>
      <c r="C193" s="731"/>
      <c r="D193" s="610"/>
    </row>
    <row r="194">
      <c r="A194" s="847"/>
      <c r="B194" s="845"/>
      <c r="C194" s="731"/>
      <c r="D194" s="610"/>
    </row>
    <row r="195">
      <c r="A195" s="847"/>
      <c r="B195" s="845"/>
      <c r="C195" s="731"/>
      <c r="D195" s="610"/>
    </row>
    <row r="196">
      <c r="A196" s="847"/>
      <c r="B196" s="845"/>
      <c r="C196" s="731"/>
      <c r="D196" s="610"/>
    </row>
    <row r="197">
      <c r="A197" s="847"/>
      <c r="B197" s="845"/>
      <c r="C197" s="731"/>
      <c r="D197" s="610"/>
    </row>
    <row r="198">
      <c r="A198" s="847"/>
      <c r="B198" s="845"/>
      <c r="C198" s="731"/>
      <c r="D198" s="610"/>
    </row>
    <row r="199">
      <c r="A199" s="847"/>
      <c r="B199" s="845"/>
      <c r="C199" s="731"/>
      <c r="D199" s="610"/>
    </row>
    <row r="200">
      <c r="A200" s="847"/>
      <c r="B200" s="845"/>
      <c r="C200" s="731"/>
      <c r="D200" s="610"/>
    </row>
    <row r="201">
      <c r="A201" s="847"/>
      <c r="B201" s="845"/>
      <c r="C201" s="731"/>
      <c r="D201" s="610"/>
    </row>
    <row r="202">
      <c r="A202" s="847"/>
      <c r="B202" s="845"/>
      <c r="C202" s="731"/>
      <c r="D202" s="610"/>
    </row>
    <row r="203">
      <c r="A203" s="847"/>
      <c r="B203" s="845"/>
      <c r="C203" s="731"/>
      <c r="D203" s="610"/>
    </row>
    <row r="204">
      <c r="A204" s="847"/>
      <c r="B204" s="845"/>
      <c r="C204" s="731"/>
      <c r="D204" s="610"/>
    </row>
    <row r="205">
      <c r="A205" s="847"/>
      <c r="B205" s="845"/>
      <c r="C205" s="731"/>
      <c r="D205" s="610"/>
    </row>
    <row r="206">
      <c r="A206" s="847"/>
      <c r="B206" s="845"/>
      <c r="C206" s="731"/>
      <c r="D206" s="610"/>
    </row>
    <row r="207">
      <c r="A207" s="847"/>
      <c r="B207" s="845"/>
      <c r="C207" s="731"/>
      <c r="D207" s="610"/>
    </row>
    <row r="208">
      <c r="A208" s="847"/>
      <c r="B208" s="845"/>
      <c r="C208" s="731"/>
      <c r="D208" s="610"/>
    </row>
    <row r="209">
      <c r="A209" s="847"/>
      <c r="B209" s="845"/>
      <c r="C209" s="731"/>
      <c r="D209" s="610"/>
    </row>
    <row r="210">
      <c r="A210" s="847"/>
      <c r="B210" s="845"/>
      <c r="C210" s="731"/>
      <c r="D210" s="610"/>
    </row>
    <row r="211">
      <c r="A211" s="847"/>
      <c r="B211" s="845"/>
      <c r="C211" s="731"/>
      <c r="D211" s="610"/>
    </row>
    <row r="212">
      <c r="A212" s="847"/>
      <c r="B212" s="845"/>
      <c r="C212" s="731"/>
      <c r="D212" s="610"/>
    </row>
    <row r="213">
      <c r="A213" s="847"/>
      <c r="B213" s="845"/>
      <c r="C213" s="731"/>
      <c r="D213" s="610"/>
    </row>
    <row r="214">
      <c r="A214" s="847"/>
      <c r="B214" s="845"/>
      <c r="C214" s="731"/>
      <c r="D214" s="610"/>
    </row>
    <row r="215">
      <c r="A215" s="847"/>
      <c r="B215" s="845"/>
      <c r="C215" s="731"/>
      <c r="D215" s="610"/>
    </row>
    <row r="216">
      <c r="A216" s="847"/>
      <c r="B216" s="845"/>
      <c r="C216" s="731"/>
      <c r="D216" s="610"/>
    </row>
    <row r="217">
      <c r="A217" s="847"/>
      <c r="B217" s="845"/>
      <c r="C217" s="731"/>
      <c r="D217" s="610"/>
    </row>
    <row r="218">
      <c r="A218" s="847"/>
      <c r="B218" s="845"/>
      <c r="C218" s="731"/>
      <c r="D218" s="610"/>
    </row>
    <row r="219">
      <c r="A219" s="847"/>
      <c r="B219" s="845"/>
      <c r="C219" s="731"/>
      <c r="D219" s="610"/>
    </row>
    <row r="220">
      <c r="A220" s="847"/>
      <c r="B220" s="845"/>
      <c r="C220" s="731"/>
      <c r="D220" s="610"/>
    </row>
    <row r="221">
      <c r="A221" s="847"/>
      <c r="B221" s="845"/>
      <c r="C221" s="731"/>
      <c r="D221" s="610"/>
    </row>
    <row r="222">
      <c r="A222" s="847"/>
      <c r="B222" s="845"/>
      <c r="C222" s="731"/>
      <c r="D222" s="610"/>
    </row>
    <row r="223">
      <c r="A223" s="847"/>
      <c r="B223" s="845"/>
      <c r="C223" s="731"/>
      <c r="D223" s="610"/>
    </row>
    <row r="224">
      <c r="A224" s="847"/>
      <c r="B224" s="845"/>
      <c r="C224" s="731"/>
      <c r="D224" s="610"/>
    </row>
    <row r="225">
      <c r="A225" s="847"/>
      <c r="B225" s="845"/>
      <c r="C225" s="731"/>
      <c r="D225" s="610"/>
    </row>
    <row r="226">
      <c r="A226" s="847"/>
      <c r="B226" s="845"/>
      <c r="C226" s="731"/>
      <c r="D226" s="610"/>
    </row>
    <row r="227">
      <c r="A227" s="847"/>
      <c r="B227" s="845"/>
      <c r="C227" s="731"/>
      <c r="D227" s="610"/>
    </row>
    <row r="228">
      <c r="A228" s="847"/>
      <c r="B228" s="845"/>
      <c r="C228" s="731"/>
      <c r="D228" s="610"/>
    </row>
    <row r="229">
      <c r="A229" s="847"/>
      <c r="B229" s="845"/>
      <c r="C229" s="731"/>
      <c r="D229" s="610"/>
    </row>
    <row r="230">
      <c r="A230" s="847"/>
      <c r="B230" s="845"/>
      <c r="C230" s="731"/>
      <c r="D230" s="610"/>
    </row>
    <row r="231">
      <c r="A231" s="847"/>
      <c r="B231" s="845"/>
      <c r="C231" s="731"/>
      <c r="D231" s="610"/>
    </row>
    <row r="232">
      <c r="A232" s="847"/>
      <c r="B232" s="845"/>
      <c r="C232" s="731"/>
      <c r="D232" s="610"/>
    </row>
    <row r="233">
      <c r="A233" s="847"/>
      <c r="B233" s="845"/>
      <c r="C233" s="731"/>
      <c r="D233" s="610"/>
    </row>
    <row r="234">
      <c r="A234" s="847"/>
      <c r="B234" s="845"/>
      <c r="C234" s="731"/>
      <c r="D234" s="610"/>
    </row>
    <row r="235">
      <c r="A235" s="847"/>
      <c r="B235" s="845"/>
      <c r="C235" s="731"/>
      <c r="D235" s="610"/>
    </row>
    <row r="236">
      <c r="A236" s="847"/>
      <c r="B236" s="845"/>
      <c r="C236" s="731"/>
      <c r="D236" s="610"/>
    </row>
    <row r="237">
      <c r="A237" s="847"/>
      <c r="B237" s="845"/>
      <c r="C237" s="731"/>
      <c r="D237" s="610"/>
    </row>
    <row r="238">
      <c r="A238" s="847"/>
      <c r="B238" s="845"/>
      <c r="C238" s="731"/>
      <c r="D238" s="610"/>
    </row>
    <row r="239">
      <c r="A239" s="847"/>
      <c r="B239" s="845"/>
      <c r="C239" s="731"/>
      <c r="D239" s="610"/>
    </row>
    <row r="240">
      <c r="A240" s="847"/>
      <c r="B240" s="845"/>
      <c r="C240" s="731"/>
      <c r="D240" s="610"/>
    </row>
    <row r="241">
      <c r="A241" s="847"/>
      <c r="B241" s="845"/>
      <c r="C241" s="731"/>
      <c r="D241" s="610"/>
    </row>
    <row r="242">
      <c r="A242" s="847"/>
      <c r="B242" s="845"/>
      <c r="C242" s="731"/>
      <c r="D242" s="610"/>
    </row>
    <row r="243">
      <c r="A243" s="847"/>
      <c r="B243" s="845"/>
      <c r="C243" s="731"/>
      <c r="D243" s="610"/>
    </row>
    <row r="244">
      <c r="A244" s="847"/>
      <c r="B244" s="845"/>
      <c r="C244" s="731"/>
      <c r="D244" s="610"/>
    </row>
    <row r="245">
      <c r="A245" s="847"/>
      <c r="B245" s="845"/>
      <c r="C245" s="731"/>
      <c r="D245" s="610"/>
    </row>
    <row r="246">
      <c r="A246" s="847"/>
      <c r="B246" s="845"/>
      <c r="C246" s="731"/>
      <c r="D246" s="610"/>
    </row>
    <row r="247">
      <c r="A247" s="847"/>
      <c r="B247" s="845"/>
      <c r="C247" s="731"/>
      <c r="D247" s="610"/>
    </row>
    <row r="248">
      <c r="A248" s="847"/>
      <c r="B248" s="845"/>
      <c r="C248" s="731"/>
      <c r="D248" s="610"/>
    </row>
    <row r="249">
      <c r="A249" s="847"/>
      <c r="B249" s="845"/>
      <c r="C249" s="731"/>
      <c r="D249" s="610"/>
    </row>
    <row r="250">
      <c r="A250" s="847"/>
      <c r="B250" s="845"/>
      <c r="C250" s="731"/>
      <c r="D250" s="610"/>
    </row>
    <row r="251">
      <c r="A251" s="847"/>
      <c r="B251" s="845"/>
      <c r="C251" s="731"/>
      <c r="D251" s="610"/>
    </row>
    <row r="252">
      <c r="A252" s="847"/>
      <c r="B252" s="845"/>
      <c r="C252" s="731"/>
      <c r="D252" s="610"/>
    </row>
    <row r="253">
      <c r="A253" s="847"/>
      <c r="B253" s="845"/>
      <c r="C253" s="731"/>
      <c r="D253" s="610"/>
    </row>
    <row r="254">
      <c r="A254" s="847"/>
      <c r="B254" s="845"/>
      <c r="C254" s="731"/>
      <c r="D254" s="610"/>
    </row>
    <row r="255">
      <c r="A255" s="847"/>
      <c r="B255" s="845"/>
      <c r="C255" s="731"/>
      <c r="D255" s="610"/>
    </row>
    <row r="256">
      <c r="A256" s="847"/>
      <c r="B256" s="845"/>
      <c r="C256" s="731"/>
      <c r="D256" s="610"/>
    </row>
    <row r="257">
      <c r="A257" s="847"/>
      <c r="B257" s="845"/>
      <c r="C257" s="731"/>
      <c r="D257" s="610"/>
    </row>
    <row r="258">
      <c r="A258" s="847"/>
      <c r="B258" s="845"/>
      <c r="C258" s="731"/>
      <c r="D258" s="610"/>
    </row>
    <row r="259">
      <c r="A259" s="847"/>
      <c r="B259" s="845"/>
      <c r="C259" s="731"/>
      <c r="D259" s="610"/>
    </row>
    <row r="260">
      <c r="A260" s="847"/>
      <c r="B260" s="845"/>
      <c r="C260" s="731"/>
      <c r="D260" s="610"/>
    </row>
    <row r="261">
      <c r="A261" s="847"/>
      <c r="B261" s="845"/>
      <c r="C261" s="731"/>
      <c r="D261" s="610"/>
    </row>
    <row r="262">
      <c r="A262" s="847"/>
      <c r="B262" s="845"/>
      <c r="C262" s="731"/>
      <c r="D262" s="610"/>
    </row>
    <row r="263">
      <c r="A263" s="847"/>
      <c r="B263" s="845"/>
      <c r="C263" s="731"/>
      <c r="D263" s="610"/>
    </row>
    <row r="264">
      <c r="A264" s="847"/>
      <c r="B264" s="845"/>
      <c r="C264" s="731"/>
      <c r="D264" s="610"/>
    </row>
    <row r="265">
      <c r="A265" s="847"/>
      <c r="B265" s="845"/>
      <c r="C265" s="731"/>
      <c r="D265" s="610"/>
    </row>
    <row r="266">
      <c r="A266" s="847"/>
      <c r="B266" s="845"/>
      <c r="C266" s="731"/>
      <c r="D266" s="610"/>
    </row>
    <row r="267">
      <c r="A267" s="847"/>
      <c r="B267" s="845"/>
      <c r="C267" s="731"/>
      <c r="D267" s="610"/>
    </row>
    <row r="268">
      <c r="A268" s="847"/>
      <c r="B268" s="845"/>
      <c r="C268" s="731"/>
      <c r="D268" s="610"/>
    </row>
    <row r="269">
      <c r="A269" s="847"/>
      <c r="B269" s="845"/>
      <c r="C269" s="731"/>
      <c r="D269" s="610"/>
    </row>
    <row r="270">
      <c r="A270" s="847"/>
      <c r="B270" s="845"/>
      <c r="C270" s="731"/>
      <c r="D270" s="610"/>
    </row>
    <row r="271">
      <c r="A271" s="847"/>
      <c r="B271" s="845"/>
      <c r="C271" s="731"/>
      <c r="D271" s="610"/>
    </row>
    <row r="272">
      <c r="A272" s="847"/>
      <c r="B272" s="845"/>
      <c r="C272" s="731"/>
      <c r="D272" s="610"/>
    </row>
    <row r="273">
      <c r="A273" s="847"/>
      <c r="B273" s="845"/>
      <c r="C273" s="731"/>
      <c r="D273" s="610"/>
    </row>
    <row r="274">
      <c r="A274" s="847"/>
      <c r="B274" s="845"/>
      <c r="C274" s="731"/>
      <c r="D274" s="610"/>
    </row>
    <row r="275">
      <c r="A275" s="847"/>
      <c r="B275" s="845"/>
      <c r="C275" s="731"/>
      <c r="D275" s="610"/>
    </row>
    <row r="276">
      <c r="A276" s="847"/>
      <c r="B276" s="845"/>
      <c r="C276" s="731"/>
      <c r="D276" s="610"/>
    </row>
    <row r="277">
      <c r="A277" s="847"/>
      <c r="B277" s="845"/>
      <c r="C277" s="731"/>
      <c r="D277" s="610"/>
    </row>
    <row r="278">
      <c r="A278" s="847"/>
      <c r="B278" s="845"/>
      <c r="C278" s="731"/>
      <c r="D278" s="610"/>
    </row>
    <row r="279">
      <c r="A279" s="847"/>
      <c r="B279" s="845"/>
      <c r="C279" s="731"/>
      <c r="D279" s="610"/>
    </row>
    <row r="280">
      <c r="A280" s="847"/>
      <c r="B280" s="845"/>
      <c r="C280" s="731"/>
      <c r="D280" s="610"/>
    </row>
    <row r="281">
      <c r="A281" s="847"/>
      <c r="B281" s="845"/>
      <c r="C281" s="731"/>
      <c r="D281" s="610"/>
    </row>
    <row r="282">
      <c r="A282" s="847"/>
      <c r="B282" s="845"/>
      <c r="C282" s="731"/>
      <c r="D282" s="610"/>
    </row>
    <row r="283">
      <c r="A283" s="847"/>
      <c r="B283" s="845"/>
      <c r="C283" s="731"/>
      <c r="D283" s="610"/>
    </row>
    <row r="284">
      <c r="A284" s="847"/>
      <c r="B284" s="845"/>
      <c r="C284" s="731"/>
      <c r="D284" s="610"/>
    </row>
    <row r="285">
      <c r="A285" s="847"/>
      <c r="B285" s="845"/>
      <c r="C285" s="731"/>
      <c r="D285" s="610"/>
    </row>
    <row r="286">
      <c r="A286" s="847"/>
      <c r="B286" s="845"/>
      <c r="C286" s="731"/>
      <c r="D286" s="610"/>
    </row>
    <row r="287">
      <c r="A287" s="847"/>
      <c r="B287" s="845"/>
      <c r="C287" s="731"/>
      <c r="D287" s="610"/>
    </row>
    <row r="288">
      <c r="A288" s="847"/>
      <c r="B288" s="845"/>
      <c r="C288" s="731"/>
      <c r="D288" s="610"/>
    </row>
    <row r="289">
      <c r="A289" s="847"/>
      <c r="B289" s="845"/>
      <c r="C289" s="731"/>
      <c r="D289" s="610"/>
    </row>
    <row r="290">
      <c r="A290" s="847"/>
      <c r="B290" s="845"/>
      <c r="C290" s="731"/>
      <c r="D290" s="610"/>
    </row>
    <row r="291">
      <c r="A291" s="847"/>
      <c r="B291" s="845"/>
      <c r="C291" s="731"/>
      <c r="D291" s="610"/>
    </row>
    <row r="292">
      <c r="A292" s="847"/>
      <c r="B292" s="845"/>
      <c r="C292" s="731"/>
      <c r="D292" s="610"/>
    </row>
    <row r="293">
      <c r="A293" s="847"/>
      <c r="B293" s="845"/>
      <c r="C293" s="731"/>
      <c r="D293" s="610"/>
    </row>
    <row r="294">
      <c r="A294" s="847"/>
      <c r="B294" s="845"/>
      <c r="C294" s="731"/>
      <c r="D294" s="610"/>
    </row>
    <row r="295">
      <c r="A295" s="847"/>
      <c r="B295" s="845"/>
      <c r="C295" s="731"/>
      <c r="D295" s="610"/>
    </row>
    <row r="296">
      <c r="A296" s="847"/>
      <c r="B296" s="845"/>
      <c r="C296" s="731"/>
      <c r="D296" s="610"/>
    </row>
    <row r="297">
      <c r="A297" s="847"/>
      <c r="B297" s="845"/>
      <c r="C297" s="731"/>
      <c r="D297" s="610"/>
    </row>
    <row r="298">
      <c r="A298" s="847"/>
      <c r="B298" s="845"/>
      <c r="C298" s="731"/>
      <c r="D298" s="610"/>
    </row>
    <row r="299">
      <c r="A299" s="847"/>
      <c r="B299" s="845"/>
      <c r="C299" s="731"/>
      <c r="D299" s="610"/>
    </row>
    <row r="300">
      <c r="A300" s="847"/>
      <c r="B300" s="845"/>
      <c r="C300" s="731"/>
      <c r="D300" s="610"/>
    </row>
    <row r="301">
      <c r="A301" s="847"/>
      <c r="B301" s="845"/>
      <c r="C301" s="731"/>
      <c r="D301" s="610"/>
    </row>
    <row r="302">
      <c r="A302" s="847"/>
      <c r="B302" s="845"/>
      <c r="C302" s="731"/>
      <c r="D302" s="610"/>
    </row>
    <row r="303">
      <c r="A303" s="847"/>
      <c r="B303" s="845"/>
      <c r="C303" s="731"/>
      <c r="D303" s="610"/>
    </row>
    <row r="304">
      <c r="A304" s="847"/>
      <c r="B304" s="845"/>
      <c r="C304" s="731"/>
      <c r="D304" s="610"/>
    </row>
    <row r="305">
      <c r="A305" s="847"/>
      <c r="B305" s="845"/>
      <c r="C305" s="731"/>
      <c r="D305" s="610"/>
    </row>
    <row r="306">
      <c r="A306" s="847"/>
      <c r="B306" s="845"/>
      <c r="C306" s="731"/>
      <c r="D306" s="610"/>
    </row>
    <row r="307">
      <c r="A307" s="847"/>
      <c r="B307" s="845"/>
      <c r="C307" s="731"/>
      <c r="D307" s="610"/>
    </row>
    <row r="308">
      <c r="A308" s="847"/>
      <c r="B308" s="845"/>
      <c r="C308" s="731"/>
      <c r="D308" s="610"/>
    </row>
    <row r="309">
      <c r="A309" s="847"/>
      <c r="B309" s="845"/>
      <c r="C309" s="731"/>
      <c r="D309" s="610"/>
    </row>
    <row r="310">
      <c r="A310" s="847"/>
      <c r="B310" s="845"/>
      <c r="C310" s="731"/>
      <c r="D310" s="610"/>
    </row>
    <row r="311">
      <c r="A311" s="847"/>
      <c r="B311" s="845"/>
      <c r="C311" s="731"/>
      <c r="D311" s="610"/>
    </row>
    <row r="312">
      <c r="A312" s="847"/>
      <c r="B312" s="845"/>
      <c r="C312" s="731"/>
      <c r="D312" s="610"/>
    </row>
    <row r="313">
      <c r="A313" s="847"/>
      <c r="B313" s="845"/>
      <c r="C313" s="731"/>
      <c r="D313" s="610"/>
    </row>
    <row r="314">
      <c r="A314" s="847"/>
      <c r="B314" s="845"/>
      <c r="C314" s="731"/>
      <c r="D314" s="610"/>
    </row>
    <row r="315">
      <c r="A315" s="847"/>
      <c r="B315" s="845"/>
      <c r="C315" s="731"/>
      <c r="D315" s="610"/>
    </row>
    <row r="316">
      <c r="A316" s="847"/>
      <c r="B316" s="845"/>
      <c r="C316" s="731"/>
      <c r="D316" s="610"/>
    </row>
    <row r="317">
      <c r="A317" s="847"/>
      <c r="B317" s="845"/>
      <c r="C317" s="731"/>
      <c r="D317" s="610"/>
    </row>
    <row r="318">
      <c r="A318" s="847"/>
      <c r="B318" s="845"/>
      <c r="C318" s="731"/>
      <c r="D318" s="610"/>
    </row>
    <row r="319">
      <c r="A319" s="847"/>
      <c r="B319" s="845"/>
      <c r="C319" s="731"/>
      <c r="D319" s="610"/>
    </row>
    <row r="320">
      <c r="A320" s="847"/>
      <c r="B320" s="845"/>
      <c r="C320" s="731"/>
      <c r="D320" s="610"/>
    </row>
    <row r="321">
      <c r="A321" s="847"/>
      <c r="B321" s="845"/>
      <c r="C321" s="731"/>
      <c r="D321" s="610"/>
    </row>
    <row r="322">
      <c r="A322" s="847"/>
      <c r="B322" s="845"/>
      <c r="C322" s="731"/>
      <c r="D322" s="610"/>
    </row>
    <row r="323">
      <c r="A323" s="847"/>
      <c r="B323" s="845"/>
      <c r="C323" s="731"/>
      <c r="D323" s="610"/>
    </row>
    <row r="324">
      <c r="A324" s="847"/>
      <c r="B324" s="845"/>
      <c r="C324" s="731"/>
      <c r="D324" s="610"/>
    </row>
    <row r="325">
      <c r="A325" s="847"/>
      <c r="B325" s="845"/>
      <c r="C325" s="731"/>
      <c r="D325" s="610"/>
    </row>
    <row r="326">
      <c r="A326" s="847"/>
      <c r="B326" s="845"/>
      <c r="C326" s="731"/>
      <c r="D326" s="610"/>
    </row>
    <row r="327">
      <c r="A327" s="847"/>
      <c r="B327" s="845"/>
      <c r="C327" s="731"/>
      <c r="D327" s="610"/>
    </row>
    <row r="328">
      <c r="A328" s="847"/>
      <c r="B328" s="845"/>
      <c r="C328" s="731"/>
      <c r="D328" s="610"/>
    </row>
    <row r="329">
      <c r="A329" s="847"/>
      <c r="B329" s="845"/>
      <c r="C329" s="731"/>
      <c r="D329" s="610"/>
    </row>
    <row r="330">
      <c r="A330" s="847"/>
      <c r="B330" s="845"/>
      <c r="C330" s="731"/>
      <c r="D330" s="610"/>
    </row>
    <row r="331">
      <c r="A331" s="847"/>
      <c r="B331" s="845"/>
      <c r="C331" s="731"/>
      <c r="D331" s="610"/>
    </row>
    <row r="332">
      <c r="A332" s="847"/>
      <c r="B332" s="845"/>
      <c r="C332" s="731"/>
      <c r="D332" s="610"/>
    </row>
    <row r="333">
      <c r="A333" s="847"/>
      <c r="B333" s="845"/>
      <c r="C333" s="731"/>
      <c r="D333" s="610"/>
    </row>
    <row r="334">
      <c r="A334" s="847"/>
      <c r="B334" s="845"/>
      <c r="C334" s="731"/>
      <c r="D334" s="610"/>
    </row>
    <row r="335">
      <c r="A335" s="847"/>
      <c r="B335" s="845"/>
      <c r="C335" s="731"/>
      <c r="D335" s="610"/>
    </row>
    <row r="336">
      <c r="A336" s="847"/>
      <c r="B336" s="845"/>
      <c r="C336" s="731"/>
      <c r="D336" s="610"/>
    </row>
    <row r="337">
      <c r="A337" s="847"/>
      <c r="B337" s="845"/>
      <c r="C337" s="731"/>
      <c r="D337" s="610"/>
    </row>
    <row r="338">
      <c r="A338" s="847"/>
      <c r="B338" s="845"/>
      <c r="C338" s="731"/>
      <c r="D338" s="610"/>
    </row>
    <row r="339">
      <c r="A339" s="847"/>
      <c r="B339" s="845"/>
      <c r="C339" s="731"/>
      <c r="D339" s="610"/>
    </row>
    <row r="340">
      <c r="A340" s="847"/>
      <c r="B340" s="845"/>
      <c r="C340" s="731"/>
      <c r="D340" s="610"/>
    </row>
    <row r="341">
      <c r="A341" s="847"/>
      <c r="B341" s="845"/>
      <c r="C341" s="731"/>
      <c r="D341" s="610"/>
    </row>
    <row r="342">
      <c r="A342" s="847"/>
      <c r="B342" s="845"/>
      <c r="C342" s="731"/>
      <c r="D342" s="610"/>
    </row>
    <row r="343">
      <c r="A343" s="847"/>
      <c r="B343" s="845"/>
      <c r="C343" s="731"/>
      <c r="D343" s="610"/>
    </row>
    <row r="344">
      <c r="A344" s="847"/>
      <c r="B344" s="845"/>
      <c r="C344" s="731"/>
      <c r="D344" s="610"/>
    </row>
    <row r="345">
      <c r="A345" s="847"/>
      <c r="B345" s="845"/>
      <c r="C345" s="731"/>
      <c r="D345" s="610"/>
    </row>
    <row r="346">
      <c r="A346" s="847"/>
      <c r="B346" s="845"/>
      <c r="C346" s="731"/>
      <c r="D346" s="610"/>
    </row>
    <row r="347">
      <c r="A347" s="847"/>
      <c r="B347" s="845"/>
      <c r="C347" s="731"/>
      <c r="D347" s="610"/>
    </row>
    <row r="348">
      <c r="A348" s="847"/>
      <c r="B348" s="845"/>
      <c r="C348" s="731"/>
      <c r="D348" s="610"/>
    </row>
    <row r="349">
      <c r="A349" s="847"/>
      <c r="B349" s="845"/>
      <c r="C349" s="731"/>
      <c r="D349" s="610"/>
    </row>
    <row r="350">
      <c r="A350" s="847"/>
      <c r="B350" s="845"/>
      <c r="C350" s="731"/>
      <c r="D350" s="610"/>
    </row>
    <row r="351">
      <c r="A351" s="847"/>
      <c r="B351" s="845"/>
      <c r="C351" s="731"/>
      <c r="D351" s="610"/>
    </row>
    <row r="352">
      <c r="A352" s="847"/>
      <c r="B352" s="845"/>
      <c r="C352" s="731"/>
      <c r="D352" s="610"/>
    </row>
    <row r="353">
      <c r="A353" s="847"/>
      <c r="B353" s="845"/>
      <c r="C353" s="731"/>
      <c r="D353" s="610"/>
    </row>
    <row r="354">
      <c r="A354" s="847"/>
      <c r="B354" s="845"/>
      <c r="C354" s="731"/>
      <c r="D354" s="610"/>
    </row>
    <row r="355">
      <c r="A355" s="847"/>
      <c r="B355" s="845"/>
      <c r="C355" s="731"/>
      <c r="D355" s="610"/>
    </row>
    <row r="356">
      <c r="A356" s="847"/>
      <c r="B356" s="845"/>
      <c r="C356" s="731"/>
      <c r="D356" s="610"/>
    </row>
    <row r="357">
      <c r="A357" s="847"/>
      <c r="B357" s="845"/>
      <c r="C357" s="731"/>
      <c r="D357" s="610"/>
    </row>
    <row r="358">
      <c r="A358" s="847"/>
      <c r="B358" s="845"/>
      <c r="C358" s="731"/>
      <c r="D358" s="610"/>
    </row>
    <row r="359">
      <c r="A359" s="847"/>
      <c r="B359" s="845"/>
      <c r="C359" s="731"/>
      <c r="D359" s="610"/>
    </row>
    <row r="360">
      <c r="A360" s="847"/>
      <c r="B360" s="845"/>
      <c r="C360" s="731"/>
      <c r="D360" s="610"/>
    </row>
    <row r="361">
      <c r="A361" s="847"/>
      <c r="B361" s="845"/>
      <c r="C361" s="731"/>
      <c r="D361" s="610"/>
    </row>
    <row r="362">
      <c r="A362" s="847"/>
      <c r="B362" s="845"/>
      <c r="C362" s="731"/>
      <c r="D362" s="610"/>
    </row>
    <row r="363">
      <c r="A363" s="847"/>
      <c r="B363" s="845"/>
      <c r="C363" s="731"/>
      <c r="D363" s="610"/>
    </row>
    <row r="364">
      <c r="A364" s="847"/>
      <c r="B364" s="845"/>
      <c r="C364" s="731"/>
      <c r="D364" s="610"/>
    </row>
    <row r="365">
      <c r="A365" s="847"/>
      <c r="B365" s="845"/>
      <c r="C365" s="731"/>
      <c r="D365" s="610"/>
    </row>
    <row r="366">
      <c r="A366" s="847"/>
      <c r="B366" s="845"/>
      <c r="C366" s="731"/>
      <c r="D366" s="610"/>
    </row>
    <row r="367">
      <c r="A367" s="847"/>
      <c r="B367" s="845"/>
      <c r="C367" s="731"/>
      <c r="D367" s="610"/>
    </row>
    <row r="368">
      <c r="A368" s="847"/>
      <c r="B368" s="845"/>
      <c r="C368" s="731"/>
      <c r="D368" s="610"/>
    </row>
    <row r="369">
      <c r="A369" s="847"/>
      <c r="B369" s="845"/>
      <c r="C369" s="731"/>
      <c r="D369" s="610"/>
    </row>
    <row r="370">
      <c r="A370" s="847"/>
      <c r="B370" s="845"/>
      <c r="C370" s="731"/>
      <c r="D370" s="610"/>
    </row>
    <row r="371">
      <c r="A371" s="847"/>
      <c r="B371" s="845"/>
      <c r="C371" s="731"/>
      <c r="D371" s="610"/>
    </row>
    <row r="372">
      <c r="A372" s="847"/>
      <c r="B372" s="845"/>
      <c r="C372" s="731"/>
      <c r="D372" s="610"/>
    </row>
    <row r="373">
      <c r="A373" s="847"/>
      <c r="B373" s="845"/>
      <c r="C373" s="731"/>
      <c r="D373" s="610"/>
    </row>
    <row r="374">
      <c r="A374" s="847"/>
      <c r="B374" s="845"/>
      <c r="C374" s="731"/>
      <c r="D374" s="610"/>
    </row>
    <row r="375">
      <c r="A375" s="847"/>
      <c r="B375" s="845"/>
      <c r="C375" s="731"/>
      <c r="D375" s="610"/>
    </row>
    <row r="376">
      <c r="A376" s="847"/>
      <c r="B376" s="845"/>
      <c r="C376" s="731"/>
      <c r="D376" s="610"/>
    </row>
    <row r="377">
      <c r="A377" s="847"/>
      <c r="B377" s="845"/>
      <c r="C377" s="731"/>
      <c r="D377" s="610"/>
    </row>
    <row r="378">
      <c r="A378" s="847"/>
      <c r="B378" s="845"/>
      <c r="C378" s="731"/>
      <c r="D378" s="610"/>
    </row>
    <row r="379">
      <c r="A379" s="847"/>
      <c r="B379" s="845"/>
      <c r="C379" s="731"/>
      <c r="D379" s="610"/>
    </row>
    <row r="380">
      <c r="A380" s="847"/>
      <c r="B380" s="845"/>
      <c r="C380" s="731"/>
      <c r="D380" s="610"/>
    </row>
    <row r="381">
      <c r="A381" s="847"/>
      <c r="B381" s="845"/>
      <c r="C381" s="731"/>
      <c r="D381" s="610"/>
    </row>
    <row r="382">
      <c r="A382" s="847"/>
      <c r="B382" s="845"/>
      <c r="C382" s="731"/>
      <c r="D382" s="610"/>
    </row>
    <row r="383">
      <c r="A383" s="847"/>
      <c r="B383" s="845"/>
      <c r="C383" s="731"/>
      <c r="D383" s="610"/>
    </row>
    <row r="384">
      <c r="A384" s="847"/>
      <c r="B384" s="845"/>
      <c r="C384" s="731"/>
      <c r="D384" s="610"/>
    </row>
    <row r="385">
      <c r="A385" s="847"/>
      <c r="B385" s="845"/>
      <c r="C385" s="731"/>
      <c r="D385" s="610"/>
    </row>
    <row r="386">
      <c r="A386" s="847"/>
      <c r="B386" s="845"/>
      <c r="C386" s="731"/>
      <c r="D386" s="610"/>
    </row>
    <row r="387">
      <c r="A387" s="847"/>
      <c r="B387" s="845"/>
      <c r="C387" s="731"/>
      <c r="D387" s="610"/>
    </row>
    <row r="388">
      <c r="A388" s="847"/>
      <c r="B388" s="845"/>
      <c r="C388" s="731"/>
      <c r="D388" s="610"/>
    </row>
    <row r="389">
      <c r="A389" s="847"/>
      <c r="B389" s="845"/>
      <c r="C389" s="731"/>
      <c r="D389" s="610"/>
    </row>
    <row r="390">
      <c r="A390" s="847"/>
      <c r="B390" s="845"/>
      <c r="C390" s="731"/>
      <c r="D390" s="610"/>
    </row>
    <row r="391">
      <c r="A391" s="847"/>
      <c r="B391" s="845"/>
      <c r="C391" s="731"/>
      <c r="D391" s="610"/>
    </row>
    <row r="392">
      <c r="A392" s="847"/>
      <c r="B392" s="845"/>
      <c r="C392" s="731"/>
      <c r="D392" s="610"/>
    </row>
    <row r="393">
      <c r="A393" s="847"/>
      <c r="B393" s="845"/>
      <c r="C393" s="731"/>
      <c r="D393" s="610"/>
    </row>
    <row r="394">
      <c r="A394" s="847"/>
      <c r="B394" s="845"/>
      <c r="C394" s="731"/>
      <c r="D394" s="610"/>
    </row>
    <row r="395">
      <c r="A395" s="847"/>
      <c r="B395" s="845"/>
      <c r="C395" s="731"/>
      <c r="D395" s="610"/>
    </row>
    <row r="396">
      <c r="A396" s="847"/>
      <c r="B396" s="845"/>
      <c r="C396" s="731"/>
      <c r="D396" s="610"/>
    </row>
    <row r="397">
      <c r="A397" s="847"/>
      <c r="B397" s="845"/>
      <c r="C397" s="731"/>
      <c r="D397" s="610"/>
    </row>
    <row r="398">
      <c r="A398" s="847"/>
      <c r="B398" s="845"/>
      <c r="C398" s="731"/>
      <c r="D398" s="610"/>
    </row>
    <row r="399">
      <c r="A399" s="847"/>
      <c r="B399" s="845"/>
      <c r="C399" s="731"/>
      <c r="D399" s="610"/>
    </row>
    <row r="400">
      <c r="A400" s="847"/>
      <c r="B400" s="845"/>
      <c r="C400" s="731"/>
      <c r="D400" s="610"/>
    </row>
    <row r="401">
      <c r="A401" s="847"/>
      <c r="B401" s="845"/>
      <c r="C401" s="731"/>
      <c r="D401" s="610"/>
    </row>
    <row r="402">
      <c r="A402" s="847"/>
      <c r="B402" s="845"/>
      <c r="C402" s="731"/>
      <c r="D402" s="610"/>
    </row>
    <row r="403">
      <c r="A403" s="847"/>
      <c r="B403" s="845"/>
      <c r="C403" s="731"/>
      <c r="D403" s="610"/>
    </row>
    <row r="404">
      <c r="A404" s="847"/>
      <c r="B404" s="845"/>
      <c r="C404" s="731"/>
      <c r="D404" s="610"/>
    </row>
    <row r="405">
      <c r="A405" s="847"/>
      <c r="B405" s="845"/>
      <c r="C405" s="731"/>
      <c r="D405" s="610"/>
    </row>
    <row r="406">
      <c r="A406" s="847"/>
      <c r="B406" s="845"/>
      <c r="C406" s="731"/>
      <c r="D406" s="610"/>
    </row>
    <row r="407">
      <c r="A407" s="847"/>
      <c r="B407" s="845"/>
      <c r="C407" s="731"/>
      <c r="D407" s="610"/>
    </row>
    <row r="408">
      <c r="A408" s="847"/>
      <c r="B408" s="845"/>
      <c r="C408" s="731"/>
      <c r="D408" s="610"/>
    </row>
    <row r="409">
      <c r="A409" s="847"/>
      <c r="B409" s="845"/>
      <c r="C409" s="731"/>
      <c r="D409" s="610"/>
    </row>
    <row r="410">
      <c r="A410" s="847"/>
      <c r="B410" s="845"/>
      <c r="C410" s="731"/>
      <c r="D410" s="610"/>
    </row>
    <row r="411">
      <c r="A411" s="847"/>
      <c r="B411" s="845"/>
      <c r="C411" s="731"/>
      <c r="D411" s="610"/>
    </row>
    <row r="412">
      <c r="A412" s="847"/>
      <c r="B412" s="845"/>
      <c r="C412" s="731"/>
      <c r="D412" s="610"/>
    </row>
    <row r="413">
      <c r="A413" s="847"/>
      <c r="B413" s="845"/>
      <c r="C413" s="731"/>
      <c r="D413" s="610"/>
    </row>
    <row r="414">
      <c r="A414" s="847"/>
      <c r="B414" s="845"/>
      <c r="C414" s="731"/>
      <c r="D414" s="610"/>
    </row>
    <row r="415">
      <c r="A415" s="847"/>
      <c r="B415" s="845"/>
      <c r="C415" s="731"/>
      <c r="D415" s="610"/>
    </row>
    <row r="416">
      <c r="A416" s="847"/>
      <c r="B416" s="845"/>
      <c r="C416" s="731"/>
      <c r="D416" s="610"/>
    </row>
    <row r="417">
      <c r="A417" s="847"/>
      <c r="B417" s="845"/>
      <c r="C417" s="731"/>
      <c r="D417" s="610"/>
    </row>
    <row r="418">
      <c r="A418" s="847"/>
      <c r="B418" s="845"/>
      <c r="C418" s="731"/>
      <c r="D418" s="610"/>
    </row>
    <row r="419">
      <c r="A419" s="847"/>
      <c r="B419" s="845"/>
      <c r="C419" s="731"/>
      <c r="D419" s="610"/>
    </row>
    <row r="420">
      <c r="A420" s="847"/>
      <c r="B420" s="845"/>
      <c r="C420" s="731"/>
      <c r="D420" s="610"/>
    </row>
    <row r="421">
      <c r="A421" s="847"/>
      <c r="B421" s="845"/>
      <c r="C421" s="731"/>
      <c r="D421" s="610"/>
    </row>
    <row r="422">
      <c r="A422" s="847"/>
      <c r="B422" s="845"/>
      <c r="C422" s="731"/>
      <c r="D422" s="610"/>
    </row>
    <row r="423">
      <c r="A423" s="847"/>
      <c r="B423" s="845"/>
      <c r="C423" s="731"/>
      <c r="D423" s="610"/>
    </row>
    <row r="424">
      <c r="A424" s="847"/>
      <c r="B424" s="845"/>
      <c r="C424" s="731"/>
      <c r="D424" s="610"/>
    </row>
    <row r="425">
      <c r="A425" s="847"/>
      <c r="B425" s="845"/>
      <c r="C425" s="731"/>
      <c r="D425" s="610"/>
    </row>
    <row r="426">
      <c r="A426" s="847"/>
      <c r="B426" s="845"/>
      <c r="C426" s="731"/>
      <c r="D426" s="610"/>
    </row>
    <row r="427">
      <c r="A427" s="847"/>
      <c r="B427" s="845"/>
      <c r="C427" s="731"/>
      <c r="D427" s="610"/>
    </row>
    <row r="428">
      <c r="A428" s="847"/>
      <c r="B428" s="845"/>
      <c r="C428" s="731"/>
      <c r="D428" s="610"/>
    </row>
    <row r="429">
      <c r="A429" s="847"/>
      <c r="B429" s="845"/>
      <c r="C429" s="731"/>
      <c r="D429" s="610"/>
    </row>
    <row r="430">
      <c r="A430" s="847"/>
      <c r="B430" s="845"/>
      <c r="C430" s="731"/>
      <c r="D430" s="610"/>
    </row>
    <row r="431">
      <c r="A431" s="847"/>
      <c r="B431" s="845"/>
      <c r="C431" s="731"/>
      <c r="D431" s="610"/>
    </row>
    <row r="432">
      <c r="A432" s="847"/>
      <c r="B432" s="845"/>
      <c r="C432" s="731"/>
      <c r="D432" s="610"/>
    </row>
    <row r="433">
      <c r="A433" s="847"/>
      <c r="B433" s="845"/>
      <c r="C433" s="731"/>
      <c r="D433" s="610"/>
    </row>
    <row r="434">
      <c r="A434" s="847"/>
      <c r="B434" s="845"/>
      <c r="C434" s="731"/>
      <c r="D434" s="610"/>
    </row>
    <row r="435">
      <c r="A435" s="847"/>
      <c r="B435" s="845"/>
      <c r="C435" s="731"/>
      <c r="D435" s="610"/>
    </row>
    <row r="436">
      <c r="A436" s="847"/>
      <c r="B436" s="845"/>
      <c r="C436" s="731"/>
      <c r="D436" s="610"/>
    </row>
    <row r="437">
      <c r="A437" s="847"/>
      <c r="B437" s="845"/>
      <c r="C437" s="731"/>
      <c r="D437" s="610"/>
    </row>
    <row r="438">
      <c r="A438" s="847"/>
      <c r="B438" s="845"/>
      <c r="C438" s="731"/>
      <c r="D438" s="610"/>
    </row>
    <row r="439">
      <c r="A439" s="847"/>
      <c r="B439" s="845"/>
      <c r="C439" s="731"/>
      <c r="D439" s="610"/>
    </row>
    <row r="440">
      <c r="A440" s="847"/>
      <c r="B440" s="845"/>
      <c r="C440" s="731"/>
      <c r="D440" s="610"/>
    </row>
    <row r="441">
      <c r="A441" s="847"/>
      <c r="B441" s="845"/>
      <c r="C441" s="731"/>
      <c r="D441" s="610"/>
    </row>
    <row r="442">
      <c r="A442" s="847"/>
      <c r="B442" s="845"/>
      <c r="C442" s="731"/>
      <c r="D442" s="610"/>
    </row>
    <row r="443">
      <c r="A443" s="847"/>
      <c r="B443" s="845"/>
      <c r="C443" s="731"/>
      <c r="D443" s="610"/>
    </row>
    <row r="444">
      <c r="A444" s="847"/>
      <c r="B444" s="845"/>
      <c r="C444" s="731"/>
      <c r="D444" s="610"/>
    </row>
    <row r="445">
      <c r="A445" s="847"/>
      <c r="B445" s="845"/>
      <c r="C445" s="731"/>
      <c r="D445" s="610"/>
    </row>
    <row r="446">
      <c r="A446" s="847"/>
      <c r="B446" s="845"/>
      <c r="C446" s="731"/>
      <c r="D446" s="610"/>
    </row>
    <row r="447">
      <c r="A447" s="847"/>
      <c r="B447" s="845"/>
      <c r="C447" s="731"/>
      <c r="D447" s="610"/>
    </row>
    <row r="448">
      <c r="A448" s="847"/>
      <c r="B448" s="845"/>
      <c r="C448" s="731"/>
      <c r="D448" s="610"/>
    </row>
    <row r="449">
      <c r="A449" s="847"/>
      <c r="B449" s="845"/>
      <c r="C449" s="731"/>
      <c r="D449" s="610"/>
    </row>
    <row r="450">
      <c r="A450" s="847"/>
      <c r="B450" s="845"/>
      <c r="C450" s="731"/>
      <c r="D450" s="610"/>
    </row>
    <row r="451">
      <c r="A451" s="847"/>
      <c r="B451" s="845"/>
      <c r="C451" s="731"/>
      <c r="D451" s="610"/>
    </row>
    <row r="452">
      <c r="A452" s="847"/>
      <c r="B452" s="845"/>
      <c r="C452" s="731"/>
      <c r="D452" s="610"/>
    </row>
    <row r="453">
      <c r="A453" s="847"/>
      <c r="B453" s="845"/>
      <c r="C453" s="731"/>
      <c r="D453" s="610"/>
    </row>
    <row r="454">
      <c r="A454" s="847"/>
      <c r="B454" s="845"/>
      <c r="C454" s="731"/>
      <c r="D454" s="610"/>
    </row>
    <row r="455">
      <c r="A455" s="847"/>
      <c r="B455" s="845"/>
      <c r="C455" s="731"/>
      <c r="D455" s="610"/>
    </row>
    <row r="456">
      <c r="A456" s="847"/>
      <c r="B456" s="845"/>
      <c r="C456" s="731"/>
      <c r="D456" s="610"/>
    </row>
    <row r="457">
      <c r="A457" s="847"/>
      <c r="B457" s="845"/>
      <c r="C457" s="731"/>
      <c r="D457" s="610"/>
    </row>
    <row r="458">
      <c r="A458" s="847"/>
      <c r="B458" s="845"/>
      <c r="C458" s="731"/>
      <c r="D458" s="610"/>
    </row>
    <row r="459">
      <c r="A459" s="847"/>
      <c r="B459" s="845"/>
      <c r="C459" s="731"/>
      <c r="D459" s="610"/>
    </row>
    <row r="460">
      <c r="A460" s="847"/>
      <c r="B460" s="845"/>
      <c r="C460" s="731"/>
      <c r="D460" s="610"/>
    </row>
    <row r="461">
      <c r="A461" s="847"/>
      <c r="B461" s="845"/>
      <c r="C461" s="731"/>
      <c r="D461" s="610"/>
    </row>
    <row r="462">
      <c r="A462" s="847"/>
      <c r="B462" s="845"/>
      <c r="C462" s="731"/>
      <c r="D462" s="610"/>
    </row>
    <row r="463">
      <c r="A463" s="847"/>
      <c r="B463" s="845"/>
      <c r="C463" s="731"/>
      <c r="D463" s="610"/>
    </row>
    <row r="464">
      <c r="A464" s="847"/>
      <c r="B464" s="845"/>
      <c r="C464" s="731"/>
      <c r="D464" s="610"/>
    </row>
    <row r="465">
      <c r="A465" s="847"/>
      <c r="B465" s="845"/>
      <c r="C465" s="731"/>
      <c r="D465" s="610"/>
    </row>
    <row r="466">
      <c r="A466" s="847"/>
      <c r="B466" s="845"/>
      <c r="C466" s="731"/>
      <c r="D466" s="610"/>
    </row>
    <row r="467">
      <c r="A467" s="847"/>
      <c r="B467" s="845"/>
      <c r="C467" s="731"/>
      <c r="D467" s="610"/>
    </row>
    <row r="468">
      <c r="A468" s="847"/>
      <c r="B468" s="845"/>
      <c r="C468" s="731"/>
      <c r="D468" s="610"/>
    </row>
    <row r="469">
      <c r="A469" s="847"/>
      <c r="B469" s="845"/>
      <c r="C469" s="731"/>
      <c r="D469" s="610"/>
    </row>
    <row r="470">
      <c r="A470" s="847"/>
      <c r="B470" s="845"/>
      <c r="C470" s="731"/>
      <c r="D470" s="610"/>
    </row>
    <row r="471">
      <c r="A471" s="847"/>
      <c r="B471" s="845"/>
      <c r="C471" s="731"/>
      <c r="D471" s="610"/>
    </row>
    <row r="472">
      <c r="A472" s="847"/>
      <c r="B472" s="845"/>
      <c r="C472" s="731"/>
      <c r="D472" s="610"/>
    </row>
    <row r="473">
      <c r="A473" s="847"/>
      <c r="B473" s="845"/>
      <c r="C473" s="731"/>
      <c r="D473" s="610"/>
    </row>
    <row r="474">
      <c r="A474" s="847"/>
      <c r="B474" s="845"/>
      <c r="C474" s="731"/>
      <c r="D474" s="610"/>
    </row>
    <row r="475">
      <c r="A475" s="847"/>
      <c r="B475" s="845"/>
      <c r="C475" s="731"/>
      <c r="D475" s="610"/>
    </row>
    <row r="476">
      <c r="A476" s="847"/>
      <c r="B476" s="845"/>
      <c r="C476" s="731"/>
      <c r="D476" s="610"/>
    </row>
    <row r="477">
      <c r="A477" s="847"/>
      <c r="B477" s="845"/>
      <c r="C477" s="731"/>
      <c r="D477" s="610"/>
    </row>
    <row r="478">
      <c r="A478" s="847"/>
      <c r="B478" s="845"/>
      <c r="C478" s="731"/>
      <c r="D478" s="610"/>
    </row>
    <row r="479">
      <c r="A479" s="847"/>
      <c r="B479" s="845"/>
      <c r="C479" s="731"/>
      <c r="D479" s="610"/>
    </row>
    <row r="480">
      <c r="A480" s="847"/>
      <c r="B480" s="845"/>
      <c r="C480" s="731"/>
      <c r="D480" s="610"/>
    </row>
    <row r="481">
      <c r="A481" s="847"/>
      <c r="B481" s="845"/>
      <c r="C481" s="731"/>
      <c r="D481" s="610"/>
    </row>
    <row r="482">
      <c r="A482" s="847"/>
      <c r="B482" s="845"/>
      <c r="C482" s="731"/>
      <c r="D482" s="610"/>
    </row>
    <row r="483">
      <c r="A483" s="847"/>
      <c r="B483" s="845"/>
      <c r="C483" s="731"/>
      <c r="D483" s="610"/>
    </row>
    <row r="484">
      <c r="A484" s="847"/>
      <c r="B484" s="845"/>
      <c r="C484" s="731"/>
      <c r="D484" s="610"/>
    </row>
    <row r="485">
      <c r="A485" s="847"/>
      <c r="B485" s="845"/>
      <c r="C485" s="731"/>
      <c r="D485" s="610"/>
    </row>
    <row r="486">
      <c r="A486" s="847"/>
      <c r="B486" s="845"/>
      <c r="C486" s="731"/>
      <c r="D486" s="610"/>
    </row>
    <row r="487">
      <c r="A487" s="847"/>
      <c r="B487" s="845"/>
      <c r="C487" s="731"/>
      <c r="D487" s="610"/>
    </row>
    <row r="488">
      <c r="A488" s="847"/>
      <c r="B488" s="845"/>
      <c r="C488" s="731"/>
      <c r="D488" s="610"/>
    </row>
    <row r="489">
      <c r="A489" s="847"/>
      <c r="B489" s="845"/>
      <c r="C489" s="731"/>
      <c r="D489" s="610"/>
    </row>
    <row r="490">
      <c r="A490" s="847"/>
      <c r="B490" s="845"/>
      <c r="C490" s="731"/>
      <c r="D490" s="610"/>
    </row>
    <row r="491">
      <c r="A491" s="847"/>
      <c r="B491" s="845"/>
      <c r="C491" s="731"/>
      <c r="D491" s="610"/>
    </row>
    <row r="492">
      <c r="A492" s="847"/>
      <c r="B492" s="845"/>
      <c r="C492" s="731"/>
      <c r="D492" s="610"/>
    </row>
    <row r="493">
      <c r="A493" s="847"/>
      <c r="B493" s="845"/>
      <c r="C493" s="731"/>
      <c r="D493" s="610"/>
    </row>
    <row r="494">
      <c r="A494" s="847"/>
      <c r="B494" s="845"/>
      <c r="C494" s="731"/>
      <c r="D494" s="610"/>
    </row>
    <row r="495">
      <c r="A495" s="847"/>
      <c r="B495" s="845"/>
      <c r="C495" s="731"/>
      <c r="D495" s="610"/>
    </row>
    <row r="496">
      <c r="A496" s="847"/>
      <c r="B496" s="845"/>
      <c r="C496" s="731"/>
      <c r="D496" s="610"/>
    </row>
    <row r="497">
      <c r="A497" s="847"/>
      <c r="B497" s="845"/>
      <c r="C497" s="731"/>
      <c r="D497" s="610"/>
    </row>
    <row r="498">
      <c r="A498" s="847"/>
      <c r="B498" s="845"/>
      <c r="C498" s="731"/>
      <c r="D498" s="610"/>
    </row>
    <row r="499">
      <c r="A499" s="847"/>
      <c r="B499" s="845"/>
      <c r="C499" s="731"/>
      <c r="D499" s="610"/>
    </row>
    <row r="500">
      <c r="A500" s="847"/>
      <c r="B500" s="845"/>
      <c r="C500" s="731"/>
      <c r="D500" s="610"/>
    </row>
    <row r="501">
      <c r="A501" s="847"/>
      <c r="B501" s="845"/>
      <c r="C501" s="731"/>
      <c r="D501" s="610"/>
    </row>
    <row r="502">
      <c r="A502" s="847"/>
      <c r="B502" s="845"/>
      <c r="C502" s="731"/>
      <c r="D502" s="610"/>
    </row>
    <row r="503">
      <c r="A503" s="847"/>
      <c r="B503" s="845"/>
      <c r="C503" s="731"/>
      <c r="D503" s="610"/>
    </row>
    <row r="504">
      <c r="A504" s="847"/>
      <c r="B504" s="845"/>
      <c r="C504" s="731"/>
      <c r="D504" s="610"/>
    </row>
    <row r="505">
      <c r="A505" s="847"/>
      <c r="B505" s="845"/>
      <c r="C505" s="731"/>
      <c r="D505" s="610"/>
    </row>
    <row r="506">
      <c r="A506" s="847"/>
      <c r="B506" s="845"/>
      <c r="C506" s="731"/>
      <c r="D506" s="610"/>
    </row>
    <row r="507">
      <c r="A507" s="847"/>
      <c r="B507" s="845"/>
      <c r="C507" s="731"/>
      <c r="D507" s="610"/>
    </row>
    <row r="508">
      <c r="A508" s="847"/>
      <c r="B508" s="845"/>
      <c r="C508" s="731"/>
      <c r="D508" s="610"/>
    </row>
    <row r="509">
      <c r="A509" s="847"/>
      <c r="B509" s="845"/>
      <c r="C509" s="731"/>
      <c r="D509" s="610"/>
    </row>
    <row r="510">
      <c r="A510" s="847"/>
      <c r="B510" s="845"/>
      <c r="C510" s="731"/>
      <c r="D510" s="610"/>
    </row>
    <row r="511">
      <c r="A511" s="847"/>
      <c r="B511" s="845"/>
      <c r="C511" s="731"/>
      <c r="D511" s="610"/>
    </row>
    <row r="512">
      <c r="A512" s="847"/>
      <c r="B512" s="845"/>
      <c r="C512" s="731"/>
      <c r="D512" s="610"/>
    </row>
    <row r="513">
      <c r="A513" s="847"/>
      <c r="B513" s="845"/>
      <c r="C513" s="731"/>
      <c r="D513" s="610"/>
    </row>
    <row r="514">
      <c r="A514" s="847"/>
      <c r="B514" s="845"/>
      <c r="C514" s="731"/>
      <c r="D514" s="610"/>
    </row>
    <row r="515">
      <c r="A515" s="847"/>
      <c r="B515" s="845"/>
      <c r="C515" s="731"/>
      <c r="D515" s="610"/>
    </row>
    <row r="516">
      <c r="A516" s="847"/>
      <c r="B516" s="845"/>
      <c r="C516" s="731"/>
      <c r="D516" s="610"/>
    </row>
    <row r="517">
      <c r="A517" s="847"/>
      <c r="B517" s="845"/>
      <c r="C517" s="731"/>
      <c r="D517" s="610"/>
    </row>
    <row r="518">
      <c r="A518" s="847"/>
      <c r="B518" s="845"/>
      <c r="C518" s="731"/>
      <c r="D518" s="610"/>
    </row>
    <row r="519">
      <c r="A519" s="847"/>
      <c r="B519" s="845"/>
      <c r="C519" s="731"/>
      <c r="D519" s="610"/>
    </row>
    <row r="520">
      <c r="A520" s="847"/>
      <c r="B520" s="845"/>
      <c r="C520" s="731"/>
      <c r="D520" s="610"/>
    </row>
    <row r="521">
      <c r="A521" s="847"/>
      <c r="B521" s="845"/>
      <c r="C521" s="731"/>
      <c r="D521" s="610"/>
    </row>
    <row r="522">
      <c r="A522" s="847"/>
      <c r="B522" s="845"/>
      <c r="C522" s="731"/>
      <c r="D522" s="610"/>
    </row>
    <row r="523">
      <c r="A523" s="847"/>
      <c r="B523" s="845"/>
      <c r="C523" s="731"/>
      <c r="D523" s="610"/>
    </row>
    <row r="524">
      <c r="A524" s="847"/>
      <c r="B524" s="845"/>
      <c r="C524" s="731"/>
      <c r="D524" s="610"/>
    </row>
    <row r="525">
      <c r="A525" s="847"/>
      <c r="B525" s="845"/>
      <c r="C525" s="731"/>
      <c r="D525" s="610"/>
    </row>
    <row r="526">
      <c r="A526" s="847"/>
      <c r="B526" s="845"/>
      <c r="C526" s="731"/>
      <c r="D526" s="610"/>
    </row>
    <row r="527">
      <c r="A527" s="847"/>
      <c r="B527" s="845"/>
      <c r="C527" s="731"/>
      <c r="D527" s="610"/>
    </row>
    <row r="528">
      <c r="A528" s="847"/>
      <c r="B528" s="845"/>
      <c r="C528" s="731"/>
      <c r="D528" s="610"/>
    </row>
    <row r="529">
      <c r="A529" s="847"/>
      <c r="B529" s="845"/>
      <c r="C529" s="731"/>
      <c r="D529" s="610"/>
    </row>
    <row r="530">
      <c r="A530" s="847"/>
      <c r="B530" s="845"/>
      <c r="C530" s="731"/>
      <c r="D530" s="610"/>
    </row>
    <row r="531">
      <c r="A531" s="847"/>
      <c r="B531" s="845"/>
      <c r="C531" s="731"/>
      <c r="D531" s="610"/>
    </row>
    <row r="532">
      <c r="A532" s="847"/>
      <c r="B532" s="845"/>
      <c r="C532" s="731"/>
      <c r="D532" s="610"/>
    </row>
    <row r="533">
      <c r="A533" s="847"/>
      <c r="B533" s="845"/>
      <c r="C533" s="731"/>
      <c r="D533" s="610"/>
    </row>
    <row r="534">
      <c r="A534" s="847"/>
      <c r="B534" s="845"/>
      <c r="C534" s="731"/>
      <c r="D534" s="610"/>
    </row>
    <row r="535">
      <c r="A535" s="847"/>
      <c r="B535" s="845"/>
      <c r="C535" s="731"/>
      <c r="D535" s="610"/>
    </row>
    <row r="536">
      <c r="A536" s="847"/>
      <c r="B536" s="845"/>
      <c r="C536" s="731"/>
      <c r="D536" s="610"/>
    </row>
    <row r="537">
      <c r="A537" s="847"/>
      <c r="B537" s="845"/>
      <c r="C537" s="731"/>
      <c r="D537" s="610"/>
    </row>
    <row r="538">
      <c r="A538" s="847"/>
      <c r="B538" s="845"/>
      <c r="C538" s="731"/>
      <c r="D538" s="610"/>
    </row>
    <row r="539">
      <c r="A539" s="847"/>
      <c r="B539" s="845"/>
      <c r="C539" s="731"/>
      <c r="D539" s="610"/>
    </row>
    <row r="540">
      <c r="A540" s="847"/>
      <c r="B540" s="845"/>
      <c r="C540" s="731"/>
      <c r="D540" s="610"/>
    </row>
    <row r="541">
      <c r="A541" s="847"/>
      <c r="B541" s="845"/>
      <c r="C541" s="731"/>
      <c r="D541" s="610"/>
    </row>
    <row r="542">
      <c r="A542" s="847"/>
      <c r="B542" s="845"/>
      <c r="C542" s="731"/>
      <c r="D542" s="610"/>
    </row>
    <row r="543">
      <c r="A543" s="847"/>
      <c r="B543" s="845"/>
      <c r="C543" s="731"/>
      <c r="D543" s="610"/>
    </row>
    <row r="544">
      <c r="A544" s="847"/>
      <c r="B544" s="845"/>
      <c r="C544" s="731"/>
      <c r="D544" s="610"/>
    </row>
    <row r="545">
      <c r="A545" s="847"/>
      <c r="B545" s="845"/>
      <c r="C545" s="731"/>
      <c r="D545" s="610"/>
    </row>
    <row r="546">
      <c r="A546" s="847"/>
      <c r="B546" s="845"/>
      <c r="C546" s="731"/>
      <c r="D546" s="610"/>
    </row>
    <row r="547">
      <c r="A547" s="847"/>
      <c r="B547" s="845"/>
      <c r="C547" s="731"/>
      <c r="D547" s="610"/>
    </row>
    <row r="548">
      <c r="A548" s="847"/>
      <c r="B548" s="845"/>
      <c r="C548" s="731"/>
      <c r="D548" s="610"/>
    </row>
    <row r="549">
      <c r="A549" s="847"/>
      <c r="B549" s="845"/>
      <c r="C549" s="731"/>
      <c r="D549" s="610"/>
    </row>
    <row r="550">
      <c r="A550" s="847"/>
      <c r="B550" s="845"/>
      <c r="C550" s="731"/>
      <c r="D550" s="610"/>
    </row>
    <row r="551">
      <c r="A551" s="847"/>
      <c r="B551" s="845"/>
      <c r="C551" s="731"/>
      <c r="D551" s="610"/>
    </row>
    <row r="552">
      <c r="A552" s="847"/>
      <c r="B552" s="845"/>
      <c r="C552" s="731"/>
      <c r="D552" s="610"/>
    </row>
    <row r="553">
      <c r="A553" s="847"/>
      <c r="B553" s="845"/>
      <c r="C553" s="731"/>
      <c r="D553" s="610"/>
    </row>
    <row r="554">
      <c r="A554" s="847"/>
      <c r="B554" s="845"/>
      <c r="C554" s="731"/>
      <c r="D554" s="610"/>
    </row>
    <row r="555">
      <c r="A555" s="847"/>
      <c r="B555" s="845"/>
      <c r="C555" s="731"/>
      <c r="D555" s="610"/>
    </row>
    <row r="556">
      <c r="A556" s="847"/>
      <c r="B556" s="845"/>
      <c r="C556" s="731"/>
      <c r="D556" s="610"/>
    </row>
    <row r="557">
      <c r="A557" s="847"/>
      <c r="B557" s="845"/>
      <c r="C557" s="731"/>
      <c r="D557" s="610"/>
    </row>
    <row r="558">
      <c r="A558" s="847"/>
      <c r="B558" s="845"/>
      <c r="C558" s="731"/>
      <c r="D558" s="610"/>
    </row>
    <row r="559">
      <c r="A559" s="847"/>
      <c r="B559" s="845"/>
      <c r="C559" s="731"/>
      <c r="D559" s="610"/>
    </row>
    <row r="560">
      <c r="A560" s="847"/>
      <c r="B560" s="845"/>
      <c r="C560" s="731"/>
      <c r="D560" s="610"/>
    </row>
    <row r="561">
      <c r="A561" s="847"/>
      <c r="B561" s="845"/>
      <c r="C561" s="731"/>
      <c r="D561" s="610"/>
    </row>
    <row r="562">
      <c r="A562" s="847"/>
      <c r="B562" s="845"/>
      <c r="C562" s="731"/>
      <c r="D562" s="610"/>
    </row>
    <row r="563">
      <c r="A563" s="847"/>
      <c r="B563" s="845"/>
      <c r="C563" s="731"/>
      <c r="D563" s="610"/>
    </row>
    <row r="564">
      <c r="A564" s="847"/>
      <c r="B564" s="845"/>
      <c r="C564" s="731"/>
      <c r="D564" s="610"/>
    </row>
    <row r="565">
      <c r="A565" s="847"/>
      <c r="B565" s="845"/>
      <c r="C565" s="731"/>
      <c r="D565" s="610"/>
    </row>
    <row r="566">
      <c r="A566" s="847"/>
      <c r="B566" s="845"/>
      <c r="C566" s="731"/>
      <c r="D566" s="610"/>
    </row>
    <row r="567">
      <c r="A567" s="847"/>
      <c r="B567" s="845"/>
      <c r="C567" s="731"/>
      <c r="D567" s="610"/>
    </row>
    <row r="568">
      <c r="A568" s="847"/>
      <c r="B568" s="845"/>
      <c r="C568" s="731"/>
      <c r="D568" s="610"/>
    </row>
    <row r="569">
      <c r="A569" s="847"/>
      <c r="B569" s="845"/>
      <c r="C569" s="731"/>
      <c r="D569" s="610"/>
    </row>
    <row r="570">
      <c r="A570" s="847"/>
      <c r="B570" s="845"/>
      <c r="C570" s="731"/>
      <c r="D570" s="610"/>
    </row>
    <row r="571">
      <c r="A571" s="847"/>
      <c r="B571" s="845"/>
      <c r="C571" s="731"/>
      <c r="D571" s="610"/>
    </row>
    <row r="572">
      <c r="A572" s="847"/>
      <c r="B572" s="845"/>
      <c r="C572" s="731"/>
      <c r="D572" s="610"/>
    </row>
    <row r="573">
      <c r="A573" s="847"/>
      <c r="B573" s="845"/>
      <c r="C573" s="731"/>
      <c r="D573" s="610"/>
    </row>
    <row r="574">
      <c r="A574" s="847"/>
      <c r="B574" s="845"/>
      <c r="C574" s="731"/>
      <c r="D574" s="610"/>
    </row>
    <row r="575">
      <c r="A575" s="847"/>
      <c r="B575" s="845"/>
      <c r="C575" s="731"/>
      <c r="D575" s="610"/>
    </row>
    <row r="576">
      <c r="A576" s="847"/>
      <c r="B576" s="845"/>
      <c r="C576" s="731"/>
      <c r="D576" s="610"/>
    </row>
    <row r="577">
      <c r="A577" s="847"/>
      <c r="B577" s="845"/>
      <c r="C577" s="731"/>
      <c r="D577" s="610"/>
    </row>
    <row r="578">
      <c r="A578" s="847"/>
      <c r="B578" s="845"/>
      <c r="C578" s="731"/>
      <c r="D578" s="610"/>
    </row>
    <row r="579">
      <c r="A579" s="847"/>
      <c r="B579" s="845"/>
      <c r="C579" s="731"/>
      <c r="D579" s="610"/>
    </row>
    <row r="580">
      <c r="A580" s="847"/>
      <c r="B580" s="845"/>
      <c r="C580" s="731"/>
      <c r="D580" s="610"/>
    </row>
    <row r="581">
      <c r="A581" s="847"/>
      <c r="B581" s="845"/>
      <c r="C581" s="731"/>
      <c r="D581" s="610"/>
    </row>
    <row r="582">
      <c r="A582" s="847"/>
      <c r="B582" s="845"/>
      <c r="C582" s="731"/>
      <c r="D582" s="610"/>
    </row>
    <row r="583">
      <c r="A583" s="847"/>
      <c r="B583" s="845"/>
      <c r="C583" s="731"/>
      <c r="D583" s="610"/>
    </row>
    <row r="584">
      <c r="A584" s="847"/>
      <c r="B584" s="845"/>
      <c r="C584" s="731"/>
      <c r="D584" s="610"/>
    </row>
    <row r="585">
      <c r="A585" s="847"/>
      <c r="B585" s="845"/>
      <c r="C585" s="731"/>
      <c r="D585" s="610"/>
    </row>
    <row r="586">
      <c r="A586" s="847"/>
      <c r="B586" s="845"/>
      <c r="C586" s="731"/>
      <c r="D586" s="610"/>
    </row>
    <row r="587">
      <c r="A587" s="847"/>
      <c r="B587" s="845"/>
      <c r="C587" s="731"/>
      <c r="D587" s="610"/>
    </row>
    <row r="588">
      <c r="A588" s="847"/>
      <c r="B588" s="845"/>
      <c r="C588" s="731"/>
      <c r="D588" s="610"/>
    </row>
    <row r="589">
      <c r="A589" s="847"/>
      <c r="B589" s="845"/>
      <c r="C589" s="731"/>
      <c r="D589" s="610"/>
    </row>
    <row r="590">
      <c r="A590" s="847"/>
      <c r="B590" s="845"/>
      <c r="C590" s="731"/>
      <c r="D590" s="610"/>
    </row>
    <row r="591">
      <c r="A591" s="847"/>
      <c r="B591" s="845"/>
      <c r="C591" s="731"/>
      <c r="D591" s="610"/>
    </row>
    <row r="592">
      <c r="A592" s="847"/>
      <c r="B592" s="845"/>
      <c r="C592" s="731"/>
      <c r="D592" s="610"/>
    </row>
    <row r="593">
      <c r="A593" s="847"/>
      <c r="B593" s="845"/>
      <c r="C593" s="731"/>
      <c r="D593" s="610"/>
    </row>
    <row r="594">
      <c r="A594" s="847"/>
      <c r="B594" s="845"/>
      <c r="C594" s="731"/>
      <c r="D594" s="610"/>
    </row>
    <row r="595">
      <c r="A595" s="847"/>
      <c r="B595" s="845"/>
      <c r="C595" s="731"/>
      <c r="D595" s="610"/>
    </row>
    <row r="596">
      <c r="A596" s="847"/>
      <c r="B596" s="845"/>
      <c r="C596" s="731"/>
      <c r="D596" s="610"/>
    </row>
    <row r="597">
      <c r="A597" s="847"/>
      <c r="B597" s="845"/>
      <c r="C597" s="731"/>
      <c r="D597" s="610"/>
    </row>
    <row r="598">
      <c r="A598" s="847"/>
      <c r="B598" s="845"/>
      <c r="C598" s="731"/>
      <c r="D598" s="610"/>
    </row>
    <row r="599">
      <c r="A599" s="847"/>
      <c r="B599" s="845"/>
      <c r="C599" s="731"/>
      <c r="D599" s="610"/>
    </row>
    <row r="600">
      <c r="A600" s="847"/>
      <c r="B600" s="845"/>
      <c r="C600" s="731"/>
      <c r="D600" s="610"/>
    </row>
    <row r="601">
      <c r="A601" s="847"/>
      <c r="B601" s="845"/>
      <c r="C601" s="731"/>
      <c r="D601" s="610"/>
    </row>
    <row r="602">
      <c r="A602" s="847"/>
      <c r="B602" s="845"/>
      <c r="C602" s="731"/>
      <c r="D602" s="610"/>
    </row>
    <row r="603">
      <c r="A603" s="847"/>
      <c r="B603" s="845"/>
      <c r="C603" s="731"/>
      <c r="D603" s="610"/>
    </row>
    <row r="604">
      <c r="A604" s="847"/>
      <c r="B604" s="845"/>
      <c r="C604" s="731"/>
      <c r="D604" s="610"/>
    </row>
    <row r="605">
      <c r="A605" s="847"/>
      <c r="B605" s="845"/>
      <c r="C605" s="731"/>
      <c r="D605" s="610"/>
    </row>
    <row r="606">
      <c r="A606" s="847"/>
      <c r="B606" s="845"/>
      <c r="C606" s="731"/>
      <c r="D606" s="610"/>
    </row>
    <row r="607">
      <c r="A607" s="847"/>
      <c r="B607" s="845"/>
      <c r="C607" s="731"/>
      <c r="D607" s="610"/>
    </row>
    <row r="608">
      <c r="A608" s="847"/>
      <c r="B608" s="845"/>
      <c r="C608" s="731"/>
      <c r="D608" s="610"/>
    </row>
    <row r="609">
      <c r="A609" s="847"/>
      <c r="B609" s="845"/>
      <c r="C609" s="731"/>
      <c r="D609" s="610"/>
    </row>
    <row r="610">
      <c r="A610" s="847"/>
      <c r="B610" s="845"/>
      <c r="C610" s="731"/>
      <c r="D610" s="610"/>
    </row>
    <row r="611">
      <c r="A611" s="847"/>
      <c r="B611" s="845"/>
      <c r="C611" s="731"/>
      <c r="D611" s="610"/>
    </row>
    <row r="612">
      <c r="A612" s="847"/>
      <c r="B612" s="845"/>
      <c r="C612" s="731"/>
      <c r="D612" s="610"/>
    </row>
    <row r="613">
      <c r="A613" s="847"/>
      <c r="B613" s="845"/>
      <c r="C613" s="731"/>
      <c r="D613" s="610"/>
    </row>
    <row r="614">
      <c r="A614" s="847"/>
      <c r="B614" s="845"/>
      <c r="C614" s="731"/>
      <c r="D614" s="610"/>
    </row>
    <row r="615">
      <c r="A615" s="847"/>
      <c r="B615" s="845"/>
      <c r="C615" s="731"/>
      <c r="D615" s="610"/>
    </row>
    <row r="616">
      <c r="A616" s="847"/>
      <c r="B616" s="845"/>
      <c r="C616" s="731"/>
      <c r="D616" s="610"/>
    </row>
    <row r="617">
      <c r="A617" s="847"/>
      <c r="B617" s="845"/>
      <c r="C617" s="731"/>
      <c r="D617" s="610"/>
    </row>
    <row r="618">
      <c r="A618" s="847"/>
      <c r="B618" s="845"/>
      <c r="C618" s="731"/>
      <c r="D618" s="610"/>
    </row>
    <row r="619">
      <c r="A619" s="847"/>
      <c r="B619" s="845"/>
      <c r="C619" s="731"/>
      <c r="D619" s="610"/>
    </row>
    <row r="620">
      <c r="A620" s="847"/>
      <c r="B620" s="845"/>
      <c r="C620" s="731"/>
      <c r="D620" s="610"/>
    </row>
    <row r="621">
      <c r="A621" s="847"/>
      <c r="B621" s="845"/>
      <c r="C621" s="731"/>
      <c r="D621" s="610"/>
    </row>
    <row r="622">
      <c r="A622" s="847"/>
      <c r="B622" s="845"/>
      <c r="C622" s="731"/>
      <c r="D622" s="610"/>
    </row>
    <row r="623">
      <c r="A623" s="847"/>
      <c r="B623" s="845"/>
      <c r="C623" s="731"/>
      <c r="D623" s="610"/>
    </row>
    <row r="624">
      <c r="A624" s="847"/>
      <c r="B624" s="845"/>
      <c r="C624" s="731"/>
      <c r="D624" s="610"/>
    </row>
    <row r="625">
      <c r="A625" s="847"/>
      <c r="B625" s="845"/>
      <c r="C625" s="731"/>
      <c r="D625" s="610"/>
    </row>
    <row r="626">
      <c r="A626" s="847"/>
      <c r="B626" s="845"/>
      <c r="C626" s="731"/>
      <c r="D626" s="610"/>
    </row>
    <row r="627">
      <c r="A627" s="847"/>
      <c r="B627" s="845"/>
      <c r="C627" s="731"/>
      <c r="D627" s="610"/>
    </row>
    <row r="628">
      <c r="A628" s="847"/>
      <c r="B628" s="845"/>
      <c r="C628" s="731"/>
      <c r="D628" s="610"/>
    </row>
    <row r="629">
      <c r="A629" s="847"/>
      <c r="B629" s="845"/>
      <c r="C629" s="731"/>
      <c r="D629" s="610"/>
    </row>
    <row r="630">
      <c r="A630" s="847"/>
      <c r="B630" s="845"/>
      <c r="C630" s="731"/>
      <c r="D630" s="610"/>
    </row>
    <row r="631">
      <c r="A631" s="847"/>
      <c r="B631" s="845"/>
      <c r="C631" s="731"/>
      <c r="D631" s="610"/>
    </row>
    <row r="632">
      <c r="A632" s="847"/>
      <c r="B632" s="845"/>
      <c r="C632" s="731"/>
      <c r="D632" s="610"/>
    </row>
    <row r="633">
      <c r="A633" s="847"/>
      <c r="B633" s="845"/>
      <c r="C633" s="731"/>
      <c r="D633" s="610"/>
    </row>
    <row r="634">
      <c r="A634" s="847"/>
      <c r="B634" s="845"/>
      <c r="C634" s="731"/>
      <c r="D634" s="610"/>
    </row>
    <row r="635">
      <c r="A635" s="847"/>
      <c r="B635" s="845"/>
      <c r="C635" s="731"/>
      <c r="D635" s="610"/>
    </row>
    <row r="636">
      <c r="A636" s="847"/>
      <c r="B636" s="845"/>
      <c r="C636" s="731"/>
      <c r="D636" s="610"/>
    </row>
    <row r="637">
      <c r="A637" s="847"/>
      <c r="B637" s="845"/>
      <c r="C637" s="731"/>
      <c r="D637" s="610"/>
    </row>
    <row r="638">
      <c r="A638" s="847"/>
      <c r="B638" s="845"/>
      <c r="C638" s="731"/>
      <c r="D638" s="610"/>
    </row>
    <row r="639">
      <c r="A639" s="847"/>
      <c r="B639" s="845"/>
      <c r="C639" s="731"/>
      <c r="D639" s="610"/>
    </row>
    <row r="640">
      <c r="A640" s="847"/>
      <c r="B640" s="845"/>
      <c r="C640" s="731"/>
      <c r="D640" s="610"/>
    </row>
    <row r="641">
      <c r="A641" s="847"/>
      <c r="B641" s="845"/>
      <c r="C641" s="731"/>
      <c r="D641" s="610"/>
    </row>
    <row r="642">
      <c r="A642" s="847"/>
      <c r="B642" s="845"/>
      <c r="C642" s="731"/>
      <c r="D642" s="610"/>
    </row>
    <row r="643">
      <c r="A643" s="847"/>
      <c r="B643" s="845"/>
      <c r="C643" s="731"/>
      <c r="D643" s="610"/>
    </row>
    <row r="644">
      <c r="A644" s="847"/>
      <c r="B644" s="845"/>
      <c r="C644" s="731"/>
      <c r="D644" s="610"/>
    </row>
    <row r="645">
      <c r="A645" s="847"/>
      <c r="B645" s="845"/>
      <c r="C645" s="731"/>
      <c r="D645" s="610"/>
    </row>
    <row r="646">
      <c r="A646" s="847"/>
      <c r="B646" s="845"/>
      <c r="C646" s="731"/>
      <c r="D646" s="610"/>
    </row>
    <row r="647">
      <c r="A647" s="847"/>
      <c r="B647" s="845"/>
      <c r="C647" s="731"/>
      <c r="D647" s="610"/>
    </row>
    <row r="648">
      <c r="A648" s="847"/>
      <c r="B648" s="845"/>
      <c r="C648" s="731"/>
      <c r="D648" s="610"/>
    </row>
    <row r="649">
      <c r="A649" s="847"/>
      <c r="B649" s="845"/>
      <c r="C649" s="731"/>
      <c r="D649" s="610"/>
    </row>
    <row r="650">
      <c r="A650" s="847"/>
      <c r="B650" s="845"/>
      <c r="C650" s="731"/>
      <c r="D650" s="610"/>
    </row>
    <row r="651">
      <c r="A651" s="847"/>
      <c r="B651" s="845"/>
      <c r="C651" s="731"/>
      <c r="D651" s="610"/>
    </row>
    <row r="652">
      <c r="A652" s="847"/>
      <c r="B652" s="845"/>
      <c r="C652" s="731"/>
      <c r="D652" s="610"/>
    </row>
    <row r="653">
      <c r="A653" s="847"/>
      <c r="B653" s="845"/>
      <c r="C653" s="731"/>
      <c r="D653" s="610"/>
    </row>
    <row r="654">
      <c r="A654" s="847"/>
      <c r="B654" s="845"/>
      <c r="C654" s="731"/>
      <c r="D654" s="610"/>
    </row>
    <row r="655">
      <c r="A655" s="847"/>
      <c r="B655" s="845"/>
      <c r="C655" s="731"/>
      <c r="D655" s="610"/>
    </row>
    <row r="656">
      <c r="A656" s="847"/>
      <c r="B656" s="845"/>
      <c r="C656" s="731"/>
      <c r="D656" s="610"/>
    </row>
    <row r="657">
      <c r="A657" s="847"/>
      <c r="B657" s="845"/>
      <c r="C657" s="731"/>
      <c r="D657" s="610"/>
    </row>
    <row r="658">
      <c r="A658" s="847"/>
      <c r="B658" s="845"/>
      <c r="C658" s="731"/>
      <c r="D658" s="610"/>
    </row>
    <row r="659">
      <c r="A659" s="847"/>
      <c r="B659" s="845"/>
      <c r="C659" s="731"/>
      <c r="D659" s="610"/>
    </row>
    <row r="660">
      <c r="A660" s="847"/>
      <c r="B660" s="845"/>
      <c r="C660" s="731"/>
      <c r="D660" s="610"/>
    </row>
    <row r="661">
      <c r="A661" s="847"/>
      <c r="B661" s="845"/>
      <c r="C661" s="731"/>
      <c r="D661" s="610"/>
    </row>
    <row r="662">
      <c r="A662" s="847"/>
      <c r="B662" s="845"/>
      <c r="C662" s="731"/>
      <c r="D662" s="610"/>
    </row>
    <row r="663">
      <c r="A663" s="847"/>
      <c r="B663" s="845"/>
      <c r="C663" s="731"/>
      <c r="D663" s="610"/>
    </row>
    <row r="664">
      <c r="A664" s="847"/>
      <c r="B664" s="845"/>
      <c r="C664" s="731"/>
      <c r="D664" s="610"/>
    </row>
    <row r="665">
      <c r="A665" s="847"/>
      <c r="B665" s="845"/>
      <c r="C665" s="731"/>
      <c r="D665" s="610"/>
    </row>
    <row r="666">
      <c r="A666" s="847"/>
      <c r="B666" s="845"/>
      <c r="C666" s="731"/>
      <c r="D666" s="610"/>
    </row>
    <row r="667">
      <c r="A667" s="847"/>
      <c r="B667" s="845"/>
      <c r="C667" s="731"/>
      <c r="D667" s="610"/>
    </row>
    <row r="668">
      <c r="A668" s="847"/>
      <c r="B668" s="845"/>
      <c r="C668" s="731"/>
      <c r="D668" s="610"/>
    </row>
    <row r="669">
      <c r="A669" s="847"/>
      <c r="B669" s="845"/>
      <c r="C669" s="731"/>
      <c r="D669" s="610"/>
    </row>
    <row r="670">
      <c r="A670" s="847"/>
      <c r="B670" s="845"/>
      <c r="C670" s="731"/>
      <c r="D670" s="610"/>
    </row>
    <row r="671">
      <c r="A671" s="847"/>
      <c r="B671" s="845"/>
      <c r="C671" s="731"/>
      <c r="D671" s="610"/>
    </row>
    <row r="672">
      <c r="A672" s="847"/>
      <c r="B672" s="845"/>
      <c r="C672" s="731"/>
      <c r="D672" s="610"/>
    </row>
    <row r="673">
      <c r="A673" s="847"/>
      <c r="B673" s="845"/>
      <c r="C673" s="731"/>
      <c r="D673" s="610"/>
    </row>
    <row r="674">
      <c r="A674" s="847"/>
      <c r="B674" s="845"/>
      <c r="C674" s="731"/>
      <c r="D674" s="610"/>
    </row>
    <row r="675">
      <c r="A675" s="847"/>
      <c r="B675" s="845"/>
      <c r="C675" s="731"/>
      <c r="D675" s="610"/>
    </row>
    <row r="676">
      <c r="A676" s="847"/>
      <c r="B676" s="845"/>
      <c r="C676" s="731"/>
      <c r="D676" s="610"/>
    </row>
    <row r="677">
      <c r="A677" s="847"/>
      <c r="B677" s="845"/>
      <c r="C677" s="731"/>
      <c r="D677" s="610"/>
    </row>
    <row r="678">
      <c r="A678" s="847"/>
      <c r="B678" s="845"/>
      <c r="C678" s="731"/>
      <c r="D678" s="610"/>
    </row>
    <row r="679">
      <c r="A679" s="847"/>
      <c r="B679" s="845"/>
      <c r="C679" s="731"/>
      <c r="D679" s="610"/>
    </row>
    <row r="680">
      <c r="A680" s="847"/>
      <c r="B680" s="845"/>
      <c r="C680" s="731"/>
      <c r="D680" s="610"/>
    </row>
    <row r="681">
      <c r="A681" s="847"/>
      <c r="B681" s="845"/>
      <c r="C681" s="731"/>
      <c r="D681" s="610"/>
    </row>
    <row r="682">
      <c r="A682" s="847"/>
      <c r="B682" s="845"/>
      <c r="C682" s="731"/>
      <c r="D682" s="610"/>
    </row>
    <row r="683">
      <c r="A683" s="847"/>
      <c r="B683" s="845"/>
      <c r="C683" s="731"/>
      <c r="D683" s="610"/>
    </row>
    <row r="684">
      <c r="A684" s="847"/>
      <c r="B684" s="845"/>
      <c r="C684" s="731"/>
      <c r="D684" s="610"/>
    </row>
    <row r="685">
      <c r="A685" s="847"/>
      <c r="B685" s="845"/>
      <c r="C685" s="731"/>
      <c r="D685" s="610"/>
    </row>
    <row r="686">
      <c r="A686" s="847"/>
      <c r="B686" s="845"/>
      <c r="C686" s="731"/>
      <c r="D686" s="610"/>
    </row>
    <row r="687">
      <c r="A687" s="847"/>
      <c r="B687" s="845"/>
      <c r="C687" s="731"/>
      <c r="D687" s="610"/>
    </row>
    <row r="688">
      <c r="A688" s="847"/>
      <c r="B688" s="845"/>
      <c r="C688" s="731"/>
      <c r="D688" s="610"/>
    </row>
    <row r="689">
      <c r="A689" s="847"/>
      <c r="B689" s="845"/>
      <c r="C689" s="731"/>
      <c r="D689" s="610"/>
    </row>
    <row r="690">
      <c r="A690" s="847"/>
      <c r="B690" s="845"/>
      <c r="C690" s="731"/>
      <c r="D690" s="610"/>
    </row>
    <row r="691">
      <c r="A691" s="847"/>
      <c r="B691" s="845"/>
      <c r="C691" s="731"/>
      <c r="D691" s="610"/>
    </row>
    <row r="692">
      <c r="A692" s="847"/>
      <c r="B692" s="845"/>
      <c r="C692" s="731"/>
      <c r="D692" s="610"/>
    </row>
    <row r="693">
      <c r="A693" s="847"/>
      <c r="B693" s="845"/>
      <c r="C693" s="731"/>
      <c r="D693" s="610"/>
    </row>
    <row r="694">
      <c r="A694" s="847"/>
      <c r="B694" s="845"/>
      <c r="C694" s="731"/>
      <c r="D694" s="610"/>
    </row>
    <row r="695">
      <c r="A695" s="847"/>
      <c r="B695" s="845"/>
      <c r="C695" s="731"/>
      <c r="D695" s="610"/>
    </row>
    <row r="696">
      <c r="A696" s="847"/>
      <c r="B696" s="845"/>
      <c r="C696" s="731"/>
      <c r="D696" s="610"/>
    </row>
    <row r="697">
      <c r="A697" s="847"/>
      <c r="B697" s="845"/>
      <c r="C697" s="731"/>
      <c r="D697" s="610"/>
    </row>
    <row r="698">
      <c r="A698" s="847"/>
      <c r="B698" s="845"/>
      <c r="C698" s="731"/>
      <c r="D698" s="610"/>
    </row>
    <row r="699">
      <c r="A699" s="847"/>
      <c r="B699" s="845"/>
      <c r="C699" s="731"/>
      <c r="D699" s="610"/>
    </row>
    <row r="700">
      <c r="A700" s="847"/>
      <c r="B700" s="845"/>
      <c r="C700" s="731"/>
      <c r="D700" s="610"/>
    </row>
    <row r="701">
      <c r="A701" s="847"/>
      <c r="B701" s="845"/>
      <c r="C701" s="731"/>
      <c r="D701" s="610"/>
    </row>
    <row r="702">
      <c r="A702" s="847"/>
      <c r="B702" s="845"/>
      <c r="C702" s="731"/>
      <c r="D702" s="610"/>
    </row>
    <row r="703">
      <c r="A703" s="847"/>
      <c r="B703" s="845"/>
      <c r="C703" s="731"/>
      <c r="D703" s="610"/>
    </row>
    <row r="704">
      <c r="A704" s="847"/>
      <c r="B704" s="845"/>
      <c r="C704" s="731"/>
      <c r="D704" s="610"/>
    </row>
    <row r="705">
      <c r="A705" s="847"/>
      <c r="B705" s="845"/>
      <c r="C705" s="731"/>
      <c r="D705" s="610"/>
    </row>
    <row r="706">
      <c r="A706" s="847"/>
      <c r="B706" s="845"/>
      <c r="C706" s="731"/>
      <c r="D706" s="610"/>
    </row>
    <row r="707">
      <c r="A707" s="847"/>
      <c r="B707" s="845"/>
      <c r="C707" s="731"/>
      <c r="D707" s="610"/>
    </row>
    <row r="708">
      <c r="A708" s="847"/>
      <c r="B708" s="845"/>
      <c r="C708" s="731"/>
      <c r="D708" s="610"/>
    </row>
    <row r="709">
      <c r="A709" s="847"/>
      <c r="B709" s="845"/>
      <c r="C709" s="731"/>
      <c r="D709" s="610"/>
    </row>
    <row r="710">
      <c r="A710" s="847"/>
      <c r="B710" s="845"/>
      <c r="C710" s="731"/>
      <c r="D710" s="610"/>
    </row>
    <row r="711">
      <c r="A711" s="847"/>
      <c r="B711" s="845"/>
      <c r="C711" s="731"/>
      <c r="D711" s="610"/>
    </row>
    <row r="712">
      <c r="A712" s="847"/>
      <c r="B712" s="845"/>
      <c r="C712" s="731"/>
      <c r="D712" s="610"/>
    </row>
    <row r="713">
      <c r="A713" s="847"/>
      <c r="B713" s="845"/>
      <c r="C713" s="731"/>
      <c r="D713" s="610"/>
    </row>
    <row r="714">
      <c r="A714" s="847"/>
      <c r="B714" s="845"/>
      <c r="C714" s="731"/>
      <c r="D714" s="610"/>
    </row>
    <row r="715">
      <c r="A715" s="847"/>
      <c r="B715" s="845"/>
      <c r="C715" s="731"/>
      <c r="D715" s="610"/>
    </row>
    <row r="716">
      <c r="A716" s="847"/>
      <c r="B716" s="845"/>
      <c r="C716" s="731"/>
      <c r="D716" s="610"/>
    </row>
    <row r="717">
      <c r="A717" s="847"/>
      <c r="B717" s="845"/>
      <c r="C717" s="731"/>
      <c r="D717" s="610"/>
    </row>
    <row r="718">
      <c r="A718" s="847"/>
      <c r="B718" s="845"/>
      <c r="C718" s="731"/>
      <c r="D718" s="610"/>
    </row>
    <row r="719">
      <c r="A719" s="847"/>
      <c r="B719" s="845"/>
      <c r="C719" s="731"/>
      <c r="D719" s="610"/>
    </row>
    <row r="720">
      <c r="A720" s="847"/>
      <c r="B720" s="845"/>
      <c r="C720" s="731"/>
      <c r="D720" s="610"/>
    </row>
    <row r="721">
      <c r="A721" s="847"/>
      <c r="B721" s="845"/>
      <c r="C721" s="731"/>
      <c r="D721" s="610"/>
    </row>
    <row r="722">
      <c r="A722" s="847"/>
      <c r="B722" s="845"/>
      <c r="C722" s="731"/>
      <c r="D722" s="610"/>
    </row>
    <row r="723">
      <c r="A723" s="847"/>
      <c r="B723" s="845"/>
      <c r="C723" s="731"/>
      <c r="D723" s="610"/>
    </row>
    <row r="724">
      <c r="A724" s="847"/>
      <c r="B724" s="845"/>
      <c r="C724" s="731"/>
      <c r="D724" s="610"/>
    </row>
    <row r="725">
      <c r="A725" s="847"/>
      <c r="B725" s="845"/>
      <c r="C725" s="731"/>
      <c r="D725" s="610"/>
    </row>
    <row r="726">
      <c r="A726" s="847"/>
      <c r="B726" s="845"/>
      <c r="C726" s="731"/>
      <c r="D726" s="610"/>
    </row>
    <row r="727">
      <c r="A727" s="847"/>
      <c r="B727" s="845"/>
      <c r="C727" s="731"/>
      <c r="D727" s="610"/>
    </row>
    <row r="728">
      <c r="A728" s="847"/>
      <c r="B728" s="845"/>
      <c r="C728" s="731"/>
      <c r="D728" s="610"/>
    </row>
    <row r="729">
      <c r="A729" s="847"/>
      <c r="B729" s="845"/>
      <c r="C729" s="731"/>
      <c r="D729" s="610"/>
    </row>
    <row r="730">
      <c r="A730" s="847"/>
      <c r="B730" s="845"/>
      <c r="C730" s="731"/>
      <c r="D730" s="610"/>
    </row>
    <row r="731">
      <c r="A731" s="847"/>
      <c r="B731" s="845"/>
      <c r="C731" s="731"/>
      <c r="D731" s="610"/>
    </row>
    <row r="732">
      <c r="A732" s="847"/>
      <c r="B732" s="845"/>
      <c r="C732" s="731"/>
      <c r="D732" s="610"/>
    </row>
    <row r="733">
      <c r="A733" s="847"/>
      <c r="B733" s="845"/>
      <c r="C733" s="731"/>
      <c r="D733" s="610"/>
    </row>
    <row r="734">
      <c r="A734" s="847"/>
      <c r="B734" s="845"/>
      <c r="C734" s="731"/>
      <c r="D734" s="610"/>
    </row>
    <row r="735">
      <c r="A735" s="847"/>
      <c r="B735" s="845"/>
      <c r="C735" s="731"/>
      <c r="D735" s="610"/>
    </row>
    <row r="736">
      <c r="A736" s="847"/>
      <c r="B736" s="845"/>
      <c r="C736" s="731"/>
      <c r="D736" s="610"/>
    </row>
    <row r="737">
      <c r="A737" s="847"/>
      <c r="B737" s="845"/>
      <c r="C737" s="731"/>
      <c r="D737" s="610"/>
    </row>
    <row r="738">
      <c r="A738" s="847"/>
      <c r="B738" s="845"/>
      <c r="C738" s="731"/>
      <c r="D738" s="610"/>
    </row>
    <row r="739">
      <c r="A739" s="847"/>
      <c r="B739" s="845"/>
      <c r="C739" s="731"/>
      <c r="D739" s="610"/>
    </row>
    <row r="740">
      <c r="A740" s="847"/>
      <c r="B740" s="845"/>
      <c r="C740" s="731"/>
      <c r="D740" s="610"/>
    </row>
    <row r="741">
      <c r="A741" s="847"/>
      <c r="B741" s="845"/>
      <c r="C741" s="731"/>
      <c r="D741" s="610"/>
    </row>
    <row r="742">
      <c r="A742" s="847"/>
      <c r="B742" s="845"/>
      <c r="C742" s="731"/>
      <c r="D742" s="610"/>
    </row>
    <row r="743">
      <c r="A743" s="847"/>
      <c r="B743" s="845"/>
      <c r="C743" s="731"/>
      <c r="D743" s="610"/>
    </row>
    <row r="744">
      <c r="A744" s="847"/>
      <c r="B744" s="845"/>
      <c r="C744" s="731"/>
      <c r="D744" s="610"/>
    </row>
    <row r="745">
      <c r="A745" s="847"/>
      <c r="B745" s="845"/>
      <c r="C745" s="731"/>
      <c r="D745" s="610"/>
    </row>
    <row r="746">
      <c r="A746" s="847"/>
      <c r="B746" s="845"/>
      <c r="C746" s="731"/>
      <c r="D746" s="610"/>
    </row>
    <row r="747">
      <c r="A747" s="847"/>
      <c r="B747" s="845"/>
      <c r="C747" s="731"/>
      <c r="D747" s="610"/>
    </row>
    <row r="748">
      <c r="A748" s="847"/>
      <c r="B748" s="845"/>
      <c r="C748" s="731"/>
      <c r="D748" s="610"/>
    </row>
    <row r="749">
      <c r="A749" s="847"/>
      <c r="B749" s="845"/>
      <c r="C749" s="731"/>
      <c r="D749" s="610"/>
    </row>
    <row r="750">
      <c r="A750" s="847"/>
      <c r="B750" s="845"/>
      <c r="C750" s="731"/>
      <c r="D750" s="610"/>
    </row>
    <row r="751">
      <c r="A751" s="847"/>
      <c r="B751" s="845"/>
      <c r="C751" s="731"/>
      <c r="D751" s="610"/>
    </row>
    <row r="752">
      <c r="A752" s="847"/>
      <c r="B752" s="845"/>
      <c r="C752" s="731"/>
      <c r="D752" s="610"/>
    </row>
    <row r="753">
      <c r="A753" s="847"/>
      <c r="B753" s="845"/>
      <c r="C753" s="731"/>
      <c r="D753" s="610"/>
    </row>
    <row r="754">
      <c r="A754" s="847"/>
      <c r="B754" s="845"/>
      <c r="C754" s="731"/>
      <c r="D754" s="610"/>
    </row>
    <row r="755">
      <c r="A755" s="847"/>
      <c r="B755" s="845"/>
      <c r="C755" s="731"/>
      <c r="D755" s="610"/>
    </row>
    <row r="756">
      <c r="A756" s="847"/>
      <c r="B756" s="845"/>
      <c r="C756" s="731"/>
      <c r="D756" s="610"/>
    </row>
    <row r="757">
      <c r="A757" s="847"/>
      <c r="B757" s="845"/>
      <c r="C757" s="731"/>
      <c r="D757" s="610"/>
    </row>
    <row r="758">
      <c r="A758" s="847"/>
      <c r="B758" s="845"/>
      <c r="C758" s="731"/>
      <c r="D758" s="610"/>
    </row>
    <row r="759">
      <c r="A759" s="847"/>
      <c r="B759" s="845"/>
      <c r="C759" s="731"/>
      <c r="D759" s="610"/>
    </row>
    <row r="760">
      <c r="A760" s="847"/>
      <c r="B760" s="845"/>
      <c r="C760" s="731"/>
      <c r="D760" s="610"/>
    </row>
    <row r="761">
      <c r="A761" s="847"/>
      <c r="B761" s="845"/>
      <c r="C761" s="731"/>
      <c r="D761" s="610"/>
    </row>
    <row r="762">
      <c r="A762" s="847"/>
      <c r="B762" s="845"/>
      <c r="C762" s="731"/>
      <c r="D762" s="610"/>
    </row>
    <row r="763">
      <c r="A763" s="847"/>
      <c r="B763" s="845"/>
      <c r="C763" s="731"/>
      <c r="D763" s="610"/>
    </row>
    <row r="764">
      <c r="A764" s="847"/>
      <c r="B764" s="845"/>
      <c r="C764" s="731"/>
      <c r="D764" s="610"/>
    </row>
    <row r="765">
      <c r="A765" s="847"/>
      <c r="B765" s="845"/>
      <c r="C765" s="731"/>
      <c r="D765" s="610"/>
    </row>
    <row r="766">
      <c r="A766" s="847"/>
      <c r="B766" s="845"/>
      <c r="C766" s="731"/>
      <c r="D766" s="610"/>
    </row>
    <row r="767">
      <c r="A767" s="847"/>
      <c r="B767" s="845"/>
      <c r="C767" s="731"/>
      <c r="D767" s="610"/>
    </row>
    <row r="768">
      <c r="A768" s="847"/>
      <c r="B768" s="845"/>
      <c r="C768" s="731"/>
      <c r="D768" s="610"/>
    </row>
    <row r="769">
      <c r="A769" s="847"/>
      <c r="B769" s="845"/>
      <c r="C769" s="731"/>
      <c r="D769" s="610"/>
    </row>
    <row r="770">
      <c r="A770" s="847"/>
      <c r="B770" s="845"/>
      <c r="C770" s="731"/>
      <c r="D770" s="610"/>
    </row>
    <row r="771">
      <c r="A771" s="847"/>
      <c r="B771" s="845"/>
      <c r="C771" s="731"/>
      <c r="D771" s="610"/>
    </row>
    <row r="772">
      <c r="A772" s="847"/>
      <c r="B772" s="845"/>
      <c r="C772" s="731"/>
      <c r="D772" s="610"/>
    </row>
    <row r="773">
      <c r="A773" s="847"/>
      <c r="B773" s="845"/>
      <c r="C773" s="731"/>
      <c r="D773" s="610"/>
    </row>
    <row r="774">
      <c r="A774" s="847"/>
      <c r="B774" s="845"/>
      <c r="C774" s="731"/>
      <c r="D774" s="610"/>
    </row>
    <row r="775">
      <c r="A775" s="847"/>
      <c r="B775" s="845"/>
      <c r="C775" s="731"/>
      <c r="D775" s="610"/>
    </row>
    <row r="776">
      <c r="A776" s="847"/>
      <c r="B776" s="845"/>
      <c r="C776" s="731"/>
      <c r="D776" s="610"/>
    </row>
    <row r="777">
      <c r="A777" s="847"/>
      <c r="B777" s="845"/>
      <c r="C777" s="731"/>
      <c r="D777" s="610"/>
    </row>
    <row r="778">
      <c r="A778" s="847"/>
      <c r="B778" s="845"/>
      <c r="C778" s="731"/>
      <c r="D778" s="610"/>
    </row>
    <row r="779">
      <c r="A779" s="847"/>
      <c r="B779" s="845"/>
      <c r="C779" s="731"/>
      <c r="D779" s="610"/>
    </row>
    <row r="780">
      <c r="A780" s="847"/>
      <c r="B780" s="845"/>
      <c r="C780" s="731"/>
      <c r="D780" s="610"/>
    </row>
    <row r="781">
      <c r="A781" s="847"/>
      <c r="B781" s="845"/>
      <c r="C781" s="731"/>
      <c r="D781" s="610"/>
    </row>
    <row r="782">
      <c r="A782" s="847"/>
      <c r="B782" s="845"/>
      <c r="C782" s="731"/>
      <c r="D782" s="610"/>
    </row>
    <row r="783">
      <c r="A783" s="847"/>
      <c r="B783" s="845"/>
      <c r="C783" s="731"/>
      <c r="D783" s="610"/>
    </row>
    <row r="784">
      <c r="A784" s="847"/>
      <c r="B784" s="845"/>
      <c r="C784" s="731"/>
      <c r="D784" s="610"/>
    </row>
    <row r="785">
      <c r="A785" s="847"/>
      <c r="B785" s="845"/>
      <c r="C785" s="731"/>
      <c r="D785" s="610"/>
    </row>
    <row r="786">
      <c r="A786" s="847"/>
      <c r="B786" s="845"/>
      <c r="C786" s="731"/>
      <c r="D786" s="610"/>
    </row>
    <row r="787">
      <c r="A787" s="847"/>
      <c r="B787" s="845"/>
      <c r="C787" s="731"/>
      <c r="D787" s="610"/>
    </row>
    <row r="788">
      <c r="A788" s="847"/>
      <c r="B788" s="845"/>
      <c r="C788" s="731"/>
      <c r="D788" s="610"/>
    </row>
    <row r="789">
      <c r="A789" s="847"/>
      <c r="B789" s="845"/>
      <c r="C789" s="731"/>
      <c r="D789" s="610"/>
    </row>
    <row r="790">
      <c r="A790" s="847"/>
      <c r="B790" s="845"/>
      <c r="C790" s="731"/>
      <c r="D790" s="610"/>
    </row>
    <row r="791">
      <c r="A791" s="847"/>
      <c r="B791" s="845"/>
      <c r="C791" s="731"/>
      <c r="D791" s="610"/>
    </row>
    <row r="792">
      <c r="A792" s="847"/>
      <c r="B792" s="845"/>
      <c r="C792" s="731"/>
      <c r="D792" s="610"/>
    </row>
    <row r="793">
      <c r="A793" s="847"/>
      <c r="B793" s="845"/>
      <c r="C793" s="731"/>
      <c r="D793" s="610"/>
    </row>
    <row r="794">
      <c r="A794" s="847"/>
      <c r="B794" s="845"/>
      <c r="C794" s="731"/>
      <c r="D794" s="610"/>
    </row>
    <row r="795">
      <c r="A795" s="847"/>
      <c r="B795" s="845"/>
      <c r="C795" s="731"/>
      <c r="D795" s="610"/>
    </row>
    <row r="796">
      <c r="A796" s="847"/>
      <c r="B796" s="845"/>
      <c r="C796" s="731"/>
      <c r="D796" s="610"/>
    </row>
    <row r="797">
      <c r="A797" s="847"/>
      <c r="B797" s="845"/>
      <c r="C797" s="731"/>
      <c r="D797" s="610"/>
    </row>
    <row r="798">
      <c r="A798" s="847"/>
      <c r="B798" s="845"/>
      <c r="C798" s="731"/>
      <c r="D798" s="610"/>
    </row>
    <row r="799">
      <c r="A799" s="847"/>
      <c r="B799" s="845"/>
      <c r="C799" s="731"/>
      <c r="D799" s="610"/>
    </row>
    <row r="800">
      <c r="A800" s="847"/>
      <c r="B800" s="845"/>
      <c r="C800" s="731"/>
      <c r="D800" s="610"/>
    </row>
    <row r="801">
      <c r="A801" s="847"/>
      <c r="B801" s="845"/>
      <c r="C801" s="731"/>
      <c r="D801" s="610"/>
    </row>
    <row r="802">
      <c r="A802" s="847"/>
      <c r="B802" s="845"/>
      <c r="C802" s="731"/>
      <c r="D802" s="610"/>
    </row>
    <row r="803">
      <c r="A803" s="847"/>
      <c r="B803" s="845"/>
      <c r="C803" s="731"/>
      <c r="D803" s="610"/>
    </row>
    <row r="804">
      <c r="A804" s="847"/>
      <c r="B804" s="845"/>
      <c r="C804" s="731"/>
      <c r="D804" s="610"/>
    </row>
    <row r="805">
      <c r="A805" s="847"/>
      <c r="B805" s="845"/>
      <c r="C805" s="731"/>
      <c r="D805" s="610"/>
    </row>
    <row r="806">
      <c r="A806" s="847"/>
      <c r="B806" s="845"/>
      <c r="C806" s="731"/>
      <c r="D806" s="610"/>
    </row>
    <row r="807">
      <c r="A807" s="847"/>
      <c r="B807" s="845"/>
      <c r="C807" s="731"/>
      <c r="D807" s="610"/>
    </row>
    <row r="808">
      <c r="A808" s="847"/>
      <c r="B808" s="845"/>
      <c r="C808" s="731"/>
      <c r="D808" s="610"/>
    </row>
    <row r="809">
      <c r="A809" s="847"/>
      <c r="B809" s="845"/>
      <c r="C809" s="731"/>
      <c r="D809" s="610"/>
    </row>
    <row r="810">
      <c r="A810" s="847"/>
      <c r="B810" s="845"/>
      <c r="C810" s="731"/>
      <c r="D810" s="610"/>
    </row>
    <row r="811">
      <c r="A811" s="847"/>
      <c r="B811" s="845"/>
      <c r="C811" s="731"/>
      <c r="D811" s="610"/>
    </row>
    <row r="812">
      <c r="A812" s="847"/>
      <c r="B812" s="845"/>
      <c r="C812" s="731"/>
      <c r="D812" s="610"/>
    </row>
    <row r="813">
      <c r="A813" s="847"/>
      <c r="B813" s="845"/>
      <c r="C813" s="731"/>
      <c r="D813" s="610"/>
    </row>
    <row r="814">
      <c r="A814" s="847"/>
      <c r="B814" s="845"/>
      <c r="C814" s="731"/>
      <c r="D814" s="610"/>
    </row>
    <row r="815">
      <c r="A815" s="847"/>
      <c r="B815" s="845"/>
      <c r="C815" s="731"/>
      <c r="D815" s="610"/>
    </row>
    <row r="816">
      <c r="A816" s="847"/>
      <c r="B816" s="845"/>
      <c r="C816" s="731"/>
      <c r="D816" s="610"/>
    </row>
    <row r="817">
      <c r="A817" s="847"/>
      <c r="B817" s="845"/>
      <c r="C817" s="731"/>
      <c r="D817" s="610"/>
    </row>
    <row r="818">
      <c r="A818" s="847"/>
      <c r="B818" s="845"/>
      <c r="C818" s="731"/>
      <c r="D818" s="610"/>
    </row>
    <row r="819">
      <c r="A819" s="847"/>
      <c r="B819" s="845"/>
      <c r="C819" s="731"/>
      <c r="D819" s="610"/>
    </row>
    <row r="820">
      <c r="A820" s="847"/>
      <c r="B820" s="845"/>
      <c r="C820" s="731"/>
      <c r="D820" s="610"/>
    </row>
    <row r="821">
      <c r="A821" s="847"/>
      <c r="B821" s="845"/>
      <c r="C821" s="731"/>
      <c r="D821" s="610"/>
    </row>
    <row r="822">
      <c r="A822" s="847"/>
      <c r="B822" s="845"/>
      <c r="C822" s="731"/>
      <c r="D822" s="610"/>
    </row>
    <row r="823">
      <c r="A823" s="847"/>
      <c r="B823" s="845"/>
      <c r="C823" s="731"/>
      <c r="D823" s="610"/>
    </row>
    <row r="824">
      <c r="A824" s="847"/>
      <c r="B824" s="845"/>
      <c r="C824" s="731"/>
      <c r="D824" s="610"/>
    </row>
    <row r="825">
      <c r="A825" s="847"/>
      <c r="B825" s="845"/>
      <c r="C825" s="731"/>
      <c r="D825" s="610"/>
    </row>
    <row r="826">
      <c r="A826" s="847"/>
      <c r="B826" s="845"/>
      <c r="C826" s="731"/>
      <c r="D826" s="610"/>
    </row>
    <row r="827">
      <c r="A827" s="847"/>
      <c r="B827" s="845"/>
      <c r="C827" s="731"/>
      <c r="D827" s="610"/>
    </row>
    <row r="828">
      <c r="A828" s="847"/>
      <c r="B828" s="845"/>
      <c r="C828" s="731"/>
      <c r="D828" s="610"/>
    </row>
    <row r="829">
      <c r="A829" s="847"/>
      <c r="B829" s="845"/>
      <c r="C829" s="731"/>
      <c r="D829" s="610"/>
    </row>
    <row r="830">
      <c r="A830" s="847"/>
      <c r="B830" s="845"/>
      <c r="C830" s="731"/>
      <c r="D830" s="610"/>
    </row>
    <row r="831">
      <c r="A831" s="847"/>
      <c r="B831" s="845"/>
      <c r="C831" s="731"/>
      <c r="D831" s="610"/>
    </row>
    <row r="832">
      <c r="A832" s="847"/>
      <c r="B832" s="845"/>
      <c r="C832" s="731"/>
      <c r="D832" s="610"/>
    </row>
    <row r="833">
      <c r="A833" s="847"/>
      <c r="B833" s="845"/>
      <c r="C833" s="731"/>
      <c r="D833" s="610"/>
    </row>
    <row r="834">
      <c r="A834" s="847"/>
      <c r="B834" s="845"/>
      <c r="C834" s="731"/>
      <c r="D834" s="610"/>
    </row>
    <row r="835">
      <c r="A835" s="847"/>
      <c r="B835" s="845"/>
      <c r="C835" s="731"/>
      <c r="D835" s="610"/>
    </row>
    <row r="836">
      <c r="A836" s="847"/>
      <c r="B836" s="845"/>
      <c r="C836" s="731"/>
      <c r="D836" s="610"/>
    </row>
    <row r="837">
      <c r="A837" s="847"/>
      <c r="B837" s="845"/>
      <c r="C837" s="731"/>
      <c r="D837" s="610"/>
    </row>
    <row r="838">
      <c r="A838" s="847"/>
      <c r="B838" s="845"/>
      <c r="C838" s="731"/>
      <c r="D838" s="610"/>
    </row>
    <row r="839">
      <c r="A839" s="847"/>
      <c r="B839" s="845"/>
      <c r="C839" s="731"/>
      <c r="D839" s="610"/>
    </row>
    <row r="840">
      <c r="A840" s="847"/>
      <c r="B840" s="845"/>
      <c r="C840" s="731"/>
      <c r="D840" s="610"/>
    </row>
    <row r="841">
      <c r="A841" s="847"/>
      <c r="B841" s="845"/>
      <c r="C841" s="731"/>
      <c r="D841" s="610"/>
    </row>
    <row r="842">
      <c r="A842" s="847"/>
      <c r="B842" s="845"/>
      <c r="C842" s="731"/>
      <c r="D842" s="610"/>
    </row>
    <row r="843">
      <c r="A843" s="847"/>
      <c r="B843" s="845"/>
      <c r="C843" s="731"/>
      <c r="D843" s="610"/>
    </row>
    <row r="844">
      <c r="A844" s="847"/>
      <c r="B844" s="845"/>
      <c r="C844" s="731"/>
      <c r="D844" s="610"/>
    </row>
    <row r="845">
      <c r="A845" s="847"/>
      <c r="B845" s="845"/>
      <c r="C845" s="731"/>
      <c r="D845" s="610"/>
    </row>
    <row r="846">
      <c r="A846" s="847"/>
      <c r="B846" s="845"/>
      <c r="C846" s="731"/>
      <c r="D846" s="610"/>
    </row>
    <row r="847">
      <c r="A847" s="847"/>
      <c r="B847" s="845"/>
      <c r="C847" s="731"/>
      <c r="D847" s="610"/>
    </row>
    <row r="848">
      <c r="A848" s="847"/>
      <c r="B848" s="845"/>
      <c r="C848" s="731"/>
      <c r="D848" s="610"/>
    </row>
    <row r="849">
      <c r="A849" s="847"/>
      <c r="B849" s="845"/>
      <c r="C849" s="731"/>
      <c r="D849" s="610"/>
    </row>
    <row r="850">
      <c r="A850" s="847"/>
      <c r="B850" s="845"/>
      <c r="C850" s="731"/>
      <c r="D850" s="610"/>
    </row>
    <row r="851">
      <c r="A851" s="847"/>
      <c r="B851" s="845"/>
      <c r="C851" s="731"/>
      <c r="D851" s="610"/>
    </row>
    <row r="852">
      <c r="A852" s="847"/>
      <c r="B852" s="845"/>
      <c r="C852" s="731"/>
      <c r="D852" s="610"/>
    </row>
    <row r="853">
      <c r="A853" s="847"/>
      <c r="B853" s="845"/>
      <c r="C853" s="731"/>
      <c r="D853" s="610"/>
    </row>
    <row r="854">
      <c r="A854" s="847"/>
      <c r="B854" s="845"/>
      <c r="C854" s="731"/>
      <c r="D854" s="610"/>
    </row>
    <row r="855">
      <c r="A855" s="847"/>
      <c r="B855" s="845"/>
      <c r="C855" s="731"/>
      <c r="D855" s="610"/>
    </row>
    <row r="856">
      <c r="A856" s="847"/>
      <c r="B856" s="845"/>
      <c r="C856" s="731"/>
      <c r="D856" s="610"/>
    </row>
    <row r="857">
      <c r="A857" s="847"/>
      <c r="B857" s="845"/>
      <c r="C857" s="731"/>
      <c r="D857" s="610"/>
    </row>
    <row r="858">
      <c r="A858" s="847"/>
      <c r="B858" s="845"/>
      <c r="C858" s="731"/>
      <c r="D858" s="610"/>
    </row>
    <row r="859">
      <c r="A859" s="847"/>
      <c r="B859" s="845"/>
      <c r="C859" s="731"/>
      <c r="D859" s="610"/>
    </row>
    <row r="860">
      <c r="A860" s="847"/>
      <c r="B860" s="845"/>
      <c r="C860" s="731"/>
      <c r="D860" s="610"/>
    </row>
    <row r="861">
      <c r="A861" s="847"/>
      <c r="B861" s="845"/>
      <c r="C861" s="731"/>
      <c r="D861" s="610"/>
    </row>
    <row r="862">
      <c r="A862" s="847"/>
      <c r="B862" s="845"/>
      <c r="C862" s="731"/>
      <c r="D862" s="610"/>
    </row>
    <row r="863">
      <c r="A863" s="847"/>
      <c r="B863" s="845"/>
      <c r="C863" s="731"/>
      <c r="D863" s="610"/>
    </row>
    <row r="864">
      <c r="A864" s="847"/>
      <c r="B864" s="845"/>
      <c r="C864" s="731"/>
      <c r="D864" s="610"/>
    </row>
    <row r="865">
      <c r="A865" s="847"/>
      <c r="B865" s="845"/>
      <c r="C865" s="731"/>
      <c r="D865" s="610"/>
    </row>
    <row r="866">
      <c r="A866" s="847"/>
      <c r="B866" s="845"/>
      <c r="C866" s="731"/>
      <c r="D866" s="610"/>
    </row>
    <row r="867">
      <c r="A867" s="847"/>
      <c r="B867" s="845"/>
      <c r="C867" s="731"/>
      <c r="D867" s="610"/>
    </row>
    <row r="868">
      <c r="A868" s="847"/>
      <c r="B868" s="845"/>
      <c r="C868" s="731"/>
      <c r="D868" s="610"/>
    </row>
    <row r="869">
      <c r="A869" s="847"/>
      <c r="B869" s="845"/>
      <c r="C869" s="731"/>
      <c r="D869" s="610"/>
    </row>
    <row r="870">
      <c r="A870" s="847"/>
      <c r="B870" s="845"/>
      <c r="C870" s="731"/>
      <c r="D870" s="610"/>
    </row>
    <row r="871">
      <c r="A871" s="847"/>
      <c r="B871" s="845"/>
      <c r="C871" s="731"/>
      <c r="D871" s="610"/>
    </row>
    <row r="872">
      <c r="A872" s="847"/>
      <c r="B872" s="845"/>
      <c r="C872" s="731"/>
      <c r="D872" s="610"/>
    </row>
    <row r="873">
      <c r="A873" s="847"/>
      <c r="B873" s="845"/>
      <c r="C873" s="731"/>
      <c r="D873" s="610"/>
    </row>
    <row r="874">
      <c r="A874" s="847"/>
      <c r="B874" s="845"/>
      <c r="C874" s="731"/>
      <c r="D874" s="610"/>
    </row>
    <row r="875">
      <c r="A875" s="847"/>
      <c r="B875" s="845"/>
      <c r="C875" s="731"/>
      <c r="D875" s="610"/>
    </row>
    <row r="876">
      <c r="A876" s="847"/>
      <c r="B876" s="845"/>
      <c r="C876" s="731"/>
      <c r="D876" s="610"/>
    </row>
    <row r="877">
      <c r="A877" s="847"/>
      <c r="B877" s="845"/>
      <c r="C877" s="731"/>
      <c r="D877" s="610"/>
    </row>
    <row r="878">
      <c r="A878" s="847"/>
      <c r="B878" s="845"/>
      <c r="C878" s="731"/>
      <c r="D878" s="610"/>
    </row>
    <row r="879">
      <c r="A879" s="847"/>
      <c r="B879" s="845"/>
      <c r="C879" s="731"/>
      <c r="D879" s="610"/>
    </row>
    <row r="880">
      <c r="A880" s="847"/>
      <c r="B880" s="845"/>
      <c r="C880" s="731"/>
      <c r="D880" s="610"/>
    </row>
    <row r="881">
      <c r="A881" s="847"/>
      <c r="B881" s="845"/>
      <c r="C881" s="731"/>
      <c r="D881" s="610"/>
    </row>
    <row r="882">
      <c r="A882" s="847"/>
      <c r="B882" s="845"/>
      <c r="C882" s="731"/>
      <c r="D882" s="610"/>
    </row>
    <row r="883">
      <c r="A883" s="847"/>
      <c r="B883" s="845"/>
      <c r="C883" s="731"/>
      <c r="D883" s="610"/>
    </row>
    <row r="884">
      <c r="A884" s="847"/>
      <c r="B884" s="845"/>
      <c r="C884" s="731"/>
      <c r="D884" s="610"/>
    </row>
    <row r="885">
      <c r="A885" s="847"/>
      <c r="B885" s="845"/>
      <c r="C885" s="731"/>
      <c r="D885" s="610"/>
    </row>
    <row r="886">
      <c r="A886" s="847"/>
      <c r="B886" s="845"/>
      <c r="C886" s="731"/>
      <c r="D886" s="610"/>
    </row>
    <row r="887">
      <c r="A887" s="847"/>
      <c r="B887" s="845"/>
      <c r="C887" s="731"/>
      <c r="D887" s="610"/>
    </row>
    <row r="888">
      <c r="A888" s="847"/>
      <c r="B888" s="845"/>
      <c r="C888" s="731"/>
      <c r="D888" s="610"/>
    </row>
    <row r="889">
      <c r="A889" s="847"/>
      <c r="B889" s="845"/>
      <c r="C889" s="731"/>
      <c r="D889" s="610"/>
    </row>
    <row r="890">
      <c r="A890" s="847"/>
      <c r="B890" s="845"/>
      <c r="C890" s="731"/>
      <c r="D890" s="610"/>
    </row>
    <row r="891">
      <c r="A891" s="847"/>
      <c r="B891" s="845"/>
      <c r="C891" s="731"/>
      <c r="D891" s="610"/>
    </row>
    <row r="892">
      <c r="A892" s="847"/>
      <c r="B892" s="845"/>
      <c r="C892" s="731"/>
      <c r="D892" s="610"/>
    </row>
    <row r="893">
      <c r="A893" s="847"/>
      <c r="B893" s="845"/>
      <c r="C893" s="731"/>
      <c r="D893" s="610"/>
    </row>
    <row r="894">
      <c r="A894" s="847"/>
      <c r="B894" s="845"/>
      <c r="C894" s="731"/>
      <c r="D894" s="610"/>
    </row>
    <row r="895">
      <c r="A895" s="847"/>
      <c r="B895" s="845"/>
      <c r="C895" s="731"/>
      <c r="D895" s="610"/>
    </row>
    <row r="896">
      <c r="A896" s="847"/>
      <c r="B896" s="845"/>
      <c r="C896" s="731"/>
      <c r="D896" s="610"/>
    </row>
    <row r="897">
      <c r="A897" s="847"/>
      <c r="B897" s="845"/>
      <c r="C897" s="731"/>
      <c r="D897" s="610"/>
    </row>
    <row r="898">
      <c r="A898" s="847"/>
      <c r="B898" s="845"/>
      <c r="C898" s="731"/>
      <c r="D898" s="610"/>
    </row>
    <row r="899">
      <c r="A899" s="847"/>
      <c r="B899" s="845"/>
      <c r="C899" s="731"/>
      <c r="D899" s="610"/>
    </row>
    <row r="900">
      <c r="A900" s="847"/>
      <c r="B900" s="845"/>
      <c r="C900" s="731"/>
      <c r="D900" s="610"/>
    </row>
    <row r="901">
      <c r="A901" s="847"/>
      <c r="B901" s="845"/>
      <c r="C901" s="731"/>
      <c r="D901" s="610"/>
    </row>
    <row r="902">
      <c r="A902" s="847"/>
      <c r="B902" s="845"/>
      <c r="C902" s="731"/>
      <c r="D902" s="610"/>
    </row>
    <row r="903">
      <c r="A903" s="847"/>
      <c r="B903" s="845"/>
      <c r="C903" s="731"/>
      <c r="D903" s="610"/>
    </row>
    <row r="904">
      <c r="A904" s="847"/>
      <c r="B904" s="845"/>
      <c r="C904" s="731"/>
      <c r="D904" s="610"/>
    </row>
    <row r="905">
      <c r="A905" s="847"/>
      <c r="B905" s="845"/>
      <c r="C905" s="731"/>
      <c r="D905" s="610"/>
    </row>
    <row r="906">
      <c r="A906" s="847"/>
      <c r="B906" s="845"/>
      <c r="C906" s="731"/>
      <c r="D906" s="610"/>
    </row>
    <row r="907">
      <c r="A907" s="847"/>
      <c r="B907" s="845"/>
      <c r="C907" s="731"/>
      <c r="D907" s="610"/>
    </row>
    <row r="908">
      <c r="A908" s="847"/>
      <c r="B908" s="845"/>
      <c r="C908" s="731"/>
      <c r="D908" s="610"/>
    </row>
    <row r="909">
      <c r="A909" s="847"/>
      <c r="B909" s="845"/>
      <c r="C909" s="731"/>
      <c r="D909" s="610"/>
    </row>
    <row r="910">
      <c r="A910" s="847"/>
      <c r="B910" s="845"/>
      <c r="C910" s="731"/>
      <c r="D910" s="610"/>
    </row>
    <row r="911">
      <c r="A911" s="847"/>
      <c r="B911" s="845"/>
      <c r="C911" s="731"/>
      <c r="D911" s="610"/>
    </row>
    <row r="912">
      <c r="A912" s="847"/>
      <c r="B912" s="845"/>
      <c r="C912" s="731"/>
      <c r="D912" s="610"/>
    </row>
    <row r="913">
      <c r="A913" s="847"/>
      <c r="B913" s="845"/>
      <c r="C913" s="731"/>
      <c r="D913" s="610"/>
    </row>
    <row r="914">
      <c r="A914" s="847"/>
      <c r="B914" s="845"/>
      <c r="C914" s="731"/>
      <c r="D914" s="610"/>
    </row>
    <row r="915">
      <c r="A915" s="847"/>
      <c r="B915" s="845"/>
      <c r="C915" s="731"/>
      <c r="D915" s="610"/>
    </row>
    <row r="916">
      <c r="A916" s="847"/>
      <c r="B916" s="845"/>
      <c r="C916" s="731"/>
      <c r="D916" s="610"/>
    </row>
    <row r="917">
      <c r="A917" s="847"/>
      <c r="B917" s="845"/>
      <c r="C917" s="731"/>
      <c r="D917" s="610"/>
    </row>
    <row r="918">
      <c r="A918" s="847"/>
      <c r="B918" s="845"/>
      <c r="C918" s="731"/>
      <c r="D918" s="610"/>
    </row>
    <row r="919">
      <c r="A919" s="847"/>
      <c r="B919" s="845"/>
      <c r="C919" s="731"/>
      <c r="D919" s="610"/>
    </row>
    <row r="920">
      <c r="A920" s="847"/>
      <c r="B920" s="845"/>
      <c r="C920" s="731"/>
      <c r="D920" s="610"/>
    </row>
    <row r="921">
      <c r="A921" s="847"/>
      <c r="B921" s="845"/>
      <c r="C921" s="731"/>
      <c r="D921" s="610"/>
    </row>
    <row r="922">
      <c r="A922" s="847"/>
      <c r="B922" s="845"/>
      <c r="C922" s="731"/>
      <c r="D922" s="610"/>
    </row>
    <row r="923">
      <c r="A923" s="847"/>
      <c r="B923" s="845"/>
      <c r="C923" s="731"/>
      <c r="D923" s="610"/>
    </row>
    <row r="924">
      <c r="A924" s="847"/>
      <c r="B924" s="845"/>
      <c r="C924" s="731"/>
      <c r="D924" s="610"/>
    </row>
    <row r="925">
      <c r="A925" s="847"/>
      <c r="B925" s="845"/>
      <c r="C925" s="731"/>
      <c r="D925" s="610"/>
    </row>
    <row r="926">
      <c r="A926" s="847"/>
      <c r="B926" s="845"/>
      <c r="C926" s="731"/>
      <c r="D926" s="610"/>
    </row>
    <row r="927">
      <c r="A927" s="847"/>
      <c r="B927" s="845"/>
      <c r="C927" s="731"/>
      <c r="D927" s="610"/>
    </row>
    <row r="928">
      <c r="A928" s="847"/>
      <c r="B928" s="845"/>
      <c r="C928" s="731"/>
      <c r="D928" s="610"/>
    </row>
    <row r="929">
      <c r="A929" s="847"/>
      <c r="B929" s="845"/>
      <c r="C929" s="731"/>
      <c r="D929" s="610"/>
    </row>
    <row r="930">
      <c r="A930" s="847"/>
      <c r="B930" s="845"/>
      <c r="C930" s="731"/>
      <c r="D930" s="610"/>
    </row>
    <row r="931">
      <c r="A931" s="847"/>
      <c r="B931" s="845"/>
      <c r="C931" s="731"/>
      <c r="D931" s="610"/>
    </row>
    <row r="932">
      <c r="A932" s="847"/>
      <c r="B932" s="845"/>
      <c r="C932" s="731"/>
      <c r="D932" s="610"/>
    </row>
    <row r="933">
      <c r="A933" s="847"/>
      <c r="B933" s="845"/>
      <c r="C933" s="731"/>
      <c r="D933" s="610"/>
    </row>
    <row r="934">
      <c r="A934" s="847"/>
      <c r="B934" s="845"/>
      <c r="C934" s="731"/>
      <c r="D934" s="610"/>
    </row>
    <row r="935">
      <c r="A935" s="847"/>
      <c r="B935" s="845"/>
      <c r="C935" s="731"/>
      <c r="D935" s="610"/>
    </row>
    <row r="936">
      <c r="A936" s="847"/>
      <c r="B936" s="845"/>
      <c r="C936" s="731"/>
      <c r="D936" s="610"/>
    </row>
    <row r="937">
      <c r="A937" s="847"/>
      <c r="B937" s="845"/>
      <c r="C937" s="731"/>
      <c r="D937" s="610"/>
    </row>
    <row r="938">
      <c r="A938" s="847"/>
      <c r="B938" s="845"/>
      <c r="C938" s="731"/>
      <c r="D938" s="610"/>
    </row>
    <row r="939">
      <c r="A939" s="847"/>
      <c r="B939" s="845"/>
      <c r="C939" s="731"/>
      <c r="D939" s="610"/>
    </row>
    <row r="940">
      <c r="A940" s="847"/>
      <c r="B940" s="845"/>
      <c r="C940" s="731"/>
      <c r="D940" s="610"/>
    </row>
    <row r="941">
      <c r="A941" s="847"/>
      <c r="B941" s="845"/>
      <c r="C941" s="731"/>
      <c r="D941" s="610"/>
    </row>
    <row r="942">
      <c r="A942" s="847"/>
      <c r="B942" s="845"/>
      <c r="C942" s="731"/>
      <c r="D942" s="610"/>
    </row>
    <row r="943">
      <c r="A943" s="847"/>
      <c r="B943" s="845"/>
      <c r="C943" s="731"/>
      <c r="D943" s="610"/>
    </row>
    <row r="944">
      <c r="A944" s="847"/>
      <c r="B944" s="845"/>
      <c r="C944" s="731"/>
      <c r="D944" s="610"/>
    </row>
    <row r="945">
      <c r="A945" s="847"/>
      <c r="B945" s="845"/>
      <c r="C945" s="731"/>
      <c r="D945" s="610"/>
    </row>
    <row r="946">
      <c r="A946" s="847"/>
      <c r="B946" s="845"/>
      <c r="C946" s="731"/>
      <c r="D946" s="610"/>
    </row>
    <row r="947">
      <c r="A947" s="847"/>
      <c r="B947" s="845"/>
      <c r="C947" s="731"/>
      <c r="D947" s="610"/>
    </row>
    <row r="948">
      <c r="A948" s="847"/>
      <c r="B948" s="845"/>
      <c r="C948" s="731"/>
      <c r="D948" s="610"/>
    </row>
    <row r="949">
      <c r="A949" s="847"/>
      <c r="B949" s="845"/>
      <c r="C949" s="731"/>
      <c r="D949" s="610"/>
    </row>
    <row r="950">
      <c r="A950" s="847"/>
      <c r="B950" s="845"/>
      <c r="C950" s="731"/>
      <c r="D950" s="610"/>
    </row>
    <row r="951">
      <c r="A951" s="847"/>
      <c r="B951" s="845"/>
      <c r="C951" s="731"/>
      <c r="D951" s="610"/>
    </row>
    <row r="952">
      <c r="A952" s="847"/>
      <c r="B952" s="845"/>
      <c r="C952" s="731"/>
      <c r="D952" s="610"/>
    </row>
    <row r="953">
      <c r="A953" s="847"/>
      <c r="B953" s="845"/>
      <c r="C953" s="731"/>
      <c r="D953" s="610"/>
    </row>
    <row r="954">
      <c r="A954" s="847"/>
      <c r="B954" s="845"/>
      <c r="C954" s="731"/>
      <c r="D954" s="610"/>
    </row>
    <row r="955">
      <c r="A955" s="847"/>
      <c r="B955" s="845"/>
      <c r="C955" s="731"/>
      <c r="D955" s="610"/>
    </row>
    <row r="956">
      <c r="A956" s="847"/>
      <c r="B956" s="845"/>
      <c r="C956" s="731"/>
      <c r="D956" s="610"/>
    </row>
    <row r="957">
      <c r="A957" s="847"/>
      <c r="B957" s="845"/>
      <c r="C957" s="731"/>
      <c r="D957" s="610"/>
    </row>
    <row r="958">
      <c r="A958" s="847"/>
      <c r="B958" s="845"/>
      <c r="C958" s="731"/>
      <c r="D958" s="610"/>
    </row>
    <row r="959">
      <c r="A959" s="847"/>
      <c r="B959" s="845"/>
      <c r="C959" s="731"/>
      <c r="D959" s="610"/>
    </row>
    <row r="960">
      <c r="A960" s="847"/>
      <c r="B960" s="845"/>
      <c r="C960" s="731"/>
      <c r="D960" s="610"/>
    </row>
    <row r="961">
      <c r="A961" s="847"/>
      <c r="B961" s="845"/>
      <c r="C961" s="731"/>
      <c r="D961" s="610"/>
    </row>
    <row r="962">
      <c r="A962" s="847"/>
      <c r="B962" s="845"/>
      <c r="C962" s="731"/>
      <c r="D962" s="610"/>
    </row>
    <row r="963">
      <c r="A963" s="847"/>
      <c r="B963" s="845"/>
      <c r="C963" s="731"/>
      <c r="D963" s="610"/>
    </row>
    <row r="964">
      <c r="A964" s="847"/>
      <c r="B964" s="845"/>
      <c r="C964" s="731"/>
      <c r="D964" s="610"/>
    </row>
    <row r="965">
      <c r="A965" s="847"/>
      <c r="B965" s="845"/>
      <c r="C965" s="731"/>
      <c r="D965" s="610"/>
    </row>
    <row r="966">
      <c r="A966" s="847"/>
      <c r="B966" s="845"/>
      <c r="C966" s="731"/>
      <c r="D966" s="610"/>
    </row>
    <row r="967">
      <c r="A967" s="847"/>
      <c r="B967" s="845"/>
      <c r="C967" s="731"/>
      <c r="D967" s="610"/>
    </row>
    <row r="968">
      <c r="A968" s="847"/>
      <c r="B968" s="845"/>
      <c r="C968" s="731"/>
      <c r="D968" s="610"/>
    </row>
    <row r="969">
      <c r="A969" s="847"/>
      <c r="B969" s="845"/>
      <c r="C969" s="731"/>
      <c r="D969" s="610"/>
    </row>
    <row r="970">
      <c r="A970" s="847"/>
      <c r="B970" s="845"/>
      <c r="C970" s="731"/>
      <c r="D970" s="610"/>
    </row>
    <row r="971">
      <c r="A971" s="847"/>
      <c r="B971" s="845"/>
      <c r="C971" s="731"/>
      <c r="D971" s="610"/>
    </row>
    <row r="972">
      <c r="A972" s="847"/>
      <c r="B972" s="845"/>
      <c r="C972" s="731"/>
      <c r="D972" s="610"/>
    </row>
    <row r="973">
      <c r="A973" s="847"/>
      <c r="B973" s="845"/>
      <c r="C973" s="731"/>
      <c r="D973" s="610"/>
    </row>
    <row r="974">
      <c r="A974" s="847"/>
      <c r="B974" s="845"/>
      <c r="C974" s="731"/>
      <c r="D974" s="610"/>
    </row>
    <row r="975">
      <c r="A975" s="847"/>
      <c r="B975" s="845"/>
      <c r="C975" s="731"/>
      <c r="D975" s="610"/>
    </row>
    <row r="976">
      <c r="A976" s="847"/>
      <c r="B976" s="845"/>
      <c r="C976" s="731"/>
      <c r="D976" s="610"/>
    </row>
    <row r="977">
      <c r="A977" s="847"/>
      <c r="B977" s="845"/>
      <c r="C977" s="731"/>
      <c r="D977" s="610"/>
    </row>
    <row r="978">
      <c r="A978" s="847"/>
      <c r="B978" s="845"/>
      <c r="C978" s="731"/>
      <c r="D978" s="610"/>
    </row>
    <row r="979">
      <c r="A979" s="847"/>
      <c r="B979" s="845"/>
      <c r="C979" s="731"/>
      <c r="D979" s="610"/>
    </row>
    <row r="980">
      <c r="A980" s="847"/>
      <c r="B980" s="845"/>
      <c r="C980" s="731"/>
      <c r="D980" s="610"/>
    </row>
    <row r="981">
      <c r="A981" s="847"/>
      <c r="B981" s="845"/>
      <c r="C981" s="731"/>
      <c r="D981" s="610"/>
    </row>
    <row r="982">
      <c r="A982" s="847"/>
      <c r="B982" s="845"/>
      <c r="C982" s="731"/>
      <c r="D982" s="610"/>
    </row>
    <row r="983">
      <c r="A983" s="847"/>
      <c r="B983" s="845"/>
      <c r="C983" s="731"/>
      <c r="D983" s="610"/>
    </row>
    <row r="984">
      <c r="A984" s="847"/>
      <c r="B984" s="845"/>
      <c r="C984" s="731"/>
      <c r="D984" s="610"/>
    </row>
    <row r="985">
      <c r="A985" s="847"/>
      <c r="B985" s="845"/>
      <c r="C985" s="731"/>
      <c r="D985" s="610"/>
    </row>
    <row r="986">
      <c r="A986" s="847"/>
      <c r="B986" s="845"/>
      <c r="C986" s="731"/>
      <c r="D986" s="610"/>
    </row>
    <row r="987">
      <c r="A987" s="847"/>
      <c r="B987" s="845"/>
      <c r="C987" s="731"/>
      <c r="D987" s="610"/>
    </row>
    <row r="988">
      <c r="A988" s="847"/>
      <c r="B988" s="845"/>
      <c r="C988" s="731"/>
      <c r="D988" s="610"/>
    </row>
    <row r="989">
      <c r="A989" s="847"/>
      <c r="B989" s="845"/>
      <c r="C989" s="731"/>
      <c r="D989" s="610"/>
    </row>
    <row r="990">
      <c r="A990" s="847"/>
      <c r="B990" s="845"/>
      <c r="C990" s="731"/>
      <c r="D990" s="610"/>
    </row>
    <row r="991">
      <c r="A991" s="847"/>
      <c r="B991" s="845"/>
      <c r="C991" s="731"/>
      <c r="D991" s="610"/>
    </row>
    <row r="992">
      <c r="A992" s="847"/>
      <c r="B992" s="845"/>
      <c r="C992" s="731"/>
      <c r="D992" s="610"/>
    </row>
    <row r="993">
      <c r="A993" s="847"/>
      <c r="B993" s="845"/>
      <c r="C993" s="731"/>
      <c r="D993" s="610"/>
    </row>
    <row r="994">
      <c r="A994" s="847"/>
      <c r="B994" s="845"/>
      <c r="C994" s="731"/>
      <c r="D994" s="610"/>
    </row>
    <row r="995">
      <c r="A995" s="847"/>
      <c r="B995" s="845"/>
      <c r="C995" s="731"/>
      <c r="D995" s="610"/>
    </row>
    <row r="996">
      <c r="A996" s="847"/>
      <c r="B996" s="845"/>
      <c r="C996" s="731"/>
      <c r="D996" s="610"/>
    </row>
    <row r="997">
      <c r="A997" s="847"/>
      <c r="B997" s="845"/>
      <c r="C997" s="731"/>
      <c r="D997" s="610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44.63"/>
  </cols>
  <sheetData>
    <row r="2">
      <c r="A2" s="208" t="s">
        <v>539</v>
      </c>
    </row>
    <row r="3">
      <c r="A3" s="208" t="s">
        <v>540</v>
      </c>
    </row>
    <row r="4">
      <c r="A4" s="208" t="s">
        <v>541</v>
      </c>
    </row>
    <row r="5">
      <c r="A5" s="848" t="s">
        <v>542</v>
      </c>
    </row>
    <row r="6">
      <c r="A6" s="208" t="s">
        <v>543</v>
      </c>
    </row>
    <row r="7">
      <c r="A7" s="208" t="s">
        <v>544</v>
      </c>
    </row>
    <row r="8">
      <c r="A8" s="208" t="s">
        <v>545</v>
      </c>
    </row>
    <row r="9">
      <c r="A9" s="208" t="s">
        <v>546</v>
      </c>
    </row>
    <row r="10">
      <c r="A10" s="208" t="s">
        <v>547</v>
      </c>
    </row>
    <row r="11">
      <c r="A11" s="208" t="s">
        <v>548</v>
      </c>
    </row>
    <row r="12">
      <c r="A12" s="208" t="s">
        <v>549</v>
      </c>
    </row>
    <row r="13">
      <c r="A13" s="208" t="s">
        <v>550</v>
      </c>
    </row>
    <row r="14">
      <c r="A14" s="208" t="s">
        <v>551</v>
      </c>
    </row>
    <row r="15">
      <c r="A15" s="208" t="s">
        <v>552</v>
      </c>
    </row>
    <row r="16">
      <c r="A16" s="208" t="s">
        <v>553</v>
      </c>
    </row>
    <row r="17">
      <c r="A17" s="208" t="s">
        <v>554</v>
      </c>
    </row>
    <row r="18">
      <c r="A18" s="208" t="s">
        <v>555</v>
      </c>
    </row>
    <row r="19">
      <c r="A19" s="208" t="s">
        <v>556</v>
      </c>
    </row>
  </sheetData>
  <hyperlinks>
    <hyperlink r:id="rId1" ref="A5"/>
  </hyperlin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sheetData>
    <row r="1">
      <c r="A1" s="208" t="s">
        <v>497</v>
      </c>
      <c r="B1" s="849"/>
      <c r="C1" s="208" t="s">
        <v>557</v>
      </c>
      <c r="F1" s="208" t="s">
        <v>558</v>
      </c>
      <c r="I1" s="849">
        <v>2018.0</v>
      </c>
      <c r="J1" s="850" t="s">
        <v>559</v>
      </c>
      <c r="K1" s="208" t="s">
        <v>560</v>
      </c>
    </row>
    <row r="2">
      <c r="C2" s="208" t="s">
        <v>561</v>
      </c>
      <c r="D2" s="208" t="s">
        <v>562</v>
      </c>
      <c r="E2" s="208" t="s">
        <v>319</v>
      </c>
      <c r="F2" s="208" t="s">
        <v>561</v>
      </c>
      <c r="G2" s="208" t="s">
        <v>562</v>
      </c>
      <c r="H2" s="208" t="s">
        <v>319</v>
      </c>
      <c r="I2" s="208" t="s">
        <v>563</v>
      </c>
      <c r="J2" s="208"/>
      <c r="K2" s="208" t="s">
        <v>561</v>
      </c>
      <c r="L2" s="208" t="s">
        <v>562</v>
      </c>
      <c r="M2" s="208" t="s">
        <v>319</v>
      </c>
    </row>
  </sheetData>
  <mergeCells count="3">
    <mergeCell ref="C1:E1"/>
    <mergeCell ref="F1:H1"/>
    <mergeCell ref="K1:M1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2" max="2" width="16.63"/>
  </cols>
  <sheetData>
    <row r="1">
      <c r="A1" s="208"/>
      <c r="B1" s="208" t="s">
        <v>564</v>
      </c>
      <c r="F1" s="208" t="s">
        <v>565</v>
      </c>
    </row>
    <row r="2">
      <c r="A2" s="208" t="s">
        <v>497</v>
      </c>
      <c r="B2" s="208" t="s">
        <v>566</v>
      </c>
      <c r="C2" s="208" t="s">
        <v>567</v>
      </c>
      <c r="D2" s="208" t="s">
        <v>568</v>
      </c>
      <c r="E2" s="208" t="s">
        <v>569</v>
      </c>
    </row>
    <row r="3">
      <c r="A3" s="208" t="s">
        <v>570</v>
      </c>
    </row>
  </sheetData>
  <mergeCells count="2">
    <mergeCell ref="B1:E1"/>
    <mergeCell ref="F1:I1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21.38"/>
    <col customWidth="1" min="2" max="2" width="15.13"/>
    <col customWidth="1" min="5" max="5" width="17.38"/>
  </cols>
  <sheetData>
    <row r="1">
      <c r="A1" s="817" t="s">
        <v>571</v>
      </c>
      <c r="C1" s="836"/>
      <c r="D1" s="836"/>
      <c r="E1" s="208"/>
      <c r="F1" s="836"/>
      <c r="G1" s="817"/>
      <c r="H1" s="817"/>
      <c r="I1" s="817"/>
    </row>
    <row r="2">
      <c r="A2" s="849" t="s">
        <v>309</v>
      </c>
      <c r="B2" s="851">
        <v>12000.0</v>
      </c>
      <c r="C2" s="836" t="s">
        <v>572</v>
      </c>
      <c r="D2" s="836"/>
      <c r="E2" s="208"/>
      <c r="F2" s="836"/>
      <c r="G2" s="817"/>
      <c r="H2" s="817"/>
      <c r="I2" s="817"/>
    </row>
    <row r="3">
      <c r="A3" s="849" t="s">
        <v>573</v>
      </c>
      <c r="B3" s="851">
        <v>27500.0</v>
      </c>
      <c r="C3" s="852" t="s">
        <v>574</v>
      </c>
      <c r="D3" s="853"/>
      <c r="E3" s="853"/>
      <c r="F3" s="853"/>
      <c r="G3" s="853"/>
      <c r="H3" s="853"/>
    </row>
    <row r="4">
      <c r="A4" s="849" t="s">
        <v>575</v>
      </c>
      <c r="B4" s="851">
        <v>10000.0</v>
      </c>
      <c r="C4" s="208" t="s">
        <v>576</v>
      </c>
    </row>
    <row r="5">
      <c r="A5" s="849" t="s">
        <v>577</v>
      </c>
      <c r="B5" s="854">
        <f>495+650</f>
        <v>1145</v>
      </c>
    </row>
    <row r="6">
      <c r="A6" s="849" t="s">
        <v>578</v>
      </c>
      <c r="B6" s="851">
        <v>1000.0</v>
      </c>
    </row>
    <row r="7">
      <c r="A7" s="855" t="s">
        <v>579</v>
      </c>
      <c r="B7" s="856">
        <f>SUM(B2:B6)</f>
        <v>51645</v>
      </c>
    </row>
    <row r="8">
      <c r="A8" s="855" t="s">
        <v>580</v>
      </c>
      <c r="B8" s="856">
        <f>B7*12</f>
        <v>619740</v>
      </c>
    </row>
    <row r="9">
      <c r="A9" s="855" t="s">
        <v>581</v>
      </c>
      <c r="B9" s="857">
        <v>650000.0</v>
      </c>
    </row>
    <row r="10">
      <c r="A10" s="857"/>
    </row>
  </sheetData>
  <mergeCells count="1">
    <mergeCell ref="A1:B1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9.38"/>
  </cols>
  <sheetData>
    <row r="1">
      <c r="A1" s="208" t="s">
        <v>582</v>
      </c>
      <c r="B1" s="208" t="s">
        <v>4</v>
      </c>
      <c r="C1" s="208" t="s">
        <v>5</v>
      </c>
      <c r="D1" s="208" t="s">
        <v>6</v>
      </c>
    </row>
    <row r="2">
      <c r="A2" s="208" t="s">
        <v>583</v>
      </c>
    </row>
    <row r="3">
      <c r="A3" s="208" t="s">
        <v>551</v>
      </c>
    </row>
    <row r="4">
      <c r="A4" s="208" t="s">
        <v>584</v>
      </c>
      <c r="B4" s="208">
        <v>7500.0</v>
      </c>
    </row>
    <row r="5">
      <c r="A5" s="208" t="s">
        <v>18</v>
      </c>
      <c r="B5" s="208">
        <v>900.0</v>
      </c>
    </row>
    <row r="6">
      <c r="A6" s="208" t="s">
        <v>585</v>
      </c>
      <c r="B6" s="208">
        <v>525.0</v>
      </c>
      <c r="C6" s="208">
        <v>525.0</v>
      </c>
      <c r="D6" s="208">
        <v>525.0</v>
      </c>
    </row>
    <row r="7">
      <c r="A7" s="208" t="s">
        <v>586</v>
      </c>
      <c r="B7" s="208">
        <v>600.0</v>
      </c>
      <c r="C7" s="208">
        <v>600.0</v>
      </c>
      <c r="D7" s="208">
        <v>600.0</v>
      </c>
    </row>
    <row r="10">
      <c r="A10" s="208" t="s">
        <v>21</v>
      </c>
      <c r="B10" s="208">
        <f>2000+2300</f>
        <v>4300</v>
      </c>
      <c r="C10" s="208">
        <f>7000+2300</f>
        <v>9300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1.75"/>
    <col customWidth="1" min="2" max="4" width="9.13"/>
    <col customWidth="1" min="5" max="5" width="11.25"/>
    <col customWidth="1" min="6" max="6" width="11.13"/>
    <col customWidth="1" min="7" max="7" width="10.75"/>
    <col customWidth="1" min="8" max="9" width="9.13"/>
    <col customWidth="1" min="10" max="10" width="9.63"/>
    <col customWidth="1" min="11" max="13" width="9.13"/>
    <col customWidth="1" min="14" max="14" width="10.13"/>
  </cols>
  <sheetData>
    <row r="1" ht="13.5" customHeight="1">
      <c r="A1" s="76" t="s">
        <v>151</v>
      </c>
    </row>
    <row r="2" ht="13.5" customHeight="1">
      <c r="A2" s="7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ht="13.5" customHeight="1">
      <c r="A3" s="1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</row>
    <row r="4" ht="13.5" customHeight="1">
      <c r="A4" s="79" t="s">
        <v>14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</row>
    <row r="5" ht="13.5" customHeight="1">
      <c r="A5" s="15" t="s">
        <v>15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17">
        <f t="shared" ref="N5:N12" si="1">SUM(B5:M5)</f>
        <v>0</v>
      </c>
    </row>
    <row r="6" ht="13.5" customHeight="1">
      <c r="A6" s="15" t="s">
        <v>123</v>
      </c>
      <c r="B6" s="46">
        <f>FORMULAS!P320</f>
        <v>0</v>
      </c>
      <c r="C6" s="46">
        <f>FORMULAS!T320</f>
        <v>0</v>
      </c>
      <c r="D6" s="46">
        <f>FORMULAS!X320</f>
        <v>0</v>
      </c>
      <c r="E6" s="46">
        <f>FORMULAS!AB320</f>
        <v>0</v>
      </c>
      <c r="F6" s="46">
        <f>FORMULAS!AF320</f>
        <v>0</v>
      </c>
      <c r="G6" s="46">
        <f>FORMULAS!AJ320</f>
        <v>0</v>
      </c>
      <c r="H6" s="46">
        <f>FORMULAS!AN320</f>
        <v>0</v>
      </c>
      <c r="I6" s="46">
        <f>FORMULAS!AR320</f>
        <v>0</v>
      </c>
      <c r="J6" s="46">
        <f>FORMULAS!AV320</f>
        <v>0</v>
      </c>
      <c r="K6" s="46">
        <f>FORMULAS!AZ320</f>
        <v>0</v>
      </c>
      <c r="L6" s="46">
        <f>FORMULAS!BD320</f>
        <v>0</v>
      </c>
      <c r="M6" s="46">
        <f>FORMULAS!BH320</f>
        <v>0</v>
      </c>
      <c r="N6" s="17">
        <f t="shared" si="1"/>
        <v>0</v>
      </c>
    </row>
    <row r="7" ht="13.5" customHeight="1">
      <c r="A7" s="15" t="s">
        <v>17</v>
      </c>
      <c r="B7" s="46">
        <f>FORMULAS!P319</f>
        <v>0</v>
      </c>
      <c r="C7" s="46">
        <f>FORMULAS!T319</f>
        <v>0</v>
      </c>
      <c r="D7" s="46">
        <f>FORMULAS!X319</f>
        <v>0</v>
      </c>
      <c r="E7" s="46">
        <f>FORMULAS!AB319</f>
        <v>0</v>
      </c>
      <c r="F7" s="46">
        <f>FORMULAS!AF319</f>
        <v>0</v>
      </c>
      <c r="G7" s="46">
        <f>FORMULAS!AJ319</f>
        <v>0</v>
      </c>
      <c r="H7" s="46">
        <f>FORMULAS!AN319</f>
        <v>0</v>
      </c>
      <c r="I7" s="46">
        <f>FORMULAS!AR319</f>
        <v>0</v>
      </c>
      <c r="J7" s="46">
        <f>FORMULAS!AV319</f>
        <v>0</v>
      </c>
      <c r="K7" s="46">
        <f>FORMULAS!AZ319</f>
        <v>0</v>
      </c>
      <c r="L7" s="46">
        <f>FORMULAS!BD319</f>
        <v>0</v>
      </c>
      <c r="M7" s="46">
        <f>FORMULAS!BH319</f>
        <v>0</v>
      </c>
      <c r="N7" s="17">
        <f t="shared" si="1"/>
        <v>0</v>
      </c>
    </row>
    <row r="8" ht="13.5" customHeight="1">
      <c r="A8" s="15" t="s">
        <v>18</v>
      </c>
      <c r="B8" s="46"/>
      <c r="C8" s="46"/>
      <c r="D8" s="46"/>
      <c r="E8" s="46"/>
      <c r="F8" s="46"/>
      <c r="G8" s="87"/>
      <c r="H8" s="87"/>
      <c r="I8" s="87"/>
      <c r="J8" s="87"/>
      <c r="K8" s="87"/>
      <c r="L8" s="87"/>
      <c r="M8" s="87"/>
      <c r="N8" s="17">
        <f t="shared" si="1"/>
        <v>0</v>
      </c>
    </row>
    <row r="9" ht="13.5" customHeight="1">
      <c r="A9" s="20" t="s">
        <v>152</v>
      </c>
      <c r="B9" s="46">
        <f>FORMULAS!P318</f>
        <v>0</v>
      </c>
      <c r="C9" s="46">
        <f>FORMULAS!T318</f>
        <v>10500</v>
      </c>
      <c r="D9" s="46">
        <f>FORMULAS!X318</f>
        <v>10500</v>
      </c>
      <c r="E9" s="46">
        <f>FORMULAS!AB318</f>
        <v>10500</v>
      </c>
      <c r="F9" s="46">
        <f>FORMULAS!AF318</f>
        <v>10500</v>
      </c>
      <c r="G9" s="46">
        <f>FORMULAS!AJ318</f>
        <v>10500</v>
      </c>
      <c r="H9" s="46">
        <f>FORMULAS!AN318</f>
        <v>10500</v>
      </c>
      <c r="I9" s="46">
        <f>FORMULAS!AR318</f>
        <v>10500</v>
      </c>
      <c r="J9" s="46">
        <f>FORMULAS!AV318</f>
        <v>10500</v>
      </c>
      <c r="K9" s="46">
        <f>FORMULAS!AZ318</f>
        <v>10500</v>
      </c>
      <c r="L9" s="46">
        <f>FORMULAS!BD318</f>
        <v>10500</v>
      </c>
      <c r="M9" s="46">
        <f>FORMULAS!BH318</f>
        <v>10500</v>
      </c>
      <c r="N9" s="17">
        <f t="shared" si="1"/>
        <v>115500</v>
      </c>
    </row>
    <row r="10" ht="13.5" customHeight="1">
      <c r="A10" s="20" t="s">
        <v>20</v>
      </c>
      <c r="B10" s="46"/>
      <c r="C10" s="46"/>
      <c r="D10" s="46"/>
      <c r="E10" s="46"/>
      <c r="F10" s="46"/>
      <c r="G10" s="87"/>
      <c r="H10" s="87"/>
      <c r="I10" s="154"/>
      <c r="J10" s="46"/>
      <c r="K10" s="46"/>
      <c r="L10" s="46"/>
      <c r="M10" s="46"/>
      <c r="N10" s="17">
        <f t="shared" si="1"/>
        <v>0</v>
      </c>
    </row>
    <row r="11" ht="13.5" customHeight="1">
      <c r="A11" s="15" t="s">
        <v>21</v>
      </c>
      <c r="B11" s="87"/>
      <c r="C11" s="87">
        <v>426.88</v>
      </c>
      <c r="D11" s="87">
        <v>388.0</v>
      </c>
      <c r="E11" s="87">
        <v>388.0</v>
      </c>
      <c r="F11" s="87">
        <v>388.0</v>
      </c>
      <c r="G11" s="87">
        <v>388.0</v>
      </c>
      <c r="H11" s="87">
        <v>388.0</v>
      </c>
      <c r="I11" s="87">
        <v>388.0</v>
      </c>
      <c r="J11" s="87">
        <v>388.0</v>
      </c>
      <c r="K11" s="87">
        <v>388.0</v>
      </c>
      <c r="L11" s="87">
        <v>388.0</v>
      </c>
      <c r="M11" s="87">
        <v>388.0</v>
      </c>
      <c r="N11" s="17">
        <f t="shared" si="1"/>
        <v>4306.88</v>
      </c>
    </row>
    <row r="12" ht="13.5" customHeight="1">
      <c r="A12" s="15" t="s">
        <v>22</v>
      </c>
      <c r="B12" s="46" t="str">
        <f>PRODUCTION!F3</f>
        <v/>
      </c>
      <c r="C12" s="46">
        <f>PRODUCTION!F4</f>
        <v>1930.1</v>
      </c>
      <c r="D12" s="46">
        <f>PRODUCTION!F5</f>
        <v>1930.1</v>
      </c>
      <c r="E12" s="46">
        <f>PRODUCTION!F6</f>
        <v>1930.1</v>
      </c>
      <c r="F12" s="46">
        <f>PRODUCTION!F7</f>
        <v>1930.1</v>
      </c>
      <c r="G12" s="46">
        <f>PRODUCTION!F8</f>
        <v>1930.1</v>
      </c>
      <c r="H12" s="46">
        <f>PRODUCTION!F9</f>
        <v>1930.1</v>
      </c>
      <c r="I12" s="46">
        <f>PRODUCTION!F10</f>
        <v>1930.1</v>
      </c>
      <c r="J12" s="46">
        <f>PRODUCTION!F11</f>
        <v>1930.1</v>
      </c>
      <c r="K12" s="46">
        <f>PRODUCTION!F12</f>
        <v>1930.1</v>
      </c>
      <c r="L12" s="46">
        <f>PRODUCTION!F13</f>
        <v>1930.1</v>
      </c>
      <c r="M12" s="46">
        <f>PRODUCTION!F14</f>
        <v>1930.1</v>
      </c>
      <c r="N12" s="17">
        <f t="shared" si="1"/>
        <v>21231.1</v>
      </c>
    </row>
    <row r="13" ht="13.5" customHeight="1">
      <c r="A13" s="21" t="s">
        <v>23</v>
      </c>
      <c r="B13" s="22">
        <f t="shared" ref="B13:N13" si="2">SUM(B5:B12)</f>
        <v>0</v>
      </c>
      <c r="C13" s="22">
        <f t="shared" si="2"/>
        <v>12856.98</v>
      </c>
      <c r="D13" s="22">
        <f t="shared" si="2"/>
        <v>12818.1</v>
      </c>
      <c r="E13" s="22">
        <f t="shared" si="2"/>
        <v>12818.1</v>
      </c>
      <c r="F13" s="22">
        <f t="shared" si="2"/>
        <v>12818.1</v>
      </c>
      <c r="G13" s="22">
        <f t="shared" si="2"/>
        <v>12818.1</v>
      </c>
      <c r="H13" s="22">
        <f t="shared" si="2"/>
        <v>12818.1</v>
      </c>
      <c r="I13" s="22">
        <f t="shared" si="2"/>
        <v>12818.1</v>
      </c>
      <c r="J13" s="22">
        <f t="shared" si="2"/>
        <v>12818.1</v>
      </c>
      <c r="K13" s="22">
        <f t="shared" si="2"/>
        <v>12818.1</v>
      </c>
      <c r="L13" s="22">
        <f t="shared" si="2"/>
        <v>12818.1</v>
      </c>
      <c r="M13" s="22">
        <f t="shared" si="2"/>
        <v>12818.1</v>
      </c>
      <c r="N13" s="22">
        <f t="shared" si="2"/>
        <v>141037.98</v>
      </c>
    </row>
    <row r="14" ht="13.5" customHeight="1">
      <c r="A14" s="89" t="s">
        <v>24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83"/>
    </row>
    <row r="15" ht="13.5" customHeight="1">
      <c r="A15" s="35" t="s">
        <v>153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17">
        <f t="shared" ref="N15:N18" si="3">SUM(B15:M15)</f>
        <v>0</v>
      </c>
    </row>
    <row r="16" ht="13.5" customHeight="1">
      <c r="A16" s="39" t="s">
        <v>154</v>
      </c>
      <c r="B16" s="46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46"/>
      <c r="N16" s="17">
        <f t="shared" si="3"/>
        <v>0</v>
      </c>
    </row>
    <row r="17" ht="13.5" customHeight="1">
      <c r="A17" s="3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17">
        <f t="shared" si="3"/>
        <v>0</v>
      </c>
    </row>
    <row r="18" ht="13.5" customHeight="1">
      <c r="A18" s="3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17">
        <f t="shared" si="3"/>
        <v>0</v>
      </c>
    </row>
    <row r="19" ht="13.5" customHeight="1">
      <c r="A19" s="27" t="s">
        <v>29</v>
      </c>
      <c r="B19" s="103"/>
      <c r="C19" s="103"/>
      <c r="D19" s="46"/>
      <c r="E19" s="87"/>
      <c r="F19" s="46"/>
      <c r="G19" s="46"/>
      <c r="H19" s="46"/>
      <c r="I19" s="46"/>
      <c r="J19" s="46"/>
      <c r="K19" s="46"/>
      <c r="L19" s="46"/>
      <c r="M19" s="46"/>
      <c r="N19" s="17">
        <f>SUM(C19:M19)</f>
        <v>0</v>
      </c>
    </row>
    <row r="20" ht="13.5" customHeight="1">
      <c r="A20" s="3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17">
        <f>SUM(B20:M20)</f>
        <v>0</v>
      </c>
    </row>
    <row r="21" ht="13.5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</row>
    <row r="22" ht="13.5" customHeight="1">
      <c r="A22" s="89" t="s">
        <v>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3"/>
    </row>
    <row r="23" ht="13.5" customHeight="1">
      <c r="A23" s="26" t="s">
        <v>31</v>
      </c>
      <c r="B23" s="87"/>
      <c r="C23" s="87">
        <v>5000.0</v>
      </c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17">
        <f t="shared" ref="N23:N31" si="5">SUM(B23:M23)</f>
        <v>5000</v>
      </c>
    </row>
    <row r="24" ht="13.5" customHeight="1">
      <c r="A24" s="32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17">
        <f t="shared" si="5"/>
        <v>0</v>
      </c>
    </row>
    <row r="25" ht="13.5" customHeight="1">
      <c r="A25" s="15" t="s">
        <v>127</v>
      </c>
      <c r="B25" s="46"/>
      <c r="C25" s="46"/>
      <c r="D25" s="46"/>
      <c r="E25" s="46"/>
      <c r="F25" s="46"/>
      <c r="G25" s="46"/>
      <c r="H25" s="46"/>
      <c r="I25" s="87"/>
      <c r="J25" s="46"/>
      <c r="K25" s="46"/>
      <c r="L25" s="46"/>
      <c r="M25" s="46"/>
      <c r="N25" s="17">
        <f t="shared" si="5"/>
        <v>0</v>
      </c>
    </row>
    <row r="26" ht="13.5" customHeight="1">
      <c r="A26" s="32"/>
      <c r="B26" s="46"/>
      <c r="C26" s="46"/>
      <c r="D26" s="46"/>
      <c r="E26" s="46"/>
      <c r="F26" s="46"/>
      <c r="G26" s="87"/>
      <c r="H26" s="46"/>
      <c r="I26" s="46"/>
      <c r="J26" s="46"/>
      <c r="K26" s="46"/>
      <c r="L26" s="46"/>
      <c r="M26" s="46"/>
      <c r="N26" s="17">
        <f t="shared" si="5"/>
        <v>0</v>
      </c>
    </row>
    <row r="27" ht="13.5" customHeight="1">
      <c r="A27" s="31" t="s">
        <v>34</v>
      </c>
      <c r="B27" s="46"/>
      <c r="C27" s="46"/>
      <c r="D27" s="139"/>
      <c r="E27" s="140"/>
      <c r="F27" s="141"/>
      <c r="G27" s="141"/>
      <c r="H27" s="140"/>
      <c r="I27" s="141"/>
      <c r="J27" s="140"/>
      <c r="K27" s="141"/>
      <c r="L27" s="141"/>
      <c r="M27" s="141"/>
      <c r="N27" s="17">
        <f t="shared" si="5"/>
        <v>0</v>
      </c>
    </row>
    <row r="28" ht="13.5" customHeight="1">
      <c r="A28" s="33" t="s">
        <v>35</v>
      </c>
      <c r="B28" s="46"/>
      <c r="C28" s="46"/>
      <c r="D28" s="46"/>
      <c r="E28" s="46"/>
      <c r="F28" s="46"/>
      <c r="G28" s="87"/>
      <c r="H28" s="46"/>
      <c r="I28" s="46"/>
      <c r="J28" s="46"/>
      <c r="K28" s="87"/>
      <c r="L28" s="87"/>
      <c r="M28" s="46"/>
      <c r="N28" s="17">
        <f t="shared" si="5"/>
        <v>0</v>
      </c>
    </row>
    <row r="29" ht="13.5" customHeight="1">
      <c r="A29" s="27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17">
        <f t="shared" si="5"/>
        <v>0</v>
      </c>
    </row>
    <row r="30" ht="13.5" customHeight="1">
      <c r="A30" s="31" t="s">
        <v>37</v>
      </c>
      <c r="B30" s="87"/>
      <c r="C30" s="46"/>
      <c r="D30" s="46"/>
      <c r="E30" s="87"/>
      <c r="F30" s="46"/>
      <c r="G30" s="87"/>
      <c r="H30" s="87"/>
      <c r="I30" s="87"/>
      <c r="J30" s="87"/>
      <c r="K30" s="87"/>
      <c r="L30" s="87"/>
      <c r="M30" s="46"/>
      <c r="N30" s="17">
        <f t="shared" si="5"/>
        <v>0</v>
      </c>
    </row>
    <row r="31" ht="13.5" customHeight="1">
      <c r="A31" s="3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17">
        <f t="shared" si="5"/>
        <v>0</v>
      </c>
    </row>
    <row r="32" ht="13.5" customHeight="1">
      <c r="A32" s="91" t="s">
        <v>23</v>
      </c>
      <c r="B32" s="28">
        <f t="shared" ref="B32:N32" si="6">SUM(B23:B31)</f>
        <v>0</v>
      </c>
      <c r="C32" s="28">
        <f t="shared" si="6"/>
        <v>5000</v>
      </c>
      <c r="D32" s="28">
        <f t="shared" si="6"/>
        <v>0</v>
      </c>
      <c r="E32" s="28">
        <f t="shared" si="6"/>
        <v>0</v>
      </c>
      <c r="F32" s="28">
        <f t="shared" si="6"/>
        <v>0</v>
      </c>
      <c r="G32" s="28">
        <f t="shared" si="6"/>
        <v>0</v>
      </c>
      <c r="H32" s="28">
        <f t="shared" si="6"/>
        <v>0</v>
      </c>
      <c r="I32" s="28">
        <f t="shared" si="6"/>
        <v>0</v>
      </c>
      <c r="J32" s="28">
        <f t="shared" si="6"/>
        <v>0</v>
      </c>
      <c r="K32" s="28">
        <f t="shared" si="6"/>
        <v>0</v>
      </c>
      <c r="L32" s="28">
        <f t="shared" si="6"/>
        <v>0</v>
      </c>
      <c r="M32" s="28">
        <f t="shared" si="6"/>
        <v>0</v>
      </c>
      <c r="N32" s="28">
        <f t="shared" si="6"/>
        <v>5000</v>
      </c>
    </row>
    <row r="33" ht="13.5" customHeight="1">
      <c r="A33" s="79" t="s">
        <v>38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</row>
    <row r="34" ht="13.5" customHeight="1">
      <c r="A34" s="142" t="s">
        <v>39</v>
      </c>
      <c r="B34" s="155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95">
        <f t="shared" ref="N34:N51" si="7">SUM(B34:M34)</f>
        <v>0</v>
      </c>
    </row>
    <row r="35" ht="13.5" customHeight="1">
      <c r="A35" s="19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17">
        <f t="shared" si="7"/>
        <v>0</v>
      </c>
    </row>
    <row r="36" ht="13.5" customHeight="1">
      <c r="A36" s="35" t="s">
        <v>41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17">
        <f t="shared" si="7"/>
        <v>0</v>
      </c>
    </row>
    <row r="37" ht="13.5" customHeight="1">
      <c r="A37" s="35" t="s">
        <v>42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17">
        <f t="shared" si="7"/>
        <v>0</v>
      </c>
    </row>
    <row r="38" ht="13.5" customHeight="1">
      <c r="A38" s="35" t="s">
        <v>43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17">
        <f t="shared" si="7"/>
        <v>0</v>
      </c>
    </row>
    <row r="39" ht="13.5" customHeight="1">
      <c r="A39" s="35" t="s">
        <v>44</v>
      </c>
      <c r="B39" s="8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17">
        <f t="shared" si="7"/>
        <v>0</v>
      </c>
    </row>
    <row r="40" ht="13.5" customHeight="1">
      <c r="A40" s="35" t="s">
        <v>45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17">
        <f t="shared" si="7"/>
        <v>0</v>
      </c>
    </row>
    <row r="41" ht="13.5" customHeight="1">
      <c r="A41" s="35" t="s">
        <v>46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17">
        <f t="shared" si="7"/>
        <v>0</v>
      </c>
    </row>
    <row r="42" ht="13.5" customHeight="1">
      <c r="A42" s="19" t="s">
        <v>146</v>
      </c>
      <c r="B42" s="87"/>
      <c r="C42" s="87">
        <v>365.0</v>
      </c>
      <c r="D42" s="87">
        <v>365.0</v>
      </c>
      <c r="E42" s="87">
        <v>365.0</v>
      </c>
      <c r="F42" s="87">
        <v>365.0</v>
      </c>
      <c r="G42" s="87">
        <v>365.0</v>
      </c>
      <c r="H42" s="87">
        <v>365.0</v>
      </c>
      <c r="I42" s="87">
        <v>365.0</v>
      </c>
      <c r="J42" s="87">
        <v>365.0</v>
      </c>
      <c r="K42" s="87">
        <v>365.0</v>
      </c>
      <c r="L42" s="87">
        <v>365.0</v>
      </c>
      <c r="M42" s="87">
        <v>365.0</v>
      </c>
      <c r="N42" s="17">
        <f t="shared" si="7"/>
        <v>4015</v>
      </c>
    </row>
    <row r="43" ht="13.5" customHeight="1">
      <c r="A43" s="19" t="s">
        <v>147</v>
      </c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17">
        <f t="shared" si="7"/>
        <v>0</v>
      </c>
    </row>
    <row r="44" ht="13.5" customHeight="1">
      <c r="A44" s="31" t="s">
        <v>130</v>
      </c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17">
        <f t="shared" si="7"/>
        <v>0</v>
      </c>
    </row>
    <row r="45" ht="13.5" customHeight="1">
      <c r="A45" s="19" t="s">
        <v>50</v>
      </c>
      <c r="B45" s="46"/>
      <c r="C45" s="46">
        <f t="shared" ref="C45:D45" si="8">226.23+45</f>
        <v>271.23</v>
      </c>
      <c r="D45" s="46">
        <f t="shared" si="8"/>
        <v>271.23</v>
      </c>
      <c r="E45" s="46">
        <f t="shared" ref="E45:M45" si="9">45</f>
        <v>45</v>
      </c>
      <c r="F45" s="46">
        <f t="shared" si="9"/>
        <v>45</v>
      </c>
      <c r="G45" s="46">
        <f t="shared" si="9"/>
        <v>45</v>
      </c>
      <c r="H45" s="46">
        <f t="shared" si="9"/>
        <v>45</v>
      </c>
      <c r="I45" s="46">
        <f t="shared" si="9"/>
        <v>45</v>
      </c>
      <c r="J45" s="46">
        <f t="shared" si="9"/>
        <v>45</v>
      </c>
      <c r="K45" s="46">
        <f t="shared" si="9"/>
        <v>45</v>
      </c>
      <c r="L45" s="46">
        <f t="shared" si="9"/>
        <v>45</v>
      </c>
      <c r="M45" s="46">
        <f t="shared" si="9"/>
        <v>45</v>
      </c>
      <c r="N45" s="17">
        <f t="shared" si="7"/>
        <v>947.46</v>
      </c>
    </row>
    <row r="46" ht="13.5" customHeight="1">
      <c r="A46" s="15" t="s">
        <v>51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17">
        <f t="shared" si="7"/>
        <v>0</v>
      </c>
    </row>
    <row r="47" ht="13.5" customHeight="1">
      <c r="A47" s="19" t="s">
        <v>52</v>
      </c>
      <c r="B47" s="87"/>
      <c r="C47" s="87">
        <f t="shared" ref="C47:M47" si="10">850+750+2000</f>
        <v>3600</v>
      </c>
      <c r="D47" s="87">
        <f t="shared" si="10"/>
        <v>3600</v>
      </c>
      <c r="E47" s="87">
        <f t="shared" si="10"/>
        <v>3600</v>
      </c>
      <c r="F47" s="87">
        <f t="shared" si="10"/>
        <v>3600</v>
      </c>
      <c r="G47" s="87">
        <f t="shared" si="10"/>
        <v>3600</v>
      </c>
      <c r="H47" s="87">
        <f t="shared" si="10"/>
        <v>3600</v>
      </c>
      <c r="I47" s="87">
        <f t="shared" si="10"/>
        <v>3600</v>
      </c>
      <c r="J47" s="87">
        <f t="shared" si="10"/>
        <v>3600</v>
      </c>
      <c r="K47" s="87">
        <f t="shared" si="10"/>
        <v>3600</v>
      </c>
      <c r="L47" s="87">
        <f t="shared" si="10"/>
        <v>3600</v>
      </c>
      <c r="M47" s="87">
        <f t="shared" si="10"/>
        <v>3600</v>
      </c>
      <c r="N47" s="17">
        <f t="shared" si="7"/>
        <v>39600</v>
      </c>
    </row>
    <row r="48" ht="13.5" customHeight="1">
      <c r="A48" s="15" t="s">
        <v>53</v>
      </c>
      <c r="B48" s="87"/>
      <c r="C48" s="87">
        <f t="shared" ref="C48:M48" si="11">299+80</f>
        <v>379</v>
      </c>
      <c r="D48" s="87">
        <f t="shared" si="11"/>
        <v>379</v>
      </c>
      <c r="E48" s="87">
        <f t="shared" si="11"/>
        <v>379</v>
      </c>
      <c r="F48" s="87">
        <f t="shared" si="11"/>
        <v>379</v>
      </c>
      <c r="G48" s="87">
        <f t="shared" si="11"/>
        <v>379</v>
      </c>
      <c r="H48" s="87">
        <f t="shared" si="11"/>
        <v>379</v>
      </c>
      <c r="I48" s="87">
        <f t="shared" si="11"/>
        <v>379</v>
      </c>
      <c r="J48" s="87">
        <f t="shared" si="11"/>
        <v>379</v>
      </c>
      <c r="K48" s="87">
        <f t="shared" si="11"/>
        <v>379</v>
      </c>
      <c r="L48" s="87">
        <f t="shared" si="11"/>
        <v>379</v>
      </c>
      <c r="M48" s="87">
        <f t="shared" si="11"/>
        <v>379</v>
      </c>
      <c r="N48" s="17">
        <f t="shared" si="7"/>
        <v>4169</v>
      </c>
    </row>
    <row r="49" ht="13.5" customHeight="1">
      <c r="A49" s="35" t="s">
        <v>54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17">
        <f t="shared" si="7"/>
        <v>0</v>
      </c>
    </row>
    <row r="50" ht="13.5" customHeight="1">
      <c r="A50" s="156" t="s">
        <v>155</v>
      </c>
      <c r="B50" s="46"/>
      <c r="C50" s="46"/>
      <c r="D50" s="46"/>
      <c r="E50" s="87"/>
      <c r="F50" s="87"/>
      <c r="G50" s="87"/>
      <c r="H50" s="87"/>
      <c r="I50" s="87"/>
      <c r="J50" s="87"/>
      <c r="K50" s="87"/>
      <c r="L50" s="87"/>
      <c r="M50" s="87"/>
      <c r="N50" s="17">
        <f t="shared" si="7"/>
        <v>0</v>
      </c>
    </row>
    <row r="51" ht="13.5" customHeight="1">
      <c r="A51" s="1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17">
        <f t="shared" si="7"/>
        <v>0</v>
      </c>
    </row>
    <row r="52" ht="13.5" customHeight="1">
      <c r="A52" s="91" t="s">
        <v>23</v>
      </c>
      <c r="B52" s="28">
        <f t="shared" ref="B52:N52" si="12">SUM(B34:B51)</f>
        <v>0</v>
      </c>
      <c r="C52" s="28">
        <f t="shared" si="12"/>
        <v>4615.23</v>
      </c>
      <c r="D52" s="28">
        <f t="shared" si="12"/>
        <v>4615.23</v>
      </c>
      <c r="E52" s="28">
        <f t="shared" si="12"/>
        <v>4389</v>
      </c>
      <c r="F52" s="28">
        <f t="shared" si="12"/>
        <v>4389</v>
      </c>
      <c r="G52" s="28">
        <f t="shared" si="12"/>
        <v>4389</v>
      </c>
      <c r="H52" s="28">
        <f t="shared" si="12"/>
        <v>4389</v>
      </c>
      <c r="I52" s="28">
        <f t="shared" si="12"/>
        <v>4389</v>
      </c>
      <c r="J52" s="28">
        <f t="shared" si="12"/>
        <v>4389</v>
      </c>
      <c r="K52" s="28">
        <f t="shared" si="12"/>
        <v>4389</v>
      </c>
      <c r="L52" s="28">
        <f t="shared" si="12"/>
        <v>4389</v>
      </c>
      <c r="M52" s="28">
        <f t="shared" si="12"/>
        <v>4389</v>
      </c>
      <c r="N52" s="28">
        <f t="shared" si="12"/>
        <v>48731.46</v>
      </c>
    </row>
    <row r="53" ht="13.5" customHeight="1">
      <c r="A53" s="79" t="s">
        <v>56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</row>
    <row r="54" ht="13.5" customHeight="1">
      <c r="A54" s="32" t="s">
        <v>57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17">
        <f t="shared" ref="N54:N69" si="13">SUM(B54:M54)</f>
        <v>0</v>
      </c>
    </row>
    <row r="55" ht="13.5" customHeight="1">
      <c r="A55" s="32" t="s">
        <v>58</v>
      </c>
      <c r="B55" s="87"/>
      <c r="C55" s="87">
        <v>1600.0</v>
      </c>
      <c r="D55" s="87">
        <v>1600.0</v>
      </c>
      <c r="E55" s="87">
        <v>1600.0</v>
      </c>
      <c r="F55" s="87">
        <v>1600.0</v>
      </c>
      <c r="G55" s="87">
        <v>1600.0</v>
      </c>
      <c r="H55" s="87">
        <v>1600.0</v>
      </c>
      <c r="I55" s="87">
        <v>1600.0</v>
      </c>
      <c r="J55" s="87">
        <v>1600.0</v>
      </c>
      <c r="K55" s="87">
        <v>1600.0</v>
      </c>
      <c r="L55" s="87">
        <v>1600.0</v>
      </c>
      <c r="M55" s="87">
        <v>1600.0</v>
      </c>
      <c r="N55" s="17">
        <f t="shared" si="13"/>
        <v>17600</v>
      </c>
    </row>
    <row r="56" ht="13.5" customHeight="1">
      <c r="A56" s="31" t="s">
        <v>59</v>
      </c>
      <c r="B56" s="87"/>
      <c r="C56" s="87">
        <v>807.0</v>
      </c>
      <c r="D56" s="87">
        <v>807.0</v>
      </c>
      <c r="E56" s="87">
        <v>807.0</v>
      </c>
      <c r="F56" s="87">
        <v>807.0</v>
      </c>
      <c r="G56" s="87">
        <v>807.0</v>
      </c>
      <c r="H56" s="87">
        <v>807.0</v>
      </c>
      <c r="I56" s="87">
        <v>807.0</v>
      </c>
      <c r="J56" s="87">
        <v>807.0</v>
      </c>
      <c r="K56" s="87">
        <v>807.0</v>
      </c>
      <c r="L56" s="87">
        <v>807.0</v>
      </c>
      <c r="M56" s="87">
        <v>807.0</v>
      </c>
      <c r="N56" s="17">
        <f t="shared" si="13"/>
        <v>8877</v>
      </c>
    </row>
    <row r="57" ht="13.5" customHeight="1">
      <c r="A57" s="31" t="s">
        <v>133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17">
        <f t="shared" si="13"/>
        <v>0</v>
      </c>
    </row>
    <row r="58" ht="13.5" customHeight="1">
      <c r="A58" s="31" t="s">
        <v>134</v>
      </c>
      <c r="B58" s="46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7">
        <f t="shared" si="13"/>
        <v>0</v>
      </c>
    </row>
    <row r="59" ht="13.5" customHeight="1">
      <c r="A59" s="31" t="s">
        <v>135</v>
      </c>
      <c r="B59" s="87"/>
      <c r="C59" s="87">
        <v>713.5</v>
      </c>
      <c r="D59" s="87">
        <v>713.5</v>
      </c>
      <c r="E59" s="87">
        <v>713.5</v>
      </c>
      <c r="F59" s="87">
        <v>713.5</v>
      </c>
      <c r="G59" s="87">
        <v>713.5</v>
      </c>
      <c r="H59" s="87">
        <v>713.5</v>
      </c>
      <c r="I59" s="87">
        <v>713.5</v>
      </c>
      <c r="J59" s="87">
        <v>713.5</v>
      </c>
      <c r="K59" s="87">
        <v>713.5</v>
      </c>
      <c r="L59" s="87">
        <v>713.5</v>
      </c>
      <c r="M59" s="87">
        <v>713.5</v>
      </c>
      <c r="N59" s="17">
        <f t="shared" si="13"/>
        <v>7848.5</v>
      </c>
    </row>
    <row r="60" ht="13.5" customHeight="1">
      <c r="A60" s="32" t="s">
        <v>136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17">
        <f t="shared" si="13"/>
        <v>0</v>
      </c>
    </row>
    <row r="61" ht="13.5" customHeight="1">
      <c r="A61" s="32" t="s">
        <v>137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17">
        <f t="shared" si="13"/>
        <v>0</v>
      </c>
    </row>
    <row r="62" ht="13.5" customHeight="1">
      <c r="A62" s="32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13"/>
        <v>0</v>
      </c>
    </row>
    <row r="63" ht="13.5" customHeight="1">
      <c r="A63" s="31" t="s">
        <v>64</v>
      </c>
      <c r="B63" s="87"/>
      <c r="C63" s="87">
        <v>2000.0</v>
      </c>
      <c r="D63" s="87">
        <v>2000.0</v>
      </c>
      <c r="E63" s="87">
        <v>2000.0</v>
      </c>
      <c r="F63" s="87">
        <v>2000.0</v>
      </c>
      <c r="G63" s="87">
        <v>2000.0</v>
      </c>
      <c r="H63" s="87">
        <v>2000.0</v>
      </c>
      <c r="I63" s="87">
        <v>2000.0</v>
      </c>
      <c r="J63" s="87">
        <v>2000.0</v>
      </c>
      <c r="K63" s="87">
        <v>2000.0</v>
      </c>
      <c r="L63" s="87">
        <v>2000.0</v>
      </c>
      <c r="M63" s="87">
        <v>2000.0</v>
      </c>
      <c r="N63" s="17">
        <f t="shared" si="13"/>
        <v>22000</v>
      </c>
    </row>
    <row r="64" ht="13.5" customHeight="1">
      <c r="A64" s="32" t="s">
        <v>65</v>
      </c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17">
        <f t="shared" si="13"/>
        <v>0</v>
      </c>
    </row>
    <row r="65" ht="13.5" customHeight="1">
      <c r="A65" s="31" t="s">
        <v>66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17">
        <f t="shared" si="13"/>
        <v>0</v>
      </c>
    </row>
    <row r="66" ht="13.5" customHeight="1">
      <c r="A66" s="31" t="s">
        <v>67</v>
      </c>
      <c r="B66" s="87"/>
      <c r="C66" s="87"/>
      <c r="D66" s="87"/>
      <c r="E66" s="157"/>
      <c r="F66" s="87"/>
      <c r="G66" s="87"/>
      <c r="H66" s="87"/>
      <c r="I66" s="87"/>
      <c r="J66" s="87"/>
      <c r="K66" s="87"/>
      <c r="L66" s="87"/>
      <c r="M66" s="87"/>
      <c r="N66" s="17">
        <f t="shared" si="13"/>
        <v>0</v>
      </c>
    </row>
    <row r="67" ht="13.5" customHeight="1">
      <c r="A67" s="25" t="s">
        <v>68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17">
        <f t="shared" si="13"/>
        <v>0</v>
      </c>
    </row>
    <row r="68" ht="13.5" customHeight="1">
      <c r="A68" s="25" t="s">
        <v>69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17">
        <f t="shared" si="13"/>
        <v>0</v>
      </c>
    </row>
    <row r="69" ht="13.5" customHeight="1">
      <c r="A69" s="39" t="s">
        <v>156</v>
      </c>
      <c r="B69" s="28"/>
      <c r="C69" s="147"/>
      <c r="D69" s="28"/>
      <c r="E69" s="28"/>
      <c r="F69" s="28"/>
      <c r="G69" s="28"/>
      <c r="H69" s="87"/>
      <c r="I69" s="87"/>
      <c r="J69" s="87"/>
      <c r="K69" s="87"/>
      <c r="L69" s="87"/>
      <c r="M69" s="87"/>
      <c r="N69" s="17">
        <f t="shared" si="13"/>
        <v>0</v>
      </c>
    </row>
    <row r="70" ht="13.5" customHeight="1">
      <c r="A70" s="91" t="s">
        <v>23</v>
      </c>
      <c r="B70" s="28">
        <f t="shared" ref="B70:M70" si="14">SUM(B54:B69)</f>
        <v>0</v>
      </c>
      <c r="C70" s="28">
        <f t="shared" si="14"/>
        <v>5120.5</v>
      </c>
      <c r="D70" s="28">
        <f t="shared" si="14"/>
        <v>5120.5</v>
      </c>
      <c r="E70" s="28">
        <f t="shared" si="14"/>
        <v>5120.5</v>
      </c>
      <c r="F70" s="28">
        <f t="shared" si="14"/>
        <v>5120.5</v>
      </c>
      <c r="G70" s="28">
        <f t="shared" si="14"/>
        <v>5120.5</v>
      </c>
      <c r="H70" s="28">
        <f t="shared" si="14"/>
        <v>5120.5</v>
      </c>
      <c r="I70" s="28">
        <f t="shared" si="14"/>
        <v>5120.5</v>
      </c>
      <c r="J70" s="28">
        <f t="shared" si="14"/>
        <v>5120.5</v>
      </c>
      <c r="K70" s="28">
        <f t="shared" si="14"/>
        <v>5120.5</v>
      </c>
      <c r="L70" s="28">
        <f t="shared" si="14"/>
        <v>5120.5</v>
      </c>
      <c r="M70" s="28">
        <f t="shared" si="14"/>
        <v>5120.5</v>
      </c>
      <c r="N70" s="28">
        <f>SUM(N54:N66)</f>
        <v>56325.5</v>
      </c>
    </row>
    <row r="71" ht="13.5" customHeight="1">
      <c r="A71" s="79" t="s">
        <v>71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</row>
    <row r="72" ht="13.5" customHeight="1">
      <c r="A72" s="32" t="s">
        <v>138</v>
      </c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17">
        <f t="shared" ref="N72:N83" si="15">SUM(B72:M72)</f>
        <v>0</v>
      </c>
    </row>
    <row r="73" ht="13.5" customHeight="1">
      <c r="A73" s="31" t="s">
        <v>73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17">
        <f t="shared" si="15"/>
        <v>0</v>
      </c>
    </row>
    <row r="74" ht="13.5" customHeight="1">
      <c r="A74" s="32" t="s">
        <v>139</v>
      </c>
      <c r="B74" s="87"/>
      <c r="C74" s="87">
        <v>713.5</v>
      </c>
      <c r="D74" s="87">
        <v>713.5</v>
      </c>
      <c r="E74" s="87">
        <v>713.5</v>
      </c>
      <c r="F74" s="87">
        <v>713.5</v>
      </c>
      <c r="G74" s="87">
        <v>713.5</v>
      </c>
      <c r="H74" s="87">
        <v>713.5</v>
      </c>
      <c r="I74" s="87">
        <v>713.5</v>
      </c>
      <c r="J74" s="87">
        <v>713.5</v>
      </c>
      <c r="K74" s="87">
        <v>713.5</v>
      </c>
      <c r="L74" s="87">
        <v>713.5</v>
      </c>
      <c r="M74" s="87">
        <v>713.5</v>
      </c>
      <c r="N74" s="17">
        <f t="shared" si="15"/>
        <v>7848.5</v>
      </c>
    </row>
    <row r="75" ht="13.5" customHeight="1">
      <c r="A75" s="31" t="s">
        <v>137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17">
        <f t="shared" si="15"/>
        <v>0</v>
      </c>
    </row>
    <row r="76" ht="13.5" customHeight="1">
      <c r="A76" s="32" t="s">
        <v>136</v>
      </c>
      <c r="B76" s="46"/>
      <c r="C76" s="46"/>
      <c r="D76" s="46"/>
      <c r="E76" s="46"/>
      <c r="F76" s="87"/>
      <c r="G76" s="46"/>
      <c r="H76" s="46"/>
      <c r="I76" s="46"/>
      <c r="J76" s="46"/>
      <c r="K76" s="46"/>
      <c r="L76" s="46"/>
      <c r="M76" s="46"/>
      <c r="N76" s="17">
        <f t="shared" si="15"/>
        <v>0</v>
      </c>
    </row>
    <row r="77" ht="13.5" customHeight="1">
      <c r="A77" s="32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17">
        <f t="shared" si="15"/>
        <v>0</v>
      </c>
    </row>
    <row r="78" ht="13.5" customHeight="1">
      <c r="A78" s="31" t="s">
        <v>140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17">
        <f t="shared" si="15"/>
        <v>0</v>
      </c>
    </row>
    <row r="79" ht="13.5" customHeight="1">
      <c r="A79" s="27" t="s">
        <v>141</v>
      </c>
      <c r="B79" s="28"/>
      <c r="C79" s="87">
        <v>4105.0</v>
      </c>
      <c r="D79" s="87">
        <v>4105.0</v>
      </c>
      <c r="E79" s="87">
        <v>4105.0</v>
      </c>
      <c r="F79" s="87">
        <v>4105.0</v>
      </c>
      <c r="G79" s="87">
        <v>4105.0</v>
      </c>
      <c r="H79" s="87">
        <v>4105.0</v>
      </c>
      <c r="I79" s="87">
        <v>4105.0</v>
      </c>
      <c r="J79" s="87">
        <v>4105.0</v>
      </c>
      <c r="K79" s="87">
        <v>4105.0</v>
      </c>
      <c r="L79" s="87">
        <v>4105.0</v>
      </c>
      <c r="M79" s="87">
        <v>4105.0</v>
      </c>
      <c r="N79" s="17">
        <f t="shared" si="15"/>
        <v>45155</v>
      </c>
    </row>
    <row r="80" ht="13.5" customHeight="1">
      <c r="A80" s="42" t="s">
        <v>79</v>
      </c>
      <c r="B80" s="87"/>
      <c r="C80" s="87">
        <v>2000.0</v>
      </c>
      <c r="D80" s="87">
        <v>2000.0</v>
      </c>
      <c r="E80" s="87">
        <v>2000.0</v>
      </c>
      <c r="F80" s="87">
        <v>2000.0</v>
      </c>
      <c r="G80" s="87">
        <v>2000.0</v>
      </c>
      <c r="H80" s="87">
        <v>2000.0</v>
      </c>
      <c r="I80" s="87">
        <v>2000.0</v>
      </c>
      <c r="J80" s="87">
        <v>2000.0</v>
      </c>
      <c r="K80" s="87">
        <v>2000.0</v>
      </c>
      <c r="L80" s="87">
        <v>2000.0</v>
      </c>
      <c r="M80" s="87">
        <v>2000.0</v>
      </c>
      <c r="N80" s="17">
        <f t="shared" si="15"/>
        <v>22000</v>
      </c>
    </row>
    <row r="81" ht="13.5" customHeight="1">
      <c r="A81" s="43" t="s">
        <v>80</v>
      </c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17">
        <f t="shared" si="15"/>
        <v>0</v>
      </c>
    </row>
    <row r="82" ht="13.5" customHeight="1">
      <c r="A82" s="91" t="s">
        <v>23</v>
      </c>
      <c r="B82" s="28">
        <f t="shared" ref="B82:M82" si="16">SUM(B72:B81)</f>
        <v>0</v>
      </c>
      <c r="C82" s="28">
        <f t="shared" si="16"/>
        <v>6818.5</v>
      </c>
      <c r="D82" s="28">
        <f t="shared" si="16"/>
        <v>6818.5</v>
      </c>
      <c r="E82" s="28">
        <f t="shared" si="16"/>
        <v>6818.5</v>
      </c>
      <c r="F82" s="28">
        <f t="shared" si="16"/>
        <v>6818.5</v>
      </c>
      <c r="G82" s="28">
        <f t="shared" si="16"/>
        <v>6818.5</v>
      </c>
      <c r="H82" s="28">
        <f t="shared" si="16"/>
        <v>6818.5</v>
      </c>
      <c r="I82" s="28">
        <f t="shared" si="16"/>
        <v>6818.5</v>
      </c>
      <c r="J82" s="28">
        <f t="shared" si="16"/>
        <v>6818.5</v>
      </c>
      <c r="K82" s="28">
        <f t="shared" si="16"/>
        <v>6818.5</v>
      </c>
      <c r="L82" s="28">
        <f t="shared" si="16"/>
        <v>6818.5</v>
      </c>
      <c r="M82" s="28">
        <f t="shared" si="16"/>
        <v>6818.5</v>
      </c>
      <c r="N82" s="44">
        <f t="shared" si="15"/>
        <v>75003.5</v>
      </c>
    </row>
    <row r="83" ht="13.5" customHeight="1">
      <c r="A83" s="99" t="s">
        <v>81</v>
      </c>
      <c r="B83" s="28">
        <f t="shared" ref="B83:M83" si="17">B52+B70+B82</f>
        <v>0</v>
      </c>
      <c r="C83" s="28">
        <f t="shared" si="17"/>
        <v>16554.23</v>
      </c>
      <c r="D83" s="28">
        <f t="shared" si="17"/>
        <v>16554.23</v>
      </c>
      <c r="E83" s="28">
        <f t="shared" si="17"/>
        <v>16328</v>
      </c>
      <c r="F83" s="28">
        <f t="shared" si="17"/>
        <v>16328</v>
      </c>
      <c r="G83" s="28">
        <f t="shared" si="17"/>
        <v>16328</v>
      </c>
      <c r="H83" s="28">
        <f t="shared" si="17"/>
        <v>16328</v>
      </c>
      <c r="I83" s="28">
        <f t="shared" si="17"/>
        <v>16328</v>
      </c>
      <c r="J83" s="28">
        <f t="shared" si="17"/>
        <v>16328</v>
      </c>
      <c r="K83" s="28">
        <f t="shared" si="17"/>
        <v>16328</v>
      </c>
      <c r="L83" s="28">
        <f t="shared" si="17"/>
        <v>16328</v>
      </c>
      <c r="M83" s="28">
        <f t="shared" si="17"/>
        <v>16328</v>
      </c>
      <c r="N83" s="44">
        <f t="shared" si="15"/>
        <v>180060.46</v>
      </c>
    </row>
    <row r="84" ht="13.5" customHeight="1">
      <c r="A84" s="99" t="s">
        <v>82</v>
      </c>
      <c r="B84" s="46" t="str">
        <f t="shared" ref="B84:N84" si="18">B83/B112</f>
        <v>#DIV/0!</v>
      </c>
      <c r="C84" s="46" t="str">
        <f t="shared" si="18"/>
        <v>#DIV/0!</v>
      </c>
      <c r="D84" s="46" t="str">
        <f t="shared" si="18"/>
        <v>#DIV/0!</v>
      </c>
      <c r="E84" s="46" t="str">
        <f t="shared" si="18"/>
        <v>#DIV/0!</v>
      </c>
      <c r="F84" s="46" t="str">
        <f t="shared" si="18"/>
        <v>#DIV/0!</v>
      </c>
      <c r="G84" s="46" t="str">
        <f t="shared" si="18"/>
        <v>#DIV/0!</v>
      </c>
      <c r="H84" s="46" t="str">
        <f t="shared" si="18"/>
        <v>#DIV/0!</v>
      </c>
      <c r="I84" s="46" t="str">
        <f t="shared" si="18"/>
        <v>#DIV/0!</v>
      </c>
      <c r="J84" s="46" t="str">
        <f t="shared" si="18"/>
        <v>#DIV/0!</v>
      </c>
      <c r="K84" s="46" t="str">
        <f t="shared" si="18"/>
        <v>#DIV/0!</v>
      </c>
      <c r="L84" s="46" t="str">
        <f t="shared" si="18"/>
        <v>#DIV/0!</v>
      </c>
      <c r="M84" s="46" t="str">
        <f t="shared" si="18"/>
        <v>#DIV/0!</v>
      </c>
      <c r="N84" s="47" t="str">
        <f t="shared" si="18"/>
        <v>#DIV/0!</v>
      </c>
    </row>
    <row r="85" ht="13.5" customHeight="1">
      <c r="A85" s="79" t="s">
        <v>83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</row>
    <row r="86" ht="13.5" customHeight="1">
      <c r="A86" s="15" t="s">
        <v>84</v>
      </c>
      <c r="B86" s="87"/>
      <c r="C86" s="87">
        <v>820.0</v>
      </c>
      <c r="D86" s="87">
        <v>820.0</v>
      </c>
      <c r="E86" s="87">
        <v>820.0</v>
      </c>
      <c r="F86" s="87">
        <v>820.0</v>
      </c>
      <c r="G86" s="87">
        <v>820.0</v>
      </c>
      <c r="H86" s="87">
        <v>820.0</v>
      </c>
      <c r="I86" s="87">
        <v>820.0</v>
      </c>
      <c r="J86" s="87">
        <v>820.0</v>
      </c>
      <c r="K86" s="87">
        <v>820.0</v>
      </c>
      <c r="L86" s="87">
        <v>820.0</v>
      </c>
      <c r="M86" s="87">
        <v>820.0</v>
      </c>
      <c r="N86" s="17">
        <f t="shared" ref="N86:N89" si="19">SUM(B86:M86)</f>
        <v>9020</v>
      </c>
    </row>
    <row r="87" ht="13.5" customHeight="1">
      <c r="A87" s="15" t="s">
        <v>142</v>
      </c>
      <c r="B87" s="46"/>
      <c r="C87" s="87"/>
      <c r="D87" s="87"/>
      <c r="E87" s="46"/>
      <c r="F87" s="87"/>
      <c r="G87" s="46"/>
      <c r="H87" s="46"/>
      <c r="I87" s="46"/>
      <c r="J87" s="46"/>
      <c r="K87" s="87"/>
      <c r="L87" s="46"/>
      <c r="M87" s="46"/>
      <c r="N87" s="17">
        <f t="shared" si="19"/>
        <v>0</v>
      </c>
    </row>
    <row r="88" ht="13.5" customHeight="1">
      <c r="A88" s="39" t="s">
        <v>86</v>
      </c>
      <c r="B88" s="28"/>
      <c r="C88" s="28"/>
      <c r="D88" s="28"/>
      <c r="E88" s="28"/>
      <c r="F88" s="28"/>
      <c r="G88" s="28"/>
      <c r="H88" s="28"/>
      <c r="I88" s="28"/>
      <c r="J88" s="28"/>
      <c r="K88" s="87"/>
      <c r="L88" s="28"/>
      <c r="M88" s="28"/>
      <c r="N88" s="17">
        <f t="shared" si="19"/>
        <v>0</v>
      </c>
    </row>
    <row r="89" ht="13.5" customHeight="1">
      <c r="A89" s="9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17">
        <f t="shared" si="19"/>
        <v>0</v>
      </c>
    </row>
    <row r="90" ht="13.5" customHeight="1">
      <c r="A90" s="91" t="s">
        <v>23</v>
      </c>
      <c r="B90" s="28">
        <f t="shared" ref="B90:E90" si="20">SUM(B86:B89)</f>
        <v>0</v>
      </c>
      <c r="C90" s="28">
        <f t="shared" si="20"/>
        <v>820</v>
      </c>
      <c r="D90" s="28">
        <f t="shared" si="20"/>
        <v>820</v>
      </c>
      <c r="E90" s="28">
        <f t="shared" si="20"/>
        <v>820</v>
      </c>
      <c r="F90" s="28"/>
      <c r="G90" s="28"/>
      <c r="H90" s="28"/>
      <c r="I90" s="28"/>
      <c r="J90" s="28"/>
      <c r="K90" s="28"/>
      <c r="L90" s="28"/>
      <c r="M90" s="28"/>
      <c r="N90" s="28">
        <f>SUM(N86:N89)</f>
        <v>9020</v>
      </c>
    </row>
    <row r="91" ht="13.5" customHeight="1">
      <c r="A91" s="89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</row>
    <row r="92" ht="13.5" customHeight="1">
      <c r="A92" s="31" t="s">
        <v>89</v>
      </c>
      <c r="B92" s="101" t="str">
        <f>PRODUCTION!F18</f>
        <v/>
      </c>
      <c r="C92" s="101">
        <f>PRODUCTION!F19</f>
        <v>650</v>
      </c>
      <c r="D92" s="101">
        <f>PRODUCTION!F20</f>
        <v>650</v>
      </c>
      <c r="E92" s="101">
        <f>PRODUCTION!F21</f>
        <v>650</v>
      </c>
      <c r="F92" s="101">
        <f>PRODUCTION!F22</f>
        <v>650</v>
      </c>
      <c r="G92" s="101">
        <f>PRODUCTION!F23</f>
        <v>650</v>
      </c>
      <c r="H92" s="101">
        <f>PRODUCTION!F24</f>
        <v>650</v>
      </c>
      <c r="I92" s="101">
        <f>PRODUCTION!F25</f>
        <v>650</v>
      </c>
      <c r="J92" s="101">
        <f>PRODUCTION!F26</f>
        <v>650</v>
      </c>
      <c r="K92" s="101">
        <f>PRODUCTION!F27</f>
        <v>650</v>
      </c>
      <c r="L92" s="101">
        <f>PRODUCTION!F28</f>
        <v>650</v>
      </c>
      <c r="M92" s="101">
        <f>PRODUCTION!F29</f>
        <v>650</v>
      </c>
      <c r="N92" s="17">
        <f t="shared" ref="N92:N106" si="21">SUM(B92:M92)</f>
        <v>7150</v>
      </c>
    </row>
    <row r="93" ht="13.5" customHeight="1">
      <c r="A93" s="31" t="s">
        <v>90</v>
      </c>
      <c r="B93" s="46"/>
      <c r="C93" s="87">
        <v>14355.0</v>
      </c>
      <c r="D93" s="87"/>
      <c r="E93" s="87"/>
      <c r="F93" s="87"/>
      <c r="G93" s="46"/>
      <c r="H93" s="46"/>
      <c r="I93" s="46"/>
      <c r="J93" s="46"/>
      <c r="K93" s="87"/>
      <c r="L93" s="46"/>
      <c r="M93" s="87"/>
      <c r="N93" s="17">
        <f t="shared" si="21"/>
        <v>14355</v>
      </c>
    </row>
    <row r="94" ht="13.5" customHeight="1">
      <c r="A94" s="31" t="s">
        <v>91</v>
      </c>
      <c r="B94" s="87"/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17">
        <f t="shared" si="21"/>
        <v>2180</v>
      </c>
    </row>
    <row r="95" ht="13.5" customHeight="1">
      <c r="A95" s="31" t="s">
        <v>92</v>
      </c>
      <c r="B95" s="87"/>
      <c r="C95" s="87"/>
      <c r="D95" s="87">
        <v>0.0</v>
      </c>
      <c r="E95" s="87">
        <v>0.0</v>
      </c>
      <c r="F95" s="104">
        <v>500.0</v>
      </c>
      <c r="G95" s="104">
        <v>0.0</v>
      </c>
      <c r="H95" s="104">
        <v>500.0</v>
      </c>
      <c r="I95" s="104">
        <v>500.0</v>
      </c>
      <c r="J95" s="87">
        <v>500.0</v>
      </c>
      <c r="K95" s="87">
        <v>500.0</v>
      </c>
      <c r="L95" s="87">
        <v>500.0</v>
      </c>
      <c r="M95" s="87">
        <v>500.0</v>
      </c>
      <c r="N95" s="17">
        <f t="shared" si="21"/>
        <v>3500</v>
      </c>
    </row>
    <row r="96" ht="13.5" customHeight="1">
      <c r="A96" s="32" t="s">
        <v>143</v>
      </c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17">
        <f t="shared" si="21"/>
        <v>0</v>
      </c>
    </row>
    <row r="97" ht="13.5" customHeight="1">
      <c r="A97" s="32" t="s">
        <v>94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17">
        <f t="shared" si="21"/>
        <v>0</v>
      </c>
    </row>
    <row r="98" ht="13.5" customHeight="1">
      <c r="A98" s="32" t="s">
        <v>95</v>
      </c>
      <c r="B98" s="8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17">
        <f t="shared" si="21"/>
        <v>0</v>
      </c>
    </row>
    <row r="99" ht="13.5" customHeight="1">
      <c r="A99" s="31" t="s">
        <v>96</v>
      </c>
      <c r="B99" s="46"/>
      <c r="C99" s="87">
        <v>2500.0</v>
      </c>
      <c r="D99" s="87">
        <v>2500.0</v>
      </c>
      <c r="E99" s="87">
        <v>2500.0</v>
      </c>
      <c r="F99" s="87">
        <v>2500.0</v>
      </c>
      <c r="G99" s="87">
        <v>2500.0</v>
      </c>
      <c r="H99" s="87">
        <v>2500.0</v>
      </c>
      <c r="I99" s="87">
        <v>2500.0</v>
      </c>
      <c r="J99" s="87">
        <v>2500.0</v>
      </c>
      <c r="K99" s="87">
        <v>2500.0</v>
      </c>
      <c r="L99" s="87">
        <v>2500.0</v>
      </c>
      <c r="M99" s="87">
        <v>2500.0</v>
      </c>
      <c r="N99" s="17">
        <f t="shared" si="21"/>
        <v>27500</v>
      </c>
    </row>
    <row r="100" ht="13.5" customHeight="1">
      <c r="A100" s="31" t="s">
        <v>97</v>
      </c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17">
        <f t="shared" si="21"/>
        <v>0</v>
      </c>
    </row>
    <row r="101" ht="13.5" customHeight="1">
      <c r="A101" s="32" t="s">
        <v>98</v>
      </c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17">
        <f t="shared" si="21"/>
        <v>0</v>
      </c>
    </row>
    <row r="102" ht="13.5" customHeight="1">
      <c r="A102" s="31" t="s">
        <v>99</v>
      </c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17">
        <f t="shared" si="21"/>
        <v>0</v>
      </c>
    </row>
    <row r="103" ht="13.5" customHeight="1">
      <c r="A103" s="32" t="s">
        <v>100</v>
      </c>
      <c r="B103" s="87"/>
      <c r="C103" s="87">
        <v>100.0</v>
      </c>
      <c r="D103" s="87">
        <v>100.0</v>
      </c>
      <c r="E103" s="87">
        <v>100.0</v>
      </c>
      <c r="F103" s="87">
        <v>100.0</v>
      </c>
      <c r="G103" s="87">
        <v>100.0</v>
      </c>
      <c r="H103" s="87">
        <v>100.0</v>
      </c>
      <c r="I103" s="87">
        <v>100.0</v>
      </c>
      <c r="J103" s="87">
        <v>100.0</v>
      </c>
      <c r="K103" s="87">
        <v>100.0</v>
      </c>
      <c r="L103" s="87">
        <v>100.0</v>
      </c>
      <c r="M103" s="87">
        <v>100.0</v>
      </c>
      <c r="N103" s="17">
        <f t="shared" si="21"/>
        <v>1100</v>
      </c>
    </row>
    <row r="104" ht="13.5" customHeight="1">
      <c r="A104" s="27" t="s">
        <v>101</v>
      </c>
      <c r="B104" s="87"/>
      <c r="C104" s="87">
        <v>175.0</v>
      </c>
      <c r="D104" s="87">
        <v>175.0</v>
      </c>
      <c r="E104" s="87">
        <v>175.0</v>
      </c>
      <c r="F104" s="87">
        <v>175.0</v>
      </c>
      <c r="G104" s="87">
        <v>175.0</v>
      </c>
      <c r="H104" s="87">
        <v>175.0</v>
      </c>
      <c r="I104" s="87">
        <v>175.0</v>
      </c>
      <c r="J104" s="87">
        <v>175.0</v>
      </c>
      <c r="K104" s="87">
        <v>175.0</v>
      </c>
      <c r="L104" s="87">
        <v>175.0</v>
      </c>
      <c r="M104" s="87">
        <v>175.0</v>
      </c>
      <c r="N104" s="17">
        <f t="shared" si="21"/>
        <v>1925</v>
      </c>
    </row>
    <row r="105" ht="13.5" customHeight="1">
      <c r="A105" s="27" t="s">
        <v>102</v>
      </c>
      <c r="B105" s="28"/>
      <c r="C105" s="28"/>
      <c r="D105" s="28"/>
      <c r="E105" s="28"/>
      <c r="F105" s="28"/>
      <c r="G105" s="28"/>
      <c r="H105" s="28"/>
      <c r="I105" s="28"/>
      <c r="J105" s="28"/>
      <c r="K105" s="147"/>
      <c r="L105" s="28"/>
      <c r="M105" s="28"/>
      <c r="N105" s="17">
        <f t="shared" si="21"/>
        <v>0</v>
      </c>
    </row>
    <row r="106" ht="13.5" customHeight="1">
      <c r="A106" s="158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46">
        <f t="shared" si="21"/>
        <v>0</v>
      </c>
    </row>
    <row r="107" ht="13.5" customHeight="1">
      <c r="A107" s="91" t="s">
        <v>23</v>
      </c>
      <c r="B107" s="28">
        <f t="shared" ref="B107:M107" si="22">SUM(B92:B105)</f>
        <v>0</v>
      </c>
      <c r="C107" s="28">
        <f t="shared" si="22"/>
        <v>17960</v>
      </c>
      <c r="D107" s="28">
        <f t="shared" si="22"/>
        <v>3605</v>
      </c>
      <c r="E107" s="28">
        <f t="shared" si="22"/>
        <v>3605</v>
      </c>
      <c r="F107" s="28">
        <f t="shared" si="22"/>
        <v>4105</v>
      </c>
      <c r="G107" s="28">
        <f t="shared" si="22"/>
        <v>3605</v>
      </c>
      <c r="H107" s="28">
        <f t="shared" si="22"/>
        <v>4105</v>
      </c>
      <c r="I107" s="28">
        <f t="shared" si="22"/>
        <v>4105</v>
      </c>
      <c r="J107" s="28">
        <f t="shared" si="22"/>
        <v>4105</v>
      </c>
      <c r="K107" s="28">
        <f t="shared" si="22"/>
        <v>4305</v>
      </c>
      <c r="L107" s="28">
        <f t="shared" si="22"/>
        <v>4105</v>
      </c>
      <c r="M107" s="28">
        <f t="shared" si="22"/>
        <v>4105</v>
      </c>
      <c r="N107" s="28">
        <f>SUM(N92:N106)</f>
        <v>57710</v>
      </c>
    </row>
    <row r="108" ht="13.5" customHeight="1">
      <c r="A108" s="91" t="s">
        <v>104</v>
      </c>
      <c r="B108" s="159">
        <v>0.0</v>
      </c>
      <c r="C108" s="160">
        <v>0.0</v>
      </c>
      <c r="D108" s="160">
        <v>0.0</v>
      </c>
      <c r="E108" s="160">
        <v>0.0</v>
      </c>
      <c r="F108" s="160">
        <v>0.0</v>
      </c>
      <c r="G108" s="160">
        <v>0.0</v>
      </c>
      <c r="H108" s="160">
        <v>0.0</v>
      </c>
      <c r="I108" s="160">
        <v>0.0</v>
      </c>
      <c r="J108" s="160">
        <v>0.0</v>
      </c>
      <c r="K108" s="160">
        <v>0.0</v>
      </c>
      <c r="L108" s="160">
        <v>0.0</v>
      </c>
      <c r="M108" s="160">
        <v>0.0</v>
      </c>
      <c r="N108" s="44">
        <f>SUM(B108:M108)</f>
        <v>0</v>
      </c>
    </row>
    <row r="109" ht="13.5" customHeight="1">
      <c r="A109" s="112" t="s">
        <v>105</v>
      </c>
      <c r="B109" s="50">
        <f t="shared" ref="B109:N109" si="23">B107+B90+B83+B32+B21+B13</f>
        <v>0</v>
      </c>
      <c r="C109" s="50">
        <f t="shared" si="23"/>
        <v>53191.21</v>
      </c>
      <c r="D109" s="50">
        <f t="shared" si="23"/>
        <v>33797.33</v>
      </c>
      <c r="E109" s="50">
        <f t="shared" si="23"/>
        <v>33571.1</v>
      </c>
      <c r="F109" s="50">
        <f t="shared" si="23"/>
        <v>33251.1</v>
      </c>
      <c r="G109" s="50">
        <f t="shared" si="23"/>
        <v>32751.1</v>
      </c>
      <c r="H109" s="50">
        <f t="shared" si="23"/>
        <v>33251.1</v>
      </c>
      <c r="I109" s="50">
        <f t="shared" si="23"/>
        <v>33251.1</v>
      </c>
      <c r="J109" s="50">
        <f t="shared" si="23"/>
        <v>33251.1</v>
      </c>
      <c r="K109" s="50">
        <f t="shared" si="23"/>
        <v>33451.1</v>
      </c>
      <c r="L109" s="50">
        <f t="shared" si="23"/>
        <v>33251.1</v>
      </c>
      <c r="M109" s="50">
        <f t="shared" si="23"/>
        <v>33251.1</v>
      </c>
      <c r="N109" s="50">
        <f t="shared" si="23"/>
        <v>392828.44</v>
      </c>
    </row>
    <row r="110" ht="13.5" customHeight="1">
      <c r="A110" s="35" t="s">
        <v>106</v>
      </c>
      <c r="B110" s="161">
        <v>0.0</v>
      </c>
      <c r="C110" s="161">
        <v>0.0</v>
      </c>
      <c r="D110" s="161">
        <v>0.0</v>
      </c>
      <c r="E110" s="161">
        <v>0.0</v>
      </c>
      <c r="F110" s="161">
        <v>0.0</v>
      </c>
      <c r="G110" s="161">
        <v>0.0</v>
      </c>
      <c r="H110" s="161">
        <v>0.0</v>
      </c>
      <c r="I110" s="161">
        <v>0.0</v>
      </c>
      <c r="J110" s="161">
        <v>0.0</v>
      </c>
      <c r="K110" s="161">
        <v>0.0</v>
      </c>
      <c r="L110" s="161">
        <v>0.0</v>
      </c>
      <c r="M110" s="161">
        <v>0.0</v>
      </c>
      <c r="N110" s="149">
        <f t="shared" ref="N110:N112" si="24">SUM(B110:M110)</f>
        <v>0</v>
      </c>
    </row>
    <row r="111" ht="13.5" customHeight="1">
      <c r="A111" s="35" t="s">
        <v>107</v>
      </c>
      <c r="B111" s="161">
        <v>0.0</v>
      </c>
      <c r="C111" s="161">
        <v>0.0</v>
      </c>
      <c r="D111" s="161">
        <v>0.0</v>
      </c>
      <c r="E111" s="161">
        <v>0.0</v>
      </c>
      <c r="F111" s="161">
        <v>0.0</v>
      </c>
      <c r="G111" s="161">
        <v>0.0</v>
      </c>
      <c r="H111" s="161">
        <v>0.0</v>
      </c>
      <c r="I111" s="161">
        <v>0.0</v>
      </c>
      <c r="J111" s="161">
        <v>0.0</v>
      </c>
      <c r="K111" s="161">
        <v>0.0</v>
      </c>
      <c r="L111" s="161">
        <v>0.0</v>
      </c>
      <c r="M111" s="161">
        <v>0.0</v>
      </c>
      <c r="N111" s="149">
        <f t="shared" si="24"/>
        <v>0</v>
      </c>
    </row>
    <row r="112" ht="13.5" customHeight="1">
      <c r="A112" s="91" t="s">
        <v>23</v>
      </c>
      <c r="B112" s="122">
        <f t="shared" ref="B112:M112" si="25">B110+B111</f>
        <v>0</v>
      </c>
      <c r="C112" s="122">
        <f t="shared" si="25"/>
        <v>0</v>
      </c>
      <c r="D112" s="122">
        <f t="shared" si="25"/>
        <v>0</v>
      </c>
      <c r="E112" s="122">
        <f t="shared" si="25"/>
        <v>0</v>
      </c>
      <c r="F112" s="123">
        <f t="shared" si="25"/>
        <v>0</v>
      </c>
      <c r="G112" s="123">
        <f t="shared" si="25"/>
        <v>0</v>
      </c>
      <c r="H112" s="123">
        <f t="shared" si="25"/>
        <v>0</v>
      </c>
      <c r="I112" s="123">
        <f t="shared" si="25"/>
        <v>0</v>
      </c>
      <c r="J112" s="123">
        <f t="shared" si="25"/>
        <v>0</v>
      </c>
      <c r="K112" s="123">
        <f t="shared" si="25"/>
        <v>0</v>
      </c>
      <c r="L112" s="123">
        <f t="shared" si="25"/>
        <v>0</v>
      </c>
      <c r="M112" s="124">
        <f t="shared" si="25"/>
        <v>0</v>
      </c>
      <c r="N112" s="125">
        <f t="shared" si="24"/>
        <v>0</v>
      </c>
    </row>
    <row r="113" ht="13.5" customHeight="1">
      <c r="A113" s="126" t="s">
        <v>108</v>
      </c>
      <c r="B113" s="58" t="str">
        <f t="shared" ref="B113:N113" si="26">B109/B112</f>
        <v>#DIV/0!</v>
      </c>
      <c r="C113" s="58" t="str">
        <f t="shared" si="26"/>
        <v>#DIV/0!</v>
      </c>
      <c r="D113" s="58" t="str">
        <f t="shared" si="26"/>
        <v>#DIV/0!</v>
      </c>
      <c r="E113" s="58" t="str">
        <f t="shared" si="26"/>
        <v>#DIV/0!</v>
      </c>
      <c r="F113" s="58" t="str">
        <f t="shared" si="26"/>
        <v>#DIV/0!</v>
      </c>
      <c r="G113" s="58" t="str">
        <f t="shared" si="26"/>
        <v>#DIV/0!</v>
      </c>
      <c r="H113" s="58" t="str">
        <f t="shared" si="26"/>
        <v>#DIV/0!</v>
      </c>
      <c r="I113" s="58" t="str">
        <f t="shared" si="26"/>
        <v>#DIV/0!</v>
      </c>
      <c r="J113" s="58" t="str">
        <f t="shared" si="26"/>
        <v>#DIV/0!</v>
      </c>
      <c r="K113" s="58" t="str">
        <f t="shared" si="26"/>
        <v>#DIV/0!</v>
      </c>
      <c r="L113" s="58" t="str">
        <f t="shared" si="26"/>
        <v>#DIV/0!</v>
      </c>
      <c r="M113" s="58" t="str">
        <f t="shared" si="26"/>
        <v>#DIV/0!</v>
      </c>
      <c r="N113" s="57" t="str">
        <f t="shared" si="26"/>
        <v>#DIV/0!</v>
      </c>
    </row>
    <row r="114" ht="13.5" customHeight="1">
      <c r="A114" s="79" t="s">
        <v>109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</row>
    <row r="115" ht="13.5" customHeight="1">
      <c r="A115" s="59" t="s">
        <v>110</v>
      </c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17">
        <f t="shared" ref="N115:N120" si="27">SUM(B115:M115)</f>
        <v>0</v>
      </c>
    </row>
    <row r="116" ht="13.5" customHeight="1">
      <c r="A116" s="59" t="s">
        <v>157</v>
      </c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17">
        <f t="shared" si="27"/>
        <v>0</v>
      </c>
    </row>
    <row r="117" ht="13.5" customHeight="1">
      <c r="A117" s="59" t="s">
        <v>112</v>
      </c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17">
        <f t="shared" si="27"/>
        <v>0</v>
      </c>
    </row>
    <row r="118" ht="13.5" customHeight="1">
      <c r="A118" s="59" t="s">
        <v>80</v>
      </c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17">
        <f t="shared" si="27"/>
        <v>0</v>
      </c>
    </row>
    <row r="119" ht="13.5" customHeight="1">
      <c r="A119" s="61" t="s">
        <v>113</v>
      </c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17">
        <f t="shared" si="27"/>
        <v>0</v>
      </c>
    </row>
    <row r="120" ht="13.5" customHeight="1">
      <c r="A120" s="132" t="s">
        <v>114</v>
      </c>
      <c r="B120" s="87"/>
      <c r="C120" s="87">
        <v>2475.0</v>
      </c>
      <c r="D120" s="87">
        <v>2475.0</v>
      </c>
      <c r="E120" s="87">
        <v>2475.0</v>
      </c>
      <c r="F120" s="87">
        <v>2475.0</v>
      </c>
      <c r="G120" s="87">
        <v>2475.0</v>
      </c>
      <c r="H120" s="87">
        <v>2475.0</v>
      </c>
      <c r="I120" s="87">
        <v>2475.0</v>
      </c>
      <c r="J120" s="87">
        <v>2475.0</v>
      </c>
      <c r="K120" s="87">
        <v>2475.0</v>
      </c>
      <c r="L120" s="87">
        <v>2475.0</v>
      </c>
      <c r="M120" s="87">
        <v>2475.0</v>
      </c>
      <c r="N120" s="17">
        <f t="shared" si="27"/>
        <v>27225</v>
      </c>
    </row>
    <row r="121" ht="13.5" customHeight="1">
      <c r="A121" s="99" t="s">
        <v>23</v>
      </c>
      <c r="B121" s="63">
        <f t="shared" ref="B121:N121" si="28">SUM(B115:B120)</f>
        <v>0</v>
      </c>
      <c r="C121" s="63">
        <f t="shared" si="28"/>
        <v>2475</v>
      </c>
      <c r="D121" s="63">
        <f t="shared" si="28"/>
        <v>2475</v>
      </c>
      <c r="E121" s="63">
        <f t="shared" si="28"/>
        <v>2475</v>
      </c>
      <c r="F121" s="63">
        <f t="shared" si="28"/>
        <v>2475</v>
      </c>
      <c r="G121" s="63">
        <f t="shared" si="28"/>
        <v>2475</v>
      </c>
      <c r="H121" s="63">
        <f t="shared" si="28"/>
        <v>2475</v>
      </c>
      <c r="I121" s="63">
        <f t="shared" si="28"/>
        <v>2475</v>
      </c>
      <c r="J121" s="63">
        <f t="shared" si="28"/>
        <v>2475</v>
      </c>
      <c r="K121" s="63">
        <f t="shared" si="28"/>
        <v>2475</v>
      </c>
      <c r="L121" s="63">
        <f t="shared" si="28"/>
        <v>2475</v>
      </c>
      <c r="M121" s="63">
        <f t="shared" si="28"/>
        <v>2475</v>
      </c>
      <c r="N121" s="63">
        <f t="shared" si="28"/>
        <v>27225</v>
      </c>
    </row>
    <row r="122" ht="13.5" customHeight="1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</row>
    <row r="123" ht="13.5" customHeight="1">
      <c r="A123" s="134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</row>
    <row r="124" ht="13.5" customHeight="1">
      <c r="A124" s="64" t="s">
        <v>115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</row>
    <row r="125" ht="13.5" customHeight="1">
      <c r="A125" s="64" t="s">
        <v>116</v>
      </c>
      <c r="B125" s="67">
        <f t="shared" ref="B125:M125" si="29">+B13*0.7+B21*0.7+B32*0.7+B52*0.6+B70+B107*0.6</f>
        <v>0</v>
      </c>
      <c r="C125" s="67">
        <f t="shared" si="29"/>
        <v>31165.524</v>
      </c>
      <c r="D125" s="67">
        <f t="shared" si="29"/>
        <v>19025.308</v>
      </c>
      <c r="E125" s="67">
        <f t="shared" si="29"/>
        <v>18889.57</v>
      </c>
      <c r="F125" s="67">
        <f t="shared" si="29"/>
        <v>19189.57</v>
      </c>
      <c r="G125" s="67">
        <f t="shared" si="29"/>
        <v>18889.57</v>
      </c>
      <c r="H125" s="67">
        <f t="shared" si="29"/>
        <v>19189.57</v>
      </c>
      <c r="I125" s="67">
        <f t="shared" si="29"/>
        <v>19189.57</v>
      </c>
      <c r="J125" s="67">
        <f t="shared" si="29"/>
        <v>19189.57</v>
      </c>
      <c r="K125" s="67">
        <f t="shared" si="29"/>
        <v>19309.57</v>
      </c>
      <c r="L125" s="67">
        <f t="shared" si="29"/>
        <v>19189.57</v>
      </c>
      <c r="M125" s="67">
        <f t="shared" si="29"/>
        <v>19189.57</v>
      </c>
      <c r="N125" s="67">
        <f t="shared" ref="N125:N126" si="31">SUM(B125:M125)</f>
        <v>222416.962</v>
      </c>
    </row>
    <row r="126" ht="13.5" customHeight="1">
      <c r="A126" s="64" t="s">
        <v>117</v>
      </c>
      <c r="B126" s="67">
        <f t="shared" ref="B126:M126" si="30">+B13*0.3+B21*0.3+B32*0.3+B52*0.4+B82+B90+B107*0.4</f>
        <v>0</v>
      </c>
      <c r="C126" s="67">
        <f t="shared" si="30"/>
        <v>22025.686</v>
      </c>
      <c r="D126" s="67">
        <f t="shared" si="30"/>
        <v>14772.022</v>
      </c>
      <c r="E126" s="67">
        <f t="shared" si="30"/>
        <v>14681.53</v>
      </c>
      <c r="F126" s="67">
        <f t="shared" si="30"/>
        <v>14061.53</v>
      </c>
      <c r="G126" s="67">
        <f t="shared" si="30"/>
        <v>13861.53</v>
      </c>
      <c r="H126" s="67">
        <f t="shared" si="30"/>
        <v>14061.53</v>
      </c>
      <c r="I126" s="67">
        <f t="shared" si="30"/>
        <v>14061.53</v>
      </c>
      <c r="J126" s="67">
        <f t="shared" si="30"/>
        <v>14061.53</v>
      </c>
      <c r="K126" s="67">
        <f t="shared" si="30"/>
        <v>14141.53</v>
      </c>
      <c r="L126" s="67">
        <f t="shared" si="30"/>
        <v>14061.53</v>
      </c>
      <c r="M126" s="67">
        <f t="shared" si="30"/>
        <v>14061.53</v>
      </c>
      <c r="N126" s="67">
        <f t="shared" si="31"/>
        <v>163851.478</v>
      </c>
    </row>
    <row r="127" ht="13.5" customHeight="1">
      <c r="A127" s="64" t="s">
        <v>23</v>
      </c>
      <c r="B127" s="67">
        <f t="shared" ref="B127:N127" si="32">SUM(B125:B126)</f>
        <v>0</v>
      </c>
      <c r="C127" s="67">
        <f t="shared" si="32"/>
        <v>53191.21</v>
      </c>
      <c r="D127" s="67">
        <f t="shared" si="32"/>
        <v>33797.33</v>
      </c>
      <c r="E127" s="67">
        <f t="shared" si="32"/>
        <v>33571.1</v>
      </c>
      <c r="F127" s="67">
        <f t="shared" si="32"/>
        <v>33251.1</v>
      </c>
      <c r="G127" s="67">
        <f t="shared" si="32"/>
        <v>32751.1</v>
      </c>
      <c r="H127" s="67">
        <f t="shared" si="32"/>
        <v>33251.1</v>
      </c>
      <c r="I127" s="67">
        <f t="shared" si="32"/>
        <v>33251.1</v>
      </c>
      <c r="J127" s="67">
        <f t="shared" si="32"/>
        <v>33251.1</v>
      </c>
      <c r="K127" s="67">
        <f t="shared" si="32"/>
        <v>33451.1</v>
      </c>
      <c r="L127" s="67">
        <f t="shared" si="32"/>
        <v>33251.1</v>
      </c>
      <c r="M127" s="67">
        <f t="shared" si="32"/>
        <v>33251.1</v>
      </c>
      <c r="N127" s="67">
        <f t="shared" si="32"/>
        <v>386268.44</v>
      </c>
    </row>
    <row r="128" ht="13.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</row>
    <row r="129" ht="13.5" customHeight="1">
      <c r="A129" s="69" t="s">
        <v>118</v>
      </c>
      <c r="B129" s="70">
        <f t="shared" ref="B129:N129" si="33">+B109</f>
        <v>0</v>
      </c>
      <c r="C129" s="70">
        <f t="shared" si="33"/>
        <v>53191.21</v>
      </c>
      <c r="D129" s="70">
        <f t="shared" si="33"/>
        <v>33797.33</v>
      </c>
      <c r="E129" s="70">
        <f t="shared" si="33"/>
        <v>33571.1</v>
      </c>
      <c r="F129" s="70">
        <f t="shared" si="33"/>
        <v>33251.1</v>
      </c>
      <c r="G129" s="70">
        <f t="shared" si="33"/>
        <v>32751.1</v>
      </c>
      <c r="H129" s="70">
        <f t="shared" si="33"/>
        <v>33251.1</v>
      </c>
      <c r="I129" s="70">
        <f t="shared" si="33"/>
        <v>33251.1</v>
      </c>
      <c r="J129" s="70">
        <f t="shared" si="33"/>
        <v>33251.1</v>
      </c>
      <c r="K129" s="70">
        <f t="shared" si="33"/>
        <v>33451.1</v>
      </c>
      <c r="L129" s="70">
        <f t="shared" si="33"/>
        <v>33251.1</v>
      </c>
      <c r="M129" s="70">
        <f t="shared" si="33"/>
        <v>33251.1</v>
      </c>
      <c r="N129" s="70">
        <f t="shared" si="33"/>
        <v>392828.44</v>
      </c>
    </row>
    <row r="130" ht="13.5" customHeight="1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</row>
    <row r="131" ht="13.5" customHeight="1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</row>
  </sheetData>
  <mergeCells count="1">
    <mergeCell ref="A1:N1"/>
  </mergeCells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sheetData>
    <row r="1">
      <c r="A1" s="208" t="s">
        <v>587</v>
      </c>
      <c r="B1" s="208" t="s">
        <v>588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1.38"/>
    <col customWidth="1" min="2" max="13" width="9.75"/>
    <col customWidth="1" min="14" max="14" width="10.75"/>
  </cols>
  <sheetData>
    <row r="1" ht="13.5" customHeight="1">
      <c r="A1" s="76" t="s">
        <v>158</v>
      </c>
    </row>
    <row r="2" ht="13.5" customHeight="1">
      <c r="A2" s="7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ht="13.5" customHeight="1">
      <c r="A3" s="1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</row>
    <row r="4" ht="13.5" customHeight="1">
      <c r="A4" s="79" t="s">
        <v>14</v>
      </c>
      <c r="B4" s="63"/>
      <c r="C4" s="63"/>
      <c r="D4" s="63"/>
      <c r="E4" s="63"/>
      <c r="F4" s="83"/>
      <c r="G4" s="83"/>
      <c r="H4" s="83"/>
      <c r="I4" s="83"/>
      <c r="J4" s="83"/>
      <c r="K4" s="83"/>
      <c r="L4" s="83"/>
      <c r="M4" s="83"/>
      <c r="N4" s="83"/>
    </row>
    <row r="5" ht="13.5" customHeight="1">
      <c r="A5" s="15" t="s">
        <v>15</v>
      </c>
      <c r="B5" s="46">
        <f>FORMULAS!S43</f>
        <v>7375.238095</v>
      </c>
      <c r="C5" s="46">
        <f>FORMULAS!W43</f>
        <v>7375.238095</v>
      </c>
      <c r="D5" s="46">
        <f>FORMULAS!AA43</f>
        <v>7375.238095</v>
      </c>
      <c r="E5" s="46">
        <f>FORMULAS!AE43</f>
        <v>9908.54458</v>
      </c>
      <c r="F5" s="46">
        <f>FORMULAS!AI43</f>
        <v>14265.69533</v>
      </c>
      <c r="G5" s="46">
        <f>FORMULAS!AM43</f>
        <v>12935.97611</v>
      </c>
      <c r="H5" s="46">
        <f>FORMULAS!AQ43</f>
        <v>8777.983787</v>
      </c>
      <c r="I5" s="46">
        <f>FORMULAS!AU43</f>
        <v>8777.983787</v>
      </c>
      <c r="J5" s="46">
        <f>FORMULAS!AY43</f>
        <v>11087.97952</v>
      </c>
      <c r="K5" s="46">
        <f>FORMULAS!BC43</f>
        <v>11087.97952</v>
      </c>
      <c r="L5" s="46">
        <f>FORMULAS!BG43</f>
        <v>12935.97611</v>
      </c>
      <c r="M5" s="46">
        <f>FORMULAS!BK43</f>
        <v>12935.97611</v>
      </c>
      <c r="N5" s="17">
        <f t="shared" ref="N5:N12" si="1">SUM(B5:M5)</f>
        <v>124839.8091</v>
      </c>
    </row>
    <row r="6" ht="13.5" customHeight="1">
      <c r="A6" s="19" t="s">
        <v>123</v>
      </c>
      <c r="B6" s="46"/>
      <c r="C6" s="46"/>
      <c r="D6" s="87"/>
      <c r="E6" s="87"/>
      <c r="F6" s="87"/>
      <c r="G6" s="87"/>
      <c r="H6" s="87"/>
      <c r="I6" s="87"/>
      <c r="J6" s="87"/>
      <c r="K6" s="87"/>
      <c r="L6" s="87"/>
      <c r="M6" s="87"/>
      <c r="N6" s="17">
        <f t="shared" si="1"/>
        <v>0</v>
      </c>
    </row>
    <row r="7" ht="13.5" customHeight="1">
      <c r="A7" s="15" t="s">
        <v>17</v>
      </c>
      <c r="B7" s="46"/>
      <c r="C7" s="46"/>
      <c r="D7" s="46"/>
      <c r="E7" s="46"/>
      <c r="F7" s="87"/>
      <c r="G7" s="87"/>
      <c r="H7" s="87"/>
      <c r="I7" s="87"/>
      <c r="J7" s="87"/>
      <c r="K7" s="46"/>
      <c r="L7" s="46"/>
      <c r="M7" s="46"/>
      <c r="N7" s="17">
        <f t="shared" si="1"/>
        <v>0</v>
      </c>
    </row>
    <row r="8" ht="13.5" customHeight="1">
      <c r="A8" s="15" t="s">
        <v>18</v>
      </c>
      <c r="B8" s="46"/>
      <c r="C8" s="46"/>
      <c r="D8" s="46"/>
      <c r="E8" s="46"/>
      <c r="F8" s="46"/>
      <c r="G8" s="87"/>
      <c r="H8" s="87"/>
      <c r="I8" s="87"/>
      <c r="J8" s="87"/>
      <c r="K8" s="87"/>
      <c r="L8" s="87"/>
      <c r="M8" s="87"/>
      <c r="N8" s="17">
        <f t="shared" si="1"/>
        <v>0</v>
      </c>
    </row>
    <row r="9" ht="13.5" customHeight="1">
      <c r="A9" s="20" t="s">
        <v>159</v>
      </c>
      <c r="B9" s="46">
        <f>FORMULAS!S91+FORMULAS!P306</f>
        <v>658.5034014</v>
      </c>
      <c r="C9" s="46">
        <f>FORMULAS!W91+FORMULAS!T306</f>
        <v>658.5034014</v>
      </c>
      <c r="D9" s="162">
        <f>FORMULAS!AA91+FORMULAS!X306</f>
        <v>658.5034014</v>
      </c>
      <c r="E9" s="46">
        <f>FORMULAS!AE91+FORMULAS!AB306</f>
        <v>3733.536264</v>
      </c>
      <c r="F9" s="46">
        <f>FORMULAS!AI91+FORMULAS!AF306</f>
        <v>6505.157072</v>
      </c>
      <c r="G9" s="46">
        <f>FORMULAS!AM91+FORMULAS!AJ306</f>
        <v>5898.805105</v>
      </c>
      <c r="H9" s="46">
        <f>FORMULAS!AQ91+FORMULAS!AN306</f>
        <v>3385.529747</v>
      </c>
      <c r="I9" s="46">
        <f>FORMULAS!AU91+FORMULAS!AR306</f>
        <v>3385.529747</v>
      </c>
      <c r="J9" s="46">
        <f>FORMULAS!AY91+FORMULAS!AV306</f>
        <v>4642.167426</v>
      </c>
      <c r="K9" s="46">
        <f>FORMULAS!BC91+FORMULAS!AZ306</f>
        <v>4642.167426</v>
      </c>
      <c r="L9" s="46">
        <f>FORMULAS!BG91+FORMULAS!BD306</f>
        <v>5898.805105</v>
      </c>
      <c r="M9" s="46">
        <f>FORMULAS!BK91+FORMULAS!BH306</f>
        <v>5898.805105</v>
      </c>
      <c r="N9" s="17">
        <f t="shared" si="1"/>
        <v>45966.0132</v>
      </c>
    </row>
    <row r="10" ht="13.5" customHeight="1">
      <c r="A10" s="20" t="s">
        <v>20</v>
      </c>
      <c r="B10" s="46">
        <f>FORMULAS!S67</f>
        <v>2829.369615</v>
      </c>
      <c r="C10" s="46">
        <f>FORMULAS!W67</f>
        <v>2073.232109</v>
      </c>
      <c r="D10" s="46">
        <f>FORMULAS!AA67</f>
        <v>3000.668299</v>
      </c>
      <c r="E10" s="46">
        <f>FORMULAS!AE67</f>
        <v>2699.863946</v>
      </c>
      <c r="F10" s="46">
        <f>FORMULAS!AI67</f>
        <v>0</v>
      </c>
      <c r="G10" s="46">
        <f>FORMULAS!AM67</f>
        <v>0</v>
      </c>
      <c r="H10" s="46">
        <f>FORMULAS!AQ67</f>
        <v>0</v>
      </c>
      <c r="I10" s="163">
        <f>FORMULAS!AU67</f>
        <v>0</v>
      </c>
      <c r="J10" s="46">
        <f>FORMULAS!AY67</f>
        <v>0</v>
      </c>
      <c r="K10" s="46">
        <f>FORMULAS!BC67</f>
        <v>2587.195221</v>
      </c>
      <c r="L10" s="46">
        <f>FORMULAS!BG67</f>
        <v>2587.195221</v>
      </c>
      <c r="M10" s="46">
        <f>FORMULAS!BK67</f>
        <v>2587.195221</v>
      </c>
      <c r="N10" s="17">
        <f t="shared" si="1"/>
        <v>18364.71963</v>
      </c>
    </row>
    <row r="11" ht="13.5" customHeight="1">
      <c r="A11" s="15" t="s">
        <v>21</v>
      </c>
      <c r="B11" s="87">
        <v>388.0</v>
      </c>
      <c r="C11" s="87">
        <v>426.88</v>
      </c>
      <c r="D11" s="87">
        <v>388.0</v>
      </c>
      <c r="E11" s="87">
        <v>388.0</v>
      </c>
      <c r="F11" s="87">
        <v>388.0</v>
      </c>
      <c r="G11" s="87">
        <v>388.0</v>
      </c>
      <c r="H11" s="87">
        <v>388.0</v>
      </c>
      <c r="I11" s="87">
        <v>388.0</v>
      </c>
      <c r="J11" s="87">
        <v>388.0</v>
      </c>
      <c r="K11" s="87">
        <v>388.0</v>
      </c>
      <c r="L11" s="87">
        <v>388.0</v>
      </c>
      <c r="M11" s="87">
        <v>388.0</v>
      </c>
      <c r="N11" s="17">
        <f t="shared" si="1"/>
        <v>4694.88</v>
      </c>
    </row>
    <row r="12" ht="13.5" customHeight="1">
      <c r="A12" s="15" t="s">
        <v>22</v>
      </c>
      <c r="B12" s="46">
        <f>PRODUCTION!E3</f>
        <v>700</v>
      </c>
      <c r="C12" s="46">
        <f>PRODUCTION!E4</f>
        <v>1370.6</v>
      </c>
      <c r="D12" s="46">
        <f>PRODUCTION!E5</f>
        <v>1370.6</v>
      </c>
      <c r="E12" s="46">
        <f>PRODUCTION!E6</f>
        <v>1370.6</v>
      </c>
      <c r="F12" s="46">
        <f>PRODUCTION!E7</f>
        <v>1370.6</v>
      </c>
      <c r="G12" s="46">
        <f>PRODUCTION!E8</f>
        <v>1370.6</v>
      </c>
      <c r="H12" s="46">
        <f>PRODUCTION!E9</f>
        <v>1370.6</v>
      </c>
      <c r="I12" s="46">
        <f>PRODUCTION!E10</f>
        <v>1370.6</v>
      </c>
      <c r="J12" s="46">
        <f>PRODUCTION!E11</f>
        <v>1370.6</v>
      </c>
      <c r="K12" s="46">
        <f>PRODUCTION!E12</f>
        <v>1370.6</v>
      </c>
      <c r="L12" s="46">
        <f>PRODUCTION!E13</f>
        <v>1370.6</v>
      </c>
      <c r="M12" s="46">
        <f>PRODUCTION!E14</f>
        <v>1370.6</v>
      </c>
      <c r="N12" s="17">
        <f t="shared" si="1"/>
        <v>15776.6</v>
      </c>
    </row>
    <row r="13" ht="13.5" customHeight="1">
      <c r="A13" s="21" t="s">
        <v>23</v>
      </c>
      <c r="B13" s="22">
        <f t="shared" ref="B13:N13" si="2">SUM(B5:B12)</f>
        <v>11951.11111</v>
      </c>
      <c r="C13" s="22">
        <f t="shared" si="2"/>
        <v>11904.45361</v>
      </c>
      <c r="D13" s="22">
        <f t="shared" si="2"/>
        <v>12793.0098</v>
      </c>
      <c r="E13" s="22">
        <f t="shared" si="2"/>
        <v>18100.54479</v>
      </c>
      <c r="F13" s="22">
        <f t="shared" si="2"/>
        <v>22529.45241</v>
      </c>
      <c r="G13" s="22">
        <f t="shared" si="2"/>
        <v>20593.38121</v>
      </c>
      <c r="H13" s="22">
        <f t="shared" si="2"/>
        <v>13922.11353</v>
      </c>
      <c r="I13" s="22">
        <f t="shared" si="2"/>
        <v>13922.11353</v>
      </c>
      <c r="J13" s="22">
        <f t="shared" si="2"/>
        <v>17488.74695</v>
      </c>
      <c r="K13" s="22">
        <f t="shared" si="2"/>
        <v>20075.94217</v>
      </c>
      <c r="L13" s="22">
        <f t="shared" si="2"/>
        <v>23180.57643</v>
      </c>
      <c r="M13" s="22">
        <f t="shared" si="2"/>
        <v>23180.57643</v>
      </c>
      <c r="N13" s="22">
        <f t="shared" si="2"/>
        <v>209642.022</v>
      </c>
    </row>
    <row r="14" ht="13.5" customHeight="1">
      <c r="A14" s="89" t="s">
        <v>24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83"/>
    </row>
    <row r="15" ht="13.5" customHeight="1">
      <c r="A15" s="35" t="s">
        <v>153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17">
        <f t="shared" ref="N15:N18" si="3">SUM(B15:M15)</f>
        <v>0</v>
      </c>
    </row>
    <row r="16" ht="13.5" customHeight="1">
      <c r="A16" s="35" t="s">
        <v>26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17">
        <f t="shared" si="3"/>
        <v>0</v>
      </c>
    </row>
    <row r="17" ht="13.5" customHeight="1">
      <c r="A17" s="3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17">
        <f t="shared" si="3"/>
        <v>0</v>
      </c>
    </row>
    <row r="18" ht="13.5" customHeight="1">
      <c r="A18" s="3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17">
        <f t="shared" si="3"/>
        <v>0</v>
      </c>
    </row>
    <row r="19" ht="13.5" customHeight="1">
      <c r="A19" s="27" t="s">
        <v>29</v>
      </c>
      <c r="B19" s="103"/>
      <c r="C19" s="103"/>
      <c r="D19" s="46"/>
      <c r="E19" s="87"/>
      <c r="F19" s="46"/>
      <c r="G19" s="46"/>
      <c r="H19" s="46"/>
      <c r="I19" s="46"/>
      <c r="J19" s="46"/>
      <c r="K19" s="46"/>
      <c r="L19" s="46"/>
      <c r="M19" s="46"/>
      <c r="N19" s="17">
        <f>SUM(C19:M19)</f>
        <v>0</v>
      </c>
    </row>
    <row r="20" ht="13.5" customHeight="1">
      <c r="A20" s="3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17">
        <f>SUM(B20:M20)</f>
        <v>0</v>
      </c>
    </row>
    <row r="21" ht="13.5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</row>
    <row r="22" ht="13.5" customHeight="1">
      <c r="A22" s="89" t="s">
        <v>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3"/>
    </row>
    <row r="23" ht="13.5" customHeight="1">
      <c r="A23" s="26" t="s">
        <v>31</v>
      </c>
      <c r="B23" s="87">
        <v>0.0</v>
      </c>
      <c r="C23" s="87">
        <v>0.0</v>
      </c>
      <c r="D23" s="87">
        <f>10081+1100.5</f>
        <v>11181.5</v>
      </c>
      <c r="E23" s="87">
        <v>0.0</v>
      </c>
      <c r="F23" s="87">
        <v>0.0</v>
      </c>
      <c r="G23" s="87">
        <v>0.0</v>
      </c>
      <c r="H23" s="87">
        <v>0.0</v>
      </c>
      <c r="I23" s="87">
        <v>0.0</v>
      </c>
      <c r="J23" s="87">
        <v>0.0</v>
      </c>
      <c r="K23" s="87">
        <v>0.0</v>
      </c>
      <c r="L23" s="87">
        <v>0.0</v>
      </c>
      <c r="M23" s="87">
        <v>0.0</v>
      </c>
      <c r="N23" s="17">
        <f t="shared" ref="N23:N31" si="5">SUM(B23:M23)</f>
        <v>11181.5</v>
      </c>
    </row>
    <row r="24" ht="13.5" customHeight="1">
      <c r="A24" s="32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17">
        <f t="shared" si="5"/>
        <v>0</v>
      </c>
    </row>
    <row r="25" ht="13.5" customHeight="1">
      <c r="A25" s="15" t="s">
        <v>127</v>
      </c>
      <c r="B25" s="46"/>
      <c r="C25" s="46"/>
      <c r="D25" s="46"/>
      <c r="E25" s="46"/>
      <c r="F25" s="46"/>
      <c r="G25" s="46"/>
      <c r="H25" s="46"/>
      <c r="I25" s="87"/>
      <c r="J25" s="46"/>
      <c r="K25" s="46"/>
      <c r="L25" s="46"/>
      <c r="M25" s="46"/>
      <c r="N25" s="17">
        <f t="shared" si="5"/>
        <v>0</v>
      </c>
    </row>
    <row r="26" ht="13.5" customHeight="1">
      <c r="A26" s="32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17">
        <f t="shared" si="5"/>
        <v>0</v>
      </c>
    </row>
    <row r="27" ht="13.5" customHeight="1">
      <c r="A27" s="31" t="s">
        <v>34</v>
      </c>
      <c r="B27" s="46"/>
      <c r="C27" s="139"/>
      <c r="D27" s="139"/>
      <c r="E27" s="139"/>
      <c r="F27" s="139"/>
      <c r="G27" s="141"/>
      <c r="H27" s="140"/>
      <c r="I27" s="141"/>
      <c r="J27" s="140"/>
      <c r="K27" s="141"/>
      <c r="L27" s="141"/>
      <c r="M27" s="141"/>
      <c r="N27" s="17">
        <f t="shared" si="5"/>
        <v>0</v>
      </c>
    </row>
    <row r="28" ht="13.5" customHeight="1">
      <c r="A28" s="33" t="s">
        <v>35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17">
        <f t="shared" si="5"/>
        <v>0</v>
      </c>
    </row>
    <row r="29" ht="13.5" customHeight="1">
      <c r="A29" s="27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17">
        <f t="shared" si="5"/>
        <v>0</v>
      </c>
    </row>
    <row r="30" ht="13.5" customHeight="1">
      <c r="A30" s="31" t="s">
        <v>37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17">
        <f t="shared" si="5"/>
        <v>0</v>
      </c>
    </row>
    <row r="31" ht="13.5" customHeight="1">
      <c r="A31" s="32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17">
        <f t="shared" si="5"/>
        <v>0</v>
      </c>
    </row>
    <row r="32" ht="13.5" customHeight="1">
      <c r="A32" s="91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11181.5</v>
      </c>
      <c r="E32" s="28">
        <f t="shared" si="6"/>
        <v>0</v>
      </c>
      <c r="F32" s="28">
        <f t="shared" si="6"/>
        <v>0</v>
      </c>
      <c r="G32" s="28">
        <f t="shared" si="6"/>
        <v>0</v>
      </c>
      <c r="H32" s="28">
        <f t="shared" si="6"/>
        <v>0</v>
      </c>
      <c r="I32" s="28">
        <f t="shared" si="6"/>
        <v>0</v>
      </c>
      <c r="J32" s="28">
        <f t="shared" si="6"/>
        <v>0</v>
      </c>
      <c r="K32" s="28">
        <f t="shared" si="6"/>
        <v>0</v>
      </c>
      <c r="L32" s="28">
        <f t="shared" si="6"/>
        <v>0</v>
      </c>
      <c r="M32" s="28">
        <f t="shared" si="6"/>
        <v>0</v>
      </c>
      <c r="N32" s="28">
        <f t="shared" si="6"/>
        <v>11181.5</v>
      </c>
    </row>
    <row r="33" ht="13.5" customHeight="1">
      <c r="A33" s="79" t="s">
        <v>38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</row>
    <row r="34" ht="13.5" customHeight="1">
      <c r="A34" s="142" t="s">
        <v>39</v>
      </c>
      <c r="B34" s="94">
        <f t="shared" ref="B34:M34" si="7">1999+349+850+61.9</f>
        <v>3259.9</v>
      </c>
      <c r="C34" s="94">
        <f t="shared" si="7"/>
        <v>3259.9</v>
      </c>
      <c r="D34" s="94">
        <f t="shared" si="7"/>
        <v>3259.9</v>
      </c>
      <c r="E34" s="94">
        <f t="shared" si="7"/>
        <v>3259.9</v>
      </c>
      <c r="F34" s="94">
        <f t="shared" si="7"/>
        <v>3259.9</v>
      </c>
      <c r="G34" s="94">
        <f t="shared" si="7"/>
        <v>3259.9</v>
      </c>
      <c r="H34" s="94">
        <f t="shared" si="7"/>
        <v>3259.9</v>
      </c>
      <c r="I34" s="94">
        <f t="shared" si="7"/>
        <v>3259.9</v>
      </c>
      <c r="J34" s="94">
        <f t="shared" si="7"/>
        <v>3259.9</v>
      </c>
      <c r="K34" s="94">
        <f t="shared" si="7"/>
        <v>3259.9</v>
      </c>
      <c r="L34" s="94">
        <f t="shared" si="7"/>
        <v>3259.9</v>
      </c>
      <c r="M34" s="94">
        <f t="shared" si="7"/>
        <v>3259.9</v>
      </c>
      <c r="N34" s="95">
        <f t="shared" ref="N34:N51" si="8">SUM(B34:M34)</f>
        <v>39118.8</v>
      </c>
    </row>
    <row r="35" ht="13.5" customHeight="1">
      <c r="A35" s="19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17">
        <f t="shared" si="8"/>
        <v>0</v>
      </c>
    </row>
    <row r="36" ht="13.5" customHeight="1">
      <c r="A36" s="35" t="s">
        <v>41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17">
        <f t="shared" si="8"/>
        <v>0</v>
      </c>
    </row>
    <row r="37" ht="13.5" customHeight="1">
      <c r="A37" s="35" t="s">
        <v>42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17">
        <f t="shared" si="8"/>
        <v>0</v>
      </c>
    </row>
    <row r="38" ht="13.5" customHeight="1">
      <c r="A38" s="35" t="s">
        <v>43</v>
      </c>
      <c r="B38" s="46"/>
      <c r="C38" s="46"/>
      <c r="D38" s="46"/>
      <c r="E38" s="46"/>
      <c r="F38" s="46"/>
      <c r="G38" s="46"/>
      <c r="H38" s="46"/>
      <c r="I38" s="46"/>
      <c r="J38" s="46"/>
      <c r="K38" s="87"/>
      <c r="L38" s="46"/>
      <c r="M38" s="46"/>
      <c r="N38" s="17">
        <f t="shared" si="8"/>
        <v>0</v>
      </c>
    </row>
    <row r="39" ht="13.5" customHeight="1">
      <c r="A39" s="35" t="s">
        <v>44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17">
        <f t="shared" si="8"/>
        <v>0</v>
      </c>
    </row>
    <row r="40" ht="13.5" customHeight="1">
      <c r="A40" s="35" t="s">
        <v>45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17">
        <f t="shared" si="8"/>
        <v>0</v>
      </c>
    </row>
    <row r="41" ht="13.5" customHeight="1">
      <c r="A41" s="35" t="s">
        <v>46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17">
        <f t="shared" si="8"/>
        <v>0</v>
      </c>
    </row>
    <row r="42" ht="13.5" customHeight="1">
      <c r="A42" s="19" t="s">
        <v>146</v>
      </c>
      <c r="B42" s="87">
        <v>365.0</v>
      </c>
      <c r="C42" s="87">
        <v>365.0</v>
      </c>
      <c r="D42" s="87">
        <v>365.0</v>
      </c>
      <c r="E42" s="87">
        <v>365.0</v>
      </c>
      <c r="F42" s="87">
        <v>365.0</v>
      </c>
      <c r="G42" s="87">
        <v>365.0</v>
      </c>
      <c r="H42" s="87">
        <v>365.0</v>
      </c>
      <c r="I42" s="87">
        <v>365.0</v>
      </c>
      <c r="J42" s="87">
        <v>365.0</v>
      </c>
      <c r="K42" s="87">
        <v>365.0</v>
      </c>
      <c r="L42" s="87">
        <v>365.0</v>
      </c>
      <c r="M42" s="87">
        <v>365.0</v>
      </c>
      <c r="N42" s="17">
        <f t="shared" si="8"/>
        <v>4380</v>
      </c>
    </row>
    <row r="43" ht="13.5" customHeight="1">
      <c r="A43" s="19" t="s">
        <v>48</v>
      </c>
      <c r="B43" s="87">
        <v>3124.88</v>
      </c>
      <c r="C43" s="87">
        <v>3124.88</v>
      </c>
      <c r="D43" s="87">
        <v>3124.88</v>
      </c>
      <c r="E43" s="87">
        <v>3124.88</v>
      </c>
      <c r="F43" s="87">
        <v>3124.88</v>
      </c>
      <c r="G43" s="87">
        <v>3124.88</v>
      </c>
      <c r="H43" s="87">
        <v>3124.88</v>
      </c>
      <c r="I43" s="87">
        <v>3124.88</v>
      </c>
      <c r="J43" s="87">
        <v>3124.88</v>
      </c>
      <c r="K43" s="87">
        <v>3124.88</v>
      </c>
      <c r="L43" s="87">
        <v>3124.88</v>
      </c>
      <c r="M43" s="87">
        <v>3124.88</v>
      </c>
      <c r="N43" s="17">
        <f t="shared" si="8"/>
        <v>37498.56</v>
      </c>
    </row>
    <row r="44" ht="13.5" customHeight="1">
      <c r="A44" s="19" t="s">
        <v>130</v>
      </c>
      <c r="B44" s="46">
        <f t="shared" ref="B44:M44" si="9">259+259</f>
        <v>518</v>
      </c>
      <c r="C44" s="46">
        <f t="shared" si="9"/>
        <v>518</v>
      </c>
      <c r="D44" s="46">
        <f t="shared" si="9"/>
        <v>518</v>
      </c>
      <c r="E44" s="46">
        <f t="shared" si="9"/>
        <v>518</v>
      </c>
      <c r="F44" s="46">
        <f t="shared" si="9"/>
        <v>518</v>
      </c>
      <c r="G44" s="46">
        <f t="shared" si="9"/>
        <v>518</v>
      </c>
      <c r="H44" s="46">
        <f t="shared" si="9"/>
        <v>518</v>
      </c>
      <c r="I44" s="46">
        <f t="shared" si="9"/>
        <v>518</v>
      </c>
      <c r="J44" s="46">
        <f t="shared" si="9"/>
        <v>518</v>
      </c>
      <c r="K44" s="46">
        <f t="shared" si="9"/>
        <v>518</v>
      </c>
      <c r="L44" s="46">
        <f t="shared" si="9"/>
        <v>518</v>
      </c>
      <c r="M44" s="46">
        <f t="shared" si="9"/>
        <v>518</v>
      </c>
      <c r="N44" s="17">
        <f t="shared" si="8"/>
        <v>6216</v>
      </c>
    </row>
    <row r="45" ht="13.5" customHeight="1">
      <c r="A45" s="156" t="s">
        <v>50</v>
      </c>
      <c r="B45" s="46">
        <f t="shared" ref="B45:M45" si="10">45+97.5</f>
        <v>142.5</v>
      </c>
      <c r="C45" s="46">
        <f t="shared" si="10"/>
        <v>142.5</v>
      </c>
      <c r="D45" s="46">
        <f t="shared" si="10"/>
        <v>142.5</v>
      </c>
      <c r="E45" s="46">
        <f t="shared" si="10"/>
        <v>142.5</v>
      </c>
      <c r="F45" s="46">
        <f t="shared" si="10"/>
        <v>142.5</v>
      </c>
      <c r="G45" s="46">
        <f t="shared" si="10"/>
        <v>142.5</v>
      </c>
      <c r="H45" s="46">
        <f t="shared" si="10"/>
        <v>142.5</v>
      </c>
      <c r="I45" s="46">
        <f t="shared" si="10"/>
        <v>142.5</v>
      </c>
      <c r="J45" s="46">
        <f t="shared" si="10"/>
        <v>142.5</v>
      </c>
      <c r="K45" s="46">
        <f t="shared" si="10"/>
        <v>142.5</v>
      </c>
      <c r="L45" s="46">
        <f t="shared" si="10"/>
        <v>142.5</v>
      </c>
      <c r="M45" s="46">
        <f t="shared" si="10"/>
        <v>142.5</v>
      </c>
      <c r="N45" s="17">
        <f t="shared" si="8"/>
        <v>1710</v>
      </c>
    </row>
    <row r="46" ht="13.5" customHeight="1">
      <c r="A46" s="15" t="s">
        <v>51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17">
        <f t="shared" si="8"/>
        <v>0</v>
      </c>
    </row>
    <row r="47" ht="13.5" customHeight="1">
      <c r="A47" s="19" t="s">
        <v>52</v>
      </c>
      <c r="B47" s="87">
        <f t="shared" ref="B47:M47" si="11">850+30+750+1250</f>
        <v>2880</v>
      </c>
      <c r="C47" s="87">
        <f t="shared" si="11"/>
        <v>2880</v>
      </c>
      <c r="D47" s="87">
        <f t="shared" si="11"/>
        <v>2880</v>
      </c>
      <c r="E47" s="87">
        <f t="shared" si="11"/>
        <v>2880</v>
      </c>
      <c r="F47" s="87">
        <f t="shared" si="11"/>
        <v>2880</v>
      </c>
      <c r="G47" s="87">
        <f t="shared" si="11"/>
        <v>2880</v>
      </c>
      <c r="H47" s="87">
        <f t="shared" si="11"/>
        <v>2880</v>
      </c>
      <c r="I47" s="87">
        <f t="shared" si="11"/>
        <v>2880</v>
      </c>
      <c r="J47" s="87">
        <f t="shared" si="11"/>
        <v>2880</v>
      </c>
      <c r="K47" s="87">
        <f t="shared" si="11"/>
        <v>2880</v>
      </c>
      <c r="L47" s="87">
        <f t="shared" si="11"/>
        <v>2880</v>
      </c>
      <c r="M47" s="87">
        <f t="shared" si="11"/>
        <v>2880</v>
      </c>
      <c r="N47" s="17">
        <f t="shared" si="8"/>
        <v>34560</v>
      </c>
    </row>
    <row r="48" ht="13.5" customHeight="1">
      <c r="A48" s="19" t="s">
        <v>131</v>
      </c>
      <c r="B48" s="87">
        <f t="shared" ref="B48:M48" si="12">350.33+55.66+80</f>
        <v>485.99</v>
      </c>
      <c r="C48" s="87">
        <f t="shared" si="12"/>
        <v>485.99</v>
      </c>
      <c r="D48" s="87">
        <f t="shared" si="12"/>
        <v>485.99</v>
      </c>
      <c r="E48" s="87">
        <f t="shared" si="12"/>
        <v>485.99</v>
      </c>
      <c r="F48" s="87">
        <f t="shared" si="12"/>
        <v>485.99</v>
      </c>
      <c r="G48" s="87">
        <f t="shared" si="12"/>
        <v>485.99</v>
      </c>
      <c r="H48" s="87">
        <f t="shared" si="12"/>
        <v>485.99</v>
      </c>
      <c r="I48" s="87">
        <f t="shared" si="12"/>
        <v>485.99</v>
      </c>
      <c r="J48" s="87">
        <f t="shared" si="12"/>
        <v>485.99</v>
      </c>
      <c r="K48" s="87">
        <f t="shared" si="12"/>
        <v>485.99</v>
      </c>
      <c r="L48" s="87">
        <f t="shared" si="12"/>
        <v>485.99</v>
      </c>
      <c r="M48" s="87">
        <f t="shared" si="12"/>
        <v>485.99</v>
      </c>
      <c r="N48" s="17">
        <f t="shared" si="8"/>
        <v>5831.88</v>
      </c>
    </row>
    <row r="49" ht="13.5" customHeight="1">
      <c r="A49" s="35" t="s">
        <v>54</v>
      </c>
      <c r="B49" s="87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17">
        <f t="shared" si="8"/>
        <v>0</v>
      </c>
    </row>
    <row r="50" ht="13.5" customHeight="1">
      <c r="A50" s="19" t="s">
        <v>132</v>
      </c>
      <c r="B50" s="96">
        <v>1695.0</v>
      </c>
      <c r="C50" s="96">
        <v>1695.0</v>
      </c>
      <c r="D50" s="96">
        <v>1695.0</v>
      </c>
      <c r="E50" s="96">
        <v>1695.0</v>
      </c>
      <c r="F50" s="96">
        <v>1695.0</v>
      </c>
      <c r="G50" s="96">
        <v>1695.0</v>
      </c>
      <c r="H50" s="96">
        <v>1695.0</v>
      </c>
      <c r="I50" s="96">
        <v>1695.0</v>
      </c>
      <c r="J50" s="96">
        <v>1695.0</v>
      </c>
      <c r="K50" s="96">
        <v>1695.0</v>
      </c>
      <c r="L50" s="96">
        <v>1695.0</v>
      </c>
      <c r="M50" s="96">
        <v>1695.0</v>
      </c>
      <c r="N50" s="17">
        <f t="shared" si="8"/>
        <v>20340</v>
      </c>
    </row>
    <row r="51" ht="13.5" customHeight="1">
      <c r="A51" s="15" t="s">
        <v>160</v>
      </c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17">
        <f t="shared" si="8"/>
        <v>0</v>
      </c>
    </row>
    <row r="52" ht="13.5" customHeight="1">
      <c r="A52" s="91" t="s">
        <v>23</v>
      </c>
      <c r="B52" s="28">
        <f t="shared" ref="B52:N52" si="13">SUM(B34:B51)</f>
        <v>12471.27</v>
      </c>
      <c r="C52" s="28">
        <f t="shared" si="13"/>
        <v>12471.27</v>
      </c>
      <c r="D52" s="28">
        <f t="shared" si="13"/>
        <v>12471.27</v>
      </c>
      <c r="E52" s="28">
        <f t="shared" si="13"/>
        <v>12471.27</v>
      </c>
      <c r="F52" s="28">
        <f t="shared" si="13"/>
        <v>12471.27</v>
      </c>
      <c r="G52" s="28">
        <f t="shared" si="13"/>
        <v>12471.27</v>
      </c>
      <c r="H52" s="28">
        <f t="shared" si="13"/>
        <v>12471.27</v>
      </c>
      <c r="I52" s="28">
        <f t="shared" si="13"/>
        <v>12471.27</v>
      </c>
      <c r="J52" s="28">
        <f t="shared" si="13"/>
        <v>12471.27</v>
      </c>
      <c r="K52" s="28">
        <f t="shared" si="13"/>
        <v>12471.27</v>
      </c>
      <c r="L52" s="28">
        <f t="shared" si="13"/>
        <v>12471.27</v>
      </c>
      <c r="M52" s="28">
        <f t="shared" si="13"/>
        <v>12471.27</v>
      </c>
      <c r="N52" s="28">
        <f t="shared" si="13"/>
        <v>149655.24</v>
      </c>
    </row>
    <row r="53" ht="13.5" customHeight="1">
      <c r="A53" s="79" t="s">
        <v>56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</row>
    <row r="54" ht="13.5" customHeight="1">
      <c r="A54" s="32" t="s">
        <v>57</v>
      </c>
      <c r="B54" s="46">
        <v>7439.0</v>
      </c>
      <c r="C54" s="46">
        <v>7439.0</v>
      </c>
      <c r="D54" s="46">
        <v>7439.0</v>
      </c>
      <c r="E54" s="46">
        <v>7439.0</v>
      </c>
      <c r="F54" s="46">
        <v>7439.0</v>
      </c>
      <c r="G54" s="46">
        <v>7439.0</v>
      </c>
      <c r="H54" s="46">
        <v>7439.0</v>
      </c>
      <c r="I54" s="46">
        <v>7439.0</v>
      </c>
      <c r="J54" s="87">
        <v>2832.0</v>
      </c>
      <c r="K54" s="46">
        <v>7439.0</v>
      </c>
      <c r="L54" s="46">
        <v>7439.0</v>
      </c>
      <c r="M54" s="46">
        <v>7439.0</v>
      </c>
      <c r="N54" s="17">
        <f t="shared" ref="N54:N69" si="14">SUM(B54:M54)</f>
        <v>84661</v>
      </c>
    </row>
    <row r="55" ht="13.5" customHeight="1">
      <c r="A55" s="32" t="s">
        <v>58</v>
      </c>
      <c r="B55" s="87">
        <v>4400.0</v>
      </c>
      <c r="C55" s="87">
        <v>2550.0</v>
      </c>
      <c r="D55" s="87">
        <v>2550.0</v>
      </c>
      <c r="E55" s="87">
        <v>2550.0</v>
      </c>
      <c r="F55" s="87">
        <v>2550.0</v>
      </c>
      <c r="G55" s="87">
        <v>2550.0</v>
      </c>
      <c r="H55" s="87">
        <v>2550.0</v>
      </c>
      <c r="I55" s="87">
        <v>2550.0</v>
      </c>
      <c r="J55" s="87">
        <v>2550.0</v>
      </c>
      <c r="K55" s="87">
        <v>2550.0</v>
      </c>
      <c r="L55" s="87">
        <v>2550.0</v>
      </c>
      <c r="M55" s="87">
        <v>2550.0</v>
      </c>
      <c r="N55" s="17">
        <f t="shared" si="14"/>
        <v>32450</v>
      </c>
    </row>
    <row r="56" ht="13.5" customHeight="1">
      <c r="A56" s="31" t="s">
        <v>59</v>
      </c>
      <c r="B56" s="87">
        <f t="shared" ref="B56:M56" si="15">399+399+351+351+57+57</f>
        <v>1614</v>
      </c>
      <c r="C56" s="87">
        <f t="shared" si="15"/>
        <v>1614</v>
      </c>
      <c r="D56" s="87">
        <f t="shared" si="15"/>
        <v>1614</v>
      </c>
      <c r="E56" s="87">
        <f t="shared" si="15"/>
        <v>1614</v>
      </c>
      <c r="F56" s="87">
        <f t="shared" si="15"/>
        <v>1614</v>
      </c>
      <c r="G56" s="87">
        <f t="shared" si="15"/>
        <v>1614</v>
      </c>
      <c r="H56" s="87">
        <f t="shared" si="15"/>
        <v>1614</v>
      </c>
      <c r="I56" s="87">
        <f t="shared" si="15"/>
        <v>1614</v>
      </c>
      <c r="J56" s="87">
        <f t="shared" si="15"/>
        <v>1614</v>
      </c>
      <c r="K56" s="87">
        <f t="shared" si="15"/>
        <v>1614</v>
      </c>
      <c r="L56" s="87">
        <f t="shared" si="15"/>
        <v>1614</v>
      </c>
      <c r="M56" s="87">
        <f t="shared" si="15"/>
        <v>1614</v>
      </c>
      <c r="N56" s="17">
        <f t="shared" si="14"/>
        <v>19368</v>
      </c>
    </row>
    <row r="57" ht="13.5" customHeight="1">
      <c r="A57" s="31" t="s">
        <v>133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17">
        <f t="shared" si="14"/>
        <v>0</v>
      </c>
    </row>
    <row r="58" ht="13.5" customHeight="1">
      <c r="A58" s="31" t="s">
        <v>134</v>
      </c>
      <c r="B58" s="46"/>
      <c r="C58" s="46"/>
      <c r="D58" s="46"/>
      <c r="E58" s="46"/>
      <c r="F58" s="87"/>
      <c r="G58" s="46"/>
      <c r="H58" s="46"/>
      <c r="I58" s="46"/>
      <c r="J58" s="46"/>
      <c r="K58" s="46"/>
      <c r="L58" s="46"/>
      <c r="M58" s="46"/>
      <c r="N58" s="17">
        <f t="shared" si="14"/>
        <v>0</v>
      </c>
    </row>
    <row r="59" ht="13.5" customHeight="1">
      <c r="A59" s="31" t="s">
        <v>135</v>
      </c>
      <c r="B59" s="97">
        <v>1250.0</v>
      </c>
      <c r="C59" s="97">
        <v>1250.0</v>
      </c>
      <c r="D59" s="97">
        <v>1250.0</v>
      </c>
      <c r="E59" s="97">
        <v>1250.0</v>
      </c>
      <c r="F59" s="97">
        <v>1250.0</v>
      </c>
      <c r="G59" s="97">
        <v>1250.0</v>
      </c>
      <c r="H59" s="97">
        <v>1250.0</v>
      </c>
      <c r="I59" s="97">
        <v>1250.0</v>
      </c>
      <c r="J59" s="97">
        <v>1250.0</v>
      </c>
      <c r="K59" s="97">
        <v>1250.0</v>
      </c>
      <c r="L59" s="97">
        <v>1250.0</v>
      </c>
      <c r="M59" s="97">
        <v>1250.0</v>
      </c>
      <c r="N59" s="17">
        <f t="shared" si="14"/>
        <v>15000</v>
      </c>
    </row>
    <row r="60" ht="13.5" customHeight="1">
      <c r="A60" s="32" t="s">
        <v>136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17">
        <f t="shared" si="14"/>
        <v>0</v>
      </c>
    </row>
    <row r="61" ht="13.5" customHeight="1">
      <c r="A61" s="32" t="s">
        <v>137</v>
      </c>
      <c r="B61" s="46"/>
      <c r="C61" s="46"/>
      <c r="D61" s="46"/>
      <c r="E61" s="46"/>
      <c r="F61" s="87"/>
      <c r="G61" s="46"/>
      <c r="H61" s="46"/>
      <c r="I61" s="46"/>
      <c r="J61" s="46"/>
      <c r="K61" s="46"/>
      <c r="L61" s="46"/>
      <c r="M61" s="46"/>
      <c r="N61" s="17">
        <f t="shared" si="14"/>
        <v>0</v>
      </c>
    </row>
    <row r="62" ht="13.5" customHeight="1">
      <c r="A62" s="32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14"/>
        <v>0</v>
      </c>
    </row>
    <row r="63" ht="13.5" customHeight="1">
      <c r="A63" s="31" t="s">
        <v>64</v>
      </c>
      <c r="B63" s="87">
        <f t="shared" ref="B63:M63" si="16">11500+1000+2000</f>
        <v>14500</v>
      </c>
      <c r="C63" s="87">
        <f t="shared" si="16"/>
        <v>14500</v>
      </c>
      <c r="D63" s="87">
        <f t="shared" si="16"/>
        <v>14500</v>
      </c>
      <c r="E63" s="87">
        <f t="shared" si="16"/>
        <v>14500</v>
      </c>
      <c r="F63" s="87">
        <f t="shared" si="16"/>
        <v>14500</v>
      </c>
      <c r="G63" s="87">
        <f t="shared" si="16"/>
        <v>14500</v>
      </c>
      <c r="H63" s="87">
        <f t="shared" si="16"/>
        <v>14500</v>
      </c>
      <c r="I63" s="87">
        <f t="shared" si="16"/>
        <v>14500</v>
      </c>
      <c r="J63" s="87">
        <f t="shared" si="16"/>
        <v>14500</v>
      </c>
      <c r="K63" s="87">
        <f t="shared" si="16"/>
        <v>14500</v>
      </c>
      <c r="L63" s="87">
        <f t="shared" si="16"/>
        <v>14500</v>
      </c>
      <c r="M63" s="87">
        <f t="shared" si="16"/>
        <v>14500</v>
      </c>
      <c r="N63" s="17">
        <f t="shared" si="14"/>
        <v>174000</v>
      </c>
    </row>
    <row r="64" ht="13.5" customHeight="1">
      <c r="A64" s="31" t="s">
        <v>149</v>
      </c>
      <c r="B64" s="46">
        <f t="shared" ref="B64:M64" si="17">1736+744</f>
        <v>2480</v>
      </c>
      <c r="C64" s="46">
        <f t="shared" si="17"/>
        <v>2480</v>
      </c>
      <c r="D64" s="46">
        <f t="shared" si="17"/>
        <v>2480</v>
      </c>
      <c r="E64" s="46">
        <f t="shared" si="17"/>
        <v>2480</v>
      </c>
      <c r="F64" s="46">
        <f t="shared" si="17"/>
        <v>2480</v>
      </c>
      <c r="G64" s="46">
        <f t="shared" si="17"/>
        <v>2480</v>
      </c>
      <c r="H64" s="46">
        <f t="shared" si="17"/>
        <v>2480</v>
      </c>
      <c r="I64" s="46">
        <f t="shared" si="17"/>
        <v>2480</v>
      </c>
      <c r="J64" s="46">
        <f t="shared" si="17"/>
        <v>2480</v>
      </c>
      <c r="K64" s="46">
        <f t="shared" si="17"/>
        <v>2480</v>
      </c>
      <c r="L64" s="46">
        <f t="shared" si="17"/>
        <v>2480</v>
      </c>
      <c r="M64" s="46">
        <f t="shared" si="17"/>
        <v>2480</v>
      </c>
      <c r="N64" s="17">
        <f t="shared" si="14"/>
        <v>29760</v>
      </c>
    </row>
    <row r="65" ht="13.5" customHeight="1">
      <c r="A65" s="31" t="s">
        <v>66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17">
        <f t="shared" si="14"/>
        <v>0</v>
      </c>
    </row>
    <row r="66" ht="13.5" customHeight="1">
      <c r="A66" s="31" t="s">
        <v>67</v>
      </c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17">
        <f t="shared" si="14"/>
        <v>0</v>
      </c>
    </row>
    <row r="67" ht="13.5" customHeight="1">
      <c r="A67" s="25" t="s">
        <v>68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17">
        <f t="shared" si="14"/>
        <v>0</v>
      </c>
    </row>
    <row r="68" ht="13.5" customHeight="1">
      <c r="A68" s="25" t="s">
        <v>69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17">
        <f t="shared" si="14"/>
        <v>0</v>
      </c>
    </row>
    <row r="69" ht="13.5" customHeight="1">
      <c r="A69" s="39" t="s">
        <v>70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17">
        <f t="shared" si="14"/>
        <v>0</v>
      </c>
    </row>
    <row r="70" ht="13.5" customHeight="1">
      <c r="A70" s="91" t="s">
        <v>23</v>
      </c>
      <c r="B70" s="28">
        <f t="shared" ref="B70:M70" si="18">SUM(B54:B69)</f>
        <v>31683</v>
      </c>
      <c r="C70" s="28">
        <f t="shared" si="18"/>
        <v>29833</v>
      </c>
      <c r="D70" s="28">
        <f t="shared" si="18"/>
        <v>29833</v>
      </c>
      <c r="E70" s="28">
        <f t="shared" si="18"/>
        <v>29833</v>
      </c>
      <c r="F70" s="28">
        <f t="shared" si="18"/>
        <v>29833</v>
      </c>
      <c r="G70" s="28">
        <f t="shared" si="18"/>
        <v>29833</v>
      </c>
      <c r="H70" s="28">
        <f t="shared" si="18"/>
        <v>29833</v>
      </c>
      <c r="I70" s="28">
        <f t="shared" si="18"/>
        <v>29833</v>
      </c>
      <c r="J70" s="28">
        <f t="shared" si="18"/>
        <v>25226</v>
      </c>
      <c r="K70" s="28">
        <f t="shared" si="18"/>
        <v>29833</v>
      </c>
      <c r="L70" s="28">
        <f t="shared" si="18"/>
        <v>29833</v>
      </c>
      <c r="M70" s="28">
        <f t="shared" si="18"/>
        <v>29833</v>
      </c>
      <c r="N70" s="28">
        <f>SUM(N54:N66)</f>
        <v>355239</v>
      </c>
    </row>
    <row r="71" ht="13.5" customHeight="1">
      <c r="A71" s="79" t="s">
        <v>71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</row>
    <row r="72" ht="13.5" customHeight="1">
      <c r="A72" s="32" t="s">
        <v>138</v>
      </c>
      <c r="B72" s="87">
        <v>0.0</v>
      </c>
      <c r="C72" s="87">
        <v>0.0</v>
      </c>
      <c r="D72" s="87">
        <v>0.0</v>
      </c>
      <c r="E72" s="87">
        <v>0.0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0.0</v>
      </c>
      <c r="L72" s="87">
        <v>0.0</v>
      </c>
      <c r="M72" s="87">
        <v>0.0</v>
      </c>
      <c r="N72" s="17">
        <f t="shared" ref="N72:N83" si="19">SUM(B72:M72)</f>
        <v>0</v>
      </c>
    </row>
    <row r="73" ht="13.5" customHeight="1">
      <c r="A73" s="31" t="s">
        <v>73</v>
      </c>
      <c r="B73" s="87">
        <v>0.0</v>
      </c>
      <c r="C73" s="87">
        <v>0.0</v>
      </c>
      <c r="D73" s="87">
        <v>0.0</v>
      </c>
      <c r="E73" s="87">
        <v>0.0</v>
      </c>
      <c r="F73" s="87">
        <v>0.0</v>
      </c>
      <c r="G73" s="87">
        <v>0.0</v>
      </c>
      <c r="H73" s="87">
        <v>0.0</v>
      </c>
      <c r="I73" s="87">
        <v>0.0</v>
      </c>
      <c r="J73" s="87">
        <v>0.0</v>
      </c>
      <c r="K73" s="87">
        <v>0.0</v>
      </c>
      <c r="L73" s="87">
        <v>0.0</v>
      </c>
      <c r="M73" s="87">
        <v>0.0</v>
      </c>
      <c r="N73" s="17">
        <f t="shared" si="19"/>
        <v>0</v>
      </c>
    </row>
    <row r="74" ht="13.5" customHeight="1">
      <c r="A74" s="32" t="s">
        <v>139</v>
      </c>
      <c r="B74" s="97">
        <v>1250.0</v>
      </c>
      <c r="C74" s="97">
        <v>1250.0</v>
      </c>
      <c r="D74" s="97">
        <v>1250.0</v>
      </c>
      <c r="E74" s="97">
        <v>1250.0</v>
      </c>
      <c r="F74" s="97">
        <v>1250.0</v>
      </c>
      <c r="G74" s="97">
        <v>1250.0</v>
      </c>
      <c r="H74" s="97">
        <v>1250.0</v>
      </c>
      <c r="I74" s="97">
        <v>1250.0</v>
      </c>
      <c r="J74" s="97">
        <v>1250.0</v>
      </c>
      <c r="K74" s="97">
        <v>1250.0</v>
      </c>
      <c r="L74" s="97">
        <v>1250.0</v>
      </c>
      <c r="M74" s="97">
        <v>1250.0</v>
      </c>
      <c r="N74" s="17">
        <f t="shared" si="19"/>
        <v>15000</v>
      </c>
    </row>
    <row r="75" ht="13.5" customHeight="1">
      <c r="A75" s="31" t="s">
        <v>137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17">
        <f t="shared" si="19"/>
        <v>0</v>
      </c>
    </row>
    <row r="76" ht="13.5" customHeight="1">
      <c r="A76" s="32" t="s">
        <v>136</v>
      </c>
      <c r="B76" s="46"/>
      <c r="C76" s="46"/>
      <c r="D76" s="46"/>
      <c r="E76" s="46"/>
      <c r="F76" s="87"/>
      <c r="G76" s="46"/>
      <c r="H76" s="46"/>
      <c r="I76" s="46"/>
      <c r="J76" s="46"/>
      <c r="K76" s="46"/>
      <c r="L76" s="46"/>
      <c r="M76" s="46"/>
      <c r="N76" s="17">
        <f t="shared" si="19"/>
        <v>0</v>
      </c>
    </row>
    <row r="77" ht="13.5" customHeight="1">
      <c r="A77" s="32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17">
        <f t="shared" si="19"/>
        <v>0</v>
      </c>
    </row>
    <row r="78" ht="13.5" customHeight="1">
      <c r="A78" s="31" t="s">
        <v>140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17">
        <f t="shared" si="19"/>
        <v>0</v>
      </c>
    </row>
    <row r="79" ht="13.5" customHeight="1">
      <c r="A79" s="27" t="s">
        <v>141</v>
      </c>
      <c r="B79" s="96">
        <v>4351.3</v>
      </c>
      <c r="C79" s="96">
        <v>4351.3</v>
      </c>
      <c r="D79" s="96">
        <v>4351.3</v>
      </c>
      <c r="E79" s="96">
        <v>4351.3</v>
      </c>
      <c r="F79" s="96">
        <v>4351.3</v>
      </c>
      <c r="G79" s="96">
        <v>4351.3</v>
      </c>
      <c r="H79" s="96">
        <v>4351.3</v>
      </c>
      <c r="I79" s="96">
        <v>4351.3</v>
      </c>
      <c r="J79" s="96">
        <v>4351.3</v>
      </c>
      <c r="K79" s="96">
        <v>4351.3</v>
      </c>
      <c r="L79" s="96">
        <v>4351.3</v>
      </c>
      <c r="M79" s="96">
        <v>4351.3</v>
      </c>
      <c r="N79" s="17">
        <f t="shared" si="19"/>
        <v>52215.6</v>
      </c>
    </row>
    <row r="80" ht="13.5" customHeight="1">
      <c r="A80" s="42" t="s">
        <v>79</v>
      </c>
      <c r="B80" s="87">
        <v>1900.0</v>
      </c>
      <c r="C80" s="87">
        <v>1900.0</v>
      </c>
      <c r="D80" s="87">
        <v>1900.0</v>
      </c>
      <c r="E80" s="87">
        <v>1900.0</v>
      </c>
      <c r="F80" s="87">
        <v>1900.0</v>
      </c>
      <c r="G80" s="87">
        <v>1805.0</v>
      </c>
      <c r="H80" s="87">
        <v>1805.0</v>
      </c>
      <c r="I80" s="87">
        <v>1900.0</v>
      </c>
      <c r="J80" s="87">
        <v>1900.0</v>
      </c>
      <c r="K80" s="87">
        <v>1900.0</v>
      </c>
      <c r="L80" s="87">
        <v>1900.0</v>
      </c>
      <c r="M80" s="87">
        <v>1900.0</v>
      </c>
      <c r="N80" s="17">
        <f t="shared" si="19"/>
        <v>22610</v>
      </c>
    </row>
    <row r="81" ht="13.5" customHeight="1">
      <c r="A81" s="43" t="s">
        <v>80</v>
      </c>
      <c r="B81" s="87">
        <v>0.0</v>
      </c>
      <c r="C81" s="87">
        <v>0.0</v>
      </c>
      <c r="D81" s="87">
        <v>0.0</v>
      </c>
      <c r="E81" s="87">
        <v>0.0</v>
      </c>
      <c r="F81" s="87">
        <v>0.0</v>
      </c>
      <c r="G81" s="87">
        <v>0.0</v>
      </c>
      <c r="H81" s="87">
        <v>0.0</v>
      </c>
      <c r="I81" s="87">
        <v>0.0</v>
      </c>
      <c r="J81" s="87">
        <v>0.0</v>
      </c>
      <c r="K81" s="87">
        <v>0.0</v>
      </c>
      <c r="L81" s="87">
        <v>0.0</v>
      </c>
      <c r="M81" s="87">
        <v>0.0</v>
      </c>
      <c r="N81" s="17">
        <f t="shared" si="19"/>
        <v>0</v>
      </c>
    </row>
    <row r="82" ht="13.5" customHeight="1">
      <c r="A82" s="91" t="s">
        <v>23</v>
      </c>
      <c r="B82" s="28">
        <f t="shared" ref="B82:M82" si="20">SUM(B72:B81)</f>
        <v>7501.3</v>
      </c>
      <c r="C82" s="28">
        <f t="shared" si="20"/>
        <v>7501.3</v>
      </c>
      <c r="D82" s="28">
        <f t="shared" si="20"/>
        <v>7501.3</v>
      </c>
      <c r="E82" s="28">
        <f t="shared" si="20"/>
        <v>7501.3</v>
      </c>
      <c r="F82" s="28">
        <f t="shared" si="20"/>
        <v>7501.3</v>
      </c>
      <c r="G82" s="28">
        <f t="shared" si="20"/>
        <v>7406.3</v>
      </c>
      <c r="H82" s="28">
        <f t="shared" si="20"/>
        <v>7406.3</v>
      </c>
      <c r="I82" s="28">
        <f t="shared" si="20"/>
        <v>7501.3</v>
      </c>
      <c r="J82" s="28">
        <f t="shared" si="20"/>
        <v>7501.3</v>
      </c>
      <c r="K82" s="28">
        <f t="shared" si="20"/>
        <v>7501.3</v>
      </c>
      <c r="L82" s="28">
        <f t="shared" si="20"/>
        <v>7501.3</v>
      </c>
      <c r="M82" s="28">
        <f t="shared" si="20"/>
        <v>7501.3</v>
      </c>
      <c r="N82" s="44">
        <f t="shared" si="19"/>
        <v>89825.6</v>
      </c>
    </row>
    <row r="83" ht="13.5" customHeight="1">
      <c r="A83" s="99" t="s">
        <v>81</v>
      </c>
      <c r="B83" s="28">
        <f t="shared" ref="B83:M83" si="21">B52+B70+B82</f>
        <v>51655.57</v>
      </c>
      <c r="C83" s="28">
        <f t="shared" si="21"/>
        <v>49805.57</v>
      </c>
      <c r="D83" s="28">
        <f t="shared" si="21"/>
        <v>49805.57</v>
      </c>
      <c r="E83" s="28">
        <f t="shared" si="21"/>
        <v>49805.57</v>
      </c>
      <c r="F83" s="28">
        <f t="shared" si="21"/>
        <v>49805.57</v>
      </c>
      <c r="G83" s="28">
        <f t="shared" si="21"/>
        <v>49710.57</v>
      </c>
      <c r="H83" s="28">
        <f t="shared" si="21"/>
        <v>49710.57</v>
      </c>
      <c r="I83" s="28">
        <f t="shared" si="21"/>
        <v>49805.57</v>
      </c>
      <c r="J83" s="28">
        <f t="shared" si="21"/>
        <v>45198.57</v>
      </c>
      <c r="K83" s="28">
        <f t="shared" si="21"/>
        <v>49805.57</v>
      </c>
      <c r="L83" s="28">
        <f t="shared" si="21"/>
        <v>49805.57</v>
      </c>
      <c r="M83" s="28">
        <f t="shared" si="21"/>
        <v>49805.57</v>
      </c>
      <c r="N83" s="44">
        <f t="shared" si="19"/>
        <v>594719.84</v>
      </c>
    </row>
    <row r="84" ht="13.5" customHeight="1">
      <c r="A84" s="99" t="s">
        <v>82</v>
      </c>
      <c r="B84" s="46">
        <f t="shared" ref="B84:N84" si="22">B83/B112</f>
        <v>241.3811682</v>
      </c>
      <c r="C84" s="46">
        <f t="shared" si="22"/>
        <v>190.8259387</v>
      </c>
      <c r="D84" s="46">
        <f t="shared" si="22"/>
        <v>179.8035018</v>
      </c>
      <c r="E84" s="46">
        <f t="shared" si="22"/>
        <v>186.5377154</v>
      </c>
      <c r="F84" s="46">
        <f t="shared" si="22"/>
        <v>174.756386</v>
      </c>
      <c r="G84" s="46">
        <f t="shared" si="22"/>
        <v>182.09</v>
      </c>
      <c r="H84" s="46">
        <f t="shared" si="22"/>
        <v>180.7657091</v>
      </c>
      <c r="I84" s="46">
        <f t="shared" si="22"/>
        <v>185.1508178</v>
      </c>
      <c r="J84" s="46">
        <f t="shared" si="22"/>
        <v>173.8406538</v>
      </c>
      <c r="K84" s="46">
        <f t="shared" si="22"/>
        <v>194.5530078</v>
      </c>
      <c r="L84" s="46">
        <f t="shared" si="22"/>
        <v>183.7843911</v>
      </c>
      <c r="M84" s="46">
        <f t="shared" si="22"/>
        <v>155.1575389</v>
      </c>
      <c r="N84" s="15">
        <f t="shared" si="22"/>
        <v>184.1808114</v>
      </c>
    </row>
    <row r="85" ht="13.5" customHeight="1">
      <c r="A85" s="79" t="s">
        <v>83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</row>
    <row r="86" ht="13.5" customHeight="1">
      <c r="A86" s="15" t="s">
        <v>84</v>
      </c>
      <c r="B86" s="87">
        <v>820.0</v>
      </c>
      <c r="C86" s="87">
        <v>820.0</v>
      </c>
      <c r="D86" s="87">
        <v>820.0</v>
      </c>
      <c r="E86" s="87">
        <v>820.0</v>
      </c>
      <c r="F86" s="87">
        <v>820.0</v>
      </c>
      <c r="G86" s="87">
        <v>820.0</v>
      </c>
      <c r="H86" s="87">
        <v>820.0</v>
      </c>
      <c r="I86" s="87">
        <v>820.0</v>
      </c>
      <c r="J86" s="87">
        <v>820.0</v>
      </c>
      <c r="K86" s="87">
        <v>820.0</v>
      </c>
      <c r="L86" s="87">
        <v>820.0</v>
      </c>
      <c r="M86" s="87">
        <v>820.0</v>
      </c>
      <c r="N86" s="17">
        <f t="shared" ref="N86:N89" si="23">SUM(B86:M86)</f>
        <v>9840</v>
      </c>
    </row>
    <row r="87" ht="13.5" customHeight="1">
      <c r="A87" s="15" t="s">
        <v>85</v>
      </c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17">
        <f t="shared" si="23"/>
        <v>0</v>
      </c>
    </row>
    <row r="88" ht="13.5" customHeight="1">
      <c r="A88" s="15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17">
        <f t="shared" si="23"/>
        <v>0</v>
      </c>
    </row>
    <row r="89" ht="13.5" customHeight="1">
      <c r="A89" s="15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17">
        <f t="shared" si="23"/>
        <v>0</v>
      </c>
    </row>
    <row r="90" ht="13.5" customHeight="1">
      <c r="A90" s="91" t="s">
        <v>23</v>
      </c>
      <c r="B90" s="28">
        <f t="shared" ref="B90:N90" si="24">SUM(B86:B89)</f>
        <v>820</v>
      </c>
      <c r="C90" s="28">
        <f t="shared" si="24"/>
        <v>820</v>
      </c>
      <c r="D90" s="28">
        <f t="shared" si="24"/>
        <v>820</v>
      </c>
      <c r="E90" s="28">
        <f t="shared" si="24"/>
        <v>820</v>
      </c>
      <c r="F90" s="28">
        <f t="shared" si="24"/>
        <v>820</v>
      </c>
      <c r="G90" s="28">
        <f t="shared" si="24"/>
        <v>820</v>
      </c>
      <c r="H90" s="28">
        <f t="shared" si="24"/>
        <v>820</v>
      </c>
      <c r="I90" s="28">
        <f t="shared" si="24"/>
        <v>820</v>
      </c>
      <c r="J90" s="28">
        <f t="shared" si="24"/>
        <v>820</v>
      </c>
      <c r="K90" s="28">
        <f t="shared" si="24"/>
        <v>820</v>
      </c>
      <c r="L90" s="28">
        <f t="shared" si="24"/>
        <v>820</v>
      </c>
      <c r="M90" s="28">
        <f t="shared" si="24"/>
        <v>820</v>
      </c>
      <c r="N90" s="28">
        <f t="shared" si="24"/>
        <v>9840</v>
      </c>
    </row>
    <row r="91" ht="13.5" customHeight="1">
      <c r="A91" s="89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</row>
    <row r="92" ht="13.5" customHeight="1">
      <c r="A92" s="31" t="s">
        <v>89</v>
      </c>
      <c r="B92" s="101">
        <f>PRODUCTION!E18</f>
        <v>750</v>
      </c>
      <c r="C92" s="102">
        <f>PRODUCTION!E19</f>
        <v>750</v>
      </c>
      <c r="D92" s="102">
        <f>PRODUCTION!E20</f>
        <v>750</v>
      </c>
      <c r="E92" s="102">
        <f>PRODUCTION!E21</f>
        <v>750</v>
      </c>
      <c r="F92" s="102">
        <f>PRODUCTION!E22</f>
        <v>750</v>
      </c>
      <c r="G92" s="102">
        <f>PRODUCTION!E23</f>
        <v>750</v>
      </c>
      <c r="H92" s="102">
        <f>PRODUCTION!E24</f>
        <v>750</v>
      </c>
      <c r="I92" s="102">
        <f>PRODUCTION!E25</f>
        <v>750</v>
      </c>
      <c r="J92" s="102">
        <f>PRODUCTION!E26</f>
        <v>750</v>
      </c>
      <c r="K92" s="102">
        <f>PRODUCTION!E27</f>
        <v>750</v>
      </c>
      <c r="L92" s="102">
        <f>PRODUCTION!E28</f>
        <v>750</v>
      </c>
      <c r="M92" s="102">
        <f>PRODUCTION!E29</f>
        <v>750</v>
      </c>
      <c r="N92" s="17">
        <f t="shared" ref="N92:N105" si="25">SUM(B92:M92)</f>
        <v>9000</v>
      </c>
    </row>
    <row r="93" ht="13.5" customHeight="1">
      <c r="A93" s="31" t="s">
        <v>90</v>
      </c>
      <c r="B93" s="87">
        <v>2650.0</v>
      </c>
      <c r="C93" s="87"/>
      <c r="D93" s="87"/>
      <c r="E93" s="87"/>
      <c r="F93" s="87"/>
      <c r="G93" s="46"/>
      <c r="H93" s="46"/>
      <c r="I93" s="46"/>
      <c r="J93" s="46"/>
      <c r="K93" s="87"/>
      <c r="L93" s="46"/>
      <c r="M93" s="87"/>
      <c r="N93" s="17">
        <f t="shared" si="25"/>
        <v>2650</v>
      </c>
    </row>
    <row r="94" ht="13.5" customHeight="1">
      <c r="A94" s="31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17">
        <f t="shared" si="25"/>
        <v>2360</v>
      </c>
    </row>
    <row r="95" ht="13.5" customHeight="1">
      <c r="A95" s="31" t="s">
        <v>92</v>
      </c>
      <c r="B95" s="146">
        <v>500.0</v>
      </c>
      <c r="C95" s="105">
        <v>500.0</v>
      </c>
      <c r="D95" s="105">
        <v>0.0</v>
      </c>
      <c r="E95" s="105">
        <v>0.0</v>
      </c>
      <c r="F95" s="104">
        <v>175.0</v>
      </c>
      <c r="G95" s="104">
        <f>350+167</f>
        <v>517</v>
      </c>
      <c r="H95" s="104">
        <v>0.0</v>
      </c>
      <c r="I95" s="105">
        <f>309.52+3.233</f>
        <v>312.753</v>
      </c>
      <c r="J95" s="105">
        <v>500.0</v>
      </c>
      <c r="K95" s="87">
        <v>546.03</v>
      </c>
      <c r="L95" s="105">
        <v>500.0</v>
      </c>
      <c r="M95" s="105">
        <v>500.0</v>
      </c>
      <c r="N95" s="17">
        <f t="shared" si="25"/>
        <v>4050.783</v>
      </c>
    </row>
    <row r="96" ht="13.5" customHeight="1">
      <c r="A96" s="32" t="s">
        <v>143</v>
      </c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17">
        <f t="shared" si="25"/>
        <v>0</v>
      </c>
    </row>
    <row r="97" ht="13.5" customHeight="1">
      <c r="A97" s="32" t="s">
        <v>94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17">
        <f t="shared" si="25"/>
        <v>0</v>
      </c>
    </row>
    <row r="98" ht="13.5" customHeight="1">
      <c r="A98" s="32" t="s">
        <v>95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17">
        <f t="shared" si="25"/>
        <v>0</v>
      </c>
    </row>
    <row r="99" ht="13.5" customHeight="1">
      <c r="A99" s="31" t="s">
        <v>96</v>
      </c>
      <c r="B99" s="87">
        <v>0.0</v>
      </c>
      <c r="C99" s="87">
        <v>0.0</v>
      </c>
      <c r="D99" s="87">
        <v>0.0</v>
      </c>
      <c r="E99" s="87">
        <v>0.0</v>
      </c>
      <c r="F99" s="87">
        <v>0.0</v>
      </c>
      <c r="G99" s="87">
        <v>0.0</v>
      </c>
      <c r="H99" s="87">
        <v>0.0</v>
      </c>
      <c r="I99" s="87">
        <v>0.0</v>
      </c>
      <c r="J99" s="87">
        <v>0.0</v>
      </c>
      <c r="K99" s="87">
        <v>0.0</v>
      </c>
      <c r="L99" s="87">
        <v>0.0</v>
      </c>
      <c r="M99" s="87">
        <v>0.0</v>
      </c>
      <c r="N99" s="17">
        <f t="shared" si="25"/>
        <v>0</v>
      </c>
    </row>
    <row r="100" ht="13.5" customHeight="1">
      <c r="A100" s="31" t="s">
        <v>97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17">
        <f t="shared" si="25"/>
        <v>0</v>
      </c>
    </row>
    <row r="101" ht="13.5" customHeight="1">
      <c r="A101" s="32" t="s">
        <v>98</v>
      </c>
      <c r="B101" s="87">
        <v>0.0</v>
      </c>
      <c r="C101" s="87">
        <v>0.0</v>
      </c>
      <c r="D101" s="87">
        <v>0.0</v>
      </c>
      <c r="E101" s="87">
        <v>0.0</v>
      </c>
      <c r="F101" s="87">
        <v>0.0</v>
      </c>
      <c r="G101" s="87">
        <v>0.0</v>
      </c>
      <c r="H101" s="87">
        <v>0.0</v>
      </c>
      <c r="I101" s="87">
        <v>0.0</v>
      </c>
      <c r="J101" s="87">
        <v>0.0</v>
      </c>
      <c r="K101" s="87">
        <v>0.0</v>
      </c>
      <c r="L101" s="87">
        <v>0.0</v>
      </c>
      <c r="M101" s="87">
        <v>0.0</v>
      </c>
      <c r="N101" s="17">
        <f t="shared" si="25"/>
        <v>0</v>
      </c>
    </row>
    <row r="102" ht="13.5" customHeight="1">
      <c r="A102" s="31" t="s">
        <v>99</v>
      </c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17">
        <f t="shared" si="25"/>
        <v>0</v>
      </c>
    </row>
    <row r="103" ht="13.5" customHeight="1">
      <c r="A103" s="32" t="s">
        <v>100</v>
      </c>
      <c r="B103" s="87">
        <v>200.0</v>
      </c>
      <c r="C103" s="87">
        <v>435.0</v>
      </c>
      <c r="D103" s="87">
        <f>200+113.63</f>
        <v>313.63</v>
      </c>
      <c r="E103" s="87">
        <v>200.0</v>
      </c>
      <c r="F103" s="87">
        <v>200.0</v>
      </c>
      <c r="G103" s="87">
        <v>605.0</v>
      </c>
      <c r="H103" s="87">
        <v>605.0</v>
      </c>
      <c r="I103" s="87">
        <v>200.0</v>
      </c>
      <c r="J103" s="87">
        <f>435+200</f>
        <v>635</v>
      </c>
      <c r="K103" s="87">
        <v>200.0</v>
      </c>
      <c r="L103" s="87">
        <v>200.0</v>
      </c>
      <c r="M103" s="87">
        <v>200.0</v>
      </c>
      <c r="N103" s="17">
        <f t="shared" si="25"/>
        <v>3993.63</v>
      </c>
    </row>
    <row r="104" ht="13.5" customHeight="1">
      <c r="A104" s="27" t="s">
        <v>101</v>
      </c>
      <c r="B104" s="87">
        <v>800.0</v>
      </c>
      <c r="C104" s="87">
        <v>875.0</v>
      </c>
      <c r="D104" s="87">
        <v>875.0</v>
      </c>
      <c r="E104" s="87">
        <v>875.0</v>
      </c>
      <c r="F104" s="87">
        <v>875.0</v>
      </c>
      <c r="G104" s="87">
        <v>875.0</v>
      </c>
      <c r="H104" s="87">
        <v>875.0</v>
      </c>
      <c r="I104" s="87">
        <v>875.0</v>
      </c>
      <c r="J104" s="87">
        <v>875.0</v>
      </c>
      <c r="K104" s="87">
        <v>875.0</v>
      </c>
      <c r="L104" s="87">
        <v>875.0</v>
      </c>
      <c r="M104" s="87">
        <v>875.0</v>
      </c>
      <c r="N104" s="17">
        <f t="shared" si="25"/>
        <v>10425</v>
      </c>
    </row>
    <row r="105" ht="13.5" customHeight="1">
      <c r="A105" s="27" t="s">
        <v>102</v>
      </c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17">
        <f t="shared" si="25"/>
        <v>0</v>
      </c>
    </row>
    <row r="106" ht="13.5" customHeight="1">
      <c r="A106" s="9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ht="13.5" customHeight="1">
      <c r="A107" s="91" t="s">
        <v>23</v>
      </c>
      <c r="B107" s="28">
        <f t="shared" ref="B107:N107" si="26">SUM(B92:B105)</f>
        <v>5080</v>
      </c>
      <c r="C107" s="28">
        <f t="shared" si="26"/>
        <v>2740</v>
      </c>
      <c r="D107" s="28">
        <f t="shared" si="26"/>
        <v>2118.63</v>
      </c>
      <c r="E107" s="28">
        <f t="shared" si="26"/>
        <v>2005</v>
      </c>
      <c r="F107" s="28">
        <f t="shared" si="26"/>
        <v>2180</v>
      </c>
      <c r="G107" s="28">
        <f t="shared" si="26"/>
        <v>2927</v>
      </c>
      <c r="H107" s="28">
        <f t="shared" si="26"/>
        <v>2410</v>
      </c>
      <c r="I107" s="28">
        <f t="shared" si="26"/>
        <v>2317.753</v>
      </c>
      <c r="J107" s="28">
        <f t="shared" si="26"/>
        <v>2940</v>
      </c>
      <c r="K107" s="28">
        <f t="shared" si="26"/>
        <v>2751.03</v>
      </c>
      <c r="L107" s="28">
        <f t="shared" si="26"/>
        <v>2505</v>
      </c>
      <c r="M107" s="28">
        <f t="shared" si="26"/>
        <v>2505</v>
      </c>
      <c r="N107" s="28">
        <f t="shared" si="26"/>
        <v>32479.413</v>
      </c>
    </row>
    <row r="108" ht="13.5" customHeight="1">
      <c r="A108" s="91" t="s">
        <v>104</v>
      </c>
      <c r="B108" s="107">
        <v>-30588.63</v>
      </c>
      <c r="C108" s="108">
        <v>-22636.73</v>
      </c>
      <c r="D108" s="108">
        <v>-12041.43</v>
      </c>
      <c r="E108" s="108">
        <v>-35879.55</v>
      </c>
      <c r="F108" s="108">
        <v>-21954.83</v>
      </c>
      <c r="G108" s="108">
        <v>-20533.31</v>
      </c>
      <c r="H108" s="108">
        <v>-18367.94</v>
      </c>
      <c r="I108" s="108">
        <v>-11675.79</v>
      </c>
      <c r="J108" s="108">
        <v>-14263.54</v>
      </c>
      <c r="K108" s="109">
        <v>-17560.19</v>
      </c>
      <c r="L108" s="110">
        <v>-19742.0</v>
      </c>
      <c r="M108" s="110">
        <v>-19742.0</v>
      </c>
      <c r="N108" s="44">
        <f>SUM(B108:M108)</f>
        <v>-244985.94</v>
      </c>
    </row>
    <row r="109" ht="13.5" customHeight="1">
      <c r="A109" s="112" t="s">
        <v>105</v>
      </c>
      <c r="B109" s="50">
        <f t="shared" ref="B109:N109" si="27">B107+B90+B83+B32+B21+B13</f>
        <v>69506.68111</v>
      </c>
      <c r="C109" s="50">
        <f t="shared" si="27"/>
        <v>65270.02361</v>
      </c>
      <c r="D109" s="50">
        <f t="shared" si="27"/>
        <v>76718.7098</v>
      </c>
      <c r="E109" s="50">
        <f t="shared" si="27"/>
        <v>70731.11479</v>
      </c>
      <c r="F109" s="50">
        <f t="shared" si="27"/>
        <v>75335.02241</v>
      </c>
      <c r="G109" s="50">
        <f t="shared" si="27"/>
        <v>74050.95121</v>
      </c>
      <c r="H109" s="50">
        <f t="shared" si="27"/>
        <v>66862.68353</v>
      </c>
      <c r="I109" s="50">
        <f t="shared" si="27"/>
        <v>66865.43653</v>
      </c>
      <c r="J109" s="50">
        <f t="shared" si="27"/>
        <v>66447.31695</v>
      </c>
      <c r="K109" s="50">
        <f t="shared" si="27"/>
        <v>73452.54217</v>
      </c>
      <c r="L109" s="50">
        <f t="shared" si="27"/>
        <v>76311.14643</v>
      </c>
      <c r="M109" s="50">
        <f t="shared" si="27"/>
        <v>76311.14643</v>
      </c>
      <c r="N109" s="50">
        <f t="shared" si="27"/>
        <v>857862.775</v>
      </c>
    </row>
    <row r="110" ht="13.5" customHeight="1">
      <c r="A110" s="35" t="s">
        <v>106</v>
      </c>
      <c r="B110" s="148">
        <v>124.0</v>
      </c>
      <c r="C110" s="116">
        <v>176.0</v>
      </c>
      <c r="D110" s="116">
        <v>167.0</v>
      </c>
      <c r="E110" s="116">
        <v>167.0</v>
      </c>
      <c r="F110" s="116">
        <v>170.0</v>
      </c>
      <c r="G110" s="116">
        <v>163.0</v>
      </c>
      <c r="H110" s="116">
        <v>165.0</v>
      </c>
      <c r="I110" s="116">
        <v>164.0</v>
      </c>
      <c r="J110" s="116">
        <v>155.0</v>
      </c>
      <c r="K110" s="116">
        <v>151.0</v>
      </c>
      <c r="L110" s="116">
        <v>161.0</v>
      </c>
      <c r="M110" s="118">
        <v>196.0</v>
      </c>
      <c r="N110" s="149">
        <f t="shared" ref="N110:N112" si="28">SUM(B110:M110)</f>
        <v>1959</v>
      </c>
    </row>
    <row r="111" ht="13.5" customHeight="1">
      <c r="A111" s="35" t="s">
        <v>107</v>
      </c>
      <c r="B111" s="120">
        <v>90.0</v>
      </c>
      <c r="C111" s="150">
        <v>85.0</v>
      </c>
      <c r="D111" s="120">
        <v>110.0</v>
      </c>
      <c r="E111" s="120">
        <v>100.0</v>
      </c>
      <c r="F111" s="120">
        <v>115.0</v>
      </c>
      <c r="G111" s="120">
        <v>110.0</v>
      </c>
      <c r="H111" s="120">
        <v>110.0</v>
      </c>
      <c r="I111" s="120">
        <v>105.0</v>
      </c>
      <c r="J111" s="120">
        <v>105.0</v>
      </c>
      <c r="K111" s="120">
        <v>105.0</v>
      </c>
      <c r="L111" s="150">
        <v>110.0</v>
      </c>
      <c r="M111" s="121">
        <v>125.0</v>
      </c>
      <c r="N111" s="149">
        <f t="shared" si="28"/>
        <v>1270</v>
      </c>
    </row>
    <row r="112" ht="13.5" customHeight="1">
      <c r="A112" s="91" t="s">
        <v>23</v>
      </c>
      <c r="B112" s="122">
        <f t="shared" ref="B112:M112" si="29">B110+B111</f>
        <v>214</v>
      </c>
      <c r="C112" s="122">
        <f t="shared" si="29"/>
        <v>261</v>
      </c>
      <c r="D112" s="122">
        <f t="shared" si="29"/>
        <v>277</v>
      </c>
      <c r="E112" s="122">
        <f t="shared" si="29"/>
        <v>267</v>
      </c>
      <c r="F112" s="123">
        <f t="shared" si="29"/>
        <v>285</v>
      </c>
      <c r="G112" s="123">
        <f t="shared" si="29"/>
        <v>273</v>
      </c>
      <c r="H112" s="123">
        <f t="shared" si="29"/>
        <v>275</v>
      </c>
      <c r="I112" s="123">
        <f t="shared" si="29"/>
        <v>269</v>
      </c>
      <c r="J112" s="123">
        <f t="shared" si="29"/>
        <v>260</v>
      </c>
      <c r="K112" s="123">
        <f t="shared" si="29"/>
        <v>256</v>
      </c>
      <c r="L112" s="123">
        <f t="shared" si="29"/>
        <v>271</v>
      </c>
      <c r="M112" s="124">
        <f t="shared" si="29"/>
        <v>321</v>
      </c>
      <c r="N112" s="125">
        <f t="shared" si="28"/>
        <v>3229</v>
      </c>
    </row>
    <row r="113" ht="13.5" customHeight="1">
      <c r="A113" s="126" t="s">
        <v>108</v>
      </c>
      <c r="B113" s="58">
        <f t="shared" ref="B113:N113" si="30">B109/B112</f>
        <v>324.7975753</v>
      </c>
      <c r="C113" s="58">
        <f t="shared" si="30"/>
        <v>250.0767188</v>
      </c>
      <c r="D113" s="58">
        <f t="shared" si="30"/>
        <v>276.9628512</v>
      </c>
      <c r="E113" s="58">
        <f t="shared" si="30"/>
        <v>264.9105423</v>
      </c>
      <c r="F113" s="58">
        <f t="shared" si="30"/>
        <v>264.3334119</v>
      </c>
      <c r="G113" s="58">
        <f t="shared" si="30"/>
        <v>271.2489055</v>
      </c>
      <c r="H113" s="58">
        <f t="shared" si="30"/>
        <v>243.137031</v>
      </c>
      <c r="I113" s="58">
        <f t="shared" si="30"/>
        <v>248.570396</v>
      </c>
      <c r="J113" s="58">
        <f t="shared" si="30"/>
        <v>255.5666036</v>
      </c>
      <c r="K113" s="58">
        <f t="shared" si="30"/>
        <v>286.9239928</v>
      </c>
      <c r="L113" s="58">
        <f t="shared" si="30"/>
        <v>281.5909462</v>
      </c>
      <c r="M113" s="58">
        <f t="shared" si="30"/>
        <v>237.7294281</v>
      </c>
      <c r="N113" s="57">
        <f t="shared" si="30"/>
        <v>265.6744425</v>
      </c>
    </row>
    <row r="114" ht="13.5" customHeight="1">
      <c r="A114" s="79" t="s">
        <v>109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</row>
    <row r="115" ht="13.5" customHeight="1">
      <c r="A115" s="59" t="s">
        <v>110</v>
      </c>
      <c r="B115" s="87">
        <f t="shared" ref="B115:M115" si="31">1495</f>
        <v>1495</v>
      </c>
      <c r="C115" s="87">
        <f t="shared" si="31"/>
        <v>1495</v>
      </c>
      <c r="D115" s="87">
        <f t="shared" si="31"/>
        <v>1495</v>
      </c>
      <c r="E115" s="87">
        <f t="shared" si="31"/>
        <v>1495</v>
      </c>
      <c r="F115" s="87">
        <f t="shared" si="31"/>
        <v>1495</v>
      </c>
      <c r="G115" s="87">
        <f t="shared" si="31"/>
        <v>1495</v>
      </c>
      <c r="H115" s="87">
        <f t="shared" si="31"/>
        <v>1495</v>
      </c>
      <c r="I115" s="87">
        <f t="shared" si="31"/>
        <v>1495</v>
      </c>
      <c r="J115" s="87">
        <f t="shared" si="31"/>
        <v>1495</v>
      </c>
      <c r="K115" s="87">
        <f t="shared" si="31"/>
        <v>1495</v>
      </c>
      <c r="L115" s="87">
        <f t="shared" si="31"/>
        <v>1495</v>
      </c>
      <c r="M115" s="87">
        <f t="shared" si="31"/>
        <v>1495</v>
      </c>
      <c r="N115" s="17">
        <f t="shared" ref="N115:N120" si="32">SUM(B115:M115)</f>
        <v>17940</v>
      </c>
    </row>
    <row r="116" ht="13.5" customHeight="1">
      <c r="A116" s="60" t="s">
        <v>111</v>
      </c>
      <c r="B116" s="46">
        <v>3500.0</v>
      </c>
      <c r="C116" s="46">
        <v>3500.0</v>
      </c>
      <c r="D116" s="46">
        <v>3500.0</v>
      </c>
      <c r="E116" s="46">
        <v>3500.0</v>
      </c>
      <c r="F116" s="46">
        <v>3500.0</v>
      </c>
      <c r="G116" s="46">
        <v>3500.0</v>
      </c>
      <c r="H116" s="46">
        <v>3500.0</v>
      </c>
      <c r="I116" s="46">
        <v>3500.0</v>
      </c>
      <c r="J116" s="46">
        <v>3500.0</v>
      </c>
      <c r="K116" s="46">
        <v>3500.0</v>
      </c>
      <c r="L116" s="46">
        <v>3500.0</v>
      </c>
      <c r="M116" s="46">
        <v>3500.0</v>
      </c>
      <c r="N116" s="17">
        <f t="shared" si="32"/>
        <v>42000</v>
      </c>
    </row>
    <row r="117" ht="13.5" customHeight="1">
      <c r="A117" s="59" t="s">
        <v>112</v>
      </c>
      <c r="B117" s="87">
        <f>1750+3772.7
</f>
        <v>5522.7</v>
      </c>
      <c r="C117" s="87">
        <v>1750.0</v>
      </c>
      <c r="D117" s="87">
        <v>1750.0</v>
      </c>
      <c r="E117" s="87">
        <f>1750+3772.7
</f>
        <v>5522.7</v>
      </c>
      <c r="F117" s="87">
        <v>1750.0</v>
      </c>
      <c r="G117" s="87">
        <v>1750.0</v>
      </c>
      <c r="H117" s="87">
        <f>1750+3772.7
</f>
        <v>5522.7</v>
      </c>
      <c r="I117" s="87">
        <v>1750.0</v>
      </c>
      <c r="J117" s="87">
        <v>1750.0</v>
      </c>
      <c r="K117" s="87">
        <f>1750+3888.02</f>
        <v>5638.02</v>
      </c>
      <c r="L117" s="87">
        <v>1750.0</v>
      </c>
      <c r="M117" s="87">
        <v>1750.0</v>
      </c>
      <c r="N117" s="17">
        <f t="shared" si="32"/>
        <v>36206.12</v>
      </c>
    </row>
    <row r="118" ht="13.5" customHeight="1">
      <c r="A118" s="59" t="s">
        <v>161</v>
      </c>
      <c r="B118" s="87">
        <v>500.0</v>
      </c>
      <c r="C118" s="87">
        <v>500.0</v>
      </c>
      <c r="D118" s="87">
        <v>500.0</v>
      </c>
      <c r="E118" s="87">
        <v>500.0</v>
      </c>
      <c r="F118" s="87">
        <v>500.0</v>
      </c>
      <c r="G118" s="87">
        <v>500.0</v>
      </c>
      <c r="H118" s="87">
        <v>500.0</v>
      </c>
      <c r="I118" s="87">
        <v>500.0</v>
      </c>
      <c r="J118" s="87">
        <v>500.0</v>
      </c>
      <c r="K118" s="87">
        <v>500.0</v>
      </c>
      <c r="L118" s="87">
        <v>500.0</v>
      </c>
      <c r="M118" s="87">
        <v>500.0</v>
      </c>
      <c r="N118" s="17">
        <f t="shared" si="32"/>
        <v>6000</v>
      </c>
    </row>
    <row r="119" ht="13.5" customHeight="1">
      <c r="A119" s="61" t="s">
        <v>113</v>
      </c>
      <c r="B119" s="87">
        <v>395.0</v>
      </c>
      <c r="C119" s="87">
        <v>395.0</v>
      </c>
      <c r="D119" s="87">
        <v>395.0</v>
      </c>
      <c r="E119" s="87">
        <v>395.0</v>
      </c>
      <c r="F119" s="87">
        <v>395.0</v>
      </c>
      <c r="G119" s="87">
        <v>395.0</v>
      </c>
      <c r="H119" s="87">
        <v>395.0</v>
      </c>
      <c r="I119" s="87">
        <v>395.0</v>
      </c>
      <c r="J119" s="87">
        <v>395.0</v>
      </c>
      <c r="K119" s="87">
        <v>395.0</v>
      </c>
      <c r="L119" s="87">
        <v>395.0</v>
      </c>
      <c r="M119" s="87">
        <v>395.0</v>
      </c>
      <c r="N119" s="17">
        <f t="shared" si="32"/>
        <v>4740</v>
      </c>
    </row>
    <row r="120" ht="13.5" customHeight="1">
      <c r="A120" s="132" t="s">
        <v>114</v>
      </c>
      <c r="B120" s="87">
        <v>1966.0</v>
      </c>
      <c r="C120" s="87">
        <v>1966.0</v>
      </c>
      <c r="D120" s="87">
        <v>1966.0</v>
      </c>
      <c r="E120" s="87">
        <v>1966.0</v>
      </c>
      <c r="F120" s="87">
        <v>1966.0</v>
      </c>
      <c r="G120" s="87">
        <v>1966.0</v>
      </c>
      <c r="H120" s="87">
        <v>1966.0</v>
      </c>
      <c r="I120" s="87">
        <v>1966.0</v>
      </c>
      <c r="J120" s="87">
        <v>1966.0</v>
      </c>
      <c r="K120" s="87">
        <v>1966.0</v>
      </c>
      <c r="L120" s="87">
        <v>1966.0</v>
      </c>
      <c r="M120" s="87">
        <v>1966.0</v>
      </c>
      <c r="N120" s="17">
        <f t="shared" si="32"/>
        <v>23592</v>
      </c>
    </row>
    <row r="121" ht="13.5" customHeight="1">
      <c r="A121" s="99" t="s">
        <v>23</v>
      </c>
      <c r="B121" s="63">
        <f t="shared" ref="B121:N121" si="33">SUM(B115:B120)</f>
        <v>13378.7</v>
      </c>
      <c r="C121" s="63">
        <f t="shared" si="33"/>
        <v>9606</v>
      </c>
      <c r="D121" s="63">
        <f t="shared" si="33"/>
        <v>9606</v>
      </c>
      <c r="E121" s="63">
        <f t="shared" si="33"/>
        <v>13378.7</v>
      </c>
      <c r="F121" s="63">
        <f t="shared" si="33"/>
        <v>9606</v>
      </c>
      <c r="G121" s="63">
        <f t="shared" si="33"/>
        <v>9606</v>
      </c>
      <c r="H121" s="63">
        <f t="shared" si="33"/>
        <v>13378.7</v>
      </c>
      <c r="I121" s="63">
        <f t="shared" si="33"/>
        <v>9606</v>
      </c>
      <c r="J121" s="63">
        <f t="shared" si="33"/>
        <v>9606</v>
      </c>
      <c r="K121" s="63">
        <f t="shared" si="33"/>
        <v>13494.02</v>
      </c>
      <c r="L121" s="63">
        <f t="shared" si="33"/>
        <v>9606</v>
      </c>
      <c r="M121" s="63">
        <f t="shared" si="33"/>
        <v>9606</v>
      </c>
      <c r="N121" s="63">
        <f t="shared" si="33"/>
        <v>130478.12</v>
      </c>
    </row>
    <row r="122" ht="13.5" customHeight="1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</row>
    <row r="123" ht="13.5" customHeight="1">
      <c r="A123" s="64" t="s">
        <v>115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</row>
    <row r="124" ht="13.5" customHeight="1">
      <c r="A124" s="64" t="s">
        <v>116</v>
      </c>
      <c r="B124" s="67">
        <f t="shared" ref="B124:M124" si="34">+B13*0.7+B21*0.7+B32*0.7+B52*0.6+B70+B107*0.6</f>
        <v>50579.53978</v>
      </c>
      <c r="C124" s="67">
        <f t="shared" si="34"/>
        <v>47292.87952</v>
      </c>
      <c r="D124" s="67">
        <f t="shared" si="34"/>
        <v>55369.09686</v>
      </c>
      <c r="E124" s="67">
        <f t="shared" si="34"/>
        <v>51189.14335</v>
      </c>
      <c r="F124" s="67">
        <f t="shared" si="34"/>
        <v>54394.37868</v>
      </c>
      <c r="G124" s="67">
        <f t="shared" si="34"/>
        <v>53487.32885</v>
      </c>
      <c r="H124" s="67">
        <f t="shared" si="34"/>
        <v>48507.24147</v>
      </c>
      <c r="I124" s="67">
        <f t="shared" si="34"/>
        <v>48451.89327</v>
      </c>
      <c r="J124" s="67">
        <f t="shared" si="34"/>
        <v>46714.88486</v>
      </c>
      <c r="K124" s="67">
        <f t="shared" si="34"/>
        <v>53019.53952</v>
      </c>
      <c r="L124" s="67">
        <f t="shared" si="34"/>
        <v>55045.1655</v>
      </c>
      <c r="M124" s="67">
        <f t="shared" si="34"/>
        <v>55045.1655</v>
      </c>
      <c r="N124" s="67">
        <f>SUM(B124:M124)</f>
        <v>619096.2572</v>
      </c>
    </row>
    <row r="125" ht="13.5" customHeight="1">
      <c r="A125" s="64" t="s">
        <v>117</v>
      </c>
      <c r="B125" s="67">
        <f t="shared" ref="B125:N125" si="35">+B13*0.3+B21*0.3+B32*0.3+B52*0.4+B82+B90+B107*0.4</f>
        <v>18927.14133</v>
      </c>
      <c r="C125" s="67">
        <f t="shared" si="35"/>
        <v>17977.14408</v>
      </c>
      <c r="D125" s="67">
        <f t="shared" si="35"/>
        <v>21349.61294</v>
      </c>
      <c r="E125" s="67">
        <f t="shared" si="35"/>
        <v>19541.97144</v>
      </c>
      <c r="F125" s="67">
        <f t="shared" si="35"/>
        <v>20940.64372</v>
      </c>
      <c r="G125" s="67">
        <f t="shared" si="35"/>
        <v>20563.62236</v>
      </c>
      <c r="H125" s="67">
        <f t="shared" si="35"/>
        <v>18355.44206</v>
      </c>
      <c r="I125" s="67">
        <f t="shared" si="35"/>
        <v>18413.54326</v>
      </c>
      <c r="J125" s="67">
        <f t="shared" si="35"/>
        <v>19732.43208</v>
      </c>
      <c r="K125" s="67">
        <f t="shared" si="35"/>
        <v>20433.00265</v>
      </c>
      <c r="L125" s="67">
        <f t="shared" si="35"/>
        <v>21265.98093</v>
      </c>
      <c r="M125" s="67">
        <f t="shared" si="35"/>
        <v>21265.98093</v>
      </c>
      <c r="N125" s="67">
        <f t="shared" si="35"/>
        <v>238766.5178</v>
      </c>
    </row>
    <row r="126" ht="13.5" customHeight="1">
      <c r="A126" s="64" t="s">
        <v>23</v>
      </c>
      <c r="B126" s="67">
        <f t="shared" ref="B126:N126" si="36">SUM(B124:B125)</f>
        <v>69506.68111</v>
      </c>
      <c r="C126" s="67">
        <f t="shared" si="36"/>
        <v>65270.02361</v>
      </c>
      <c r="D126" s="67">
        <f t="shared" si="36"/>
        <v>76718.7098</v>
      </c>
      <c r="E126" s="67">
        <f t="shared" si="36"/>
        <v>70731.11479</v>
      </c>
      <c r="F126" s="67">
        <f t="shared" si="36"/>
        <v>75335.02241</v>
      </c>
      <c r="G126" s="67">
        <f t="shared" si="36"/>
        <v>74050.95121</v>
      </c>
      <c r="H126" s="67">
        <f t="shared" si="36"/>
        <v>66862.68353</v>
      </c>
      <c r="I126" s="67">
        <f t="shared" si="36"/>
        <v>66865.43653</v>
      </c>
      <c r="J126" s="67">
        <f t="shared" si="36"/>
        <v>66447.31695</v>
      </c>
      <c r="K126" s="67">
        <f t="shared" si="36"/>
        <v>73452.54217</v>
      </c>
      <c r="L126" s="67">
        <f t="shared" si="36"/>
        <v>76311.14643</v>
      </c>
      <c r="M126" s="67">
        <f t="shared" si="36"/>
        <v>76311.14643</v>
      </c>
      <c r="N126" s="67">
        <f t="shared" si="36"/>
        <v>857862.775</v>
      </c>
    </row>
    <row r="127" ht="13.5" customHeight="1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</row>
    <row r="128" ht="13.5" customHeight="1">
      <c r="A128" s="69" t="s">
        <v>118</v>
      </c>
      <c r="B128" s="70">
        <f t="shared" ref="B128:N128" si="37">+B109</f>
        <v>69506.68111</v>
      </c>
      <c r="C128" s="70">
        <f t="shared" si="37"/>
        <v>65270.02361</v>
      </c>
      <c r="D128" s="70">
        <f t="shared" si="37"/>
        <v>76718.7098</v>
      </c>
      <c r="E128" s="70">
        <f t="shared" si="37"/>
        <v>70731.11479</v>
      </c>
      <c r="F128" s="70">
        <f t="shared" si="37"/>
        <v>75335.02241</v>
      </c>
      <c r="G128" s="70">
        <f t="shared" si="37"/>
        <v>74050.95121</v>
      </c>
      <c r="H128" s="70">
        <f t="shared" si="37"/>
        <v>66862.68353</v>
      </c>
      <c r="I128" s="70">
        <f t="shared" si="37"/>
        <v>66865.43653</v>
      </c>
      <c r="J128" s="70">
        <f t="shared" si="37"/>
        <v>66447.31695</v>
      </c>
      <c r="K128" s="70">
        <f t="shared" si="37"/>
        <v>73452.54217</v>
      </c>
      <c r="L128" s="70">
        <f t="shared" si="37"/>
        <v>76311.14643</v>
      </c>
      <c r="M128" s="70">
        <f t="shared" si="37"/>
        <v>76311.14643</v>
      </c>
      <c r="N128" s="70">
        <f t="shared" si="37"/>
        <v>857862.775</v>
      </c>
    </row>
    <row r="129" ht="13.5" customHeight="1">
      <c r="A129" s="134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</row>
    <row r="130" ht="13.5" customHeight="1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</row>
    <row r="131" ht="13.5" customHeight="1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</row>
  </sheetData>
  <mergeCells count="1">
    <mergeCell ref="A1:N1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1.75"/>
    <col customWidth="1" min="2" max="9" width="9.13"/>
    <col customWidth="1" min="10" max="10" width="9.63"/>
    <col customWidth="1" min="11" max="13" width="9.13"/>
    <col customWidth="1" min="14" max="14" width="10.75"/>
  </cols>
  <sheetData>
    <row r="1" ht="13.5" customHeight="1">
      <c r="A1" s="76" t="s">
        <v>162</v>
      </c>
    </row>
    <row r="2" ht="13.5" customHeight="1">
      <c r="A2" s="16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ht="13.5" customHeight="1">
      <c r="A3" s="16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</row>
    <row r="4" ht="13.5" customHeight="1">
      <c r="A4" s="79" t="s">
        <v>14</v>
      </c>
      <c r="B4" s="63"/>
      <c r="C4" s="63"/>
      <c r="D4" s="63"/>
      <c r="E4" s="63"/>
      <c r="F4" s="83"/>
      <c r="G4" s="83"/>
      <c r="H4" s="83"/>
      <c r="I4" s="83"/>
      <c r="J4" s="83"/>
      <c r="K4" s="83"/>
      <c r="L4" s="83"/>
      <c r="M4" s="83"/>
      <c r="N4" s="83"/>
    </row>
    <row r="5" ht="13.5" customHeight="1">
      <c r="A5" s="15" t="s">
        <v>15</v>
      </c>
      <c r="B5" s="46">
        <f>FORMULAS!S42</f>
        <v>5488.253968</v>
      </c>
      <c r="C5" s="46">
        <f>FORMULAS!W42</f>
        <v>5488.253968</v>
      </c>
      <c r="D5" s="46">
        <f>FORMULAS!AA42</f>
        <v>5488.253968</v>
      </c>
      <c r="E5" s="46">
        <f>FORMULAS!AE42</f>
        <v>7373.40387</v>
      </c>
      <c r="F5" s="46">
        <f>FORMULAS!AI42</f>
        <v>10488.87234</v>
      </c>
      <c r="G5" s="46">
        <f>FORMULAS!AM42</f>
        <v>9546.782514</v>
      </c>
      <c r="H5" s="46">
        <f>FORMULAS!AQ42</f>
        <v>6478.173849</v>
      </c>
      <c r="I5" s="46">
        <f>FORMULAS!AU42</f>
        <v>6478.173849</v>
      </c>
      <c r="J5" s="46">
        <f>FORMULAS!AY42</f>
        <v>8182.956441</v>
      </c>
      <c r="K5" s="46">
        <f>FORMULAS!BC42</f>
        <v>8182.956441</v>
      </c>
      <c r="L5" s="46">
        <f>FORMULAS!BG42</f>
        <v>9546.782514</v>
      </c>
      <c r="M5" s="46">
        <f>FORMULAS!BK42</f>
        <v>9546.782514</v>
      </c>
      <c r="N5" s="17">
        <f t="shared" ref="N5:N12" si="1">SUM(B5:M5)</f>
        <v>92289.64623</v>
      </c>
    </row>
    <row r="6" ht="13.5" customHeight="1">
      <c r="A6" s="15" t="s">
        <v>123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17">
        <f t="shared" si="1"/>
        <v>0</v>
      </c>
    </row>
    <row r="7" ht="13.5" customHeight="1">
      <c r="A7" s="15" t="s">
        <v>17</v>
      </c>
      <c r="B7" s="46"/>
      <c r="C7" s="46"/>
      <c r="D7" s="46"/>
      <c r="E7" s="46"/>
      <c r="F7" s="87"/>
      <c r="G7" s="87"/>
      <c r="H7" s="87"/>
      <c r="I7" s="87"/>
      <c r="J7" s="87"/>
      <c r="K7" s="46"/>
      <c r="L7" s="46"/>
      <c r="M7" s="46"/>
      <c r="N7" s="17">
        <f t="shared" si="1"/>
        <v>0</v>
      </c>
    </row>
    <row r="8" ht="13.5" customHeight="1">
      <c r="A8" s="15" t="s">
        <v>18</v>
      </c>
      <c r="B8" s="46"/>
      <c r="C8" s="46"/>
      <c r="D8" s="46"/>
      <c r="E8" s="46"/>
      <c r="F8" s="46"/>
      <c r="G8" s="87"/>
      <c r="H8" s="87"/>
      <c r="I8" s="87"/>
      <c r="J8" s="87"/>
      <c r="K8" s="87"/>
      <c r="L8" s="87"/>
      <c r="M8" s="87"/>
      <c r="N8" s="17">
        <f t="shared" si="1"/>
        <v>0</v>
      </c>
    </row>
    <row r="9" ht="13.5" customHeight="1">
      <c r="A9" s="20" t="s">
        <v>163</v>
      </c>
      <c r="B9" s="46">
        <f>FORMULAS!S90</f>
        <v>490.0226757</v>
      </c>
      <c r="C9" s="46">
        <f>FORMULAS!W90</f>
        <v>490.0226757</v>
      </c>
      <c r="D9" s="46">
        <f>FORMULAS!AA90</f>
        <v>490.0226757</v>
      </c>
      <c r="E9" s="46">
        <f>FORMULAS!AE90</f>
        <v>2745.087732</v>
      </c>
      <c r="F9" s="46">
        <f>FORMULAS!AI90</f>
        <v>4782.925786</v>
      </c>
      <c r="G9" s="46">
        <f>FORMULAS!AM90</f>
        <v>4353.332827</v>
      </c>
      <c r="H9" s="46">
        <f>FORMULAS!AQ90</f>
        <v>2498.529367</v>
      </c>
      <c r="I9" s="46">
        <f>FORMULAS!AU90</f>
        <v>2498.529367</v>
      </c>
      <c r="J9" s="46">
        <f>FORMULAS!AY90</f>
        <v>3425.931097</v>
      </c>
      <c r="K9" s="46">
        <f>FORMULAS!BC90</f>
        <v>3425.931097</v>
      </c>
      <c r="L9" s="46">
        <f>FORMULAS!BG90</f>
        <v>4353.332827</v>
      </c>
      <c r="M9" s="46">
        <f>FORMULAS!BK90</f>
        <v>4353.332827</v>
      </c>
      <c r="N9" s="17">
        <f t="shared" si="1"/>
        <v>33907.00095</v>
      </c>
    </row>
    <row r="10" ht="13.5" customHeight="1">
      <c r="A10" s="20" t="s">
        <v>20</v>
      </c>
      <c r="B10" s="46">
        <f>FORMULAS!S66</f>
        <v>2105.464097</v>
      </c>
      <c r="C10" s="46">
        <f>FORMULAS!W66</f>
        <v>1542.787392</v>
      </c>
      <c r="D10" s="46">
        <f>FORMULAS!AA66</f>
        <v>2232.935329</v>
      </c>
      <c r="E10" s="46">
        <f>FORMULAS!AE66</f>
        <v>2009.092971</v>
      </c>
      <c r="F10" s="46">
        <f>FORMULAS!AI66</f>
        <v>0</v>
      </c>
      <c r="G10" s="46">
        <f>FORMULAS!AM66</f>
        <v>0</v>
      </c>
      <c r="H10" s="46">
        <f>FORMULAS!AQ66</f>
        <v>0</v>
      </c>
      <c r="I10" s="46">
        <f>FORMULAS!AU66</f>
        <v>0</v>
      </c>
      <c r="J10" s="46">
        <f>FORMULAS!AY66</f>
        <v>0</v>
      </c>
      <c r="K10" s="46">
        <f>FORMULAS!BC66</f>
        <v>1909.356503</v>
      </c>
      <c r="L10" s="46">
        <f>FORMULAS!BG66</f>
        <v>1909.356503</v>
      </c>
      <c r="M10" s="46">
        <f>FORMULAS!BK66</f>
        <v>1909.356503</v>
      </c>
      <c r="N10" s="17">
        <f t="shared" si="1"/>
        <v>13618.3493</v>
      </c>
    </row>
    <row r="11" ht="13.5" customHeight="1">
      <c r="A11" s="15" t="s">
        <v>21</v>
      </c>
      <c r="B11" s="87">
        <v>388.0</v>
      </c>
      <c r="C11" s="87">
        <v>426.88</v>
      </c>
      <c r="D11" s="87">
        <v>388.0</v>
      </c>
      <c r="E11" s="87">
        <v>388.0</v>
      </c>
      <c r="F11" s="87">
        <v>388.0</v>
      </c>
      <c r="G11" s="87">
        <v>388.0</v>
      </c>
      <c r="H11" s="87">
        <v>388.0</v>
      </c>
      <c r="I11" s="87">
        <v>388.0</v>
      </c>
      <c r="J11" s="87">
        <v>388.0</v>
      </c>
      <c r="K11" s="87">
        <v>388.0</v>
      </c>
      <c r="L11" s="87">
        <v>388.0</v>
      </c>
      <c r="M11" s="87">
        <v>388.0</v>
      </c>
      <c r="N11" s="17">
        <f t="shared" si="1"/>
        <v>4694.88</v>
      </c>
    </row>
    <row r="12" ht="13.5" customHeight="1">
      <c r="A12" s="15" t="s">
        <v>22</v>
      </c>
      <c r="B12" s="46">
        <f>PRODUCTION!G3</f>
        <v>700</v>
      </c>
      <c r="C12" s="46">
        <f>PRODUCTION!G4</f>
        <v>1370.6</v>
      </c>
      <c r="D12" s="46">
        <f>PRODUCTION!G5</f>
        <v>1370.6</v>
      </c>
      <c r="E12" s="46">
        <f>PRODUCTION!G6</f>
        <v>1370.6</v>
      </c>
      <c r="F12" s="46">
        <f>PRODUCTION!G7</f>
        <v>1370.6</v>
      </c>
      <c r="G12" s="46">
        <f>PRODUCTION!G8</f>
        <v>1370.6</v>
      </c>
      <c r="H12" s="46">
        <f>PRODUCTION!G9</f>
        <v>1370.6</v>
      </c>
      <c r="I12" s="46">
        <f>PRODUCTION!G10</f>
        <v>1370.6</v>
      </c>
      <c r="J12" s="46">
        <f>PRODUCTION!G11</f>
        <v>1370.6</v>
      </c>
      <c r="K12" s="46">
        <f>PRODUCTION!G12</f>
        <v>1370.6</v>
      </c>
      <c r="L12" s="46">
        <f>PRODUCTION!G13</f>
        <v>1370.6</v>
      </c>
      <c r="M12" s="46">
        <f>PRODUCTION!G14</f>
        <v>1370.6</v>
      </c>
      <c r="N12" s="17">
        <f t="shared" si="1"/>
        <v>15776.6</v>
      </c>
    </row>
    <row r="13" ht="13.5" customHeight="1">
      <c r="A13" s="21" t="s">
        <v>23</v>
      </c>
      <c r="B13" s="22">
        <f t="shared" ref="B13:N13" si="2">SUM(B5:B12)</f>
        <v>9171.740741</v>
      </c>
      <c r="C13" s="22">
        <f t="shared" si="2"/>
        <v>9318.544036</v>
      </c>
      <c r="D13" s="22">
        <f t="shared" si="2"/>
        <v>9969.811973</v>
      </c>
      <c r="E13" s="22">
        <f t="shared" si="2"/>
        <v>13886.18457</v>
      </c>
      <c r="F13" s="22">
        <f t="shared" si="2"/>
        <v>17030.39812</v>
      </c>
      <c r="G13" s="22">
        <f t="shared" si="2"/>
        <v>15658.71534</v>
      </c>
      <c r="H13" s="22">
        <f t="shared" si="2"/>
        <v>10735.30322</v>
      </c>
      <c r="I13" s="22">
        <f t="shared" si="2"/>
        <v>10735.30322</v>
      </c>
      <c r="J13" s="22">
        <f t="shared" si="2"/>
        <v>13367.48754</v>
      </c>
      <c r="K13" s="22">
        <f t="shared" si="2"/>
        <v>15276.84404</v>
      </c>
      <c r="L13" s="22">
        <f t="shared" si="2"/>
        <v>17568.07184</v>
      </c>
      <c r="M13" s="22">
        <f t="shared" si="2"/>
        <v>17568.07184</v>
      </c>
      <c r="N13" s="22">
        <f t="shared" si="2"/>
        <v>160286.4765</v>
      </c>
    </row>
    <row r="14" ht="13.5" customHeight="1">
      <c r="A14" s="89" t="s">
        <v>24</v>
      </c>
      <c r="B14" s="90"/>
      <c r="C14" s="90"/>
      <c r="D14" s="90"/>
      <c r="E14" s="90"/>
      <c r="F14" s="63"/>
      <c r="G14" s="63"/>
      <c r="H14" s="63"/>
      <c r="I14" s="63"/>
      <c r="J14" s="63"/>
      <c r="K14" s="63"/>
      <c r="L14" s="63"/>
      <c r="M14" s="63"/>
      <c r="N14" s="83"/>
    </row>
    <row r="15" ht="13.5" customHeight="1">
      <c r="A15" s="35" t="s">
        <v>153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17">
        <f t="shared" ref="N15:N18" si="3">SUM(B15:M15)</f>
        <v>0</v>
      </c>
    </row>
    <row r="16" ht="13.5" customHeight="1">
      <c r="A16" s="35" t="s">
        <v>26</v>
      </c>
      <c r="B16" s="92"/>
      <c r="C16" s="92"/>
      <c r="D16" s="92"/>
      <c r="E16" s="92"/>
      <c r="F16" s="46"/>
      <c r="G16" s="46"/>
      <c r="H16" s="46"/>
      <c r="I16" s="46"/>
      <c r="J16" s="87"/>
      <c r="K16" s="87"/>
      <c r="L16" s="87"/>
      <c r="M16" s="46"/>
      <c r="N16" s="17">
        <f t="shared" si="3"/>
        <v>0</v>
      </c>
    </row>
    <row r="17" ht="13.5" customHeight="1">
      <c r="A17" s="35"/>
      <c r="B17" s="92"/>
      <c r="C17" s="92"/>
      <c r="D17" s="92"/>
      <c r="E17" s="92"/>
      <c r="F17" s="46"/>
      <c r="G17" s="46"/>
      <c r="H17" s="46"/>
      <c r="I17" s="46"/>
      <c r="J17" s="46"/>
      <c r="K17" s="46"/>
      <c r="L17" s="46"/>
      <c r="M17" s="46"/>
      <c r="N17" s="17">
        <f t="shared" si="3"/>
        <v>0</v>
      </c>
    </row>
    <row r="18" ht="13.5" customHeight="1">
      <c r="A18" s="35"/>
      <c r="B18" s="92"/>
      <c r="C18" s="92"/>
      <c r="D18" s="92"/>
      <c r="E18" s="92"/>
      <c r="F18" s="46"/>
      <c r="G18" s="46"/>
      <c r="H18" s="46"/>
      <c r="I18" s="46"/>
      <c r="J18" s="46"/>
      <c r="K18" s="46"/>
      <c r="L18" s="46"/>
      <c r="M18" s="46"/>
      <c r="N18" s="17">
        <f t="shared" si="3"/>
        <v>0</v>
      </c>
    </row>
    <row r="19" ht="13.5" customHeight="1">
      <c r="A19" s="27" t="s">
        <v>29</v>
      </c>
      <c r="B19" s="103"/>
      <c r="C19" s="103"/>
      <c r="D19" s="92"/>
      <c r="E19" s="87"/>
      <c r="F19" s="46"/>
      <c r="G19" s="46"/>
      <c r="H19" s="46"/>
      <c r="I19" s="46"/>
      <c r="J19" s="46"/>
      <c r="K19" s="46"/>
      <c r="L19" s="46"/>
      <c r="M19" s="46"/>
      <c r="N19" s="17">
        <f>SUM(C19:M19)</f>
        <v>0</v>
      </c>
    </row>
    <row r="20" ht="13.5" customHeight="1">
      <c r="A20" s="35"/>
      <c r="B20" s="92"/>
      <c r="C20" s="92"/>
      <c r="D20" s="92"/>
      <c r="E20" s="92"/>
      <c r="F20" s="46"/>
      <c r="G20" s="46"/>
      <c r="H20" s="46"/>
      <c r="I20" s="46"/>
      <c r="J20" s="46"/>
      <c r="K20" s="46"/>
      <c r="L20" s="46"/>
      <c r="M20" s="46"/>
      <c r="N20" s="17">
        <f>SUM(B20:M20)</f>
        <v>0</v>
      </c>
    </row>
    <row r="21" ht="13.5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</row>
    <row r="22" ht="13.5" customHeight="1">
      <c r="A22" s="89" t="s">
        <v>126</v>
      </c>
      <c r="B22" s="90"/>
      <c r="C22" s="90"/>
      <c r="D22" s="90"/>
      <c r="E22" s="90"/>
      <c r="F22" s="63"/>
      <c r="G22" s="63"/>
      <c r="H22" s="63"/>
      <c r="I22" s="63"/>
      <c r="J22" s="63"/>
      <c r="K22" s="63"/>
      <c r="L22" s="63"/>
      <c r="M22" s="63"/>
      <c r="N22" s="83"/>
    </row>
    <row r="23" ht="13.5" customHeight="1">
      <c r="A23" s="26" t="s">
        <v>31</v>
      </c>
      <c r="B23" s="87">
        <v>0.0</v>
      </c>
      <c r="C23" s="87">
        <v>0.0</v>
      </c>
      <c r="D23" s="87">
        <v>5000.0</v>
      </c>
      <c r="E23" s="87">
        <v>0.0</v>
      </c>
      <c r="F23" s="87">
        <v>0.0</v>
      </c>
      <c r="G23" s="87">
        <v>0.0</v>
      </c>
      <c r="H23" s="87">
        <v>0.0</v>
      </c>
      <c r="I23" s="87">
        <v>0.0</v>
      </c>
      <c r="J23" s="87">
        <v>0.0</v>
      </c>
      <c r="K23" s="87">
        <v>0.0</v>
      </c>
      <c r="L23" s="87">
        <v>0.0</v>
      </c>
      <c r="M23" s="87">
        <v>0.0</v>
      </c>
      <c r="N23" s="17">
        <f t="shared" ref="N23:N31" si="5">SUM(B23:M23)</f>
        <v>5000</v>
      </c>
    </row>
    <row r="24" ht="13.5" customHeight="1">
      <c r="A24" s="32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17">
        <f t="shared" si="5"/>
        <v>0</v>
      </c>
    </row>
    <row r="25" ht="13.5" customHeight="1">
      <c r="A25" s="15" t="s">
        <v>127</v>
      </c>
      <c r="B25" s="46"/>
      <c r="C25" s="46"/>
      <c r="D25" s="46"/>
      <c r="E25" s="46"/>
      <c r="F25" s="46"/>
      <c r="G25" s="46"/>
      <c r="H25" s="46"/>
      <c r="I25" s="87"/>
      <c r="J25" s="46"/>
      <c r="K25" s="46"/>
      <c r="L25" s="46"/>
      <c r="M25" s="46"/>
      <c r="N25" s="17">
        <f t="shared" si="5"/>
        <v>0</v>
      </c>
    </row>
    <row r="26" ht="13.5" customHeight="1">
      <c r="A26" s="32"/>
      <c r="B26" s="46"/>
      <c r="C26" s="46"/>
      <c r="D26" s="46"/>
      <c r="E26" s="87"/>
      <c r="F26" s="87"/>
      <c r="G26" s="46"/>
      <c r="H26" s="87"/>
      <c r="I26" s="46"/>
      <c r="J26" s="87"/>
      <c r="K26" s="87"/>
      <c r="L26" s="46"/>
      <c r="M26" s="46"/>
      <c r="N26" s="17">
        <f t="shared" si="5"/>
        <v>0</v>
      </c>
    </row>
    <row r="27" ht="13.5" customHeight="1">
      <c r="A27" s="31" t="s">
        <v>34</v>
      </c>
      <c r="B27" s="46"/>
      <c r="C27" s="46"/>
      <c r="D27" s="139"/>
      <c r="E27" s="140"/>
      <c r="F27" s="141"/>
      <c r="G27" s="141"/>
      <c r="H27" s="140"/>
      <c r="I27" s="141"/>
      <c r="J27" s="140"/>
      <c r="K27" s="141"/>
      <c r="L27" s="141"/>
      <c r="M27" s="141"/>
      <c r="N27" s="17">
        <f t="shared" si="5"/>
        <v>0</v>
      </c>
    </row>
    <row r="28" ht="13.5" customHeight="1">
      <c r="A28" s="33" t="s">
        <v>35</v>
      </c>
      <c r="B28" s="46"/>
      <c r="C28" s="46"/>
      <c r="D28" s="46"/>
      <c r="E28" s="46"/>
      <c r="F28" s="46"/>
      <c r="G28" s="46"/>
      <c r="H28" s="46"/>
      <c r="I28" s="46"/>
      <c r="J28" s="46"/>
      <c r="K28" s="87"/>
      <c r="L28" s="87"/>
      <c r="M28" s="46"/>
      <c r="N28" s="17">
        <f t="shared" si="5"/>
        <v>0</v>
      </c>
    </row>
    <row r="29" ht="13.5" customHeight="1">
      <c r="A29" s="27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17">
        <f t="shared" si="5"/>
        <v>0</v>
      </c>
    </row>
    <row r="30" ht="13.5" customHeight="1">
      <c r="A30" s="31" t="s">
        <v>37</v>
      </c>
      <c r="B30" s="46"/>
      <c r="C30" s="46"/>
      <c r="D30" s="46"/>
      <c r="E30" s="87"/>
      <c r="F30" s="87"/>
      <c r="G30" s="46"/>
      <c r="H30" s="87"/>
      <c r="I30" s="46"/>
      <c r="J30" s="87"/>
      <c r="K30" s="46"/>
      <c r="L30" s="46"/>
      <c r="M30" s="46"/>
      <c r="N30" s="17">
        <f t="shared" si="5"/>
        <v>0</v>
      </c>
    </row>
    <row r="31" ht="13.5" customHeight="1">
      <c r="A31" s="32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17">
        <f t="shared" si="5"/>
        <v>0</v>
      </c>
    </row>
    <row r="32" ht="13.5" customHeight="1">
      <c r="A32" s="91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5000</v>
      </c>
      <c r="E32" s="28">
        <f t="shared" si="6"/>
        <v>0</v>
      </c>
      <c r="F32" s="28">
        <f t="shared" si="6"/>
        <v>0</v>
      </c>
      <c r="G32" s="28">
        <f t="shared" si="6"/>
        <v>0</v>
      </c>
      <c r="H32" s="28">
        <f t="shared" si="6"/>
        <v>0</v>
      </c>
      <c r="I32" s="28">
        <f t="shared" si="6"/>
        <v>0</v>
      </c>
      <c r="J32" s="28">
        <f t="shared" si="6"/>
        <v>0</v>
      </c>
      <c r="K32" s="28">
        <f t="shared" si="6"/>
        <v>0</v>
      </c>
      <c r="L32" s="28">
        <f t="shared" si="6"/>
        <v>0</v>
      </c>
      <c r="M32" s="28">
        <f t="shared" si="6"/>
        <v>0</v>
      </c>
      <c r="N32" s="28">
        <f t="shared" si="6"/>
        <v>5000</v>
      </c>
    </row>
    <row r="33" ht="13.5" customHeight="1">
      <c r="A33" s="79" t="s">
        <v>38</v>
      </c>
      <c r="B33" s="63"/>
      <c r="C33" s="63"/>
      <c r="D33" s="63"/>
      <c r="E33" s="63"/>
      <c r="F33" s="83"/>
      <c r="G33" s="83"/>
      <c r="H33" s="83"/>
      <c r="I33" s="83"/>
      <c r="J33" s="83"/>
      <c r="K33" s="83"/>
      <c r="L33" s="83"/>
      <c r="M33" s="83"/>
      <c r="N33" s="83"/>
    </row>
    <row r="34" ht="13.5" customHeight="1">
      <c r="A34" s="142" t="s">
        <v>39</v>
      </c>
      <c r="B34" s="94">
        <f t="shared" ref="B34:M34" si="7">1999+349+850+61.9</f>
        <v>3259.9</v>
      </c>
      <c r="C34" s="94">
        <f t="shared" si="7"/>
        <v>3259.9</v>
      </c>
      <c r="D34" s="94">
        <f t="shared" si="7"/>
        <v>3259.9</v>
      </c>
      <c r="E34" s="94">
        <f t="shared" si="7"/>
        <v>3259.9</v>
      </c>
      <c r="F34" s="94">
        <f t="shared" si="7"/>
        <v>3259.9</v>
      </c>
      <c r="G34" s="94">
        <f t="shared" si="7"/>
        <v>3259.9</v>
      </c>
      <c r="H34" s="94">
        <f t="shared" si="7"/>
        <v>3259.9</v>
      </c>
      <c r="I34" s="94">
        <f t="shared" si="7"/>
        <v>3259.9</v>
      </c>
      <c r="J34" s="94">
        <f t="shared" si="7"/>
        <v>3259.9</v>
      </c>
      <c r="K34" s="94">
        <f t="shared" si="7"/>
        <v>3259.9</v>
      </c>
      <c r="L34" s="94">
        <f t="shared" si="7"/>
        <v>3259.9</v>
      </c>
      <c r="M34" s="94">
        <f t="shared" si="7"/>
        <v>3259.9</v>
      </c>
      <c r="N34" s="95">
        <f t="shared" ref="N34:N51" si="8">SUM(B34:M34)</f>
        <v>39118.8</v>
      </c>
    </row>
    <row r="35" ht="13.5" customHeight="1">
      <c r="A35" s="19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17">
        <f t="shared" si="8"/>
        <v>0</v>
      </c>
    </row>
    <row r="36" ht="13.5" customHeight="1">
      <c r="A36" s="35" t="s">
        <v>41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17">
        <f t="shared" si="8"/>
        <v>0</v>
      </c>
    </row>
    <row r="37" ht="13.5" customHeight="1">
      <c r="A37" s="35" t="s">
        <v>42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17">
        <f t="shared" si="8"/>
        <v>0</v>
      </c>
    </row>
    <row r="38" ht="13.5" customHeight="1">
      <c r="A38" s="35" t="s">
        <v>43</v>
      </c>
      <c r="B38" s="46"/>
      <c r="C38" s="87"/>
      <c r="D38" s="87"/>
      <c r="E38" s="46"/>
      <c r="F38" s="46"/>
      <c r="G38" s="46"/>
      <c r="H38" s="46"/>
      <c r="I38" s="46"/>
      <c r="J38" s="46"/>
      <c r="K38" s="46"/>
      <c r="L38" s="46"/>
      <c r="M38" s="46"/>
      <c r="N38" s="17">
        <f t="shared" si="8"/>
        <v>0</v>
      </c>
    </row>
    <row r="39" ht="13.5" customHeight="1">
      <c r="A39" s="35" t="s">
        <v>44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17">
        <f t="shared" si="8"/>
        <v>0</v>
      </c>
    </row>
    <row r="40" ht="13.5" customHeight="1">
      <c r="A40" s="35" t="s">
        <v>45</v>
      </c>
      <c r="B40" s="46"/>
      <c r="C40" s="46"/>
      <c r="D40" s="87"/>
      <c r="E40" s="46"/>
      <c r="F40" s="46"/>
      <c r="G40" s="46"/>
      <c r="H40" s="46"/>
      <c r="I40" s="46"/>
      <c r="J40" s="46"/>
      <c r="K40" s="46"/>
      <c r="L40" s="46"/>
      <c r="M40" s="46"/>
      <c r="N40" s="17">
        <f t="shared" si="8"/>
        <v>0</v>
      </c>
    </row>
    <row r="41" ht="13.5" customHeight="1">
      <c r="A41" s="35" t="s">
        <v>46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17">
        <f t="shared" si="8"/>
        <v>0</v>
      </c>
    </row>
    <row r="42" ht="13.5" customHeight="1">
      <c r="A42" s="19" t="s">
        <v>146</v>
      </c>
      <c r="B42" s="87">
        <v>365.0</v>
      </c>
      <c r="C42" s="87">
        <v>365.0</v>
      </c>
      <c r="D42" s="87">
        <v>365.0</v>
      </c>
      <c r="E42" s="87">
        <v>365.0</v>
      </c>
      <c r="F42" s="87">
        <v>365.0</v>
      </c>
      <c r="G42" s="87">
        <v>365.0</v>
      </c>
      <c r="H42" s="87">
        <v>365.0</v>
      </c>
      <c r="I42" s="87">
        <v>365.0</v>
      </c>
      <c r="J42" s="87">
        <v>365.0</v>
      </c>
      <c r="K42" s="87">
        <v>365.0</v>
      </c>
      <c r="L42" s="87">
        <v>365.0</v>
      </c>
      <c r="M42" s="87">
        <v>365.0</v>
      </c>
      <c r="N42" s="17">
        <f t="shared" si="8"/>
        <v>4380</v>
      </c>
    </row>
    <row r="43" ht="13.5" customHeight="1">
      <c r="A43" s="19" t="s">
        <v>129</v>
      </c>
      <c r="B43" s="87">
        <v>1499.0</v>
      </c>
      <c r="C43" s="87">
        <v>1499.0</v>
      </c>
      <c r="D43" s="87">
        <v>1499.0</v>
      </c>
      <c r="E43" s="87">
        <v>1499.0</v>
      </c>
      <c r="F43" s="87">
        <v>1499.0</v>
      </c>
      <c r="G43" s="87">
        <v>1499.0</v>
      </c>
      <c r="H43" s="87">
        <v>1499.0</v>
      </c>
      <c r="I43" s="87">
        <v>1499.0</v>
      </c>
      <c r="J43" s="87">
        <v>1499.0</v>
      </c>
      <c r="K43" s="87">
        <v>1499.0</v>
      </c>
      <c r="L43" s="87">
        <v>1499.0</v>
      </c>
      <c r="M43" s="87">
        <v>1499.0</v>
      </c>
      <c r="N43" s="17">
        <f t="shared" si="8"/>
        <v>17988</v>
      </c>
    </row>
    <row r="44" ht="13.5" customHeight="1">
      <c r="A44" s="31" t="s">
        <v>130</v>
      </c>
      <c r="B44" s="87">
        <v>259.0</v>
      </c>
      <c r="C44" s="87">
        <v>259.0</v>
      </c>
      <c r="D44" s="87">
        <v>259.0</v>
      </c>
      <c r="E44" s="87">
        <v>259.0</v>
      </c>
      <c r="F44" s="87">
        <v>259.0</v>
      </c>
      <c r="G44" s="87">
        <v>259.0</v>
      </c>
      <c r="H44" s="87">
        <v>259.0</v>
      </c>
      <c r="I44" s="87">
        <v>259.0</v>
      </c>
      <c r="J44" s="87">
        <v>259.0</v>
      </c>
      <c r="K44" s="87">
        <v>259.0</v>
      </c>
      <c r="L44" s="87">
        <v>259.0</v>
      </c>
      <c r="M44" s="87">
        <v>259.0</v>
      </c>
      <c r="N44" s="17">
        <f t="shared" si="8"/>
        <v>3108</v>
      </c>
    </row>
    <row r="45" ht="13.5" customHeight="1">
      <c r="A45" s="156" t="s">
        <v>50</v>
      </c>
      <c r="B45" s="46">
        <f t="shared" ref="B45:M45" si="9">45+97.5</f>
        <v>142.5</v>
      </c>
      <c r="C45" s="46">
        <f t="shared" si="9"/>
        <v>142.5</v>
      </c>
      <c r="D45" s="46">
        <f t="shared" si="9"/>
        <v>142.5</v>
      </c>
      <c r="E45" s="46">
        <f t="shared" si="9"/>
        <v>142.5</v>
      </c>
      <c r="F45" s="46">
        <f t="shared" si="9"/>
        <v>142.5</v>
      </c>
      <c r="G45" s="46">
        <f t="shared" si="9"/>
        <v>142.5</v>
      </c>
      <c r="H45" s="46">
        <f t="shared" si="9"/>
        <v>142.5</v>
      </c>
      <c r="I45" s="46">
        <f t="shared" si="9"/>
        <v>142.5</v>
      </c>
      <c r="J45" s="46">
        <f t="shared" si="9"/>
        <v>142.5</v>
      </c>
      <c r="K45" s="46">
        <f t="shared" si="9"/>
        <v>142.5</v>
      </c>
      <c r="L45" s="46">
        <f t="shared" si="9"/>
        <v>142.5</v>
      </c>
      <c r="M45" s="46">
        <f t="shared" si="9"/>
        <v>142.5</v>
      </c>
      <c r="N45" s="17">
        <f t="shared" si="8"/>
        <v>1710</v>
      </c>
    </row>
    <row r="46" ht="13.5" customHeight="1">
      <c r="A46" s="15" t="s">
        <v>51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17">
        <f t="shared" si="8"/>
        <v>0</v>
      </c>
    </row>
    <row r="47" ht="13.5" customHeight="1">
      <c r="A47" s="19" t="s">
        <v>52</v>
      </c>
      <c r="B47" s="87">
        <f t="shared" ref="B47:M47" si="10">850+30+1500+750</f>
        <v>3130</v>
      </c>
      <c r="C47" s="87">
        <f t="shared" si="10"/>
        <v>3130</v>
      </c>
      <c r="D47" s="87">
        <f t="shared" si="10"/>
        <v>3130</v>
      </c>
      <c r="E47" s="87">
        <f t="shared" si="10"/>
        <v>3130</v>
      </c>
      <c r="F47" s="87">
        <f t="shared" si="10"/>
        <v>3130</v>
      </c>
      <c r="G47" s="87">
        <f t="shared" si="10"/>
        <v>3130</v>
      </c>
      <c r="H47" s="87">
        <f t="shared" si="10"/>
        <v>3130</v>
      </c>
      <c r="I47" s="87">
        <f t="shared" si="10"/>
        <v>3130</v>
      </c>
      <c r="J47" s="87">
        <f t="shared" si="10"/>
        <v>3130</v>
      </c>
      <c r="K47" s="87">
        <f t="shared" si="10"/>
        <v>3130</v>
      </c>
      <c r="L47" s="87">
        <f t="shared" si="10"/>
        <v>3130</v>
      </c>
      <c r="M47" s="87">
        <f t="shared" si="10"/>
        <v>3130</v>
      </c>
      <c r="N47" s="17">
        <f t="shared" si="8"/>
        <v>37560</v>
      </c>
    </row>
    <row r="48" ht="13.5" customHeight="1">
      <c r="A48" s="19" t="s">
        <v>164</v>
      </c>
      <c r="B48" s="87">
        <f t="shared" ref="B48:M48" si="11">350.33+55.66+80</f>
        <v>485.99</v>
      </c>
      <c r="C48" s="87">
        <f t="shared" si="11"/>
        <v>485.99</v>
      </c>
      <c r="D48" s="87">
        <f t="shared" si="11"/>
        <v>485.99</v>
      </c>
      <c r="E48" s="87">
        <f t="shared" si="11"/>
        <v>485.99</v>
      </c>
      <c r="F48" s="87">
        <f t="shared" si="11"/>
        <v>485.99</v>
      </c>
      <c r="G48" s="87">
        <f t="shared" si="11"/>
        <v>485.99</v>
      </c>
      <c r="H48" s="87">
        <f t="shared" si="11"/>
        <v>485.99</v>
      </c>
      <c r="I48" s="87">
        <f t="shared" si="11"/>
        <v>485.99</v>
      </c>
      <c r="J48" s="87">
        <f t="shared" si="11"/>
        <v>485.99</v>
      </c>
      <c r="K48" s="87">
        <f t="shared" si="11"/>
        <v>485.99</v>
      </c>
      <c r="L48" s="87">
        <f t="shared" si="11"/>
        <v>485.99</v>
      </c>
      <c r="M48" s="87">
        <f t="shared" si="11"/>
        <v>485.99</v>
      </c>
      <c r="N48" s="17">
        <f t="shared" si="8"/>
        <v>5831.88</v>
      </c>
    </row>
    <row r="49" ht="13.5" customHeight="1">
      <c r="A49" s="35" t="s">
        <v>54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17">
        <f t="shared" si="8"/>
        <v>0</v>
      </c>
    </row>
    <row r="50" ht="13.5" customHeight="1">
      <c r="A50" s="19" t="s">
        <v>132</v>
      </c>
      <c r="B50" s="96">
        <f>1695+995</f>
        <v>2690</v>
      </c>
      <c r="C50" s="96">
        <v>1695.0</v>
      </c>
      <c r="D50" s="96">
        <v>1695.0</v>
      </c>
      <c r="E50" s="96">
        <v>1695.0</v>
      </c>
      <c r="F50" s="96">
        <v>1695.0</v>
      </c>
      <c r="G50" s="96">
        <v>1695.0</v>
      </c>
      <c r="H50" s="96">
        <v>1695.0</v>
      </c>
      <c r="I50" s="96">
        <v>1695.0</v>
      </c>
      <c r="J50" s="96">
        <v>1695.0</v>
      </c>
      <c r="K50" s="96">
        <v>1695.0</v>
      </c>
      <c r="L50" s="96">
        <v>1695.0</v>
      </c>
      <c r="M50" s="96">
        <v>1695.0</v>
      </c>
      <c r="N50" s="17">
        <f t="shared" si="8"/>
        <v>21335</v>
      </c>
    </row>
    <row r="51" ht="13.5" customHeight="1">
      <c r="A51" s="1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17">
        <f t="shared" si="8"/>
        <v>0</v>
      </c>
    </row>
    <row r="52" ht="13.5" customHeight="1">
      <c r="A52" s="91" t="s">
        <v>23</v>
      </c>
      <c r="B52" s="28">
        <f t="shared" ref="B52:N52" si="12">SUM(B34:B51)</f>
        <v>11831.39</v>
      </c>
      <c r="C52" s="28">
        <f t="shared" si="12"/>
        <v>10836.39</v>
      </c>
      <c r="D52" s="28">
        <f t="shared" si="12"/>
        <v>10836.39</v>
      </c>
      <c r="E52" s="28">
        <f t="shared" si="12"/>
        <v>10836.39</v>
      </c>
      <c r="F52" s="28">
        <f t="shared" si="12"/>
        <v>10836.39</v>
      </c>
      <c r="G52" s="28">
        <f t="shared" si="12"/>
        <v>10836.39</v>
      </c>
      <c r="H52" s="28">
        <f t="shared" si="12"/>
        <v>10836.39</v>
      </c>
      <c r="I52" s="28">
        <f t="shared" si="12"/>
        <v>10836.39</v>
      </c>
      <c r="J52" s="28">
        <f t="shared" si="12"/>
        <v>10836.39</v>
      </c>
      <c r="K52" s="28">
        <f t="shared" si="12"/>
        <v>10836.39</v>
      </c>
      <c r="L52" s="28">
        <f t="shared" si="12"/>
        <v>10836.39</v>
      </c>
      <c r="M52" s="28">
        <f t="shared" si="12"/>
        <v>10836.39</v>
      </c>
      <c r="N52" s="28">
        <f t="shared" si="12"/>
        <v>131031.68</v>
      </c>
    </row>
    <row r="53" ht="13.5" customHeight="1">
      <c r="A53" s="79" t="s">
        <v>56</v>
      </c>
      <c r="B53" s="63"/>
      <c r="C53" s="63"/>
      <c r="D53" s="63"/>
      <c r="E53" s="63"/>
      <c r="F53" s="83"/>
      <c r="G53" s="83"/>
      <c r="H53" s="83"/>
      <c r="I53" s="83"/>
      <c r="J53" s="83"/>
      <c r="K53" s="83"/>
      <c r="L53" s="83"/>
      <c r="M53" s="83"/>
      <c r="N53" s="83"/>
    </row>
    <row r="54" ht="13.5" customHeight="1">
      <c r="A54" s="32" t="s">
        <v>57</v>
      </c>
      <c r="B54" s="87">
        <v>4000.0</v>
      </c>
      <c r="C54" s="87">
        <v>4000.0</v>
      </c>
      <c r="D54" s="87">
        <v>4000.0</v>
      </c>
      <c r="E54" s="87">
        <v>4000.0</v>
      </c>
      <c r="F54" s="87">
        <v>4000.0</v>
      </c>
      <c r="G54" s="87">
        <v>4000.0</v>
      </c>
      <c r="H54" s="87">
        <v>4000.0</v>
      </c>
      <c r="I54" s="87">
        <v>4000.0</v>
      </c>
      <c r="J54" s="87">
        <v>4000.0</v>
      </c>
      <c r="K54" s="87">
        <v>4000.0</v>
      </c>
      <c r="L54" s="87">
        <v>4000.0</v>
      </c>
      <c r="M54" s="87">
        <v>4000.0</v>
      </c>
      <c r="N54" s="17">
        <f t="shared" ref="N54:N69" si="13">SUM(B54:M54)</f>
        <v>48000</v>
      </c>
    </row>
    <row r="55" ht="13.5" customHeight="1">
      <c r="A55" s="32" t="s">
        <v>58</v>
      </c>
      <c r="B55" s="87">
        <v>2800.0</v>
      </c>
      <c r="C55" s="87">
        <v>5000.0</v>
      </c>
      <c r="D55" s="87">
        <v>5000.0</v>
      </c>
      <c r="E55" s="87">
        <v>4500.0</v>
      </c>
      <c r="F55" s="87">
        <v>4500.0</v>
      </c>
      <c r="G55" s="87">
        <v>3500.0</v>
      </c>
      <c r="H55" s="87">
        <v>3000.0</v>
      </c>
      <c r="I55" s="87">
        <v>2450.0</v>
      </c>
      <c r="J55" s="87">
        <v>3600.0</v>
      </c>
      <c r="K55" s="87">
        <v>3600.0</v>
      </c>
      <c r="L55" s="87">
        <v>3600.0</v>
      </c>
      <c r="M55" s="87">
        <v>3600.0</v>
      </c>
      <c r="N55" s="17">
        <f t="shared" si="13"/>
        <v>45150</v>
      </c>
    </row>
    <row r="56" ht="13.5" customHeight="1">
      <c r="A56" s="31" t="s">
        <v>59</v>
      </c>
      <c r="B56" s="87">
        <f t="shared" ref="B56:M56" si="14">399+351+57</f>
        <v>807</v>
      </c>
      <c r="C56" s="87">
        <f t="shared" si="14"/>
        <v>807</v>
      </c>
      <c r="D56" s="87">
        <f t="shared" si="14"/>
        <v>807</v>
      </c>
      <c r="E56" s="87">
        <f t="shared" si="14"/>
        <v>807</v>
      </c>
      <c r="F56" s="87">
        <f t="shared" si="14"/>
        <v>807</v>
      </c>
      <c r="G56" s="87">
        <f t="shared" si="14"/>
        <v>807</v>
      </c>
      <c r="H56" s="87">
        <f t="shared" si="14"/>
        <v>807</v>
      </c>
      <c r="I56" s="87">
        <f t="shared" si="14"/>
        <v>807</v>
      </c>
      <c r="J56" s="87">
        <f t="shared" si="14"/>
        <v>807</v>
      </c>
      <c r="K56" s="87">
        <f t="shared" si="14"/>
        <v>807</v>
      </c>
      <c r="L56" s="87">
        <f t="shared" si="14"/>
        <v>807</v>
      </c>
      <c r="M56" s="87">
        <f t="shared" si="14"/>
        <v>807</v>
      </c>
      <c r="N56" s="17">
        <f t="shared" si="13"/>
        <v>9684</v>
      </c>
    </row>
    <row r="57" ht="13.5" customHeight="1">
      <c r="A57" s="31" t="s">
        <v>133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17">
        <f t="shared" si="13"/>
        <v>0</v>
      </c>
    </row>
    <row r="58" ht="13.5" customHeight="1">
      <c r="A58" s="166" t="s">
        <v>134</v>
      </c>
      <c r="B58" s="46"/>
      <c r="C58" s="46"/>
      <c r="D58" s="87"/>
      <c r="E58" s="46"/>
      <c r="F58" s="46"/>
      <c r="G58" s="46"/>
      <c r="H58" s="46"/>
      <c r="I58" s="46"/>
      <c r="J58" s="46"/>
      <c r="K58" s="46"/>
      <c r="L58" s="46"/>
      <c r="M58" s="46"/>
      <c r="N58" s="17">
        <f t="shared" si="13"/>
        <v>0</v>
      </c>
    </row>
    <row r="59" ht="13.5" customHeight="1">
      <c r="A59" s="31" t="s">
        <v>135</v>
      </c>
      <c r="B59" s="87">
        <v>1000.0</v>
      </c>
      <c r="C59" s="87">
        <v>1000.0</v>
      </c>
      <c r="D59" s="87">
        <v>1000.0</v>
      </c>
      <c r="E59" s="87">
        <v>1000.0</v>
      </c>
      <c r="F59" s="87">
        <v>1000.0</v>
      </c>
      <c r="G59" s="87">
        <v>1000.0</v>
      </c>
      <c r="H59" s="87">
        <v>1000.0</v>
      </c>
      <c r="I59" s="87">
        <v>1000.0</v>
      </c>
      <c r="J59" s="87">
        <v>1000.0</v>
      </c>
      <c r="K59" s="87">
        <v>1000.0</v>
      </c>
      <c r="L59" s="87">
        <v>1000.0</v>
      </c>
      <c r="M59" s="87">
        <v>1000.0</v>
      </c>
      <c r="N59" s="17">
        <f t="shared" si="13"/>
        <v>12000</v>
      </c>
    </row>
    <row r="60" ht="13.5" customHeight="1">
      <c r="A60" s="32" t="s">
        <v>136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17">
        <f t="shared" si="13"/>
        <v>0</v>
      </c>
    </row>
    <row r="61" ht="13.5" customHeight="1">
      <c r="A61" s="32" t="s">
        <v>137</v>
      </c>
      <c r="B61" s="46"/>
      <c r="C61" s="46"/>
      <c r="D61" s="87"/>
      <c r="E61" s="46"/>
      <c r="F61" s="46"/>
      <c r="G61" s="46"/>
      <c r="H61" s="46"/>
      <c r="I61" s="46"/>
      <c r="J61" s="46"/>
      <c r="K61" s="46"/>
      <c r="L61" s="46"/>
      <c r="M61" s="46"/>
      <c r="N61" s="17">
        <f t="shared" si="13"/>
        <v>0</v>
      </c>
    </row>
    <row r="62" ht="13.5" customHeight="1">
      <c r="A62" s="32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13"/>
        <v>0</v>
      </c>
    </row>
    <row r="63" ht="13.5" customHeight="1">
      <c r="A63" s="31" t="s">
        <v>64</v>
      </c>
      <c r="B63" s="87">
        <v>9250.0</v>
      </c>
      <c r="C63" s="87">
        <v>9250.0</v>
      </c>
      <c r="D63" s="87">
        <v>9250.0</v>
      </c>
      <c r="E63" s="87">
        <v>9250.0</v>
      </c>
      <c r="F63" s="87">
        <v>9250.0</v>
      </c>
      <c r="G63" s="87">
        <v>9250.0</v>
      </c>
      <c r="H63" s="87">
        <v>9250.0</v>
      </c>
      <c r="I63" s="87">
        <v>9250.0</v>
      </c>
      <c r="J63" s="87">
        <v>9250.0</v>
      </c>
      <c r="K63" s="87">
        <v>9250.0</v>
      </c>
      <c r="L63" s="87">
        <v>9250.0</v>
      </c>
      <c r="M63" s="87">
        <v>9250.0</v>
      </c>
      <c r="N63" s="17">
        <f t="shared" si="13"/>
        <v>111000</v>
      </c>
    </row>
    <row r="64" ht="13.5" customHeight="1">
      <c r="A64" s="32" t="s">
        <v>65</v>
      </c>
      <c r="B64" s="87">
        <f t="shared" ref="B64:M64" si="15">1401+595+99</f>
        <v>2095</v>
      </c>
      <c r="C64" s="87">
        <f t="shared" si="15"/>
        <v>2095</v>
      </c>
      <c r="D64" s="87">
        <f t="shared" si="15"/>
        <v>2095</v>
      </c>
      <c r="E64" s="87">
        <f t="shared" si="15"/>
        <v>2095</v>
      </c>
      <c r="F64" s="87">
        <f t="shared" si="15"/>
        <v>2095</v>
      </c>
      <c r="G64" s="87">
        <f t="shared" si="15"/>
        <v>2095</v>
      </c>
      <c r="H64" s="87">
        <f t="shared" si="15"/>
        <v>2095</v>
      </c>
      <c r="I64" s="87">
        <f t="shared" si="15"/>
        <v>2095</v>
      </c>
      <c r="J64" s="87">
        <f t="shared" si="15"/>
        <v>2095</v>
      </c>
      <c r="K64" s="87">
        <f t="shared" si="15"/>
        <v>2095</v>
      </c>
      <c r="L64" s="87">
        <f t="shared" si="15"/>
        <v>2095</v>
      </c>
      <c r="M64" s="87">
        <f t="shared" si="15"/>
        <v>2095</v>
      </c>
      <c r="N64" s="17">
        <f t="shared" si="13"/>
        <v>25140</v>
      </c>
    </row>
    <row r="65" ht="13.5" customHeight="1">
      <c r="A65" s="31" t="s">
        <v>66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17">
        <f t="shared" si="13"/>
        <v>0</v>
      </c>
    </row>
    <row r="66" ht="13.5" customHeight="1">
      <c r="A66" s="31" t="s">
        <v>67</v>
      </c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17">
        <f t="shared" si="13"/>
        <v>0</v>
      </c>
    </row>
    <row r="67" ht="13.5" customHeight="1">
      <c r="A67" s="25" t="s">
        <v>165</v>
      </c>
      <c r="B67" s="28"/>
      <c r="C67" s="28"/>
      <c r="D67" s="28"/>
      <c r="E67" s="28"/>
      <c r="F67" s="167"/>
      <c r="G67" s="167"/>
      <c r="H67" s="167"/>
      <c r="I67" s="28"/>
      <c r="J67" s="28"/>
      <c r="K67" s="28"/>
      <c r="L67" s="28"/>
      <c r="M67" s="28"/>
      <c r="N67" s="17">
        <f t="shared" si="13"/>
        <v>0</v>
      </c>
    </row>
    <row r="68" ht="13.5" customHeight="1">
      <c r="A68" s="25" t="s">
        <v>69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17">
        <f t="shared" si="13"/>
        <v>0</v>
      </c>
    </row>
    <row r="69" ht="13.5" customHeight="1">
      <c r="A69" s="39" t="s">
        <v>70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17">
        <f t="shared" si="13"/>
        <v>0</v>
      </c>
    </row>
    <row r="70" ht="13.5" customHeight="1">
      <c r="A70" s="91" t="s">
        <v>23</v>
      </c>
      <c r="B70" s="28">
        <f t="shared" ref="B70:M70" si="16">SUM(B54:B69)</f>
        <v>19952</v>
      </c>
      <c r="C70" s="28">
        <f t="shared" si="16"/>
        <v>22152</v>
      </c>
      <c r="D70" s="28">
        <f t="shared" si="16"/>
        <v>22152</v>
      </c>
      <c r="E70" s="28">
        <f t="shared" si="16"/>
        <v>21652</v>
      </c>
      <c r="F70" s="28">
        <f t="shared" si="16"/>
        <v>21652</v>
      </c>
      <c r="G70" s="28">
        <f t="shared" si="16"/>
        <v>20652</v>
      </c>
      <c r="H70" s="28">
        <f t="shared" si="16"/>
        <v>20152</v>
      </c>
      <c r="I70" s="28">
        <f t="shared" si="16"/>
        <v>19602</v>
      </c>
      <c r="J70" s="28">
        <f t="shared" si="16"/>
        <v>20752</v>
      </c>
      <c r="K70" s="28">
        <f t="shared" si="16"/>
        <v>20752</v>
      </c>
      <c r="L70" s="28">
        <f t="shared" si="16"/>
        <v>20752</v>
      </c>
      <c r="M70" s="28">
        <f t="shared" si="16"/>
        <v>20752</v>
      </c>
      <c r="N70" s="28">
        <f>SUM(N54:N66)</f>
        <v>250974</v>
      </c>
    </row>
    <row r="71" ht="13.5" customHeight="1">
      <c r="A71" s="79" t="s">
        <v>71</v>
      </c>
      <c r="B71" s="63"/>
      <c r="C71" s="63"/>
      <c r="D71" s="63"/>
      <c r="E71" s="63"/>
      <c r="F71" s="83"/>
      <c r="G71" s="83"/>
      <c r="H71" s="83"/>
      <c r="I71" s="83"/>
      <c r="J71" s="83"/>
      <c r="K71" s="83"/>
      <c r="L71" s="83"/>
      <c r="M71" s="83"/>
      <c r="N71" s="83"/>
    </row>
    <row r="72" ht="13.5" customHeight="1">
      <c r="A72" s="32" t="s">
        <v>138</v>
      </c>
      <c r="B72" s="87">
        <v>0.0</v>
      </c>
      <c r="C72" s="87">
        <v>0.0</v>
      </c>
      <c r="D72" s="87">
        <v>0.0</v>
      </c>
      <c r="E72" s="87">
        <v>0.0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0.0</v>
      </c>
      <c r="L72" s="87">
        <v>0.0</v>
      </c>
      <c r="M72" s="87">
        <v>0.0</v>
      </c>
      <c r="N72" s="17">
        <f t="shared" ref="N72:N83" si="17">SUM(B72:M72)</f>
        <v>0</v>
      </c>
    </row>
    <row r="73" ht="13.5" customHeight="1">
      <c r="A73" s="31" t="s">
        <v>73</v>
      </c>
      <c r="B73" s="87">
        <v>0.0</v>
      </c>
      <c r="C73" s="87">
        <v>0.0</v>
      </c>
      <c r="D73" s="87">
        <v>0.0</v>
      </c>
      <c r="E73" s="87">
        <v>0.0</v>
      </c>
      <c r="F73" s="87">
        <v>0.0</v>
      </c>
      <c r="G73" s="87">
        <v>0.0</v>
      </c>
      <c r="H73" s="87">
        <v>0.0</v>
      </c>
      <c r="I73" s="87">
        <v>0.0</v>
      </c>
      <c r="J73" s="87">
        <v>0.0</v>
      </c>
      <c r="K73" s="87">
        <v>0.0</v>
      </c>
      <c r="L73" s="87">
        <v>0.0</v>
      </c>
      <c r="M73" s="87">
        <v>0.0</v>
      </c>
      <c r="N73" s="17">
        <f t="shared" si="17"/>
        <v>0</v>
      </c>
    </row>
    <row r="74" ht="13.5" customHeight="1">
      <c r="A74" s="32" t="s">
        <v>139</v>
      </c>
      <c r="B74" s="87">
        <v>1000.0</v>
      </c>
      <c r="C74" s="87">
        <v>1000.0</v>
      </c>
      <c r="D74" s="87">
        <v>1000.0</v>
      </c>
      <c r="E74" s="87">
        <v>1000.0</v>
      </c>
      <c r="F74" s="87">
        <v>1000.0</v>
      </c>
      <c r="G74" s="87">
        <v>1000.0</v>
      </c>
      <c r="H74" s="87">
        <v>1000.0</v>
      </c>
      <c r="I74" s="87">
        <v>1000.0</v>
      </c>
      <c r="J74" s="87">
        <v>1000.0</v>
      </c>
      <c r="K74" s="87">
        <v>1000.0</v>
      </c>
      <c r="L74" s="87">
        <v>1000.0</v>
      </c>
      <c r="M74" s="87">
        <v>1000.0</v>
      </c>
      <c r="N74" s="17">
        <f t="shared" si="17"/>
        <v>12000</v>
      </c>
    </row>
    <row r="75" ht="13.5" customHeight="1">
      <c r="A75" s="31" t="s">
        <v>137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17">
        <f t="shared" si="17"/>
        <v>0</v>
      </c>
    </row>
    <row r="76" ht="13.5" customHeight="1">
      <c r="A76" s="32" t="s">
        <v>136</v>
      </c>
      <c r="B76" s="46"/>
      <c r="C76" s="46"/>
      <c r="D76" s="46"/>
      <c r="E76" s="46"/>
      <c r="F76" s="87">
        <v>0.0</v>
      </c>
      <c r="G76" s="46"/>
      <c r="H76" s="87"/>
      <c r="I76" s="87"/>
      <c r="J76" s="87"/>
      <c r="K76" s="87"/>
      <c r="L76" s="87"/>
      <c r="M76" s="87"/>
      <c r="N76" s="17">
        <f t="shared" si="17"/>
        <v>0</v>
      </c>
    </row>
    <row r="77" ht="13.5" customHeight="1">
      <c r="A77" s="32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17">
        <f t="shared" si="17"/>
        <v>0</v>
      </c>
    </row>
    <row r="78" ht="13.5" customHeight="1">
      <c r="A78" s="31" t="s">
        <v>140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17">
        <f t="shared" si="17"/>
        <v>0</v>
      </c>
    </row>
    <row r="79" ht="13.5" customHeight="1">
      <c r="A79" s="27" t="s">
        <v>141</v>
      </c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17">
        <f t="shared" si="17"/>
        <v>0</v>
      </c>
    </row>
    <row r="80" ht="13.5" customHeight="1">
      <c r="A80" s="145" t="s">
        <v>79</v>
      </c>
      <c r="B80" s="87">
        <v>2150.0</v>
      </c>
      <c r="C80" s="87">
        <v>2150.0</v>
      </c>
      <c r="D80" s="87">
        <v>2150.0</v>
      </c>
      <c r="E80" s="87">
        <v>2150.0</v>
      </c>
      <c r="F80" s="87">
        <v>2150.0</v>
      </c>
      <c r="G80" s="87">
        <v>2150.0</v>
      </c>
      <c r="H80" s="87">
        <v>2150.0</v>
      </c>
      <c r="I80" s="87">
        <v>2150.0</v>
      </c>
      <c r="J80" s="87">
        <v>2150.0</v>
      </c>
      <c r="K80" s="87">
        <v>2150.0</v>
      </c>
      <c r="L80" s="87">
        <v>2150.0</v>
      </c>
      <c r="M80" s="87">
        <v>2150.0</v>
      </c>
      <c r="N80" s="17">
        <f t="shared" si="17"/>
        <v>25800</v>
      </c>
    </row>
    <row r="81" ht="13.5" customHeight="1">
      <c r="A81" s="43" t="s">
        <v>80</v>
      </c>
      <c r="B81" s="87">
        <v>0.0</v>
      </c>
      <c r="C81" s="87">
        <v>0.0</v>
      </c>
      <c r="D81" s="87">
        <v>0.0</v>
      </c>
      <c r="E81" s="87">
        <v>0.0</v>
      </c>
      <c r="F81" s="87">
        <v>0.0</v>
      </c>
      <c r="G81" s="87">
        <v>0.0</v>
      </c>
      <c r="H81" s="87">
        <v>0.0</v>
      </c>
      <c r="I81" s="87">
        <v>0.0</v>
      </c>
      <c r="J81" s="87">
        <v>0.0</v>
      </c>
      <c r="K81" s="87">
        <v>0.0</v>
      </c>
      <c r="L81" s="87">
        <v>0.0</v>
      </c>
      <c r="M81" s="87">
        <v>0.0</v>
      </c>
      <c r="N81" s="17">
        <f t="shared" si="17"/>
        <v>0</v>
      </c>
    </row>
    <row r="82" ht="13.5" customHeight="1">
      <c r="A82" s="91" t="s">
        <v>23</v>
      </c>
      <c r="B82" s="28">
        <f t="shared" ref="B82:M82" si="18">SUM(B72:B81)</f>
        <v>3150</v>
      </c>
      <c r="C82" s="28">
        <f t="shared" si="18"/>
        <v>3150</v>
      </c>
      <c r="D82" s="28">
        <f t="shared" si="18"/>
        <v>3150</v>
      </c>
      <c r="E82" s="28">
        <f t="shared" si="18"/>
        <v>3150</v>
      </c>
      <c r="F82" s="28">
        <f t="shared" si="18"/>
        <v>3150</v>
      </c>
      <c r="G82" s="28">
        <f t="shared" si="18"/>
        <v>3150</v>
      </c>
      <c r="H82" s="28">
        <f t="shared" si="18"/>
        <v>3150</v>
      </c>
      <c r="I82" s="28">
        <f t="shared" si="18"/>
        <v>3150</v>
      </c>
      <c r="J82" s="28">
        <f t="shared" si="18"/>
        <v>3150</v>
      </c>
      <c r="K82" s="28">
        <f t="shared" si="18"/>
        <v>3150</v>
      </c>
      <c r="L82" s="28">
        <f t="shared" si="18"/>
        <v>3150</v>
      </c>
      <c r="M82" s="28">
        <f t="shared" si="18"/>
        <v>3150</v>
      </c>
      <c r="N82" s="44">
        <f t="shared" si="17"/>
        <v>37800</v>
      </c>
    </row>
    <row r="83" ht="13.5" customHeight="1">
      <c r="A83" s="99" t="s">
        <v>81</v>
      </c>
      <c r="B83" s="28">
        <f t="shared" ref="B83:M83" si="19">B52+B70+B82</f>
        <v>34933.39</v>
      </c>
      <c r="C83" s="28">
        <f t="shared" si="19"/>
        <v>36138.39</v>
      </c>
      <c r="D83" s="28">
        <f t="shared" si="19"/>
        <v>36138.39</v>
      </c>
      <c r="E83" s="28">
        <f t="shared" si="19"/>
        <v>35638.39</v>
      </c>
      <c r="F83" s="28">
        <f t="shared" si="19"/>
        <v>35638.39</v>
      </c>
      <c r="G83" s="28">
        <f t="shared" si="19"/>
        <v>34638.39</v>
      </c>
      <c r="H83" s="28">
        <f t="shared" si="19"/>
        <v>34138.39</v>
      </c>
      <c r="I83" s="28">
        <f t="shared" si="19"/>
        <v>33588.39</v>
      </c>
      <c r="J83" s="28">
        <f t="shared" si="19"/>
        <v>34738.39</v>
      </c>
      <c r="K83" s="28">
        <f t="shared" si="19"/>
        <v>34738.39</v>
      </c>
      <c r="L83" s="28">
        <f t="shared" si="19"/>
        <v>34738.39</v>
      </c>
      <c r="M83" s="28">
        <f t="shared" si="19"/>
        <v>34738.39</v>
      </c>
      <c r="N83" s="44">
        <f t="shared" si="17"/>
        <v>419805.68</v>
      </c>
    </row>
    <row r="84" ht="13.5" customHeight="1">
      <c r="A84" s="99" t="s">
        <v>82</v>
      </c>
      <c r="B84" s="46">
        <f t="shared" ref="B84:N84" si="20">B83/B112</f>
        <v>223.9319872</v>
      </c>
      <c r="C84" s="46">
        <f t="shared" si="20"/>
        <v>219.0205455</v>
      </c>
      <c r="D84" s="46">
        <f t="shared" si="20"/>
        <v>206.5050857</v>
      </c>
      <c r="E84" s="46">
        <f t="shared" si="20"/>
        <v>187.5704737</v>
      </c>
      <c r="F84" s="46">
        <f t="shared" si="20"/>
        <v>178.19195</v>
      </c>
      <c r="G84" s="46">
        <f t="shared" si="20"/>
        <v>177.6327692</v>
      </c>
      <c r="H84" s="46">
        <f t="shared" si="20"/>
        <v>166.5287317</v>
      </c>
      <c r="I84" s="46">
        <f t="shared" si="20"/>
        <v>159.9447143</v>
      </c>
      <c r="J84" s="46">
        <f t="shared" si="20"/>
        <v>187.7750811</v>
      </c>
      <c r="K84" s="46">
        <f t="shared" si="20"/>
        <v>187.7750811</v>
      </c>
      <c r="L84" s="46">
        <f t="shared" si="20"/>
        <v>182.8336316</v>
      </c>
      <c r="M84" s="46">
        <f t="shared" si="20"/>
        <v>161.573907</v>
      </c>
      <c r="N84" s="15">
        <f t="shared" si="20"/>
        <v>184.854989</v>
      </c>
    </row>
    <row r="85" ht="13.5" customHeight="1">
      <c r="A85" s="79" t="s">
        <v>83</v>
      </c>
      <c r="B85" s="63"/>
      <c r="C85" s="63"/>
      <c r="D85" s="63"/>
      <c r="E85" s="63"/>
      <c r="F85" s="83"/>
      <c r="G85" s="83"/>
      <c r="H85" s="83"/>
      <c r="I85" s="83"/>
      <c r="J85" s="83"/>
      <c r="K85" s="83"/>
      <c r="L85" s="83"/>
      <c r="M85" s="83"/>
      <c r="N85" s="83"/>
    </row>
    <row r="86" ht="13.5" customHeight="1">
      <c r="A86" s="15" t="s">
        <v>84</v>
      </c>
      <c r="B86" s="87">
        <v>820.0</v>
      </c>
      <c r="C86" s="87">
        <v>820.0</v>
      </c>
      <c r="D86" s="87">
        <v>820.0</v>
      </c>
      <c r="E86" s="87">
        <v>820.0</v>
      </c>
      <c r="F86" s="87">
        <v>820.0</v>
      </c>
      <c r="G86" s="87">
        <v>820.0</v>
      </c>
      <c r="H86" s="87">
        <v>820.0</v>
      </c>
      <c r="I86" s="87">
        <v>820.0</v>
      </c>
      <c r="J86" s="87">
        <v>820.0</v>
      </c>
      <c r="K86" s="87">
        <v>820.0</v>
      </c>
      <c r="L86" s="87">
        <v>820.0</v>
      </c>
      <c r="M86" s="87">
        <v>820.0</v>
      </c>
      <c r="N86" s="17">
        <f t="shared" ref="N86:N89" si="21">SUM(B86:M86)</f>
        <v>9840</v>
      </c>
    </row>
    <row r="87" ht="13.5" customHeight="1">
      <c r="A87" s="15" t="s">
        <v>142</v>
      </c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17">
        <f t="shared" si="21"/>
        <v>0</v>
      </c>
    </row>
    <row r="88" ht="13.5" customHeight="1">
      <c r="A88" s="15" t="s">
        <v>86</v>
      </c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17">
        <f t="shared" si="21"/>
        <v>0</v>
      </c>
    </row>
    <row r="89" ht="13.5" customHeight="1">
      <c r="A89" s="15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17">
        <f t="shared" si="21"/>
        <v>0</v>
      </c>
    </row>
    <row r="90" ht="13.5" customHeight="1">
      <c r="A90" s="91" t="s">
        <v>23</v>
      </c>
      <c r="B90" s="28">
        <f t="shared" ref="B90:N90" si="22">SUM(B86:B89)</f>
        <v>820</v>
      </c>
      <c r="C90" s="28">
        <f t="shared" si="22"/>
        <v>820</v>
      </c>
      <c r="D90" s="28">
        <f t="shared" si="22"/>
        <v>820</v>
      </c>
      <c r="E90" s="28">
        <f t="shared" si="22"/>
        <v>820</v>
      </c>
      <c r="F90" s="28">
        <f t="shared" si="22"/>
        <v>820</v>
      </c>
      <c r="G90" s="28">
        <f t="shared" si="22"/>
        <v>820</v>
      </c>
      <c r="H90" s="28">
        <f t="shared" si="22"/>
        <v>820</v>
      </c>
      <c r="I90" s="28">
        <f t="shared" si="22"/>
        <v>820</v>
      </c>
      <c r="J90" s="28">
        <f t="shared" si="22"/>
        <v>820</v>
      </c>
      <c r="K90" s="28">
        <f t="shared" si="22"/>
        <v>820</v>
      </c>
      <c r="L90" s="28">
        <f t="shared" si="22"/>
        <v>820</v>
      </c>
      <c r="M90" s="28">
        <f t="shared" si="22"/>
        <v>820</v>
      </c>
      <c r="N90" s="28">
        <f t="shared" si="22"/>
        <v>9840</v>
      </c>
    </row>
    <row r="91" ht="13.5" customHeight="1">
      <c r="A91" s="89" t="s">
        <v>88</v>
      </c>
      <c r="B91" s="90"/>
      <c r="C91" s="90"/>
      <c r="D91" s="90"/>
      <c r="E91" s="90"/>
      <c r="F91" s="83"/>
      <c r="G91" s="83"/>
      <c r="H91" s="83"/>
      <c r="I91" s="83"/>
      <c r="J91" s="83"/>
      <c r="K91" s="83"/>
      <c r="L91" s="83"/>
      <c r="M91" s="83"/>
      <c r="N91" s="83"/>
    </row>
    <row r="92" ht="13.5" customHeight="1">
      <c r="A92" s="31" t="s">
        <v>89</v>
      </c>
      <c r="B92" s="101">
        <f>PRODUCTION!G18</f>
        <v>750</v>
      </c>
      <c r="C92" s="102">
        <f>PRODUCTION!G19</f>
        <v>750</v>
      </c>
      <c r="D92" s="102">
        <f>PRODUCTION!G20</f>
        <v>750</v>
      </c>
      <c r="E92" s="102">
        <f>PRODUCTION!G21</f>
        <v>750</v>
      </c>
      <c r="F92" s="102">
        <f>PRODUCTION!G22</f>
        <v>750</v>
      </c>
      <c r="G92" s="102">
        <f>PRODUCTION!G23</f>
        <v>750</v>
      </c>
      <c r="H92" s="102">
        <f>PRODUCTION!G24</f>
        <v>750</v>
      </c>
      <c r="I92" s="102">
        <f>PRODUCTION!G25</f>
        <v>750</v>
      </c>
      <c r="J92" s="102">
        <f>PRODUCTION!G26</f>
        <v>750</v>
      </c>
      <c r="K92" s="102">
        <f>PRODUCTION!G27</f>
        <v>750</v>
      </c>
      <c r="L92" s="102">
        <f>PRODUCTION!G28</f>
        <v>750</v>
      </c>
      <c r="M92" s="102">
        <f>PRODUCTION!G29</f>
        <v>750</v>
      </c>
      <c r="N92" s="17">
        <f t="shared" ref="N92:N104" si="23">SUM(B92:M92)</f>
        <v>9000</v>
      </c>
    </row>
    <row r="93" ht="13.5" customHeight="1">
      <c r="A93" s="31" t="s">
        <v>90</v>
      </c>
      <c r="B93" s="46"/>
      <c r="C93" s="87"/>
      <c r="D93" s="87"/>
      <c r="E93" s="87"/>
      <c r="F93" s="87"/>
      <c r="G93" s="46"/>
      <c r="H93" s="46"/>
      <c r="I93" s="46"/>
      <c r="J93" s="46"/>
      <c r="K93" s="87"/>
      <c r="L93" s="46"/>
      <c r="M93" s="87"/>
      <c r="N93" s="17">
        <f t="shared" si="23"/>
        <v>0</v>
      </c>
    </row>
    <row r="94" ht="13.5" customHeight="1">
      <c r="A94" s="31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17">
        <f t="shared" si="23"/>
        <v>2360</v>
      </c>
    </row>
    <row r="95" ht="13.5" customHeight="1">
      <c r="A95" s="31" t="s">
        <v>92</v>
      </c>
      <c r="B95" s="146">
        <v>500.0</v>
      </c>
      <c r="C95" s="105">
        <v>500.0</v>
      </c>
      <c r="D95" s="105">
        <v>0.0</v>
      </c>
      <c r="E95" s="105">
        <v>0.0</v>
      </c>
      <c r="F95" s="104">
        <v>155.0</v>
      </c>
      <c r="G95" s="104">
        <f>350+167</f>
        <v>517</v>
      </c>
      <c r="H95" s="104">
        <v>0.0</v>
      </c>
      <c r="I95" s="105">
        <f>265+3.233</f>
        <v>268.233</v>
      </c>
      <c r="J95" s="105">
        <v>500.0</v>
      </c>
      <c r="K95" s="87">
        <v>456.78</v>
      </c>
      <c r="L95" s="105">
        <v>500.0</v>
      </c>
      <c r="M95" s="105">
        <v>500.0</v>
      </c>
      <c r="N95" s="17">
        <f t="shared" si="23"/>
        <v>3897.013</v>
      </c>
    </row>
    <row r="96" ht="13.5" customHeight="1">
      <c r="A96" s="32" t="s">
        <v>143</v>
      </c>
      <c r="B96" s="46"/>
      <c r="C96" s="46"/>
      <c r="D96" s="46"/>
      <c r="E96" s="46"/>
      <c r="F96" s="46"/>
      <c r="G96" s="46"/>
      <c r="H96" s="46"/>
      <c r="I96" s="87"/>
      <c r="J96" s="46"/>
      <c r="K96" s="46"/>
      <c r="L96" s="46"/>
      <c r="M96" s="46"/>
      <c r="N96" s="17">
        <f t="shared" si="23"/>
        <v>0</v>
      </c>
    </row>
    <row r="97" ht="13.5" customHeight="1">
      <c r="A97" s="32" t="s">
        <v>94</v>
      </c>
      <c r="B97" s="46"/>
      <c r="C97" s="46"/>
      <c r="D97" s="46"/>
      <c r="E97" s="87"/>
      <c r="F97" s="87"/>
      <c r="G97" s="87"/>
      <c r="H97" s="87"/>
      <c r="I97" s="87"/>
      <c r="J97" s="87"/>
      <c r="K97" s="87"/>
      <c r="L97" s="87"/>
      <c r="M97" s="87"/>
      <c r="N97" s="17">
        <f t="shared" si="23"/>
        <v>0</v>
      </c>
    </row>
    <row r="98" ht="13.5" customHeight="1">
      <c r="A98" s="32" t="s">
        <v>95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17">
        <f t="shared" si="23"/>
        <v>0</v>
      </c>
    </row>
    <row r="99" ht="13.5" customHeight="1">
      <c r="A99" s="31" t="s">
        <v>96</v>
      </c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17">
        <f t="shared" si="23"/>
        <v>0</v>
      </c>
    </row>
    <row r="100" ht="13.5" customHeight="1">
      <c r="A100" s="31" t="s">
        <v>97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17">
        <f t="shared" si="23"/>
        <v>0</v>
      </c>
    </row>
    <row r="101" ht="13.5" customHeight="1">
      <c r="A101" s="32" t="s">
        <v>98</v>
      </c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17">
        <f t="shared" si="23"/>
        <v>0</v>
      </c>
    </row>
    <row r="102" ht="13.5" customHeight="1">
      <c r="A102" s="31" t="s">
        <v>99</v>
      </c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17">
        <f t="shared" si="23"/>
        <v>0</v>
      </c>
    </row>
    <row r="103" ht="13.5" customHeight="1">
      <c r="A103" s="32" t="s">
        <v>100</v>
      </c>
      <c r="B103" s="87">
        <v>200.0</v>
      </c>
      <c r="C103" s="87">
        <v>435.0</v>
      </c>
      <c r="D103" s="87">
        <f>200+113.63</f>
        <v>313.63</v>
      </c>
      <c r="E103" s="87">
        <v>200.0</v>
      </c>
      <c r="F103" s="87">
        <v>200.0</v>
      </c>
      <c r="G103" s="87">
        <v>605.0</v>
      </c>
      <c r="H103" s="87">
        <v>605.0</v>
      </c>
      <c r="I103" s="87">
        <v>200.0</v>
      </c>
      <c r="J103" s="87">
        <f>435+200</f>
        <v>635</v>
      </c>
      <c r="K103" s="87">
        <v>200.0</v>
      </c>
      <c r="L103" s="87">
        <v>200.0</v>
      </c>
      <c r="M103" s="87">
        <v>200.0</v>
      </c>
      <c r="N103" s="17">
        <f t="shared" si="23"/>
        <v>3993.63</v>
      </c>
    </row>
    <row r="104" ht="13.5" customHeight="1">
      <c r="A104" s="27" t="s">
        <v>101</v>
      </c>
      <c r="B104" s="87">
        <v>400.0</v>
      </c>
      <c r="C104" s="87">
        <v>475.0</v>
      </c>
      <c r="D104" s="87">
        <v>475.0</v>
      </c>
      <c r="E104" s="87">
        <v>475.0</v>
      </c>
      <c r="F104" s="87">
        <v>475.0</v>
      </c>
      <c r="G104" s="87">
        <v>475.0</v>
      </c>
      <c r="H104" s="87">
        <v>475.0</v>
      </c>
      <c r="I104" s="87">
        <v>475.0</v>
      </c>
      <c r="J104" s="87">
        <v>475.0</v>
      </c>
      <c r="K104" s="87">
        <v>475.0</v>
      </c>
      <c r="L104" s="87">
        <v>475.0</v>
      </c>
      <c r="M104" s="87">
        <v>475.0</v>
      </c>
      <c r="N104" s="17">
        <f t="shared" si="23"/>
        <v>5625</v>
      </c>
    </row>
    <row r="105" ht="13.5" customHeight="1">
      <c r="A105" s="27" t="s">
        <v>102</v>
      </c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17"/>
    </row>
    <row r="106" ht="13.5" customHeight="1">
      <c r="A106" s="39" t="s">
        <v>166</v>
      </c>
      <c r="B106" s="87">
        <v>1875.0</v>
      </c>
      <c r="C106" s="87">
        <v>1875.0</v>
      </c>
      <c r="D106" s="87">
        <v>1875.0</v>
      </c>
      <c r="E106" s="87">
        <v>1875.0</v>
      </c>
      <c r="F106" s="87">
        <v>1875.0</v>
      </c>
      <c r="G106" s="87">
        <v>1875.0</v>
      </c>
      <c r="H106" s="87">
        <v>1875.0</v>
      </c>
      <c r="I106" s="87">
        <v>1875.0</v>
      </c>
      <c r="J106" s="87">
        <v>1875.0</v>
      </c>
      <c r="K106" s="87">
        <v>1875.0</v>
      </c>
      <c r="L106" s="87">
        <v>1875.0</v>
      </c>
      <c r="M106" s="87">
        <v>1875.0</v>
      </c>
      <c r="N106" s="17">
        <f>SUM(B106:M106)</f>
        <v>22500</v>
      </c>
    </row>
    <row r="107" ht="13.5" customHeight="1">
      <c r="A107" s="91" t="s">
        <v>23</v>
      </c>
      <c r="B107" s="28">
        <f t="shared" ref="B107:N107" si="24">SUM(B92:B106)</f>
        <v>3905</v>
      </c>
      <c r="C107" s="28">
        <f t="shared" si="24"/>
        <v>4215</v>
      </c>
      <c r="D107" s="28">
        <f t="shared" si="24"/>
        <v>3593.63</v>
      </c>
      <c r="E107" s="28">
        <f t="shared" si="24"/>
        <v>3480</v>
      </c>
      <c r="F107" s="28">
        <f t="shared" si="24"/>
        <v>3635</v>
      </c>
      <c r="G107" s="28">
        <f t="shared" si="24"/>
        <v>4402</v>
      </c>
      <c r="H107" s="28">
        <f t="shared" si="24"/>
        <v>3885</v>
      </c>
      <c r="I107" s="28">
        <f t="shared" si="24"/>
        <v>3748.233</v>
      </c>
      <c r="J107" s="28">
        <f t="shared" si="24"/>
        <v>4415</v>
      </c>
      <c r="K107" s="28">
        <f t="shared" si="24"/>
        <v>4136.78</v>
      </c>
      <c r="L107" s="28">
        <f t="shared" si="24"/>
        <v>3980</v>
      </c>
      <c r="M107" s="28">
        <f t="shared" si="24"/>
        <v>3980</v>
      </c>
      <c r="N107" s="28">
        <f t="shared" si="24"/>
        <v>47375.643</v>
      </c>
    </row>
    <row r="108" ht="13.5" customHeight="1">
      <c r="A108" s="91" t="s">
        <v>104</v>
      </c>
      <c r="B108" s="107">
        <v>-14204.27</v>
      </c>
      <c r="C108" s="108">
        <v>-14548.53</v>
      </c>
      <c r="D108" s="108">
        <v>-14482.66</v>
      </c>
      <c r="E108" s="108">
        <v>-16994.02</v>
      </c>
      <c r="F108" s="108">
        <v>-15065.49</v>
      </c>
      <c r="G108" s="108">
        <v>-14014.39</v>
      </c>
      <c r="H108" s="108">
        <v>-13006.58</v>
      </c>
      <c r="I108" s="108">
        <v>-4289.56</v>
      </c>
      <c r="J108" s="108">
        <v>-12854.23</v>
      </c>
      <c r="K108" s="109">
        <v>-13428.67</v>
      </c>
      <c r="L108" s="110">
        <v>-14500.0</v>
      </c>
      <c r="M108" s="110">
        <v>-14500.0</v>
      </c>
      <c r="N108" s="44">
        <f>SUM(B108:M108)</f>
        <v>-161888.4</v>
      </c>
    </row>
    <row r="109" ht="13.5" customHeight="1">
      <c r="A109" s="112" t="s">
        <v>105</v>
      </c>
      <c r="B109" s="50">
        <f t="shared" ref="B109:N109" si="25">B107+B90+B83+B32+B21+B13</f>
        <v>48830.13074</v>
      </c>
      <c r="C109" s="50">
        <f t="shared" si="25"/>
        <v>50491.93404</v>
      </c>
      <c r="D109" s="50">
        <f t="shared" si="25"/>
        <v>55521.83197</v>
      </c>
      <c r="E109" s="50">
        <f t="shared" si="25"/>
        <v>53824.57457</v>
      </c>
      <c r="F109" s="50">
        <f t="shared" si="25"/>
        <v>57123.78812</v>
      </c>
      <c r="G109" s="50">
        <f t="shared" si="25"/>
        <v>55519.10534</v>
      </c>
      <c r="H109" s="50">
        <f t="shared" si="25"/>
        <v>49578.69322</v>
      </c>
      <c r="I109" s="50">
        <f t="shared" si="25"/>
        <v>48891.92622</v>
      </c>
      <c r="J109" s="50">
        <f t="shared" si="25"/>
        <v>53340.87754</v>
      </c>
      <c r="K109" s="50">
        <f t="shared" si="25"/>
        <v>54972.01404</v>
      </c>
      <c r="L109" s="50">
        <f t="shared" si="25"/>
        <v>57106.46184</v>
      </c>
      <c r="M109" s="50">
        <f t="shared" si="25"/>
        <v>57106.46184</v>
      </c>
      <c r="N109" s="50">
        <f t="shared" si="25"/>
        <v>642307.7995</v>
      </c>
    </row>
    <row r="110" ht="13.5" customHeight="1">
      <c r="A110" s="35" t="s">
        <v>106</v>
      </c>
      <c r="B110" s="148">
        <v>76.0</v>
      </c>
      <c r="C110" s="116">
        <v>80.0</v>
      </c>
      <c r="D110" s="116">
        <v>90.0</v>
      </c>
      <c r="E110" s="116">
        <v>105.0</v>
      </c>
      <c r="F110" s="116">
        <v>105.0</v>
      </c>
      <c r="G110" s="116">
        <v>105.0</v>
      </c>
      <c r="H110" s="116">
        <v>110.0</v>
      </c>
      <c r="I110" s="116">
        <v>115.0</v>
      </c>
      <c r="J110" s="116">
        <v>100.0</v>
      </c>
      <c r="K110" s="116">
        <v>100.0</v>
      </c>
      <c r="L110" s="117">
        <v>105.0</v>
      </c>
      <c r="M110" s="118">
        <v>125.0</v>
      </c>
      <c r="N110" s="149">
        <f t="shared" ref="N110:N112" si="26">SUM(B110:M110)</f>
        <v>1216</v>
      </c>
    </row>
    <row r="111" ht="13.5" customHeight="1">
      <c r="A111" s="35" t="s">
        <v>107</v>
      </c>
      <c r="B111" s="120">
        <v>80.0</v>
      </c>
      <c r="C111" s="150">
        <v>85.0</v>
      </c>
      <c r="D111" s="120">
        <v>85.0</v>
      </c>
      <c r="E111" s="120">
        <v>85.0</v>
      </c>
      <c r="F111" s="120">
        <v>95.0</v>
      </c>
      <c r="G111" s="120">
        <v>90.0</v>
      </c>
      <c r="H111" s="168">
        <v>95.0</v>
      </c>
      <c r="I111" s="120">
        <v>95.0</v>
      </c>
      <c r="J111" s="120">
        <v>85.0</v>
      </c>
      <c r="K111" s="120">
        <v>85.0</v>
      </c>
      <c r="L111" s="150">
        <v>85.0</v>
      </c>
      <c r="M111" s="121">
        <v>90.0</v>
      </c>
      <c r="N111" s="149">
        <f t="shared" si="26"/>
        <v>1055</v>
      </c>
    </row>
    <row r="112" ht="13.5" customHeight="1">
      <c r="A112" s="91" t="s">
        <v>23</v>
      </c>
      <c r="B112" s="122">
        <f t="shared" ref="B112:M112" si="27">B110+B111</f>
        <v>156</v>
      </c>
      <c r="C112" s="122">
        <f t="shared" si="27"/>
        <v>165</v>
      </c>
      <c r="D112" s="122">
        <f t="shared" si="27"/>
        <v>175</v>
      </c>
      <c r="E112" s="122">
        <f t="shared" si="27"/>
        <v>190</v>
      </c>
      <c r="F112" s="123">
        <f t="shared" si="27"/>
        <v>200</v>
      </c>
      <c r="G112" s="123">
        <f t="shared" si="27"/>
        <v>195</v>
      </c>
      <c r="H112" s="122">
        <f t="shared" si="27"/>
        <v>205</v>
      </c>
      <c r="I112" s="123">
        <f t="shared" si="27"/>
        <v>210</v>
      </c>
      <c r="J112" s="123">
        <f t="shared" si="27"/>
        <v>185</v>
      </c>
      <c r="K112" s="123">
        <f t="shared" si="27"/>
        <v>185</v>
      </c>
      <c r="L112" s="123">
        <f t="shared" si="27"/>
        <v>190</v>
      </c>
      <c r="M112" s="124">
        <f t="shared" si="27"/>
        <v>215</v>
      </c>
      <c r="N112" s="125">
        <f t="shared" si="26"/>
        <v>2271</v>
      </c>
    </row>
    <row r="113" ht="13.5" customHeight="1">
      <c r="A113" s="126" t="s">
        <v>108</v>
      </c>
      <c r="B113" s="58">
        <f t="shared" ref="B113:N113" si="28">B109/B112</f>
        <v>313.0136586</v>
      </c>
      <c r="C113" s="58">
        <f t="shared" si="28"/>
        <v>306.0117214</v>
      </c>
      <c r="D113" s="58">
        <f t="shared" si="28"/>
        <v>317.2676113</v>
      </c>
      <c r="E113" s="58">
        <f t="shared" si="28"/>
        <v>283.2872346</v>
      </c>
      <c r="F113" s="58">
        <f t="shared" si="28"/>
        <v>285.6189406</v>
      </c>
      <c r="G113" s="58">
        <f t="shared" si="28"/>
        <v>284.7133607</v>
      </c>
      <c r="H113" s="58">
        <f t="shared" si="28"/>
        <v>241.847284</v>
      </c>
      <c r="I113" s="58">
        <f t="shared" si="28"/>
        <v>232.8186963</v>
      </c>
      <c r="J113" s="58">
        <f t="shared" si="28"/>
        <v>288.3290678</v>
      </c>
      <c r="K113" s="58">
        <f t="shared" si="28"/>
        <v>297.1460218</v>
      </c>
      <c r="L113" s="58">
        <f t="shared" si="28"/>
        <v>300.5603255</v>
      </c>
      <c r="M113" s="58">
        <f t="shared" si="28"/>
        <v>265.6114504</v>
      </c>
      <c r="N113" s="57">
        <f t="shared" si="28"/>
        <v>282.8303829</v>
      </c>
    </row>
    <row r="114" ht="13.5" customHeight="1">
      <c r="A114" s="79" t="s">
        <v>109</v>
      </c>
      <c r="B114" s="63"/>
      <c r="C114" s="63"/>
      <c r="D114" s="63"/>
      <c r="E114" s="63"/>
      <c r="F114" s="83"/>
      <c r="G114" s="83"/>
      <c r="H114" s="83"/>
      <c r="I114" s="83"/>
      <c r="J114" s="83"/>
      <c r="K114" s="83"/>
      <c r="L114" s="83"/>
      <c r="M114" s="83"/>
      <c r="N114" s="83"/>
    </row>
    <row r="115" ht="13.5" customHeight="1">
      <c r="A115" s="59" t="s">
        <v>110</v>
      </c>
      <c r="B115" s="87">
        <f t="shared" ref="B115:M115" si="29">1295</f>
        <v>1295</v>
      </c>
      <c r="C115" s="87">
        <f t="shared" si="29"/>
        <v>1295</v>
      </c>
      <c r="D115" s="87">
        <f t="shared" si="29"/>
        <v>1295</v>
      </c>
      <c r="E115" s="87">
        <f t="shared" si="29"/>
        <v>1295</v>
      </c>
      <c r="F115" s="87">
        <f t="shared" si="29"/>
        <v>1295</v>
      </c>
      <c r="G115" s="87">
        <f t="shared" si="29"/>
        <v>1295</v>
      </c>
      <c r="H115" s="87">
        <f t="shared" si="29"/>
        <v>1295</v>
      </c>
      <c r="I115" s="87">
        <f t="shared" si="29"/>
        <v>1295</v>
      </c>
      <c r="J115" s="87">
        <f t="shared" si="29"/>
        <v>1295</v>
      </c>
      <c r="K115" s="87">
        <f t="shared" si="29"/>
        <v>1295</v>
      </c>
      <c r="L115" s="87">
        <f t="shared" si="29"/>
        <v>1295</v>
      </c>
      <c r="M115" s="87">
        <f t="shared" si="29"/>
        <v>1295</v>
      </c>
      <c r="N115" s="17">
        <f t="shared" ref="N115:N120" si="30">SUM(B115:M115)</f>
        <v>15540</v>
      </c>
    </row>
    <row r="116" ht="13.5" customHeight="1">
      <c r="A116" s="60" t="s">
        <v>111</v>
      </c>
      <c r="B116" s="46">
        <v>925.0</v>
      </c>
      <c r="C116" s="46">
        <v>925.0</v>
      </c>
      <c r="D116" s="46">
        <v>925.0</v>
      </c>
      <c r="E116" s="46">
        <v>925.0</v>
      </c>
      <c r="F116" s="46">
        <v>925.0</v>
      </c>
      <c r="G116" s="46">
        <v>925.0</v>
      </c>
      <c r="H116" s="46">
        <v>925.0</v>
      </c>
      <c r="I116" s="46">
        <v>925.0</v>
      </c>
      <c r="J116" s="46">
        <v>925.0</v>
      </c>
      <c r="K116" s="46">
        <v>925.0</v>
      </c>
      <c r="L116" s="46">
        <v>925.0</v>
      </c>
      <c r="M116" s="46">
        <v>925.0</v>
      </c>
      <c r="N116" s="17">
        <f t="shared" si="30"/>
        <v>11100</v>
      </c>
    </row>
    <row r="117" ht="13.5" customHeight="1">
      <c r="A117" s="59" t="s">
        <v>112</v>
      </c>
      <c r="B117" s="87">
        <f>1650+2300.2
</f>
        <v>3950.2</v>
      </c>
      <c r="C117" s="87">
        <v>1650.0</v>
      </c>
      <c r="D117" s="87">
        <v>1650.0</v>
      </c>
      <c r="E117" s="87">
        <f>1650+2300.2
</f>
        <v>3950.2</v>
      </c>
      <c r="F117" s="87">
        <v>1650.0</v>
      </c>
      <c r="G117" s="87">
        <v>1650.0</v>
      </c>
      <c r="H117" s="87">
        <f>1650+2300.2
</f>
        <v>3950.2</v>
      </c>
      <c r="I117" s="87">
        <v>1650.0</v>
      </c>
      <c r="J117" s="87">
        <v>1650.0</v>
      </c>
      <c r="K117" s="87">
        <f>1650+2396.3</f>
        <v>4046.3</v>
      </c>
      <c r="L117" s="87">
        <v>1650.0</v>
      </c>
      <c r="M117" s="87">
        <v>1650.0</v>
      </c>
      <c r="N117" s="17">
        <f t="shared" si="30"/>
        <v>29096.9</v>
      </c>
    </row>
    <row r="118" ht="13.5" customHeight="1">
      <c r="A118" s="59" t="s">
        <v>80</v>
      </c>
      <c r="B118" s="87">
        <v>1650.0</v>
      </c>
      <c r="C118" s="87">
        <v>1650.0</v>
      </c>
      <c r="D118" s="87">
        <f>750+900</f>
        <v>1650</v>
      </c>
      <c r="E118" s="87">
        <v>1650.0</v>
      </c>
      <c r="F118" s="87">
        <v>1650.0</v>
      </c>
      <c r="G118" s="87">
        <v>1650.0</v>
      </c>
      <c r="H118" s="87">
        <v>1650.0</v>
      </c>
      <c r="I118" s="87">
        <v>1650.0</v>
      </c>
      <c r="J118" s="87">
        <v>1650.0</v>
      </c>
      <c r="K118" s="87">
        <v>1650.0</v>
      </c>
      <c r="L118" s="87">
        <v>1650.0</v>
      </c>
      <c r="M118" s="87">
        <v>1650.0</v>
      </c>
      <c r="N118" s="17">
        <f t="shared" si="30"/>
        <v>19800</v>
      </c>
    </row>
    <row r="119" ht="13.5" customHeight="1">
      <c r="A119" s="61" t="s">
        <v>113</v>
      </c>
      <c r="B119" s="87">
        <v>395.0</v>
      </c>
      <c r="C119" s="87">
        <v>395.0</v>
      </c>
      <c r="D119" s="87">
        <v>395.0</v>
      </c>
      <c r="E119" s="87">
        <v>395.0</v>
      </c>
      <c r="F119" s="87">
        <v>395.0</v>
      </c>
      <c r="G119" s="87">
        <v>395.0</v>
      </c>
      <c r="H119" s="87">
        <v>395.0</v>
      </c>
      <c r="I119" s="87">
        <v>395.0</v>
      </c>
      <c r="J119" s="87">
        <v>395.0</v>
      </c>
      <c r="K119" s="87">
        <v>395.0</v>
      </c>
      <c r="L119" s="87">
        <v>395.0</v>
      </c>
      <c r="M119" s="87">
        <v>395.0</v>
      </c>
      <c r="N119" s="17">
        <f t="shared" si="30"/>
        <v>4740</v>
      </c>
    </row>
    <row r="120" ht="13.5" customHeight="1">
      <c r="A120" s="132" t="s">
        <v>114</v>
      </c>
      <c r="B120" s="87">
        <v>1966.0</v>
      </c>
      <c r="C120" s="87">
        <v>1966.0</v>
      </c>
      <c r="D120" s="87">
        <v>1966.0</v>
      </c>
      <c r="E120" s="87">
        <v>1966.0</v>
      </c>
      <c r="F120" s="87">
        <v>1966.0</v>
      </c>
      <c r="G120" s="87">
        <v>1966.0</v>
      </c>
      <c r="H120" s="87">
        <v>1966.0</v>
      </c>
      <c r="I120" s="87">
        <v>1966.0</v>
      </c>
      <c r="J120" s="87">
        <v>1966.0</v>
      </c>
      <c r="K120" s="87">
        <v>1966.0</v>
      </c>
      <c r="L120" s="87">
        <v>1966.0</v>
      </c>
      <c r="M120" s="87">
        <v>1966.0</v>
      </c>
      <c r="N120" s="17">
        <f t="shared" si="30"/>
        <v>23592</v>
      </c>
    </row>
    <row r="121" ht="13.5" customHeight="1">
      <c r="A121" s="99" t="s">
        <v>23</v>
      </c>
      <c r="B121" s="63">
        <f t="shared" ref="B121:N121" si="31">SUM(B115:B120)</f>
        <v>10181.2</v>
      </c>
      <c r="C121" s="63">
        <f t="shared" si="31"/>
        <v>7881</v>
      </c>
      <c r="D121" s="63">
        <f t="shared" si="31"/>
        <v>7881</v>
      </c>
      <c r="E121" s="63">
        <f t="shared" si="31"/>
        <v>10181.2</v>
      </c>
      <c r="F121" s="63">
        <f t="shared" si="31"/>
        <v>7881</v>
      </c>
      <c r="G121" s="63">
        <f t="shared" si="31"/>
        <v>7881</v>
      </c>
      <c r="H121" s="63">
        <f t="shared" si="31"/>
        <v>10181.2</v>
      </c>
      <c r="I121" s="63">
        <f t="shared" si="31"/>
        <v>7881</v>
      </c>
      <c r="J121" s="63">
        <f t="shared" si="31"/>
        <v>7881</v>
      </c>
      <c r="K121" s="63">
        <f t="shared" si="31"/>
        <v>10277.3</v>
      </c>
      <c r="L121" s="63">
        <f t="shared" si="31"/>
        <v>7881</v>
      </c>
      <c r="M121" s="63">
        <f t="shared" si="31"/>
        <v>7881</v>
      </c>
      <c r="N121" s="63">
        <f t="shared" si="31"/>
        <v>103868.9</v>
      </c>
    </row>
    <row r="122" ht="13.5" customHeight="1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</row>
    <row r="123" ht="13.5" customHeight="1">
      <c r="A123" s="134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</row>
    <row r="124" ht="13.5" customHeight="1">
      <c r="A124" s="64" t="s">
        <v>115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</row>
    <row r="125" ht="13.5" customHeight="1">
      <c r="A125" s="64" t="s">
        <v>116</v>
      </c>
      <c r="B125" s="67">
        <f t="shared" ref="B125:M125" si="32">+B13*0.7+B21*0.7+B32*0.7+B52*0.6+B70+B107*0.6</f>
        <v>35814.05252</v>
      </c>
      <c r="C125" s="67">
        <f t="shared" si="32"/>
        <v>37705.81483</v>
      </c>
      <c r="D125" s="67">
        <f t="shared" si="32"/>
        <v>41288.88038</v>
      </c>
      <c r="E125" s="67">
        <f t="shared" si="32"/>
        <v>39962.1632</v>
      </c>
      <c r="F125" s="67">
        <f t="shared" si="32"/>
        <v>42256.11269</v>
      </c>
      <c r="G125" s="67">
        <f t="shared" si="32"/>
        <v>40756.13474</v>
      </c>
      <c r="H125" s="67">
        <f t="shared" si="32"/>
        <v>36499.54625</v>
      </c>
      <c r="I125" s="67">
        <f t="shared" si="32"/>
        <v>35867.48605</v>
      </c>
      <c r="J125" s="67">
        <f t="shared" si="32"/>
        <v>39260.07528</v>
      </c>
      <c r="K125" s="67">
        <f t="shared" si="32"/>
        <v>40429.69283</v>
      </c>
      <c r="L125" s="67">
        <f t="shared" si="32"/>
        <v>41939.48429</v>
      </c>
      <c r="M125" s="67">
        <f t="shared" si="32"/>
        <v>41939.48429</v>
      </c>
      <c r="N125" s="67">
        <f t="shared" ref="N125:N126" si="34">SUM(B125:M125)</f>
        <v>473718.9273</v>
      </c>
    </row>
    <row r="126" ht="13.5" customHeight="1">
      <c r="A126" s="64" t="s">
        <v>117</v>
      </c>
      <c r="B126" s="67">
        <f t="shared" ref="B126:M126" si="33">+B13*0.3+B21*0.3+B32*0.3+B52*0.4+B82+B90+B107*0.4</f>
        <v>13016.07822</v>
      </c>
      <c r="C126" s="67">
        <f t="shared" si="33"/>
        <v>12786.11921</v>
      </c>
      <c r="D126" s="67">
        <f t="shared" si="33"/>
        <v>14232.95159</v>
      </c>
      <c r="E126" s="67">
        <f t="shared" si="33"/>
        <v>13862.41137</v>
      </c>
      <c r="F126" s="67">
        <f t="shared" si="33"/>
        <v>14867.67544</v>
      </c>
      <c r="G126" s="67">
        <f t="shared" si="33"/>
        <v>14762.9706</v>
      </c>
      <c r="H126" s="67">
        <f t="shared" si="33"/>
        <v>13079.14696</v>
      </c>
      <c r="I126" s="67">
        <f t="shared" si="33"/>
        <v>13024.44016</v>
      </c>
      <c r="J126" s="67">
        <f t="shared" si="33"/>
        <v>14080.80226</v>
      </c>
      <c r="K126" s="67">
        <f t="shared" si="33"/>
        <v>14542.32121</v>
      </c>
      <c r="L126" s="67">
        <f t="shared" si="33"/>
        <v>15166.97755</v>
      </c>
      <c r="M126" s="67">
        <f t="shared" si="33"/>
        <v>15166.97755</v>
      </c>
      <c r="N126" s="67">
        <f t="shared" si="34"/>
        <v>168588.8721</v>
      </c>
    </row>
    <row r="127" ht="13.5" customHeight="1">
      <c r="A127" s="64" t="s">
        <v>23</v>
      </c>
      <c r="B127" s="67">
        <f t="shared" ref="B127:N127" si="35">SUM(B125:B126)</f>
        <v>48830.13074</v>
      </c>
      <c r="C127" s="67">
        <f t="shared" si="35"/>
        <v>50491.93404</v>
      </c>
      <c r="D127" s="67">
        <f t="shared" si="35"/>
        <v>55521.83197</v>
      </c>
      <c r="E127" s="67">
        <f t="shared" si="35"/>
        <v>53824.57457</v>
      </c>
      <c r="F127" s="67">
        <f t="shared" si="35"/>
        <v>57123.78812</v>
      </c>
      <c r="G127" s="67">
        <f t="shared" si="35"/>
        <v>55519.10534</v>
      </c>
      <c r="H127" s="67">
        <f t="shared" si="35"/>
        <v>49578.69322</v>
      </c>
      <c r="I127" s="67">
        <f t="shared" si="35"/>
        <v>48891.92622</v>
      </c>
      <c r="J127" s="67">
        <f t="shared" si="35"/>
        <v>53340.87754</v>
      </c>
      <c r="K127" s="67">
        <f t="shared" si="35"/>
        <v>54972.01404</v>
      </c>
      <c r="L127" s="67">
        <f t="shared" si="35"/>
        <v>57106.46184</v>
      </c>
      <c r="M127" s="67">
        <f t="shared" si="35"/>
        <v>57106.46184</v>
      </c>
      <c r="N127" s="67">
        <f t="shared" si="35"/>
        <v>642307.7995</v>
      </c>
    </row>
    <row r="128" ht="13.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</row>
    <row r="129" ht="13.5" customHeight="1">
      <c r="A129" s="69" t="s">
        <v>118</v>
      </c>
      <c r="B129" s="70">
        <f t="shared" ref="B129:N129" si="36">+B109</f>
        <v>48830.13074</v>
      </c>
      <c r="C129" s="70">
        <f t="shared" si="36"/>
        <v>50491.93404</v>
      </c>
      <c r="D129" s="70">
        <f t="shared" si="36"/>
        <v>55521.83197</v>
      </c>
      <c r="E129" s="70">
        <f t="shared" si="36"/>
        <v>53824.57457</v>
      </c>
      <c r="F129" s="70">
        <f t="shared" si="36"/>
        <v>57123.78812</v>
      </c>
      <c r="G129" s="70">
        <f t="shared" si="36"/>
        <v>55519.10534</v>
      </c>
      <c r="H129" s="70">
        <f t="shared" si="36"/>
        <v>49578.69322</v>
      </c>
      <c r="I129" s="70">
        <f t="shared" si="36"/>
        <v>48891.92622</v>
      </c>
      <c r="J129" s="70">
        <f t="shared" si="36"/>
        <v>53340.87754</v>
      </c>
      <c r="K129" s="70">
        <f t="shared" si="36"/>
        <v>54972.01404</v>
      </c>
      <c r="L129" s="70">
        <f t="shared" si="36"/>
        <v>57106.46184</v>
      </c>
      <c r="M129" s="70">
        <f t="shared" si="36"/>
        <v>57106.46184</v>
      </c>
      <c r="N129" s="70">
        <f t="shared" si="36"/>
        <v>642307.7995</v>
      </c>
    </row>
    <row r="130" ht="13.5" customHeight="1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</row>
    <row r="131" ht="13.5" customHeight="1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</row>
  </sheetData>
  <mergeCells count="1">
    <mergeCell ref="A1:N1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4.38"/>
    <col customWidth="1" min="2" max="9" width="9.13"/>
    <col customWidth="1" min="10" max="10" width="9.63"/>
    <col customWidth="1" min="11" max="13" width="9.13"/>
    <col customWidth="1" min="14" max="15" width="10.63"/>
  </cols>
  <sheetData>
    <row r="1" ht="13.5" customHeight="1">
      <c r="A1" s="76" t="s">
        <v>167</v>
      </c>
      <c r="O1" s="169"/>
    </row>
    <row r="2" ht="13.5" customHeight="1">
      <c r="A2" s="7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</row>
    <row r="3" ht="13.5" customHeight="1">
      <c r="A3" s="1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  <c r="O3" s="7"/>
    </row>
    <row r="4" ht="13.5" customHeight="1">
      <c r="A4" s="79" t="s">
        <v>14</v>
      </c>
      <c r="B4" s="63"/>
      <c r="C4" s="63"/>
      <c r="D4" s="63"/>
      <c r="E4" s="63"/>
      <c r="F4" s="83"/>
      <c r="G4" s="83"/>
      <c r="H4" s="83"/>
      <c r="I4" s="83"/>
      <c r="J4" s="83"/>
      <c r="K4" s="83"/>
      <c r="L4" s="83"/>
      <c r="M4" s="83"/>
      <c r="N4" s="83"/>
      <c r="O4" s="170"/>
    </row>
    <row r="5" ht="13.5" customHeight="1">
      <c r="A5" s="15" t="s">
        <v>15</v>
      </c>
      <c r="B5" s="46">
        <f>FORMULAS!S44</f>
        <v>4749.206349</v>
      </c>
      <c r="C5" s="46">
        <f>FORMULAS!W44</f>
        <v>4749.206349</v>
      </c>
      <c r="D5" s="46">
        <f>FORMULAS!AA44</f>
        <v>4749.206349</v>
      </c>
      <c r="E5" s="46">
        <f>FORMULAS!AE44</f>
        <v>6380.502192</v>
      </c>
      <c r="F5" s="46">
        <f>FORMULAS!AI44</f>
        <v>9009.659025</v>
      </c>
      <c r="G5" s="46">
        <f>FORMULAS!AM44</f>
        <v>8219.38637</v>
      </c>
      <c r="H5" s="46">
        <f>FORMULAS!AQ44</f>
        <v>5577.440751</v>
      </c>
      <c r="I5" s="46">
        <f>FORMULAS!AU44</f>
        <v>5577.440751</v>
      </c>
      <c r="J5" s="46">
        <f>FORMULAS!AY44</f>
        <v>7045.188317</v>
      </c>
      <c r="K5" s="46">
        <f>FORMULAS!BC44</f>
        <v>7045.188317</v>
      </c>
      <c r="L5" s="46">
        <f>FORMULAS!BG44</f>
        <v>8219.38637</v>
      </c>
      <c r="M5" s="46">
        <f>FORMULAS!BK44</f>
        <v>8219.38637</v>
      </c>
      <c r="N5" s="17">
        <f t="shared" ref="N5:N12" si="1">SUM(B5:M5)</f>
        <v>79541.19751</v>
      </c>
      <c r="O5" s="153"/>
    </row>
    <row r="6" ht="13.5" customHeight="1">
      <c r="A6" s="15" t="s">
        <v>123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17">
        <f t="shared" si="1"/>
        <v>0</v>
      </c>
      <c r="O6" s="153"/>
    </row>
    <row r="7" ht="13.5" customHeight="1">
      <c r="A7" s="15" t="s">
        <v>17</v>
      </c>
      <c r="B7" s="46"/>
      <c r="C7" s="46"/>
      <c r="D7" s="46"/>
      <c r="E7" s="46"/>
      <c r="F7" s="87"/>
      <c r="G7" s="87"/>
      <c r="H7" s="87"/>
      <c r="I7" s="87"/>
      <c r="J7" s="87"/>
      <c r="K7" s="46"/>
      <c r="L7" s="46"/>
      <c r="M7" s="46"/>
      <c r="N7" s="17">
        <f t="shared" si="1"/>
        <v>0</v>
      </c>
      <c r="O7" s="153"/>
    </row>
    <row r="8" ht="13.5" customHeight="1">
      <c r="A8" s="15" t="s">
        <v>18</v>
      </c>
      <c r="B8" s="46"/>
      <c r="C8" s="46"/>
      <c r="D8" s="46"/>
      <c r="E8" s="87"/>
      <c r="F8" s="46"/>
      <c r="G8" s="87"/>
      <c r="H8" s="87"/>
      <c r="I8" s="87"/>
      <c r="J8" s="87"/>
      <c r="K8" s="87"/>
      <c r="L8" s="87"/>
      <c r="M8" s="87"/>
      <c r="N8" s="17">
        <f t="shared" si="1"/>
        <v>0</v>
      </c>
      <c r="O8" s="153"/>
    </row>
    <row r="9" ht="13.5" customHeight="1">
      <c r="A9" s="20" t="s">
        <v>168</v>
      </c>
      <c r="B9" s="46">
        <f>FORMULAS!S92</f>
        <v>424.0362812</v>
      </c>
      <c r="C9" s="46">
        <f>FORMULAS!W92</f>
        <v>424.0362812</v>
      </c>
      <c r="D9" s="46">
        <f>FORMULAS!AA92</f>
        <v>424.0362812</v>
      </c>
      <c r="E9" s="46">
        <f>FORMULAS!AE92</f>
        <v>2357.956476</v>
      </c>
      <c r="F9" s="46">
        <f>FORMULAS!AI92</f>
        <v>4108.404515</v>
      </c>
      <c r="G9" s="46">
        <f>FORMULAS!AM92</f>
        <v>3748.040185</v>
      </c>
      <c r="H9" s="46">
        <f>FORMULAS!AQ92</f>
        <v>2151.130833</v>
      </c>
      <c r="I9" s="46">
        <f>FORMULAS!AU92</f>
        <v>2151.130833</v>
      </c>
      <c r="J9" s="46">
        <f>FORMULAS!AY92</f>
        <v>2949.585509</v>
      </c>
      <c r="K9" s="46">
        <f>FORMULAS!BC92</f>
        <v>2949.585509</v>
      </c>
      <c r="L9" s="46">
        <f>FORMULAS!BG92</f>
        <v>3748.040185</v>
      </c>
      <c r="M9" s="46">
        <f>FORMULAS!BK92</f>
        <v>3748.040185</v>
      </c>
      <c r="N9" s="17">
        <f t="shared" si="1"/>
        <v>29184.02307</v>
      </c>
      <c r="O9" s="153"/>
    </row>
    <row r="10" ht="13.5" customHeight="1">
      <c r="A10" s="20" t="s">
        <v>20</v>
      </c>
      <c r="B10" s="46">
        <f>FORMULAS!S68</f>
        <v>1821.942555</v>
      </c>
      <c r="C10" s="46">
        <f>FORMULAS!W68</f>
        <v>1335.035828</v>
      </c>
      <c r="D10" s="46">
        <f>FORMULAS!AA68</f>
        <v>1932.248526</v>
      </c>
      <c r="E10" s="46">
        <f>FORMULAS!AE68</f>
        <v>1738.548753</v>
      </c>
      <c r="F10" s="46">
        <f>FORMULAS!AI68</f>
        <v>0</v>
      </c>
      <c r="G10" s="46">
        <f>FORMULAS!AM68</f>
        <v>0</v>
      </c>
      <c r="H10" s="46">
        <f>FORMULAS!AQ68</f>
        <v>0</v>
      </c>
      <c r="I10" s="46">
        <f>FORMULAS!AU68</f>
        <v>0</v>
      </c>
      <c r="J10" s="46">
        <f>FORMULAS!AY68</f>
        <v>0</v>
      </c>
      <c r="K10" s="46">
        <f>FORMULAS!BC68</f>
        <v>1643.877274</v>
      </c>
      <c r="L10" s="46">
        <f>FORMULAS!BG68</f>
        <v>1643.877274</v>
      </c>
      <c r="M10" s="46">
        <f>FORMULAS!BK68</f>
        <v>1643.877274</v>
      </c>
      <c r="N10" s="17">
        <f t="shared" si="1"/>
        <v>11759.40748</v>
      </c>
      <c r="O10" s="153"/>
    </row>
    <row r="11" ht="13.5" customHeight="1">
      <c r="A11" s="15" t="s">
        <v>21</v>
      </c>
      <c r="B11" s="87">
        <v>388.0</v>
      </c>
      <c r="C11" s="87">
        <v>426.88</v>
      </c>
      <c r="D11" s="87">
        <v>388.0</v>
      </c>
      <c r="E11" s="87">
        <v>388.0</v>
      </c>
      <c r="F11" s="87">
        <v>388.0</v>
      </c>
      <c r="G11" s="87">
        <v>388.0</v>
      </c>
      <c r="H11" s="87">
        <v>388.0</v>
      </c>
      <c r="I11" s="87">
        <v>388.0</v>
      </c>
      <c r="J11" s="87">
        <v>388.0</v>
      </c>
      <c r="K11" s="87">
        <v>388.0</v>
      </c>
      <c r="L11" s="87">
        <v>388.0</v>
      </c>
      <c r="M11" s="87">
        <v>388.0</v>
      </c>
      <c r="N11" s="17">
        <f t="shared" si="1"/>
        <v>4694.88</v>
      </c>
      <c r="O11" s="153"/>
    </row>
    <row r="12" ht="13.5" customHeight="1">
      <c r="A12" s="15" t="s">
        <v>22</v>
      </c>
      <c r="B12" s="46">
        <f>PRODUCTION!H3</f>
        <v>700</v>
      </c>
      <c r="C12" s="46">
        <f>PRODUCTION!H4</f>
        <v>1370.6</v>
      </c>
      <c r="D12" s="46">
        <f>PRODUCTION!H5</f>
        <v>1370.6</v>
      </c>
      <c r="E12" s="46">
        <f>PRODUCTION!H6</f>
        <v>1370.6</v>
      </c>
      <c r="F12" s="46">
        <f>PRODUCTION!H7</f>
        <v>1370.6</v>
      </c>
      <c r="G12" s="46">
        <f>PRODUCTION!H8</f>
        <v>1370.6</v>
      </c>
      <c r="H12" s="46">
        <f>PRODUCTION!H9</f>
        <v>1370.6</v>
      </c>
      <c r="I12" s="46">
        <f>PRODUCTION!H10</f>
        <v>1370.6</v>
      </c>
      <c r="J12" s="46">
        <f>PRODUCTION!H11</f>
        <v>1370.6</v>
      </c>
      <c r="K12" s="46">
        <f>PRODUCTION!H12</f>
        <v>1370.6</v>
      </c>
      <c r="L12" s="46">
        <f>PRODUCTION!H13</f>
        <v>1370.6</v>
      </c>
      <c r="M12" s="46">
        <f>PRODUCTION!H14</f>
        <v>1370.6</v>
      </c>
      <c r="N12" s="17">
        <f t="shared" si="1"/>
        <v>15776.6</v>
      </c>
      <c r="O12" s="153"/>
    </row>
    <row r="13" ht="13.5" customHeight="1">
      <c r="A13" s="21" t="s">
        <v>23</v>
      </c>
      <c r="B13" s="22">
        <f t="shared" ref="B13:N13" si="2">SUM(B5:B12)</f>
        <v>8083.185185</v>
      </c>
      <c r="C13" s="22">
        <f t="shared" si="2"/>
        <v>8305.758458</v>
      </c>
      <c r="D13" s="22">
        <f t="shared" si="2"/>
        <v>8864.091156</v>
      </c>
      <c r="E13" s="22">
        <f t="shared" si="2"/>
        <v>12235.60742</v>
      </c>
      <c r="F13" s="22">
        <f t="shared" si="2"/>
        <v>14876.66354</v>
      </c>
      <c r="G13" s="22">
        <f t="shared" si="2"/>
        <v>13726.02655</v>
      </c>
      <c r="H13" s="22">
        <f t="shared" si="2"/>
        <v>9487.171584</v>
      </c>
      <c r="I13" s="22">
        <f t="shared" si="2"/>
        <v>9487.171584</v>
      </c>
      <c r="J13" s="22">
        <f t="shared" si="2"/>
        <v>11753.37383</v>
      </c>
      <c r="K13" s="22">
        <f t="shared" si="2"/>
        <v>13397.2511</v>
      </c>
      <c r="L13" s="22">
        <f t="shared" si="2"/>
        <v>15369.90383</v>
      </c>
      <c r="M13" s="22">
        <f t="shared" si="2"/>
        <v>15369.90383</v>
      </c>
      <c r="N13" s="22">
        <f t="shared" si="2"/>
        <v>140956.1081</v>
      </c>
      <c r="O13" s="171">
        <f>(N13/N109)</f>
        <v>0.241027283</v>
      </c>
    </row>
    <row r="14" ht="13.5" customHeight="1">
      <c r="A14" s="89" t="s">
        <v>24</v>
      </c>
      <c r="B14" s="90"/>
      <c r="C14" s="90"/>
      <c r="D14" s="90"/>
      <c r="E14" s="90"/>
      <c r="F14" s="63"/>
      <c r="G14" s="63"/>
      <c r="H14" s="63"/>
      <c r="I14" s="63"/>
      <c r="J14" s="63"/>
      <c r="K14" s="63"/>
      <c r="L14" s="63"/>
      <c r="M14" s="63"/>
      <c r="N14" s="83"/>
      <c r="O14" s="170"/>
    </row>
    <row r="15" ht="13.5" customHeight="1">
      <c r="A15" s="35" t="s">
        <v>153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17">
        <f t="shared" ref="N15:N18" si="3">SUM(B15:M15)</f>
        <v>0</v>
      </c>
      <c r="O15" s="153"/>
    </row>
    <row r="16" ht="13.5" customHeight="1">
      <c r="A16" s="39" t="s">
        <v>169</v>
      </c>
      <c r="B16" s="46"/>
      <c r="C16" s="46"/>
      <c r="D16" s="46"/>
      <c r="E16" s="46"/>
      <c r="F16" s="46"/>
      <c r="G16" s="46"/>
      <c r="H16" s="46"/>
      <c r="I16" s="46"/>
      <c r="J16" s="87"/>
      <c r="K16" s="46"/>
      <c r="L16" s="46"/>
      <c r="M16" s="46"/>
      <c r="N16" s="17">
        <f t="shared" si="3"/>
        <v>0</v>
      </c>
      <c r="O16" s="153"/>
    </row>
    <row r="17" ht="13.5" customHeight="1">
      <c r="A17" s="35"/>
      <c r="B17" s="46"/>
      <c r="C17" s="46"/>
      <c r="D17" s="46"/>
      <c r="E17" s="46"/>
      <c r="G17" s="46"/>
      <c r="H17" s="46"/>
      <c r="I17" s="46"/>
      <c r="J17" s="46"/>
      <c r="K17" s="46"/>
      <c r="L17" s="46"/>
      <c r="M17" s="46"/>
      <c r="N17" s="17">
        <f t="shared" si="3"/>
        <v>0</v>
      </c>
      <c r="O17" s="153"/>
    </row>
    <row r="18" ht="13.5" customHeight="1">
      <c r="A18" s="3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17">
        <f t="shared" si="3"/>
        <v>0</v>
      </c>
      <c r="O18" s="153"/>
    </row>
    <row r="19" ht="13.5" customHeight="1">
      <c r="A19" s="27" t="s">
        <v>29</v>
      </c>
      <c r="B19" s="103"/>
      <c r="C19" s="103"/>
      <c r="D19" s="46"/>
      <c r="E19" s="87"/>
      <c r="F19" s="46"/>
      <c r="G19" s="46"/>
      <c r="H19" s="46"/>
      <c r="I19" s="46"/>
      <c r="J19" s="46"/>
      <c r="K19" s="46"/>
      <c r="L19" s="46"/>
      <c r="M19" s="46"/>
      <c r="N19" s="17">
        <f>SUM(C19:M19)</f>
        <v>0</v>
      </c>
      <c r="O19" s="153"/>
    </row>
    <row r="20" ht="13.5" customHeight="1">
      <c r="A20" s="3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17">
        <f>SUM(B20:M20)</f>
        <v>0</v>
      </c>
      <c r="O20" s="153"/>
    </row>
    <row r="21" ht="13.5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  <c r="O21" s="171">
        <f>(N21/N117)</f>
        <v>0</v>
      </c>
    </row>
    <row r="22" ht="13.5" customHeight="1">
      <c r="A22" s="89" t="s">
        <v>126</v>
      </c>
      <c r="B22" s="90"/>
      <c r="C22" s="90"/>
      <c r="D22" s="90"/>
      <c r="E22" s="90"/>
      <c r="F22" s="63"/>
      <c r="G22" s="63"/>
      <c r="H22" s="63"/>
      <c r="I22" s="63"/>
      <c r="J22" s="63"/>
      <c r="K22" s="63"/>
      <c r="L22" s="63"/>
      <c r="M22" s="63"/>
      <c r="N22" s="83"/>
      <c r="O22" s="170"/>
    </row>
    <row r="23" ht="13.5" customHeight="1">
      <c r="A23" s="26" t="s">
        <v>31</v>
      </c>
      <c r="B23" s="87">
        <v>0.0</v>
      </c>
      <c r="C23" s="87">
        <v>0.0</v>
      </c>
      <c r="D23" s="87">
        <v>5161.09</v>
      </c>
      <c r="E23" s="87">
        <v>0.0</v>
      </c>
      <c r="F23" s="87">
        <v>0.0</v>
      </c>
      <c r="G23" s="87">
        <v>0.0</v>
      </c>
      <c r="H23" s="87">
        <v>0.0</v>
      </c>
      <c r="I23" s="87">
        <v>0.0</v>
      </c>
      <c r="J23" s="87">
        <v>0.0</v>
      </c>
      <c r="K23" s="87">
        <v>0.0</v>
      </c>
      <c r="L23" s="87">
        <v>0.0</v>
      </c>
      <c r="M23" s="87">
        <v>0.0</v>
      </c>
      <c r="N23" s="17">
        <f t="shared" ref="N23:N31" si="5">SUM(B23:M23)</f>
        <v>5161.09</v>
      </c>
      <c r="O23" s="153"/>
    </row>
    <row r="24" ht="13.5" customHeight="1">
      <c r="A24" s="32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17">
        <f t="shared" si="5"/>
        <v>0</v>
      </c>
      <c r="O24" s="153"/>
    </row>
    <row r="25" ht="13.5" customHeight="1">
      <c r="A25" s="15" t="s">
        <v>127</v>
      </c>
      <c r="B25" s="46"/>
      <c r="C25" s="46"/>
      <c r="D25" s="46"/>
      <c r="E25" s="46"/>
      <c r="F25" s="46"/>
      <c r="G25" s="46"/>
      <c r="H25" s="46"/>
      <c r="I25" s="87"/>
      <c r="J25" s="46"/>
      <c r="K25" s="46"/>
      <c r="L25" s="46"/>
      <c r="M25" s="46"/>
      <c r="N25" s="17">
        <f t="shared" si="5"/>
        <v>0</v>
      </c>
      <c r="O25" s="153"/>
    </row>
    <row r="26" ht="13.5" customHeight="1">
      <c r="A26" s="32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17">
        <f t="shared" si="5"/>
        <v>0</v>
      </c>
      <c r="O26" s="153"/>
    </row>
    <row r="27" ht="13.5" customHeight="1">
      <c r="A27" s="31" t="s">
        <v>34</v>
      </c>
      <c r="B27" s="94"/>
      <c r="C27" s="46"/>
      <c r="D27" s="139"/>
      <c r="E27" s="140"/>
      <c r="F27" s="172"/>
      <c r="G27" s="141"/>
      <c r="H27" s="140"/>
      <c r="I27" s="141"/>
      <c r="J27" s="140"/>
      <c r="K27" s="141"/>
      <c r="L27" s="141"/>
      <c r="M27" s="141"/>
      <c r="N27" s="17">
        <f t="shared" si="5"/>
        <v>0</v>
      </c>
      <c r="O27" s="153"/>
    </row>
    <row r="28" ht="13.5" customHeight="1">
      <c r="A28" s="33" t="s">
        <v>35</v>
      </c>
      <c r="B28" s="8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87"/>
      <c r="N28" s="17">
        <f t="shared" si="5"/>
        <v>0</v>
      </c>
      <c r="O28" s="153"/>
    </row>
    <row r="29" ht="13.5" customHeight="1">
      <c r="A29" s="27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17">
        <f t="shared" si="5"/>
        <v>0</v>
      </c>
      <c r="O29" s="153"/>
    </row>
    <row r="30" ht="13.5" customHeight="1">
      <c r="A30" s="31" t="s">
        <v>37</v>
      </c>
      <c r="B30" s="87"/>
      <c r="C30" s="87"/>
      <c r="D30" s="87"/>
      <c r="E30" s="46"/>
      <c r="F30" s="87"/>
      <c r="G30" s="87"/>
      <c r="H30" s="46"/>
      <c r="I30" s="46"/>
      <c r="J30" s="46"/>
      <c r="K30" s="46"/>
      <c r="L30" s="46"/>
      <c r="M30" s="46"/>
      <c r="N30" s="17">
        <f t="shared" si="5"/>
        <v>0</v>
      </c>
      <c r="O30" s="153"/>
    </row>
    <row r="31" ht="13.5" customHeight="1">
      <c r="A31" s="3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17">
        <f t="shared" si="5"/>
        <v>0</v>
      </c>
      <c r="O31" s="153"/>
    </row>
    <row r="32" ht="13.5" customHeight="1">
      <c r="A32" s="91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5161.09</v>
      </c>
      <c r="E32" s="28">
        <f t="shared" si="6"/>
        <v>0</v>
      </c>
      <c r="F32" s="28">
        <f t="shared" si="6"/>
        <v>0</v>
      </c>
      <c r="G32" s="28">
        <f t="shared" si="6"/>
        <v>0</v>
      </c>
      <c r="H32" s="28">
        <f t="shared" si="6"/>
        <v>0</v>
      </c>
      <c r="I32" s="28">
        <f t="shared" si="6"/>
        <v>0</v>
      </c>
      <c r="J32" s="28">
        <f t="shared" si="6"/>
        <v>0</v>
      </c>
      <c r="K32" s="28">
        <f t="shared" si="6"/>
        <v>0</v>
      </c>
      <c r="L32" s="28">
        <f t="shared" si="6"/>
        <v>0</v>
      </c>
      <c r="M32" s="28">
        <f t="shared" si="6"/>
        <v>0</v>
      </c>
      <c r="N32" s="28">
        <f t="shared" si="6"/>
        <v>5161.09</v>
      </c>
      <c r="O32" s="171">
        <f>(N32/N109)</f>
        <v>0.008825183366</v>
      </c>
    </row>
    <row r="33" ht="13.5" customHeight="1">
      <c r="A33" s="79" t="s">
        <v>38</v>
      </c>
      <c r="B33" s="63"/>
      <c r="C33" s="63"/>
      <c r="D33" s="63"/>
      <c r="E33" s="63"/>
      <c r="F33" s="83"/>
      <c r="G33" s="83"/>
      <c r="H33" s="83"/>
      <c r="I33" s="83"/>
      <c r="J33" s="83"/>
      <c r="K33" s="83"/>
      <c r="L33" s="83"/>
      <c r="M33" s="83"/>
      <c r="N33" s="83"/>
      <c r="O33" s="170"/>
    </row>
    <row r="34" ht="13.5" customHeight="1">
      <c r="A34" s="142" t="s">
        <v>39</v>
      </c>
      <c r="B34" s="94">
        <f t="shared" ref="B34:M34" si="7">1999+349+850+61.9+799</f>
        <v>4058.9</v>
      </c>
      <c r="C34" s="94">
        <f t="shared" si="7"/>
        <v>4058.9</v>
      </c>
      <c r="D34" s="94">
        <f t="shared" si="7"/>
        <v>4058.9</v>
      </c>
      <c r="E34" s="94">
        <f t="shared" si="7"/>
        <v>4058.9</v>
      </c>
      <c r="F34" s="94">
        <f t="shared" si="7"/>
        <v>4058.9</v>
      </c>
      <c r="G34" s="94">
        <f t="shared" si="7"/>
        <v>4058.9</v>
      </c>
      <c r="H34" s="94">
        <f t="shared" si="7"/>
        <v>4058.9</v>
      </c>
      <c r="I34" s="94">
        <f t="shared" si="7"/>
        <v>4058.9</v>
      </c>
      <c r="J34" s="94">
        <f t="shared" si="7"/>
        <v>4058.9</v>
      </c>
      <c r="K34" s="94">
        <f t="shared" si="7"/>
        <v>4058.9</v>
      </c>
      <c r="L34" s="94">
        <f t="shared" si="7"/>
        <v>4058.9</v>
      </c>
      <c r="M34" s="94">
        <f t="shared" si="7"/>
        <v>4058.9</v>
      </c>
      <c r="N34" s="95">
        <f t="shared" ref="N34:N51" si="8">SUM(B34:M34)</f>
        <v>48706.8</v>
      </c>
      <c r="O34" s="173"/>
    </row>
    <row r="35" ht="13.5" customHeight="1">
      <c r="A35" s="19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17">
        <f t="shared" si="8"/>
        <v>0</v>
      </c>
      <c r="O35" s="153"/>
    </row>
    <row r="36" ht="13.5" customHeight="1">
      <c r="A36" s="35" t="s">
        <v>41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17">
        <f t="shared" si="8"/>
        <v>0</v>
      </c>
      <c r="O36" s="153"/>
    </row>
    <row r="37" ht="13.5" customHeight="1">
      <c r="A37" s="35" t="s">
        <v>42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17">
        <f t="shared" si="8"/>
        <v>0</v>
      </c>
      <c r="O37" s="153"/>
    </row>
    <row r="38" ht="13.5" customHeight="1">
      <c r="A38" s="35" t="s">
        <v>43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17">
        <f t="shared" si="8"/>
        <v>0</v>
      </c>
      <c r="O38" s="153"/>
    </row>
    <row r="39" ht="13.5" customHeight="1">
      <c r="A39" s="35" t="s">
        <v>44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17">
        <f t="shared" si="8"/>
        <v>0</v>
      </c>
      <c r="O39" s="153"/>
    </row>
    <row r="40" ht="13.5" customHeight="1">
      <c r="A40" s="35" t="s">
        <v>45</v>
      </c>
      <c r="B40" s="46"/>
      <c r="C40" s="87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17">
        <f t="shared" si="8"/>
        <v>0</v>
      </c>
      <c r="O40" s="153"/>
    </row>
    <row r="41" ht="13.5" customHeight="1">
      <c r="A41" s="39" t="s">
        <v>170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17">
        <f t="shared" si="8"/>
        <v>0</v>
      </c>
      <c r="O41" s="153"/>
    </row>
    <row r="42" ht="13.5" customHeight="1">
      <c r="A42" s="19" t="s">
        <v>146</v>
      </c>
      <c r="B42" s="87">
        <v>365.0</v>
      </c>
      <c r="C42" s="87">
        <v>365.0</v>
      </c>
      <c r="D42" s="87">
        <v>365.0</v>
      </c>
      <c r="E42" s="87">
        <v>365.0</v>
      </c>
      <c r="F42" s="87">
        <v>365.0</v>
      </c>
      <c r="G42" s="87">
        <v>365.0</v>
      </c>
      <c r="H42" s="87">
        <v>365.0</v>
      </c>
      <c r="I42" s="87">
        <v>365.0</v>
      </c>
      <c r="J42" s="87">
        <v>365.0</v>
      </c>
      <c r="K42" s="87">
        <v>365.0</v>
      </c>
      <c r="L42" s="87">
        <v>365.0</v>
      </c>
      <c r="M42" s="87">
        <v>365.0</v>
      </c>
      <c r="N42" s="17">
        <f t="shared" si="8"/>
        <v>4380</v>
      </c>
      <c r="O42" s="153"/>
    </row>
    <row r="43" ht="13.5" customHeight="1">
      <c r="A43" s="19" t="s">
        <v>129</v>
      </c>
      <c r="B43" s="87">
        <v>1449.0</v>
      </c>
      <c r="C43" s="87">
        <v>1449.0</v>
      </c>
      <c r="D43" s="87">
        <v>1449.0</v>
      </c>
      <c r="E43" s="87">
        <v>1449.0</v>
      </c>
      <c r="F43" s="87">
        <v>1449.0</v>
      </c>
      <c r="G43" s="87">
        <v>1449.0</v>
      </c>
      <c r="H43" s="87">
        <v>1449.0</v>
      </c>
      <c r="I43" s="87">
        <v>1449.0</v>
      </c>
      <c r="J43" s="87">
        <v>1449.0</v>
      </c>
      <c r="K43" s="87">
        <v>1449.0</v>
      </c>
      <c r="L43" s="87">
        <v>1449.0</v>
      </c>
      <c r="M43" s="87">
        <v>1449.0</v>
      </c>
      <c r="N43" s="17">
        <f t="shared" si="8"/>
        <v>17388</v>
      </c>
      <c r="O43" s="153"/>
    </row>
    <row r="44" ht="13.5" customHeight="1">
      <c r="A44" s="19" t="s">
        <v>130</v>
      </c>
      <c r="B44" s="87">
        <v>199.0</v>
      </c>
      <c r="C44" s="87">
        <v>199.0</v>
      </c>
      <c r="D44" s="87">
        <v>199.0</v>
      </c>
      <c r="E44" s="87">
        <v>199.0</v>
      </c>
      <c r="F44" s="87">
        <v>199.0</v>
      </c>
      <c r="G44" s="87">
        <v>199.0</v>
      </c>
      <c r="H44" s="87">
        <v>199.0</v>
      </c>
      <c r="I44" s="87">
        <v>199.0</v>
      </c>
      <c r="J44" s="87">
        <v>199.0</v>
      </c>
      <c r="K44" s="87">
        <v>199.0</v>
      </c>
      <c r="L44" s="87">
        <v>199.0</v>
      </c>
      <c r="M44" s="87">
        <v>199.0</v>
      </c>
      <c r="N44" s="17">
        <f t="shared" si="8"/>
        <v>2388</v>
      </c>
      <c r="O44" s="153"/>
    </row>
    <row r="45" ht="13.5" customHeight="1">
      <c r="A45" s="156" t="s">
        <v>50</v>
      </c>
      <c r="B45" s="46">
        <f t="shared" ref="B45:M45" si="9">45+97.5+448</f>
        <v>590.5</v>
      </c>
      <c r="C45" s="46">
        <f t="shared" si="9"/>
        <v>590.5</v>
      </c>
      <c r="D45" s="46">
        <f t="shared" si="9"/>
        <v>590.5</v>
      </c>
      <c r="E45" s="46">
        <f t="shared" si="9"/>
        <v>590.5</v>
      </c>
      <c r="F45" s="46">
        <f t="shared" si="9"/>
        <v>590.5</v>
      </c>
      <c r="G45" s="46">
        <f t="shared" si="9"/>
        <v>590.5</v>
      </c>
      <c r="H45" s="46">
        <f t="shared" si="9"/>
        <v>590.5</v>
      </c>
      <c r="I45" s="46">
        <f t="shared" si="9"/>
        <v>590.5</v>
      </c>
      <c r="J45" s="46">
        <f t="shared" si="9"/>
        <v>590.5</v>
      </c>
      <c r="K45" s="46">
        <f t="shared" si="9"/>
        <v>590.5</v>
      </c>
      <c r="L45" s="46">
        <f t="shared" si="9"/>
        <v>590.5</v>
      </c>
      <c r="M45" s="46">
        <f t="shared" si="9"/>
        <v>590.5</v>
      </c>
      <c r="N45" s="17">
        <f t="shared" si="8"/>
        <v>7086</v>
      </c>
      <c r="O45" s="153"/>
    </row>
    <row r="46" ht="13.5" customHeight="1">
      <c r="A46" s="15" t="s">
        <v>51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17">
        <f t="shared" si="8"/>
        <v>0</v>
      </c>
      <c r="O46" s="153"/>
    </row>
    <row r="47" ht="13.5" customHeight="1">
      <c r="A47" s="19" t="s">
        <v>52</v>
      </c>
      <c r="B47" s="87">
        <f t="shared" ref="B47:M47" si="10">850+30+750+1500</f>
        <v>3130</v>
      </c>
      <c r="C47" s="87">
        <f t="shared" si="10"/>
        <v>3130</v>
      </c>
      <c r="D47" s="87">
        <f t="shared" si="10"/>
        <v>3130</v>
      </c>
      <c r="E47" s="87">
        <f t="shared" si="10"/>
        <v>3130</v>
      </c>
      <c r="F47" s="87">
        <f t="shared" si="10"/>
        <v>3130</v>
      </c>
      <c r="G47" s="87">
        <f t="shared" si="10"/>
        <v>3130</v>
      </c>
      <c r="H47" s="87">
        <f t="shared" si="10"/>
        <v>3130</v>
      </c>
      <c r="I47" s="87">
        <f t="shared" si="10"/>
        <v>3130</v>
      </c>
      <c r="J47" s="87">
        <f t="shared" si="10"/>
        <v>3130</v>
      </c>
      <c r="K47" s="87">
        <f t="shared" si="10"/>
        <v>3130</v>
      </c>
      <c r="L47" s="87">
        <f t="shared" si="10"/>
        <v>3130</v>
      </c>
      <c r="M47" s="87">
        <f t="shared" si="10"/>
        <v>3130</v>
      </c>
      <c r="N47" s="17">
        <f t="shared" si="8"/>
        <v>37560</v>
      </c>
      <c r="O47" s="153"/>
    </row>
    <row r="48" ht="13.5" customHeight="1">
      <c r="A48" s="19" t="s">
        <v>131</v>
      </c>
      <c r="B48" s="87">
        <f t="shared" ref="B48:M48" si="11">350.33+55.66+80</f>
        <v>485.99</v>
      </c>
      <c r="C48" s="87">
        <f t="shared" si="11"/>
        <v>485.99</v>
      </c>
      <c r="D48" s="87">
        <f t="shared" si="11"/>
        <v>485.99</v>
      </c>
      <c r="E48" s="87">
        <f t="shared" si="11"/>
        <v>485.99</v>
      </c>
      <c r="F48" s="87">
        <f t="shared" si="11"/>
        <v>485.99</v>
      </c>
      <c r="G48" s="87">
        <f t="shared" si="11"/>
        <v>485.99</v>
      </c>
      <c r="H48" s="87">
        <f t="shared" si="11"/>
        <v>485.99</v>
      </c>
      <c r="I48" s="87">
        <f t="shared" si="11"/>
        <v>485.99</v>
      </c>
      <c r="J48" s="87">
        <f t="shared" si="11"/>
        <v>485.99</v>
      </c>
      <c r="K48" s="87">
        <f t="shared" si="11"/>
        <v>485.99</v>
      </c>
      <c r="L48" s="87">
        <f t="shared" si="11"/>
        <v>485.99</v>
      </c>
      <c r="M48" s="87">
        <f t="shared" si="11"/>
        <v>485.99</v>
      </c>
      <c r="N48" s="17">
        <f t="shared" si="8"/>
        <v>5831.88</v>
      </c>
      <c r="O48" s="153"/>
    </row>
    <row r="49" ht="13.5" customHeight="1">
      <c r="A49" s="35" t="s">
        <v>54</v>
      </c>
      <c r="B49" s="46"/>
      <c r="C49" s="46"/>
      <c r="E49" s="46"/>
      <c r="F49" s="46"/>
      <c r="G49" s="46"/>
      <c r="H49" s="46"/>
      <c r="I49" s="46"/>
      <c r="J49" s="46"/>
      <c r="K49" s="46"/>
      <c r="L49" s="46"/>
      <c r="M49" s="46"/>
      <c r="N49" s="17">
        <f t="shared" si="8"/>
        <v>0</v>
      </c>
      <c r="O49" s="153"/>
    </row>
    <row r="50" ht="13.5" customHeight="1">
      <c r="A50" s="19" t="s">
        <v>132</v>
      </c>
      <c r="B50" s="96">
        <f>1695+995</f>
        <v>2690</v>
      </c>
      <c r="C50" s="96">
        <v>1695.0</v>
      </c>
      <c r="D50" s="96">
        <v>1695.0</v>
      </c>
      <c r="E50" s="96">
        <v>1695.0</v>
      </c>
      <c r="F50" s="96">
        <v>1695.0</v>
      </c>
      <c r="G50" s="96">
        <v>1695.0</v>
      </c>
      <c r="H50" s="96">
        <v>1695.0</v>
      </c>
      <c r="I50" s="96">
        <v>1695.0</v>
      </c>
      <c r="J50" s="96">
        <v>1695.0</v>
      </c>
      <c r="K50" s="96">
        <v>1695.0</v>
      </c>
      <c r="L50" s="96">
        <v>1695.0</v>
      </c>
      <c r="M50" s="96">
        <v>1695.0</v>
      </c>
      <c r="N50" s="17">
        <f t="shared" si="8"/>
        <v>21335</v>
      </c>
      <c r="O50" s="153"/>
    </row>
    <row r="51" ht="13.5" customHeight="1">
      <c r="A51" s="1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17">
        <f t="shared" si="8"/>
        <v>0</v>
      </c>
      <c r="O51" s="153"/>
    </row>
    <row r="52" ht="13.5" customHeight="1">
      <c r="A52" s="91" t="s">
        <v>23</v>
      </c>
      <c r="B52" s="28">
        <f t="shared" ref="B52:N52" si="12">SUM(B34:B51)</f>
        <v>12968.39</v>
      </c>
      <c r="C52" s="28">
        <f t="shared" si="12"/>
        <v>11973.39</v>
      </c>
      <c r="D52" s="28">
        <f t="shared" si="12"/>
        <v>11973.39</v>
      </c>
      <c r="E52" s="28">
        <f t="shared" si="12"/>
        <v>11973.39</v>
      </c>
      <c r="F52" s="28">
        <f t="shared" si="12"/>
        <v>11973.39</v>
      </c>
      <c r="G52" s="28">
        <f t="shared" si="12"/>
        <v>11973.39</v>
      </c>
      <c r="H52" s="28">
        <f t="shared" si="12"/>
        <v>11973.39</v>
      </c>
      <c r="I52" s="28">
        <f t="shared" si="12"/>
        <v>11973.39</v>
      </c>
      <c r="J52" s="28">
        <f t="shared" si="12"/>
        <v>11973.39</v>
      </c>
      <c r="K52" s="28">
        <f t="shared" si="12"/>
        <v>11973.39</v>
      </c>
      <c r="L52" s="28">
        <f t="shared" si="12"/>
        <v>11973.39</v>
      </c>
      <c r="M52" s="28">
        <f t="shared" si="12"/>
        <v>11973.39</v>
      </c>
      <c r="N52" s="28">
        <f t="shared" si="12"/>
        <v>144675.68</v>
      </c>
      <c r="O52" s="171">
        <f>(N52/N109)</f>
        <v>0.2473875489</v>
      </c>
    </row>
    <row r="53" ht="13.5" customHeight="1">
      <c r="A53" s="79" t="s">
        <v>56</v>
      </c>
      <c r="B53" s="63"/>
      <c r="C53" s="63"/>
      <c r="D53" s="63"/>
      <c r="E53" s="63"/>
      <c r="F53" s="83"/>
      <c r="G53" s="83"/>
      <c r="H53" s="83"/>
      <c r="I53" s="83"/>
      <c r="J53" s="83"/>
      <c r="K53" s="83"/>
      <c r="L53" s="83"/>
      <c r="M53" s="83"/>
      <c r="N53" s="83"/>
      <c r="O53" s="170"/>
    </row>
    <row r="54" ht="13.5" customHeight="1">
      <c r="A54" s="32" t="s">
        <v>57</v>
      </c>
      <c r="B54" s="46">
        <v>2195.0</v>
      </c>
      <c r="C54" s="46">
        <v>2195.0</v>
      </c>
      <c r="D54" s="46">
        <v>2195.0</v>
      </c>
      <c r="E54" s="46">
        <v>2195.0</v>
      </c>
      <c r="F54" s="46">
        <v>2195.0</v>
      </c>
      <c r="G54" s="46">
        <v>2195.0</v>
      </c>
      <c r="H54" s="46">
        <v>2195.0</v>
      </c>
      <c r="I54" s="46">
        <v>2195.0</v>
      </c>
      <c r="J54" s="46">
        <v>2195.0</v>
      </c>
      <c r="K54" s="46">
        <v>2195.0</v>
      </c>
      <c r="L54" s="46">
        <v>2195.0</v>
      </c>
      <c r="M54" s="46">
        <v>2195.0</v>
      </c>
      <c r="N54" s="17">
        <f t="shared" ref="N54:N69" si="13">SUM(B54:M54)</f>
        <v>26340</v>
      </c>
      <c r="O54" s="153"/>
    </row>
    <row r="55" ht="13.5" customHeight="1">
      <c r="A55" s="32" t="s">
        <v>58</v>
      </c>
      <c r="B55" s="87">
        <v>2800.0</v>
      </c>
      <c r="C55" s="87">
        <v>3150.0</v>
      </c>
      <c r="D55" s="87">
        <v>3150.0</v>
      </c>
      <c r="E55" s="87">
        <v>3150.0</v>
      </c>
      <c r="F55" s="87">
        <v>3150.0</v>
      </c>
      <c r="G55" s="87">
        <v>3150.0</v>
      </c>
      <c r="H55" s="87">
        <v>3150.0</v>
      </c>
      <c r="I55" s="87">
        <v>3150.0</v>
      </c>
      <c r="J55" s="87">
        <v>3150.0</v>
      </c>
      <c r="K55" s="87">
        <v>3150.0</v>
      </c>
      <c r="L55" s="87">
        <v>3150.0</v>
      </c>
      <c r="M55" s="87">
        <v>3150.0</v>
      </c>
      <c r="N55" s="17">
        <f t="shared" si="13"/>
        <v>37450</v>
      </c>
      <c r="O55" s="153"/>
    </row>
    <row r="56" ht="13.5" customHeight="1">
      <c r="A56" s="31" t="s">
        <v>59</v>
      </c>
      <c r="B56" s="87">
        <f t="shared" ref="B56:G56" si="14">399+351+57</f>
        <v>807</v>
      </c>
      <c r="C56" s="87">
        <f t="shared" si="14"/>
        <v>807</v>
      </c>
      <c r="D56" s="87">
        <f t="shared" si="14"/>
        <v>807</v>
      </c>
      <c r="E56" s="87">
        <f t="shared" si="14"/>
        <v>807</v>
      </c>
      <c r="F56" s="87">
        <f t="shared" si="14"/>
        <v>807</v>
      </c>
      <c r="G56" s="87">
        <f t="shared" si="14"/>
        <v>807</v>
      </c>
      <c r="H56" s="87">
        <v>0.0</v>
      </c>
      <c r="I56" s="87">
        <f t="shared" ref="I56:M56" si="15">399+351+57</f>
        <v>807</v>
      </c>
      <c r="J56" s="87">
        <f t="shared" si="15"/>
        <v>807</v>
      </c>
      <c r="K56" s="87">
        <f t="shared" si="15"/>
        <v>807</v>
      </c>
      <c r="L56" s="87">
        <f t="shared" si="15"/>
        <v>807</v>
      </c>
      <c r="M56" s="87">
        <f t="shared" si="15"/>
        <v>807</v>
      </c>
      <c r="N56" s="17">
        <f t="shared" si="13"/>
        <v>8877</v>
      </c>
      <c r="O56" s="153"/>
    </row>
    <row r="57" ht="13.5" customHeight="1">
      <c r="A57" s="31" t="s">
        <v>133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17">
        <f t="shared" si="13"/>
        <v>0</v>
      </c>
      <c r="O57" s="153"/>
    </row>
    <row r="58" ht="13.5" customHeight="1">
      <c r="A58" s="31" t="s">
        <v>134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17">
        <f t="shared" si="13"/>
        <v>0</v>
      </c>
      <c r="O58" s="153"/>
    </row>
    <row r="59" ht="13.5" customHeight="1">
      <c r="A59" s="31" t="s">
        <v>135</v>
      </c>
      <c r="B59" s="87">
        <v>1000.0</v>
      </c>
      <c r="C59" s="87">
        <v>1000.0</v>
      </c>
      <c r="D59" s="87">
        <v>1000.0</v>
      </c>
      <c r="E59" s="87">
        <v>1000.0</v>
      </c>
      <c r="F59" s="87">
        <v>1000.0</v>
      </c>
      <c r="G59" s="87">
        <v>1000.0</v>
      </c>
      <c r="H59" s="87">
        <v>1000.0</v>
      </c>
      <c r="I59" s="87">
        <v>1000.0</v>
      </c>
      <c r="J59" s="87">
        <v>1000.0</v>
      </c>
      <c r="K59" s="87">
        <v>1000.0</v>
      </c>
      <c r="L59" s="87">
        <v>1000.0</v>
      </c>
      <c r="M59" s="87">
        <v>1000.0</v>
      </c>
      <c r="N59" s="17">
        <f t="shared" si="13"/>
        <v>12000</v>
      </c>
      <c r="O59" s="153"/>
    </row>
    <row r="60" ht="13.5" customHeight="1">
      <c r="A60" s="32" t="s">
        <v>136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17">
        <f t="shared" si="13"/>
        <v>0</v>
      </c>
      <c r="O60" s="153"/>
    </row>
    <row r="61" ht="13.5" customHeight="1">
      <c r="A61" s="32" t="s">
        <v>137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17">
        <f t="shared" si="13"/>
        <v>0</v>
      </c>
      <c r="O61" s="153"/>
    </row>
    <row r="62" ht="13.5" customHeight="1">
      <c r="A62" s="32" t="s">
        <v>63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13"/>
        <v>0</v>
      </c>
      <c r="O62" s="153"/>
    </row>
    <row r="63" ht="13.5" customHeight="1">
      <c r="A63" s="31" t="s">
        <v>64</v>
      </c>
      <c r="B63" s="87">
        <v>5000.0</v>
      </c>
      <c r="C63" s="87">
        <f t="shared" ref="C63:M63" si="16">5000+350</f>
        <v>5350</v>
      </c>
      <c r="D63" s="87">
        <f t="shared" si="16"/>
        <v>5350</v>
      </c>
      <c r="E63" s="87">
        <f t="shared" si="16"/>
        <v>5350</v>
      </c>
      <c r="F63" s="87">
        <f t="shared" si="16"/>
        <v>5350</v>
      </c>
      <c r="G63" s="87">
        <f t="shared" si="16"/>
        <v>5350</v>
      </c>
      <c r="H63" s="87">
        <f t="shared" si="16"/>
        <v>5350</v>
      </c>
      <c r="I63" s="87">
        <f t="shared" si="16"/>
        <v>5350</v>
      </c>
      <c r="J63" s="87">
        <f t="shared" si="16"/>
        <v>5350</v>
      </c>
      <c r="K63" s="87">
        <f t="shared" si="16"/>
        <v>5350</v>
      </c>
      <c r="L63" s="87">
        <f t="shared" si="16"/>
        <v>5350</v>
      </c>
      <c r="M63" s="87">
        <f t="shared" si="16"/>
        <v>5350</v>
      </c>
      <c r="N63" s="17">
        <f t="shared" si="13"/>
        <v>63850</v>
      </c>
      <c r="O63" s="153"/>
    </row>
    <row r="64" ht="13.5" customHeight="1">
      <c r="A64" s="32" t="s">
        <v>65</v>
      </c>
      <c r="B64" s="137">
        <f t="shared" ref="B64:M64" si="17">1401+595+99</f>
        <v>2095</v>
      </c>
      <c r="C64" s="137">
        <f t="shared" si="17"/>
        <v>2095</v>
      </c>
      <c r="D64" s="137">
        <f t="shared" si="17"/>
        <v>2095</v>
      </c>
      <c r="E64" s="137">
        <f t="shared" si="17"/>
        <v>2095</v>
      </c>
      <c r="F64" s="137">
        <f t="shared" si="17"/>
        <v>2095</v>
      </c>
      <c r="G64" s="137">
        <f t="shared" si="17"/>
        <v>2095</v>
      </c>
      <c r="H64" s="137">
        <f t="shared" si="17"/>
        <v>2095</v>
      </c>
      <c r="I64" s="137">
        <f t="shared" si="17"/>
        <v>2095</v>
      </c>
      <c r="J64" s="137">
        <f t="shared" si="17"/>
        <v>2095</v>
      </c>
      <c r="K64" s="137">
        <f t="shared" si="17"/>
        <v>2095</v>
      </c>
      <c r="L64" s="137">
        <f t="shared" si="17"/>
        <v>2095</v>
      </c>
      <c r="M64" s="137">
        <f t="shared" si="17"/>
        <v>2095</v>
      </c>
      <c r="N64" s="17">
        <f t="shared" si="13"/>
        <v>25140</v>
      </c>
      <c r="O64" s="153"/>
    </row>
    <row r="65" ht="13.5" customHeight="1">
      <c r="A65" s="31" t="s">
        <v>66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17">
        <f t="shared" si="13"/>
        <v>0</v>
      </c>
      <c r="O65" s="153"/>
    </row>
    <row r="66" ht="13.5" customHeight="1">
      <c r="A66" s="31" t="s">
        <v>67</v>
      </c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17">
        <f t="shared" si="13"/>
        <v>0</v>
      </c>
      <c r="O66" s="153"/>
    </row>
    <row r="67" ht="13.5" customHeight="1">
      <c r="A67" s="25" t="s">
        <v>165</v>
      </c>
      <c r="B67" s="28"/>
      <c r="C67" s="28"/>
      <c r="D67" s="28"/>
      <c r="E67" s="28"/>
      <c r="F67" s="167"/>
      <c r="G67" s="167"/>
      <c r="H67" s="167"/>
      <c r="I67" s="28"/>
      <c r="J67" s="28"/>
      <c r="K67" s="28"/>
      <c r="L67" s="28"/>
      <c r="M67" s="28"/>
      <c r="N67" s="17">
        <f t="shared" si="13"/>
        <v>0</v>
      </c>
      <c r="O67" s="153"/>
    </row>
    <row r="68" ht="13.5" customHeight="1">
      <c r="A68" s="25" t="s">
        <v>69</v>
      </c>
      <c r="B68" s="28"/>
      <c r="C68" s="28"/>
      <c r="D68" s="28"/>
      <c r="E68" s="28"/>
      <c r="F68" s="28"/>
      <c r="G68" s="28"/>
      <c r="H68" s="28"/>
      <c r="I68" s="28"/>
      <c r="J68" s="87"/>
      <c r="K68" s="87"/>
      <c r="L68" s="28"/>
      <c r="M68" s="28"/>
      <c r="N68" s="17">
        <f t="shared" si="13"/>
        <v>0</v>
      </c>
      <c r="O68" s="153"/>
    </row>
    <row r="69" ht="13.5" customHeight="1">
      <c r="A69" s="39" t="s">
        <v>70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17">
        <f t="shared" si="13"/>
        <v>0</v>
      </c>
      <c r="O69" s="153"/>
    </row>
    <row r="70" ht="13.5" customHeight="1">
      <c r="A70" s="91" t="s">
        <v>23</v>
      </c>
      <c r="B70" s="28">
        <f t="shared" ref="B70:M70" si="18">SUM(B54:B69)</f>
        <v>13897</v>
      </c>
      <c r="C70" s="28">
        <f t="shared" si="18"/>
        <v>14597</v>
      </c>
      <c r="D70" s="28">
        <f t="shared" si="18"/>
        <v>14597</v>
      </c>
      <c r="E70" s="28">
        <f t="shared" si="18"/>
        <v>14597</v>
      </c>
      <c r="F70" s="28">
        <f t="shared" si="18"/>
        <v>14597</v>
      </c>
      <c r="G70" s="28">
        <f t="shared" si="18"/>
        <v>14597</v>
      </c>
      <c r="H70" s="28">
        <f t="shared" si="18"/>
        <v>13790</v>
      </c>
      <c r="I70" s="28">
        <f t="shared" si="18"/>
        <v>14597</v>
      </c>
      <c r="J70" s="28">
        <f t="shared" si="18"/>
        <v>14597</v>
      </c>
      <c r="K70" s="28">
        <f t="shared" si="18"/>
        <v>14597</v>
      </c>
      <c r="L70" s="28">
        <f t="shared" si="18"/>
        <v>14597</v>
      </c>
      <c r="M70" s="28">
        <f t="shared" si="18"/>
        <v>14597</v>
      </c>
      <c r="N70" s="28">
        <f>SUM(N54:N66)</f>
        <v>173657</v>
      </c>
      <c r="O70" s="171">
        <f>(N70/N109)</f>
        <v>0.2969440308</v>
      </c>
    </row>
    <row r="71" ht="13.5" customHeight="1">
      <c r="A71" s="79" t="s">
        <v>71</v>
      </c>
      <c r="B71" s="63"/>
      <c r="C71" s="63"/>
      <c r="D71" s="63"/>
      <c r="E71" s="63"/>
      <c r="F71" s="83"/>
      <c r="G71" s="83"/>
      <c r="H71" s="83"/>
      <c r="I71" s="83"/>
      <c r="J71" s="83"/>
      <c r="K71" s="83"/>
      <c r="L71" s="83"/>
      <c r="M71" s="83"/>
      <c r="N71" s="83"/>
      <c r="O71" s="170"/>
    </row>
    <row r="72" ht="13.5" customHeight="1">
      <c r="A72" s="32" t="s">
        <v>138</v>
      </c>
      <c r="B72" s="87">
        <v>0.0</v>
      </c>
      <c r="C72" s="87">
        <v>0.0</v>
      </c>
      <c r="D72" s="87">
        <v>0.0</v>
      </c>
      <c r="E72" s="87">
        <v>0.0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0.0</v>
      </c>
      <c r="L72" s="87">
        <v>0.0</v>
      </c>
      <c r="M72" s="87">
        <v>0.0</v>
      </c>
      <c r="N72" s="17">
        <f t="shared" ref="N72:N83" si="19">SUM(B72:M72)</f>
        <v>0</v>
      </c>
      <c r="O72" s="153"/>
    </row>
    <row r="73" ht="13.5" customHeight="1">
      <c r="A73" s="31" t="s">
        <v>73</v>
      </c>
      <c r="B73" s="87">
        <v>0.0</v>
      </c>
      <c r="C73" s="87">
        <v>0.0</v>
      </c>
      <c r="D73" s="87">
        <v>0.0</v>
      </c>
      <c r="E73" s="87">
        <v>0.0</v>
      </c>
      <c r="F73" s="87">
        <v>0.0</v>
      </c>
      <c r="G73" s="87">
        <v>0.0</v>
      </c>
      <c r="H73" s="87">
        <v>0.0</v>
      </c>
      <c r="I73" s="87">
        <v>0.0</v>
      </c>
      <c r="J73" s="87">
        <v>0.0</v>
      </c>
      <c r="K73" s="87">
        <v>0.0</v>
      </c>
      <c r="L73" s="87">
        <v>0.0</v>
      </c>
      <c r="M73" s="87">
        <v>0.0</v>
      </c>
      <c r="N73" s="17">
        <f t="shared" si="19"/>
        <v>0</v>
      </c>
      <c r="O73" s="153"/>
    </row>
    <row r="74" ht="13.5" customHeight="1">
      <c r="A74" s="32" t="s">
        <v>139</v>
      </c>
      <c r="B74" s="87">
        <v>1000.0</v>
      </c>
      <c r="C74" s="87">
        <v>1000.0</v>
      </c>
      <c r="D74" s="87">
        <v>1000.0</v>
      </c>
      <c r="E74" s="87">
        <v>1000.0</v>
      </c>
      <c r="F74" s="87">
        <v>1000.0</v>
      </c>
      <c r="G74" s="87">
        <v>1000.0</v>
      </c>
      <c r="H74" s="87">
        <v>1000.0</v>
      </c>
      <c r="I74" s="87">
        <v>1000.0</v>
      </c>
      <c r="J74" s="87">
        <v>1000.0</v>
      </c>
      <c r="K74" s="87">
        <v>1000.0</v>
      </c>
      <c r="L74" s="87">
        <v>1000.0</v>
      </c>
      <c r="M74" s="87">
        <v>1000.0</v>
      </c>
      <c r="N74" s="17">
        <f t="shared" si="19"/>
        <v>12000</v>
      </c>
      <c r="O74" s="153"/>
    </row>
    <row r="75" ht="13.5" customHeight="1">
      <c r="A75" s="31" t="s">
        <v>171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17">
        <f t="shared" si="19"/>
        <v>0</v>
      </c>
      <c r="O75" s="153"/>
    </row>
    <row r="76" ht="13.5" customHeight="1">
      <c r="A76" s="32" t="s">
        <v>136</v>
      </c>
      <c r="B76" s="46"/>
      <c r="C76" s="46"/>
      <c r="D76" s="46"/>
      <c r="E76" s="46"/>
      <c r="F76" s="87">
        <v>0.0</v>
      </c>
      <c r="G76" s="87"/>
      <c r="H76" s="46"/>
      <c r="I76" s="46"/>
      <c r="J76" s="46"/>
      <c r="K76" s="46"/>
      <c r="L76" s="46"/>
      <c r="M76" s="46"/>
      <c r="N76" s="17">
        <f t="shared" si="19"/>
        <v>0</v>
      </c>
      <c r="O76" s="153"/>
    </row>
    <row r="77" ht="13.5" customHeight="1">
      <c r="A77" s="32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17">
        <f t="shared" si="19"/>
        <v>0</v>
      </c>
      <c r="O77" s="153"/>
    </row>
    <row r="78" ht="13.5" customHeight="1">
      <c r="A78" s="31" t="s">
        <v>140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17">
        <f t="shared" si="19"/>
        <v>0</v>
      </c>
      <c r="O78" s="153"/>
    </row>
    <row r="79" ht="13.5" customHeight="1">
      <c r="A79" s="27" t="s">
        <v>141</v>
      </c>
      <c r="B79" s="87">
        <v>4105.0</v>
      </c>
      <c r="C79" s="87">
        <v>4105.0</v>
      </c>
      <c r="D79" s="87">
        <v>4105.0</v>
      </c>
      <c r="E79" s="87">
        <v>4105.0</v>
      </c>
      <c r="F79" s="87">
        <v>4105.0</v>
      </c>
      <c r="G79" s="87">
        <v>4105.0</v>
      </c>
      <c r="H79" s="87">
        <v>4105.0</v>
      </c>
      <c r="I79" s="87">
        <v>4105.0</v>
      </c>
      <c r="J79" s="87">
        <v>4105.0</v>
      </c>
      <c r="K79" s="87">
        <v>4105.0</v>
      </c>
      <c r="L79" s="87">
        <v>4105.0</v>
      </c>
      <c r="M79" s="87">
        <v>4105.0</v>
      </c>
      <c r="N79" s="17">
        <f t="shared" si="19"/>
        <v>49260</v>
      </c>
      <c r="O79" s="153"/>
    </row>
    <row r="80" ht="13.5" customHeight="1">
      <c r="A80" s="42" t="s">
        <v>79</v>
      </c>
      <c r="B80" s="87">
        <v>2150.0</v>
      </c>
      <c r="C80" s="87">
        <v>2150.0</v>
      </c>
      <c r="D80" s="87">
        <v>2150.0</v>
      </c>
      <c r="E80" s="87">
        <v>2150.0</v>
      </c>
      <c r="F80" s="87">
        <v>2150.0</v>
      </c>
      <c r="G80" s="87">
        <v>2042.5</v>
      </c>
      <c r="H80" s="87">
        <v>2042.5</v>
      </c>
      <c r="I80" s="87">
        <v>2150.0</v>
      </c>
      <c r="J80" s="87">
        <v>2150.0</v>
      </c>
      <c r="K80" s="87">
        <v>2150.0</v>
      </c>
      <c r="L80" s="87">
        <v>2150.0</v>
      </c>
      <c r="M80" s="87">
        <v>2150.0</v>
      </c>
      <c r="N80" s="17">
        <f t="shared" si="19"/>
        <v>25585</v>
      </c>
      <c r="O80" s="153"/>
    </row>
    <row r="81" ht="13.5" customHeight="1">
      <c r="A81" s="43" t="s">
        <v>80</v>
      </c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17">
        <f t="shared" si="19"/>
        <v>0</v>
      </c>
      <c r="O81" s="153"/>
    </row>
    <row r="82" ht="13.5" customHeight="1">
      <c r="A82" s="91" t="s">
        <v>23</v>
      </c>
      <c r="B82" s="28">
        <f t="shared" ref="B82:M82" si="20">SUM(B72:B81)</f>
        <v>7255</v>
      </c>
      <c r="C82" s="28">
        <f t="shared" si="20"/>
        <v>7255</v>
      </c>
      <c r="D82" s="28">
        <f t="shared" si="20"/>
        <v>7255</v>
      </c>
      <c r="E82" s="28">
        <f t="shared" si="20"/>
        <v>7255</v>
      </c>
      <c r="F82" s="28">
        <f t="shared" si="20"/>
        <v>7255</v>
      </c>
      <c r="G82" s="28">
        <f t="shared" si="20"/>
        <v>7147.5</v>
      </c>
      <c r="H82" s="28">
        <f t="shared" si="20"/>
        <v>7147.5</v>
      </c>
      <c r="I82" s="28">
        <f t="shared" si="20"/>
        <v>7255</v>
      </c>
      <c r="J82" s="28">
        <f t="shared" si="20"/>
        <v>7255</v>
      </c>
      <c r="K82" s="28">
        <f t="shared" si="20"/>
        <v>7255</v>
      </c>
      <c r="L82" s="28">
        <f t="shared" si="20"/>
        <v>7255</v>
      </c>
      <c r="M82" s="28">
        <f t="shared" si="20"/>
        <v>7255</v>
      </c>
      <c r="N82" s="44">
        <f t="shared" si="19"/>
        <v>86845</v>
      </c>
      <c r="O82" s="171">
        <f>(N82/N109)</f>
        <v>0.1485002295</v>
      </c>
    </row>
    <row r="83" ht="13.5" customHeight="1">
      <c r="A83" s="99" t="s">
        <v>81</v>
      </c>
      <c r="B83" s="28">
        <f t="shared" ref="B83:M83" si="21">B52+B70+B82</f>
        <v>34120.39</v>
      </c>
      <c r="C83" s="28">
        <f t="shared" si="21"/>
        <v>33825.39</v>
      </c>
      <c r="D83" s="28">
        <f t="shared" si="21"/>
        <v>33825.39</v>
      </c>
      <c r="E83" s="28">
        <f t="shared" si="21"/>
        <v>33825.39</v>
      </c>
      <c r="F83" s="28">
        <f t="shared" si="21"/>
        <v>33825.39</v>
      </c>
      <c r="G83" s="28">
        <f t="shared" si="21"/>
        <v>33717.89</v>
      </c>
      <c r="H83" s="28">
        <f t="shared" si="21"/>
        <v>32910.89</v>
      </c>
      <c r="I83" s="28">
        <f t="shared" si="21"/>
        <v>33825.39</v>
      </c>
      <c r="J83" s="28">
        <f t="shared" si="21"/>
        <v>33825.39</v>
      </c>
      <c r="K83" s="28">
        <f t="shared" si="21"/>
        <v>33825.39</v>
      </c>
      <c r="L83" s="28">
        <f t="shared" si="21"/>
        <v>33825.39</v>
      </c>
      <c r="M83" s="28">
        <f t="shared" si="21"/>
        <v>33825.39</v>
      </c>
      <c r="N83" s="44">
        <f t="shared" si="19"/>
        <v>405177.68</v>
      </c>
      <c r="O83" s="174"/>
    </row>
    <row r="84" ht="13.5" customHeight="1">
      <c r="A84" s="99" t="s">
        <v>82</v>
      </c>
      <c r="B84" s="46">
        <f t="shared" ref="B84:N84" si="22">B83/B112</f>
        <v>252.7436296</v>
      </c>
      <c r="C84" s="46">
        <f t="shared" si="22"/>
        <v>241.6099286</v>
      </c>
      <c r="D84" s="46">
        <f t="shared" si="22"/>
        <v>218.2283226</v>
      </c>
      <c r="E84" s="46">
        <f t="shared" si="22"/>
        <v>211.4086875</v>
      </c>
      <c r="F84" s="46">
        <f t="shared" si="22"/>
        <v>193.2879429</v>
      </c>
      <c r="G84" s="46">
        <f t="shared" si="22"/>
        <v>204.3508485</v>
      </c>
      <c r="H84" s="46">
        <f t="shared" si="22"/>
        <v>193.5934706</v>
      </c>
      <c r="I84" s="46">
        <f t="shared" si="22"/>
        <v>187.9188333</v>
      </c>
      <c r="J84" s="46">
        <f t="shared" si="22"/>
        <v>205.0023636</v>
      </c>
      <c r="K84" s="46">
        <f t="shared" si="22"/>
        <v>218.2283226</v>
      </c>
      <c r="L84" s="46">
        <f t="shared" si="22"/>
        <v>211.4086875</v>
      </c>
      <c r="M84" s="46">
        <f t="shared" si="22"/>
        <v>178.0283684</v>
      </c>
      <c r="N84" s="15">
        <f t="shared" si="22"/>
        <v>207.7834256</v>
      </c>
      <c r="O84" s="77"/>
    </row>
    <row r="85" ht="13.5" customHeight="1">
      <c r="A85" s="79" t="s">
        <v>83</v>
      </c>
      <c r="B85" s="63"/>
      <c r="C85" s="63"/>
      <c r="D85" s="63"/>
      <c r="E85" s="63"/>
      <c r="F85" s="83"/>
      <c r="G85" s="83"/>
      <c r="H85" s="83"/>
      <c r="I85" s="83"/>
      <c r="J85" s="83"/>
      <c r="K85" s="83"/>
      <c r="L85" s="83"/>
      <c r="M85" s="83"/>
      <c r="N85" s="83"/>
      <c r="O85" s="170"/>
    </row>
    <row r="86" ht="13.5" customHeight="1">
      <c r="A86" s="15" t="s">
        <v>84</v>
      </c>
      <c r="B86" s="87">
        <v>820.0</v>
      </c>
      <c r="C86" s="87">
        <v>820.0</v>
      </c>
      <c r="D86" s="87">
        <v>820.0</v>
      </c>
      <c r="E86" s="87">
        <v>820.0</v>
      </c>
      <c r="F86" s="87">
        <v>820.0</v>
      </c>
      <c r="G86" s="87">
        <v>820.0</v>
      </c>
      <c r="H86" s="87">
        <v>820.0</v>
      </c>
      <c r="I86" s="87">
        <v>820.0</v>
      </c>
      <c r="J86" s="87">
        <v>820.0</v>
      </c>
      <c r="K86" s="87">
        <v>820.0</v>
      </c>
      <c r="L86" s="87">
        <v>820.0</v>
      </c>
      <c r="M86" s="87">
        <v>820.0</v>
      </c>
      <c r="N86" s="17">
        <f t="shared" ref="N86:N89" si="23">SUM(B86:M86)</f>
        <v>9840</v>
      </c>
      <c r="O86" s="153"/>
    </row>
    <row r="87" ht="13.5" customHeight="1">
      <c r="A87" s="15" t="s">
        <v>142</v>
      </c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17">
        <f t="shared" si="23"/>
        <v>0</v>
      </c>
      <c r="O87" s="153"/>
    </row>
    <row r="88" ht="13.5" customHeight="1">
      <c r="A88" s="9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17">
        <f t="shared" si="23"/>
        <v>0</v>
      </c>
      <c r="O88" s="153"/>
    </row>
    <row r="89" ht="13.5" customHeight="1">
      <c r="A89" s="9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17">
        <f t="shared" si="23"/>
        <v>0</v>
      </c>
      <c r="O89" s="153"/>
    </row>
    <row r="90" ht="13.5" customHeight="1">
      <c r="A90" s="91" t="s">
        <v>23</v>
      </c>
      <c r="B90" s="28">
        <f t="shared" ref="B90:N90" si="24">SUM(B86:B89)</f>
        <v>820</v>
      </c>
      <c r="C90" s="28">
        <f t="shared" si="24"/>
        <v>820</v>
      </c>
      <c r="D90" s="28">
        <f t="shared" si="24"/>
        <v>820</v>
      </c>
      <c r="E90" s="28">
        <f t="shared" si="24"/>
        <v>820</v>
      </c>
      <c r="F90" s="28">
        <f t="shared" si="24"/>
        <v>820</v>
      </c>
      <c r="G90" s="28">
        <f t="shared" si="24"/>
        <v>820</v>
      </c>
      <c r="H90" s="28">
        <f t="shared" si="24"/>
        <v>820</v>
      </c>
      <c r="I90" s="28">
        <f t="shared" si="24"/>
        <v>820</v>
      </c>
      <c r="J90" s="28">
        <f t="shared" si="24"/>
        <v>820</v>
      </c>
      <c r="K90" s="28">
        <f t="shared" si="24"/>
        <v>820</v>
      </c>
      <c r="L90" s="28">
        <f t="shared" si="24"/>
        <v>820</v>
      </c>
      <c r="M90" s="28">
        <f t="shared" si="24"/>
        <v>820</v>
      </c>
      <c r="N90" s="28">
        <f t="shared" si="24"/>
        <v>9840</v>
      </c>
      <c r="O90" s="175"/>
    </row>
    <row r="91" ht="13.5" customHeight="1">
      <c r="A91" s="89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170"/>
    </row>
    <row r="92" ht="13.5" customHeight="1">
      <c r="A92" s="31" t="s">
        <v>89</v>
      </c>
      <c r="B92" s="101">
        <f>PRODUCTION!H18</f>
        <v>750</v>
      </c>
      <c r="C92" s="102">
        <f>PRODUCTION!H19</f>
        <v>750</v>
      </c>
      <c r="D92" s="102">
        <f>PRODUCTION!H20</f>
        <v>750</v>
      </c>
      <c r="E92" s="102">
        <f>PRODUCTION!H21</f>
        <v>750</v>
      </c>
      <c r="F92" s="102">
        <f>PRODUCTION!H22</f>
        <v>750</v>
      </c>
      <c r="G92" s="102">
        <f>PRODUCTION!H23</f>
        <v>750</v>
      </c>
      <c r="H92" s="102">
        <f>PRODUCTION!H24</f>
        <v>750</v>
      </c>
      <c r="I92" s="102">
        <f>PRODUCTION!H25</f>
        <v>750</v>
      </c>
      <c r="J92" s="102">
        <f>PRODUCTION!H26</f>
        <v>750</v>
      </c>
      <c r="K92" s="102">
        <f>PRODUCTION!H27</f>
        <v>750</v>
      </c>
      <c r="L92" s="102">
        <f>PRODUCTION!H28</f>
        <v>750</v>
      </c>
      <c r="M92" s="102">
        <f>PRODUCTION!H29</f>
        <v>750</v>
      </c>
      <c r="N92" s="17">
        <f t="shared" ref="N92:N105" si="25">SUM(B92:M92)</f>
        <v>9000</v>
      </c>
      <c r="O92" s="153"/>
    </row>
    <row r="93" ht="13.5" customHeight="1">
      <c r="A93" s="31" t="s">
        <v>90</v>
      </c>
      <c r="B93" s="46"/>
      <c r="C93" s="87"/>
      <c r="D93" s="87"/>
      <c r="E93" s="87"/>
      <c r="F93" s="87"/>
      <c r="G93" s="46"/>
      <c r="H93" s="46"/>
      <c r="I93" s="46"/>
      <c r="J93" s="46"/>
      <c r="K93" s="87"/>
      <c r="L93" s="46"/>
      <c r="M93" s="87"/>
      <c r="N93" s="17">
        <f t="shared" si="25"/>
        <v>0</v>
      </c>
      <c r="O93" s="153"/>
    </row>
    <row r="94" ht="13.5" customHeight="1">
      <c r="A94" s="31" t="s">
        <v>91</v>
      </c>
      <c r="B94" s="87">
        <v>180.0</v>
      </c>
      <c r="C94" s="87">
        <v>180.0</v>
      </c>
      <c r="D94" s="87">
        <v>180.0</v>
      </c>
      <c r="E94" s="87">
        <v>180.0</v>
      </c>
      <c r="F94" s="87">
        <v>180.0</v>
      </c>
      <c r="G94" s="87">
        <v>180.0</v>
      </c>
      <c r="H94" s="87">
        <v>180.0</v>
      </c>
      <c r="I94" s="87">
        <v>180.0</v>
      </c>
      <c r="J94" s="87">
        <v>180.0</v>
      </c>
      <c r="K94" s="87">
        <f>180+200</f>
        <v>380</v>
      </c>
      <c r="L94" s="87">
        <v>180.0</v>
      </c>
      <c r="M94" s="87">
        <v>180.0</v>
      </c>
      <c r="N94" s="17">
        <f t="shared" si="25"/>
        <v>2360</v>
      </c>
      <c r="O94" s="153"/>
    </row>
    <row r="95" ht="13.5" customHeight="1">
      <c r="A95" s="31" t="s">
        <v>92</v>
      </c>
      <c r="B95" s="146">
        <v>500.0</v>
      </c>
      <c r="C95" s="105">
        <v>500.0</v>
      </c>
      <c r="D95" s="105">
        <v>0.0</v>
      </c>
      <c r="E95" s="105">
        <v>0.0</v>
      </c>
      <c r="F95" s="104">
        <v>155.0</v>
      </c>
      <c r="G95" s="104">
        <f>350+167</f>
        <v>517</v>
      </c>
      <c r="H95" s="104">
        <v>0.0</v>
      </c>
      <c r="I95" s="105">
        <f>265+3.233</f>
        <v>268.233</v>
      </c>
      <c r="J95" s="105">
        <v>500.0</v>
      </c>
      <c r="K95" s="87">
        <v>460.17</v>
      </c>
      <c r="L95" s="105">
        <v>500.0</v>
      </c>
      <c r="M95" s="105">
        <v>500.0</v>
      </c>
      <c r="N95" s="17">
        <f t="shared" si="25"/>
        <v>3900.403</v>
      </c>
      <c r="O95" s="153"/>
    </row>
    <row r="96" ht="13.5" customHeight="1">
      <c r="A96" s="32" t="s">
        <v>143</v>
      </c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17">
        <f t="shared" si="25"/>
        <v>0</v>
      </c>
      <c r="O96" s="153"/>
    </row>
    <row r="97" ht="13.5" customHeight="1">
      <c r="A97" s="32" t="s">
        <v>94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17">
        <f t="shared" si="25"/>
        <v>0</v>
      </c>
      <c r="O97" s="153"/>
    </row>
    <row r="98" ht="13.5" customHeight="1">
      <c r="A98" s="32" t="s">
        <v>95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17">
        <f t="shared" si="25"/>
        <v>0</v>
      </c>
      <c r="O98" s="153"/>
    </row>
    <row r="99" ht="13.5" customHeight="1">
      <c r="A99" s="31" t="s">
        <v>96</v>
      </c>
      <c r="B99" s="87">
        <v>0.0</v>
      </c>
      <c r="C99" s="87">
        <v>0.0</v>
      </c>
      <c r="D99" s="87">
        <v>0.0</v>
      </c>
      <c r="E99" s="87">
        <v>0.0</v>
      </c>
      <c r="F99" s="87">
        <v>0.0</v>
      </c>
      <c r="G99" s="87">
        <v>0.0</v>
      </c>
      <c r="H99" s="87">
        <v>0.0</v>
      </c>
      <c r="I99" s="87">
        <v>0.0</v>
      </c>
      <c r="J99" s="87">
        <v>0.0</v>
      </c>
      <c r="K99" s="87">
        <v>0.0</v>
      </c>
      <c r="L99" s="87">
        <v>0.0</v>
      </c>
      <c r="M99" s="87">
        <v>0.0</v>
      </c>
      <c r="N99" s="17">
        <f t="shared" si="25"/>
        <v>0</v>
      </c>
      <c r="O99" s="153"/>
    </row>
    <row r="100" ht="13.5" customHeight="1">
      <c r="A100" s="31" t="s">
        <v>97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17">
        <f t="shared" si="25"/>
        <v>0</v>
      </c>
      <c r="O100" s="153"/>
    </row>
    <row r="101" ht="13.5" customHeight="1">
      <c r="A101" s="32" t="s">
        <v>98</v>
      </c>
      <c r="B101" s="87">
        <v>0.0</v>
      </c>
      <c r="C101" s="87">
        <v>0.0</v>
      </c>
      <c r="D101" s="87">
        <v>0.0</v>
      </c>
      <c r="E101" s="87">
        <v>0.0</v>
      </c>
      <c r="F101" s="87">
        <v>0.0</v>
      </c>
      <c r="G101" s="87">
        <v>0.0</v>
      </c>
      <c r="H101" s="87">
        <v>0.0</v>
      </c>
      <c r="I101" s="87">
        <v>0.0</v>
      </c>
      <c r="J101" s="87">
        <v>0.0</v>
      </c>
      <c r="K101" s="87">
        <v>0.0</v>
      </c>
      <c r="L101" s="87">
        <v>0.0</v>
      </c>
      <c r="M101" s="87">
        <v>0.0</v>
      </c>
      <c r="N101" s="17">
        <f t="shared" si="25"/>
        <v>0</v>
      </c>
      <c r="O101" s="153"/>
    </row>
    <row r="102" ht="13.5" customHeight="1">
      <c r="A102" s="31" t="s">
        <v>99</v>
      </c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17">
        <f t="shared" si="25"/>
        <v>0</v>
      </c>
      <c r="O102" s="153"/>
    </row>
    <row r="103" ht="13.5" customHeight="1">
      <c r="A103" s="32" t="s">
        <v>100</v>
      </c>
      <c r="B103" s="87">
        <v>200.0</v>
      </c>
      <c r="C103" s="87">
        <v>435.0</v>
      </c>
      <c r="D103" s="87">
        <f>200+113.63</f>
        <v>313.63</v>
      </c>
      <c r="E103" s="87">
        <v>200.0</v>
      </c>
      <c r="F103" s="87">
        <v>200.0</v>
      </c>
      <c r="G103" s="87">
        <v>605.0</v>
      </c>
      <c r="H103" s="87">
        <v>605.0</v>
      </c>
      <c r="I103" s="87">
        <v>200.0</v>
      </c>
      <c r="J103" s="87">
        <f>435+200</f>
        <v>635</v>
      </c>
      <c r="K103" s="87">
        <v>200.0</v>
      </c>
      <c r="L103" s="87">
        <v>200.0</v>
      </c>
      <c r="M103" s="87">
        <v>200.0</v>
      </c>
      <c r="N103" s="17">
        <f t="shared" si="25"/>
        <v>3993.63</v>
      </c>
      <c r="O103" s="153"/>
    </row>
    <row r="104" ht="13.5" customHeight="1">
      <c r="A104" s="27" t="s">
        <v>101</v>
      </c>
      <c r="B104" s="87">
        <v>300.0</v>
      </c>
      <c r="C104" s="87">
        <v>375.0</v>
      </c>
      <c r="D104" s="87">
        <v>375.0</v>
      </c>
      <c r="E104" s="87">
        <v>375.0</v>
      </c>
      <c r="F104" s="87">
        <v>375.0</v>
      </c>
      <c r="G104" s="87">
        <v>375.0</v>
      </c>
      <c r="H104" s="87">
        <v>375.0</v>
      </c>
      <c r="I104" s="87">
        <v>375.0</v>
      </c>
      <c r="J104" s="87">
        <v>375.0</v>
      </c>
      <c r="K104" s="87">
        <v>375.0</v>
      </c>
      <c r="L104" s="87">
        <v>375.0</v>
      </c>
      <c r="M104" s="87">
        <v>375.0</v>
      </c>
      <c r="N104" s="17">
        <f t="shared" si="25"/>
        <v>4425</v>
      </c>
      <c r="O104" s="153"/>
    </row>
    <row r="105" ht="13.5" customHeight="1">
      <c r="A105" s="27" t="s">
        <v>102</v>
      </c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17">
        <f t="shared" si="25"/>
        <v>0</v>
      </c>
      <c r="O105" s="153"/>
    </row>
    <row r="106" ht="13.5" customHeight="1">
      <c r="A106" s="9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175"/>
    </row>
    <row r="107" ht="13.5" customHeight="1">
      <c r="A107" s="91" t="s">
        <v>23</v>
      </c>
      <c r="B107" s="28">
        <f t="shared" ref="B107:N107" si="26">SUM(B92:B105)</f>
        <v>1930</v>
      </c>
      <c r="C107" s="28">
        <f t="shared" si="26"/>
        <v>2240</v>
      </c>
      <c r="D107" s="28">
        <f t="shared" si="26"/>
        <v>1618.63</v>
      </c>
      <c r="E107" s="28">
        <f t="shared" si="26"/>
        <v>1505</v>
      </c>
      <c r="F107" s="28">
        <f t="shared" si="26"/>
        <v>1660</v>
      </c>
      <c r="G107" s="28">
        <f t="shared" si="26"/>
        <v>2427</v>
      </c>
      <c r="H107" s="28">
        <f t="shared" si="26"/>
        <v>1910</v>
      </c>
      <c r="I107" s="28">
        <f t="shared" si="26"/>
        <v>1773.233</v>
      </c>
      <c r="J107" s="28">
        <f t="shared" si="26"/>
        <v>2440</v>
      </c>
      <c r="K107" s="28">
        <f t="shared" si="26"/>
        <v>2165.17</v>
      </c>
      <c r="L107" s="28">
        <f t="shared" si="26"/>
        <v>2005</v>
      </c>
      <c r="M107" s="28">
        <f t="shared" si="26"/>
        <v>2005</v>
      </c>
      <c r="N107" s="28">
        <f t="shared" si="26"/>
        <v>23679.033</v>
      </c>
      <c r="O107" s="175"/>
    </row>
    <row r="108" ht="13.5" customHeight="1">
      <c r="A108" s="91" t="s">
        <v>104</v>
      </c>
      <c r="B108" s="107">
        <v>-11513.04</v>
      </c>
      <c r="C108" s="108">
        <v>-17582.35</v>
      </c>
      <c r="D108" s="108">
        <v>-18694.51</v>
      </c>
      <c r="E108" s="108">
        <v>-20381.3</v>
      </c>
      <c r="F108" s="108">
        <v>-17307.77</v>
      </c>
      <c r="G108" s="108">
        <v>5209.82</v>
      </c>
      <c r="H108" s="108">
        <v>-4248.3</v>
      </c>
      <c r="I108" s="108">
        <v>-3952.82</v>
      </c>
      <c r="J108" s="108">
        <v>-9492.61</v>
      </c>
      <c r="K108" s="109">
        <v>-12281.03</v>
      </c>
      <c r="L108" s="110">
        <v>-11139.0</v>
      </c>
      <c r="M108" s="110">
        <v>-11139.0</v>
      </c>
      <c r="N108" s="44">
        <f>SUM(B108:M108)</f>
        <v>-132521.91</v>
      </c>
      <c r="O108" s="174"/>
    </row>
    <row r="109" ht="13.5" customHeight="1">
      <c r="A109" s="112" t="s">
        <v>105</v>
      </c>
      <c r="B109" s="50">
        <f t="shared" ref="B109:N109" si="27">B107+B90+B83+B32+B21+B13</f>
        <v>44953.57519</v>
      </c>
      <c r="C109" s="50">
        <f t="shared" si="27"/>
        <v>45191.14846</v>
      </c>
      <c r="D109" s="50">
        <f t="shared" si="27"/>
        <v>50289.20116</v>
      </c>
      <c r="E109" s="50">
        <f t="shared" si="27"/>
        <v>48385.99742</v>
      </c>
      <c r="F109" s="50">
        <f t="shared" si="27"/>
        <v>51182.05354</v>
      </c>
      <c r="G109" s="50">
        <f t="shared" si="27"/>
        <v>50690.91655</v>
      </c>
      <c r="H109" s="50">
        <f t="shared" si="27"/>
        <v>45128.06158</v>
      </c>
      <c r="I109" s="50">
        <f t="shared" si="27"/>
        <v>45905.79458</v>
      </c>
      <c r="J109" s="50">
        <f t="shared" si="27"/>
        <v>48838.76383</v>
      </c>
      <c r="K109" s="50">
        <f t="shared" si="27"/>
        <v>50207.8111</v>
      </c>
      <c r="L109" s="50">
        <f t="shared" si="27"/>
        <v>52020.29383</v>
      </c>
      <c r="M109" s="50">
        <f t="shared" si="27"/>
        <v>52020.29383</v>
      </c>
      <c r="N109" s="50">
        <f t="shared" si="27"/>
        <v>584813.9111</v>
      </c>
      <c r="O109" s="176"/>
    </row>
    <row r="110" ht="13.5" customHeight="1">
      <c r="A110" s="35" t="s">
        <v>106</v>
      </c>
      <c r="B110" s="177">
        <v>60.0</v>
      </c>
      <c r="C110" s="118">
        <v>65.0</v>
      </c>
      <c r="D110" s="118">
        <v>75.0</v>
      </c>
      <c r="E110" s="118">
        <v>75.0</v>
      </c>
      <c r="F110" s="118">
        <v>85.0</v>
      </c>
      <c r="G110" s="118">
        <v>75.0</v>
      </c>
      <c r="H110" s="116">
        <v>80.0</v>
      </c>
      <c r="I110" s="116">
        <v>80.0</v>
      </c>
      <c r="J110" s="116">
        <v>80.0</v>
      </c>
      <c r="K110" s="116">
        <v>75.0</v>
      </c>
      <c r="L110" s="116">
        <v>80.0</v>
      </c>
      <c r="M110" s="118">
        <v>95.0</v>
      </c>
      <c r="N110" s="149">
        <f t="shared" ref="N110:N112" si="28">SUM(B110:M110)</f>
        <v>925</v>
      </c>
      <c r="O110" s="152"/>
    </row>
    <row r="111" ht="13.5" customHeight="1">
      <c r="A111" s="35" t="s">
        <v>107</v>
      </c>
      <c r="B111" s="121">
        <v>75.0</v>
      </c>
      <c r="C111" s="121">
        <v>75.0</v>
      </c>
      <c r="D111" s="151">
        <v>80.0</v>
      </c>
      <c r="E111" s="121">
        <v>85.0</v>
      </c>
      <c r="F111" s="121">
        <v>90.0</v>
      </c>
      <c r="G111" s="151">
        <v>90.0</v>
      </c>
      <c r="H111" s="120">
        <v>90.0</v>
      </c>
      <c r="I111" s="120">
        <v>100.0</v>
      </c>
      <c r="J111" s="120">
        <v>85.0</v>
      </c>
      <c r="K111" s="120">
        <v>80.0</v>
      </c>
      <c r="L111" s="150">
        <v>80.0</v>
      </c>
      <c r="M111" s="121">
        <v>95.0</v>
      </c>
      <c r="N111" s="149">
        <f t="shared" si="28"/>
        <v>1025</v>
      </c>
      <c r="O111" s="152"/>
    </row>
    <row r="112" ht="13.5" customHeight="1">
      <c r="A112" s="91" t="s">
        <v>23</v>
      </c>
      <c r="B112" s="122">
        <f t="shared" ref="B112:K112" si="29">B110+B111</f>
        <v>135</v>
      </c>
      <c r="C112" s="122">
        <f t="shared" si="29"/>
        <v>140</v>
      </c>
      <c r="D112" s="122">
        <f t="shared" si="29"/>
        <v>155</v>
      </c>
      <c r="E112" s="122">
        <f t="shared" si="29"/>
        <v>160</v>
      </c>
      <c r="F112" s="123">
        <f t="shared" si="29"/>
        <v>175</v>
      </c>
      <c r="G112" s="123">
        <f t="shared" si="29"/>
        <v>165</v>
      </c>
      <c r="H112" s="123">
        <f t="shared" si="29"/>
        <v>170</v>
      </c>
      <c r="I112" s="123">
        <f t="shared" si="29"/>
        <v>180</v>
      </c>
      <c r="J112" s="123">
        <f t="shared" si="29"/>
        <v>165</v>
      </c>
      <c r="K112" s="123">
        <f t="shared" si="29"/>
        <v>155</v>
      </c>
      <c r="L112" s="123">
        <f>(L110+L111)</f>
        <v>160</v>
      </c>
      <c r="M112" s="124">
        <f>M110+M111</f>
        <v>190</v>
      </c>
      <c r="N112" s="125">
        <f t="shared" si="28"/>
        <v>1950</v>
      </c>
      <c r="O112" s="178"/>
    </row>
    <row r="113" ht="13.5" customHeight="1">
      <c r="A113" s="126" t="s">
        <v>108</v>
      </c>
      <c r="B113" s="58">
        <f t="shared" ref="B113:N113" si="30">B109/B112</f>
        <v>332.9894458</v>
      </c>
      <c r="C113" s="58">
        <f t="shared" si="30"/>
        <v>322.7939176</v>
      </c>
      <c r="D113" s="58">
        <f t="shared" si="30"/>
        <v>324.4464591</v>
      </c>
      <c r="E113" s="58">
        <f t="shared" si="30"/>
        <v>302.4124839</v>
      </c>
      <c r="F113" s="58">
        <f t="shared" si="30"/>
        <v>292.4688774</v>
      </c>
      <c r="G113" s="58">
        <f t="shared" si="30"/>
        <v>307.2176761</v>
      </c>
      <c r="H113" s="58">
        <f t="shared" si="30"/>
        <v>265.4591858</v>
      </c>
      <c r="I113" s="58">
        <f t="shared" si="30"/>
        <v>255.0321921</v>
      </c>
      <c r="J113" s="58">
        <f t="shared" si="30"/>
        <v>295.992508</v>
      </c>
      <c r="K113" s="58">
        <f t="shared" si="30"/>
        <v>323.9213619</v>
      </c>
      <c r="L113" s="58">
        <f t="shared" si="30"/>
        <v>325.1268364</v>
      </c>
      <c r="M113" s="58">
        <f t="shared" si="30"/>
        <v>273.7910201</v>
      </c>
      <c r="N113" s="179">
        <f t="shared" si="30"/>
        <v>299.9045698</v>
      </c>
      <c r="O113" s="180"/>
    </row>
    <row r="114" ht="13.5" customHeight="1">
      <c r="A114" s="79" t="s">
        <v>109</v>
      </c>
      <c r="B114" s="63"/>
      <c r="C114" s="63"/>
      <c r="D114" s="63"/>
      <c r="E114" s="63"/>
      <c r="F114" s="83"/>
      <c r="G114" s="83"/>
      <c r="H114" s="83"/>
      <c r="I114" s="83"/>
      <c r="J114" s="83"/>
      <c r="K114" s="83"/>
      <c r="L114" s="83"/>
      <c r="M114" s="83"/>
      <c r="N114" s="83"/>
      <c r="O114" s="170"/>
    </row>
    <row r="115" ht="13.5" customHeight="1">
      <c r="A115" s="59" t="s">
        <v>110</v>
      </c>
      <c r="B115" s="87">
        <f t="shared" ref="B115:M115" si="31">1295</f>
        <v>1295</v>
      </c>
      <c r="C115" s="87">
        <f t="shared" si="31"/>
        <v>1295</v>
      </c>
      <c r="D115" s="87">
        <f t="shared" si="31"/>
        <v>1295</v>
      </c>
      <c r="E115" s="87">
        <f t="shared" si="31"/>
        <v>1295</v>
      </c>
      <c r="F115" s="87">
        <f t="shared" si="31"/>
        <v>1295</v>
      </c>
      <c r="G115" s="87">
        <f t="shared" si="31"/>
        <v>1295</v>
      </c>
      <c r="H115" s="87">
        <f t="shared" si="31"/>
        <v>1295</v>
      </c>
      <c r="I115" s="87">
        <f t="shared" si="31"/>
        <v>1295</v>
      </c>
      <c r="J115" s="87">
        <f t="shared" si="31"/>
        <v>1295</v>
      </c>
      <c r="K115" s="87">
        <f t="shared" si="31"/>
        <v>1295</v>
      </c>
      <c r="L115" s="87">
        <f t="shared" si="31"/>
        <v>1295</v>
      </c>
      <c r="M115" s="87">
        <f t="shared" si="31"/>
        <v>1295</v>
      </c>
      <c r="N115" s="17">
        <f t="shared" ref="N115:N120" si="32">SUM(B115:M115)</f>
        <v>15540</v>
      </c>
      <c r="O115" s="153"/>
    </row>
    <row r="116" ht="13.5" customHeight="1">
      <c r="A116" s="60" t="s">
        <v>111</v>
      </c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17">
        <f t="shared" si="32"/>
        <v>0</v>
      </c>
      <c r="O116" s="153"/>
    </row>
    <row r="117" ht="13.5" customHeight="1">
      <c r="A117" s="59" t="s">
        <v>112</v>
      </c>
      <c r="B117" s="87">
        <f>1150+1799.86
</f>
        <v>2949.86</v>
      </c>
      <c r="C117" s="87">
        <v>1150.0</v>
      </c>
      <c r="D117" s="87">
        <v>1150.0</v>
      </c>
      <c r="E117" s="87">
        <f>1150+1799.86
</f>
        <v>2949.86</v>
      </c>
      <c r="F117" s="87">
        <v>1150.0</v>
      </c>
      <c r="G117" s="87">
        <v>1150.0</v>
      </c>
      <c r="H117" s="87">
        <f>1150+1799.86
</f>
        <v>2949.86</v>
      </c>
      <c r="I117" s="87">
        <v>1150.0</v>
      </c>
      <c r="J117" s="87">
        <v>1150.0</v>
      </c>
      <c r="K117" s="87">
        <f>1150+1873.64</f>
        <v>3023.64</v>
      </c>
      <c r="L117" s="87">
        <v>1150.0</v>
      </c>
      <c r="M117" s="87">
        <v>1150.0</v>
      </c>
      <c r="N117" s="17">
        <f t="shared" si="32"/>
        <v>21073.22</v>
      </c>
      <c r="O117" s="153"/>
    </row>
    <row r="118" ht="13.5" customHeight="1">
      <c r="A118" s="59" t="s">
        <v>80</v>
      </c>
      <c r="B118" s="87">
        <v>0.0</v>
      </c>
      <c r="C118" s="87">
        <v>0.0</v>
      </c>
      <c r="D118" s="87">
        <v>0.0</v>
      </c>
      <c r="E118" s="87">
        <v>0.0</v>
      </c>
      <c r="F118" s="87">
        <v>0.0</v>
      </c>
      <c r="G118" s="87">
        <v>0.0</v>
      </c>
      <c r="H118" s="87">
        <v>0.0</v>
      </c>
      <c r="I118" s="87">
        <v>0.0</v>
      </c>
      <c r="J118" s="87">
        <v>0.0</v>
      </c>
      <c r="K118" s="87">
        <v>0.0</v>
      </c>
      <c r="L118" s="87">
        <v>0.0</v>
      </c>
      <c r="M118" s="87">
        <v>0.0</v>
      </c>
      <c r="N118" s="17">
        <f t="shared" si="32"/>
        <v>0</v>
      </c>
      <c r="O118" s="153"/>
    </row>
    <row r="119" ht="13.5" customHeight="1">
      <c r="A119" s="61" t="s">
        <v>113</v>
      </c>
      <c r="B119" s="87">
        <v>395.0</v>
      </c>
      <c r="C119" s="87">
        <v>395.0</v>
      </c>
      <c r="D119" s="87">
        <v>395.0</v>
      </c>
      <c r="E119" s="87">
        <v>395.0</v>
      </c>
      <c r="F119" s="87">
        <v>395.0</v>
      </c>
      <c r="G119" s="87">
        <v>395.0</v>
      </c>
      <c r="H119" s="87">
        <v>395.0</v>
      </c>
      <c r="I119" s="87">
        <v>395.0</v>
      </c>
      <c r="J119" s="87">
        <v>395.0</v>
      </c>
      <c r="K119" s="87">
        <v>395.0</v>
      </c>
      <c r="L119" s="87">
        <v>395.0</v>
      </c>
      <c r="M119" s="87">
        <v>395.0</v>
      </c>
      <c r="N119" s="17">
        <f t="shared" si="32"/>
        <v>4740</v>
      </c>
      <c r="O119" s="153"/>
    </row>
    <row r="120" ht="13.5" customHeight="1">
      <c r="A120" s="132" t="s">
        <v>114</v>
      </c>
      <c r="B120" s="87">
        <v>1966.0</v>
      </c>
      <c r="C120" s="87">
        <v>1966.0</v>
      </c>
      <c r="D120" s="87">
        <v>1966.0</v>
      </c>
      <c r="E120" s="87">
        <v>1966.0</v>
      </c>
      <c r="F120" s="87">
        <v>1966.0</v>
      </c>
      <c r="G120" s="87">
        <v>1966.0</v>
      </c>
      <c r="H120" s="87">
        <v>1966.0</v>
      </c>
      <c r="I120" s="87">
        <v>1966.0</v>
      </c>
      <c r="J120" s="87">
        <v>1966.0</v>
      </c>
      <c r="K120" s="87">
        <v>1966.0</v>
      </c>
      <c r="L120" s="87">
        <v>1966.0</v>
      </c>
      <c r="M120" s="87">
        <v>1966.0</v>
      </c>
      <c r="N120" s="17">
        <f t="shared" si="32"/>
        <v>23592</v>
      </c>
      <c r="O120" s="153"/>
    </row>
    <row r="121" ht="13.5" customHeight="1">
      <c r="A121" s="99" t="s">
        <v>23</v>
      </c>
      <c r="B121" s="63">
        <f t="shared" ref="B121:N121" si="33">SUM(B115:B120)</f>
        <v>6605.86</v>
      </c>
      <c r="C121" s="63">
        <f t="shared" si="33"/>
        <v>4806</v>
      </c>
      <c r="D121" s="63">
        <f t="shared" si="33"/>
        <v>4806</v>
      </c>
      <c r="E121" s="63">
        <f t="shared" si="33"/>
        <v>6605.86</v>
      </c>
      <c r="F121" s="63">
        <f t="shared" si="33"/>
        <v>4806</v>
      </c>
      <c r="G121" s="63">
        <f t="shared" si="33"/>
        <v>4806</v>
      </c>
      <c r="H121" s="63">
        <f t="shared" si="33"/>
        <v>6605.86</v>
      </c>
      <c r="I121" s="63">
        <f t="shared" si="33"/>
        <v>4806</v>
      </c>
      <c r="J121" s="63">
        <f t="shared" si="33"/>
        <v>4806</v>
      </c>
      <c r="K121" s="63">
        <f t="shared" si="33"/>
        <v>6679.64</v>
      </c>
      <c r="L121" s="63">
        <f t="shared" si="33"/>
        <v>4806</v>
      </c>
      <c r="M121" s="63">
        <f t="shared" si="33"/>
        <v>4806</v>
      </c>
      <c r="N121" s="63">
        <f t="shared" si="33"/>
        <v>64945.22</v>
      </c>
      <c r="O121" s="135"/>
    </row>
    <row r="122" ht="13.5" customHeight="1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</row>
    <row r="123" ht="13.5" customHeight="1">
      <c r="A123" s="134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</row>
    <row r="124" ht="13.5" customHeight="1">
      <c r="A124" s="64" t="s">
        <v>115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135"/>
    </row>
    <row r="125" ht="13.5" customHeight="1">
      <c r="A125" s="64" t="s">
        <v>116</v>
      </c>
      <c r="B125" s="67">
        <f t="shared" ref="B125:M125" si="34">+B13*0.7+B21*0.7+B32*0.7+B52*0.6+B70+B107*0.6</f>
        <v>28494.26363</v>
      </c>
      <c r="C125" s="67">
        <f t="shared" si="34"/>
        <v>28939.06492</v>
      </c>
      <c r="D125" s="67">
        <f t="shared" si="34"/>
        <v>32569.83881</v>
      </c>
      <c r="E125" s="67">
        <f t="shared" si="34"/>
        <v>31248.95919</v>
      </c>
      <c r="F125" s="67">
        <f t="shared" si="34"/>
        <v>33190.69848</v>
      </c>
      <c r="G125" s="67">
        <f t="shared" si="34"/>
        <v>32845.45259</v>
      </c>
      <c r="H125" s="67">
        <f t="shared" si="34"/>
        <v>28761.05411</v>
      </c>
      <c r="I125" s="67">
        <f t="shared" si="34"/>
        <v>29485.99391</v>
      </c>
      <c r="J125" s="67">
        <f t="shared" si="34"/>
        <v>31472.39568</v>
      </c>
      <c r="K125" s="67">
        <f t="shared" si="34"/>
        <v>32458.21177</v>
      </c>
      <c r="L125" s="67">
        <f t="shared" si="34"/>
        <v>33742.96668</v>
      </c>
      <c r="M125" s="67">
        <f t="shared" si="34"/>
        <v>33742.96668</v>
      </c>
      <c r="N125" s="67">
        <f t="shared" ref="N125:N126" si="36">SUM(B125:M125)</f>
        <v>376951.8664</v>
      </c>
      <c r="O125" s="135"/>
    </row>
    <row r="126" ht="13.5" customHeight="1">
      <c r="A126" s="64" t="s">
        <v>117</v>
      </c>
      <c r="B126" s="67">
        <f t="shared" ref="B126:M126" si="35">+B13*0.3+B21*0.3+B32*0.3+B52*0.4+B82+B90+B107*0.4</f>
        <v>16459.31156</v>
      </c>
      <c r="C126" s="67">
        <f t="shared" si="35"/>
        <v>16252.08354</v>
      </c>
      <c r="D126" s="67">
        <f t="shared" si="35"/>
        <v>17719.36235</v>
      </c>
      <c r="E126" s="67">
        <f t="shared" si="35"/>
        <v>17137.03823</v>
      </c>
      <c r="F126" s="67">
        <f t="shared" si="35"/>
        <v>17991.35506</v>
      </c>
      <c r="G126" s="67">
        <f t="shared" si="35"/>
        <v>17845.46397</v>
      </c>
      <c r="H126" s="67">
        <f t="shared" si="35"/>
        <v>16367.00748</v>
      </c>
      <c r="I126" s="67">
        <f t="shared" si="35"/>
        <v>16419.80068</v>
      </c>
      <c r="J126" s="67">
        <f t="shared" si="35"/>
        <v>17366.36815</v>
      </c>
      <c r="K126" s="67">
        <f t="shared" si="35"/>
        <v>17749.59933</v>
      </c>
      <c r="L126" s="67">
        <f t="shared" si="35"/>
        <v>18277.32715</v>
      </c>
      <c r="M126" s="67">
        <f t="shared" si="35"/>
        <v>18277.32715</v>
      </c>
      <c r="N126" s="67">
        <f t="shared" si="36"/>
        <v>207862.0446</v>
      </c>
      <c r="O126" s="135"/>
    </row>
    <row r="127" ht="13.5" customHeight="1">
      <c r="A127" s="64" t="s">
        <v>23</v>
      </c>
      <c r="B127" s="67">
        <f t="shared" ref="B127:N127" si="37">SUM(B125:B126)</f>
        <v>44953.57519</v>
      </c>
      <c r="C127" s="67">
        <f t="shared" si="37"/>
        <v>45191.14846</v>
      </c>
      <c r="D127" s="67">
        <f t="shared" si="37"/>
        <v>50289.20116</v>
      </c>
      <c r="E127" s="67">
        <f t="shared" si="37"/>
        <v>48385.99742</v>
      </c>
      <c r="F127" s="67">
        <f t="shared" si="37"/>
        <v>51182.05354</v>
      </c>
      <c r="G127" s="67">
        <f t="shared" si="37"/>
        <v>50690.91655</v>
      </c>
      <c r="H127" s="67">
        <f t="shared" si="37"/>
        <v>45128.06158</v>
      </c>
      <c r="I127" s="67">
        <f t="shared" si="37"/>
        <v>45905.79458</v>
      </c>
      <c r="J127" s="67">
        <f t="shared" si="37"/>
        <v>48838.76383</v>
      </c>
      <c r="K127" s="67">
        <f t="shared" si="37"/>
        <v>50207.8111</v>
      </c>
      <c r="L127" s="67">
        <f t="shared" si="37"/>
        <v>52020.29383</v>
      </c>
      <c r="M127" s="67">
        <f t="shared" si="37"/>
        <v>52020.29383</v>
      </c>
      <c r="N127" s="67">
        <f t="shared" si="37"/>
        <v>584813.9111</v>
      </c>
      <c r="O127" s="135"/>
    </row>
    <row r="128" ht="13.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135"/>
    </row>
    <row r="129" ht="13.5" customHeight="1">
      <c r="A129" s="69" t="s">
        <v>118</v>
      </c>
      <c r="B129" s="70">
        <f t="shared" ref="B129:N129" si="38">+B109</f>
        <v>44953.57519</v>
      </c>
      <c r="C129" s="70">
        <f t="shared" si="38"/>
        <v>45191.14846</v>
      </c>
      <c r="D129" s="70">
        <f t="shared" si="38"/>
        <v>50289.20116</v>
      </c>
      <c r="E129" s="70">
        <f t="shared" si="38"/>
        <v>48385.99742</v>
      </c>
      <c r="F129" s="70">
        <f t="shared" si="38"/>
        <v>51182.05354</v>
      </c>
      <c r="G129" s="70">
        <f t="shared" si="38"/>
        <v>50690.91655</v>
      </c>
      <c r="H129" s="70">
        <f t="shared" si="38"/>
        <v>45128.06158</v>
      </c>
      <c r="I129" s="70">
        <f t="shared" si="38"/>
        <v>45905.79458</v>
      </c>
      <c r="J129" s="70">
        <f t="shared" si="38"/>
        <v>48838.76383</v>
      </c>
      <c r="K129" s="70">
        <f t="shared" si="38"/>
        <v>50207.8111</v>
      </c>
      <c r="L129" s="70">
        <f t="shared" si="38"/>
        <v>52020.29383</v>
      </c>
      <c r="M129" s="70">
        <f t="shared" si="38"/>
        <v>52020.29383</v>
      </c>
      <c r="N129" s="70">
        <f t="shared" si="38"/>
        <v>584813.9111</v>
      </c>
      <c r="O129" s="135"/>
    </row>
    <row r="130" ht="13.5" customHeight="1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</row>
    <row r="131" ht="13.5" customHeight="1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</row>
  </sheetData>
  <mergeCells count="1">
    <mergeCell ref="A1:N1"/>
  </mergeCell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9.13"/>
    <col customWidth="1" min="2" max="2" width="9.38"/>
    <col customWidth="1" min="3" max="13" width="9.75"/>
    <col customWidth="1" min="14" max="14" width="11.13"/>
    <col customWidth="1" min="15" max="15" width="4.75"/>
    <col customWidth="1" min="16" max="16" width="35.13"/>
  </cols>
  <sheetData>
    <row r="1" ht="13.5" customHeight="1">
      <c r="A1" s="76" t="s">
        <v>172</v>
      </c>
      <c r="O1" s="169"/>
      <c r="P1" s="181"/>
    </row>
    <row r="2" ht="13.5" customHeight="1">
      <c r="A2" s="16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182"/>
    </row>
    <row r="3" ht="13.5" customHeight="1">
      <c r="A3" s="16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  <c r="O3" s="7"/>
      <c r="P3" s="183" t="s">
        <v>173</v>
      </c>
    </row>
    <row r="4" ht="13.5" customHeight="1">
      <c r="A4" s="79" t="s">
        <v>14</v>
      </c>
      <c r="B4" s="63"/>
      <c r="C4" s="63"/>
      <c r="D4" s="63"/>
      <c r="E4" s="63"/>
      <c r="F4" s="83"/>
      <c r="G4" s="83"/>
      <c r="H4" s="83"/>
      <c r="I4" s="83"/>
      <c r="J4" s="83"/>
      <c r="K4" s="83"/>
      <c r="L4" s="83"/>
      <c r="M4" s="83"/>
      <c r="N4" s="83"/>
      <c r="O4" s="170"/>
      <c r="P4" s="184"/>
    </row>
    <row r="5" ht="13.5" customHeight="1">
      <c r="A5" s="15" t="s">
        <v>15</v>
      </c>
      <c r="B5" s="46">
        <f>FORMULAS!S45</f>
        <v>5122.539683</v>
      </c>
      <c r="C5" s="46">
        <f>FORMULAS!W45</f>
        <v>5122.539683</v>
      </c>
      <c r="D5" s="46">
        <f>FORMULAS!AA45</f>
        <v>5122.539683</v>
      </c>
      <c r="E5" s="46">
        <f>FORMULAS!AE45</f>
        <v>6882.071081</v>
      </c>
      <c r="F5" s="87"/>
      <c r="G5" s="46">
        <f>FORMULAS!AM45</f>
        <v>8889.92669</v>
      </c>
      <c r="H5" s="46">
        <f>FORMULAS!AQ45</f>
        <v>6032.450254</v>
      </c>
      <c r="I5" s="46">
        <f>FORMULAS!AU45</f>
        <v>6032.450254</v>
      </c>
      <c r="J5" s="46">
        <f>FORMULAS!AY45</f>
        <v>7619.937163</v>
      </c>
      <c r="K5" s="46">
        <f>FORMULAS!BC45</f>
        <v>7619.937163</v>
      </c>
      <c r="L5" s="46">
        <f>FORMULAS!BG45</f>
        <v>8889.92669</v>
      </c>
      <c r="M5" s="46">
        <f>FORMULAS!BK45</f>
        <v>8889.92669</v>
      </c>
      <c r="N5" s="17">
        <f t="shared" ref="N5:N12" si="1">SUM(B5:M5)</f>
        <v>76224.24503</v>
      </c>
      <c r="O5" s="153"/>
      <c r="P5" s="185" t="s">
        <v>174</v>
      </c>
    </row>
    <row r="6" ht="13.5" customHeight="1">
      <c r="A6" s="15" t="s">
        <v>123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17">
        <f t="shared" si="1"/>
        <v>0</v>
      </c>
      <c r="O6" s="153"/>
      <c r="P6" s="186"/>
    </row>
    <row r="7" ht="13.5" customHeight="1">
      <c r="A7" s="15" t="s">
        <v>17</v>
      </c>
      <c r="B7" s="46">
        <f>FORMULAS!P314</f>
        <v>0</v>
      </c>
      <c r="C7" s="46">
        <f>FORMULAS!T314</f>
        <v>0</v>
      </c>
      <c r="D7" s="46">
        <f>FORMULAS!X314</f>
        <v>0</v>
      </c>
      <c r="E7" s="46">
        <f>FORMULAS!AB314</f>
        <v>0</v>
      </c>
      <c r="F7" s="46">
        <f>FORMULAS!AF314</f>
        <v>0</v>
      </c>
      <c r="G7" s="46">
        <f>FORMULAS!AJ314</f>
        <v>0</v>
      </c>
      <c r="H7" s="46">
        <f>FORMULAS!AN314</f>
        <v>0</v>
      </c>
      <c r="I7" s="46">
        <f>FORMULAS!AR314</f>
        <v>0</v>
      </c>
      <c r="J7" s="46">
        <f>FORMULAS!AV314</f>
        <v>0</v>
      </c>
      <c r="K7" s="46">
        <f>FORMULAS!AZ314</f>
        <v>0</v>
      </c>
      <c r="L7" s="46">
        <f>FORMULAS!BD314</f>
        <v>0</v>
      </c>
      <c r="M7" s="46">
        <f>FORMULAS!BH314</f>
        <v>0</v>
      </c>
      <c r="N7" s="17">
        <f t="shared" si="1"/>
        <v>0</v>
      </c>
      <c r="O7" s="153"/>
      <c r="P7" s="186"/>
    </row>
    <row r="8" ht="13.5" customHeight="1">
      <c r="A8" s="15" t="s">
        <v>18</v>
      </c>
      <c r="B8" s="87"/>
      <c r="C8" s="46"/>
      <c r="D8" s="46"/>
      <c r="E8" s="46"/>
      <c r="F8" s="87"/>
      <c r="G8" s="87"/>
      <c r="H8" s="87"/>
      <c r="I8" s="87"/>
      <c r="J8" s="87"/>
      <c r="K8" s="87"/>
      <c r="L8" s="87"/>
      <c r="M8" s="87"/>
      <c r="N8" s="17">
        <f t="shared" si="1"/>
        <v>0</v>
      </c>
      <c r="O8" s="153"/>
      <c r="P8" s="186"/>
    </row>
    <row r="9" ht="13.5" customHeight="1">
      <c r="A9" s="20" t="s">
        <v>168</v>
      </c>
      <c r="B9" s="46">
        <f>FORMULAS!S93</f>
        <v>457.3696145</v>
      </c>
      <c r="C9" s="46">
        <f>FORMULAS!W93</f>
        <v>457.3696145</v>
      </c>
      <c r="D9" s="46">
        <f>FORMULAS!AA93</f>
        <v>457.3696145</v>
      </c>
      <c r="E9" s="46">
        <f>FORMULAS!AE93</f>
        <v>2553.517626</v>
      </c>
      <c r="F9" s="46">
        <f>FORMULAS!AI93</f>
        <v>4449.142064</v>
      </c>
      <c r="G9" s="46">
        <f>FORMULAS!AM93</f>
        <v>4053.806571</v>
      </c>
      <c r="H9" s="46">
        <f>FORMULAS!AQ93</f>
        <v>2326.620814</v>
      </c>
      <c r="I9" s="46">
        <f>FORMULAS!AU93</f>
        <v>2326.620814</v>
      </c>
      <c r="J9" s="46">
        <f>FORMULAS!AY93</f>
        <v>3190.213692</v>
      </c>
      <c r="K9" s="46">
        <f>FORMULAS!BC93</f>
        <v>3190.213692</v>
      </c>
      <c r="L9" s="46">
        <f>FORMULAS!BG93</f>
        <v>4053.806571</v>
      </c>
      <c r="M9" s="46">
        <f>FORMULAS!BK93</f>
        <v>4053.806571</v>
      </c>
      <c r="N9" s="17">
        <f t="shared" si="1"/>
        <v>31569.85726</v>
      </c>
      <c r="O9" s="153"/>
      <c r="P9" s="187" t="s">
        <v>175</v>
      </c>
    </row>
    <row r="10" ht="13.5" customHeight="1">
      <c r="A10" s="20" t="s">
        <v>20</v>
      </c>
      <c r="B10" s="46">
        <f>FORMULAS!S69</f>
        <v>1965.164777</v>
      </c>
      <c r="C10" s="46">
        <f>FORMULAS!W69</f>
        <v>1439.982494</v>
      </c>
      <c r="D10" s="46">
        <f>FORMULAS!AA69</f>
        <v>2084.141859</v>
      </c>
      <c r="E10" s="46">
        <f>FORMULAS!AE69</f>
        <v>1875.21542</v>
      </c>
      <c r="F10" s="188">
        <f>FORMULAS!AI69</f>
        <v>0</v>
      </c>
      <c r="G10" s="189"/>
      <c r="H10" s="102">
        <f>FORMULAS!AQ69</f>
        <v>0</v>
      </c>
      <c r="I10" s="46">
        <f>FORMULAS!AU69</f>
        <v>0</v>
      </c>
      <c r="J10" s="162">
        <f>FORMULAS!AY69</f>
        <v>0</v>
      </c>
      <c r="K10" s="162">
        <f>FORMULAS!BC69</f>
        <v>1777.985338</v>
      </c>
      <c r="L10" s="162">
        <f>FORMULAS!BG69</f>
        <v>1777.985338</v>
      </c>
      <c r="M10" s="46">
        <f>FORMULAS!BK69</f>
        <v>1777.985338</v>
      </c>
      <c r="N10" s="17">
        <f t="shared" si="1"/>
        <v>12698.46056</v>
      </c>
      <c r="O10" s="153"/>
      <c r="P10" s="187" t="s">
        <v>176</v>
      </c>
    </row>
    <row r="11" ht="13.5" customHeight="1">
      <c r="A11" s="15" t="s">
        <v>21</v>
      </c>
      <c r="B11" s="87">
        <v>388.0</v>
      </c>
      <c r="C11" s="87">
        <v>426.88</v>
      </c>
      <c r="D11" s="87">
        <v>388.0</v>
      </c>
      <c r="E11" s="87">
        <v>388.0</v>
      </c>
      <c r="F11" s="87">
        <v>388.0</v>
      </c>
      <c r="G11" s="87">
        <v>388.0</v>
      </c>
      <c r="H11" s="87">
        <v>388.0</v>
      </c>
      <c r="I11" s="87">
        <v>388.0</v>
      </c>
      <c r="J11" s="87">
        <v>388.0</v>
      </c>
      <c r="K11" s="87">
        <v>388.0</v>
      </c>
      <c r="L11" s="87">
        <v>388.0</v>
      </c>
      <c r="M11" s="87">
        <v>388.0</v>
      </c>
      <c r="N11" s="17">
        <f t="shared" si="1"/>
        <v>4694.88</v>
      </c>
      <c r="O11" s="153"/>
      <c r="P11" s="186"/>
    </row>
    <row r="12" ht="13.5" customHeight="1">
      <c r="A12" s="15" t="s">
        <v>22</v>
      </c>
      <c r="B12" s="46">
        <f>PRODUCTION!I3</f>
        <v>700</v>
      </c>
      <c r="C12" s="46">
        <f>PRODUCTION!I4</f>
        <v>1370.6</v>
      </c>
      <c r="D12" s="46">
        <f>PRODUCTION!I5</f>
        <v>1370.6</v>
      </c>
      <c r="E12" s="46">
        <f>PRODUCTION!I6</f>
        <v>1370.6</v>
      </c>
      <c r="F12" s="46">
        <f>PRODUCTION!I7</f>
        <v>1370.6</v>
      </c>
      <c r="G12" s="46">
        <f>PRODUCTION!I8</f>
        <v>1370.6</v>
      </c>
      <c r="H12" s="46">
        <f>PRODUCTION!I9</f>
        <v>1370.6</v>
      </c>
      <c r="I12" s="46">
        <f>PRODUCTION!I10</f>
        <v>1370.6</v>
      </c>
      <c r="J12" s="46">
        <f>PRODUCTION!I11</f>
        <v>1370.6</v>
      </c>
      <c r="K12" s="46">
        <f>PRODUCTION!I12</f>
        <v>1370.6</v>
      </c>
      <c r="L12" s="46">
        <f>PRODUCTION!I13</f>
        <v>1370.6</v>
      </c>
      <c r="M12" s="46">
        <f>PRODUCTION!I14</f>
        <v>1370.6</v>
      </c>
      <c r="N12" s="17">
        <f t="shared" si="1"/>
        <v>15776.6</v>
      </c>
      <c r="O12" s="153"/>
      <c r="P12" s="186"/>
    </row>
    <row r="13" ht="13.5" customHeight="1">
      <c r="A13" s="21" t="s">
        <v>23</v>
      </c>
      <c r="B13" s="22">
        <f t="shared" ref="B13:N13" si="2">SUM(B5:B12)</f>
        <v>8633.074074</v>
      </c>
      <c r="C13" s="22">
        <f t="shared" si="2"/>
        <v>8817.371791</v>
      </c>
      <c r="D13" s="22">
        <f t="shared" si="2"/>
        <v>9422.651156</v>
      </c>
      <c r="E13" s="22">
        <f t="shared" si="2"/>
        <v>13069.40413</v>
      </c>
      <c r="F13" s="22">
        <f t="shared" si="2"/>
        <v>6207.742064</v>
      </c>
      <c r="G13" s="22">
        <f t="shared" si="2"/>
        <v>14702.33326</v>
      </c>
      <c r="H13" s="22">
        <f t="shared" si="2"/>
        <v>10117.67107</v>
      </c>
      <c r="I13" s="22">
        <f t="shared" si="2"/>
        <v>10117.67107</v>
      </c>
      <c r="J13" s="22">
        <f t="shared" si="2"/>
        <v>12568.75086</v>
      </c>
      <c r="K13" s="22">
        <f t="shared" si="2"/>
        <v>14346.73619</v>
      </c>
      <c r="L13" s="22">
        <f t="shared" si="2"/>
        <v>16480.3186</v>
      </c>
      <c r="M13" s="22">
        <f t="shared" si="2"/>
        <v>16480.3186</v>
      </c>
      <c r="N13" s="22">
        <f t="shared" si="2"/>
        <v>140964.0429</v>
      </c>
      <c r="O13" s="190"/>
      <c r="P13" s="186"/>
    </row>
    <row r="14" ht="13.5" customHeight="1">
      <c r="A14" s="89" t="s">
        <v>24</v>
      </c>
      <c r="B14" s="90"/>
      <c r="C14" s="90"/>
      <c r="D14" s="90"/>
      <c r="E14" s="90"/>
      <c r="F14" s="63"/>
      <c r="G14" s="63"/>
      <c r="H14" s="63"/>
      <c r="I14" s="63"/>
      <c r="J14" s="63"/>
      <c r="K14" s="63"/>
      <c r="L14" s="63"/>
      <c r="M14" s="63"/>
      <c r="N14" s="83"/>
      <c r="O14" s="170"/>
      <c r="P14" s="184"/>
    </row>
    <row r="15" ht="13.5" customHeight="1">
      <c r="A15" s="35" t="s">
        <v>153</v>
      </c>
      <c r="B15" s="87"/>
      <c r="C15" s="87"/>
      <c r="D15" s="87"/>
      <c r="E15" s="87"/>
      <c r="F15" s="87"/>
      <c r="G15" s="87"/>
      <c r="H15" s="46"/>
      <c r="I15" s="46"/>
      <c r="J15" s="46"/>
      <c r="K15" s="46"/>
      <c r="L15" s="46"/>
      <c r="M15" s="46"/>
      <c r="N15" s="17">
        <f t="shared" ref="N15:N18" si="3">SUM(B15:M15)</f>
        <v>0</v>
      </c>
      <c r="O15" s="153"/>
      <c r="P15" s="186"/>
    </row>
    <row r="16" ht="13.5" customHeight="1">
      <c r="A16" s="35" t="s">
        <v>26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17">
        <f t="shared" si="3"/>
        <v>0</v>
      </c>
      <c r="O16" s="153"/>
      <c r="P16" s="186"/>
    </row>
    <row r="17" ht="13.5" customHeight="1">
      <c r="A17" s="35"/>
      <c r="B17" s="46"/>
      <c r="C17" s="46"/>
      <c r="D17" s="46"/>
      <c r="E17" s="46"/>
      <c r="F17" s="46"/>
      <c r="G17" s="46"/>
      <c r="H17" s="46"/>
      <c r="I17" s="46"/>
      <c r="J17" s="87"/>
      <c r="K17" s="46"/>
      <c r="L17" s="46"/>
      <c r="M17" s="46"/>
      <c r="N17" s="17">
        <f t="shared" si="3"/>
        <v>0</v>
      </c>
      <c r="O17" s="153"/>
      <c r="P17" s="186"/>
    </row>
    <row r="18" ht="13.5" customHeight="1">
      <c r="A18" s="3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17">
        <f t="shared" si="3"/>
        <v>0</v>
      </c>
      <c r="O18" s="153"/>
      <c r="P18" s="186"/>
    </row>
    <row r="19" ht="13.5" customHeight="1">
      <c r="A19" s="27" t="s">
        <v>29</v>
      </c>
      <c r="B19" s="103"/>
      <c r="C19" s="103"/>
      <c r="D19" s="87"/>
      <c r="E19" s="87"/>
      <c r="F19" s="46"/>
      <c r="G19" s="46"/>
      <c r="H19" s="46"/>
      <c r="I19" s="46"/>
      <c r="J19" s="46"/>
      <c r="K19" s="46"/>
      <c r="L19" s="46"/>
      <c r="M19" s="46"/>
      <c r="N19" s="17">
        <f>SUM(C19:M19)</f>
        <v>0</v>
      </c>
      <c r="O19" s="153"/>
      <c r="P19" s="186"/>
    </row>
    <row r="20" ht="13.5" customHeight="1">
      <c r="A20" s="3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17">
        <f>SUM(B20:M20)</f>
        <v>0</v>
      </c>
      <c r="O20" s="153"/>
      <c r="P20" s="186"/>
    </row>
    <row r="21" ht="13.5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  <c r="O21" s="175"/>
      <c r="P21" s="186"/>
    </row>
    <row r="22" ht="13.5" customHeight="1">
      <c r="A22" s="89" t="s">
        <v>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3"/>
      <c r="O22" s="170"/>
      <c r="P22" s="184"/>
    </row>
    <row r="23" ht="13.5" customHeight="1">
      <c r="A23" s="26" t="s">
        <v>31</v>
      </c>
      <c r="B23" s="87">
        <v>0.0</v>
      </c>
      <c r="C23" s="87">
        <v>3250.0</v>
      </c>
      <c r="D23" s="87">
        <v>3250.0</v>
      </c>
      <c r="E23" s="87">
        <v>0.0</v>
      </c>
      <c r="F23" s="87">
        <v>0.0</v>
      </c>
      <c r="G23" s="87">
        <v>0.0</v>
      </c>
      <c r="H23" s="87">
        <v>0.0</v>
      </c>
      <c r="I23" s="87">
        <v>0.0</v>
      </c>
      <c r="J23" s="87">
        <v>0.0</v>
      </c>
      <c r="K23" s="87">
        <v>0.0</v>
      </c>
      <c r="L23" s="87">
        <v>0.0</v>
      </c>
      <c r="M23" s="87">
        <v>0.0</v>
      </c>
      <c r="N23" s="17">
        <f t="shared" ref="N23:N31" si="5">SUM(B23:M23)</f>
        <v>6500</v>
      </c>
      <c r="O23" s="153"/>
      <c r="P23" s="185" t="s">
        <v>177</v>
      </c>
    </row>
    <row r="24" ht="13.5" customHeight="1">
      <c r="A24" s="32"/>
      <c r="B24" s="46"/>
      <c r="C24" s="46"/>
      <c r="D24" s="46"/>
      <c r="E24" s="46"/>
      <c r="F24" s="87"/>
      <c r="G24" s="46"/>
      <c r="H24" s="46"/>
      <c r="I24" s="46"/>
      <c r="J24" s="46"/>
      <c r="K24" s="46"/>
      <c r="L24" s="46"/>
      <c r="M24" s="46"/>
      <c r="N24" s="17">
        <f t="shared" si="5"/>
        <v>0</v>
      </c>
      <c r="O24" s="153"/>
      <c r="P24" s="186"/>
    </row>
    <row r="25" ht="13.5" customHeight="1">
      <c r="A25" s="15" t="s">
        <v>127</v>
      </c>
      <c r="B25" s="46"/>
      <c r="C25" s="46"/>
      <c r="D25" s="46"/>
      <c r="E25" s="46"/>
      <c r="F25" s="46"/>
      <c r="G25" s="46"/>
      <c r="H25" s="87"/>
      <c r="I25" s="87"/>
      <c r="J25" s="46"/>
      <c r="K25" s="46"/>
      <c r="L25" s="46"/>
      <c r="M25" s="46"/>
      <c r="N25" s="17">
        <f t="shared" si="5"/>
        <v>0</v>
      </c>
      <c r="O25" s="153"/>
      <c r="P25" s="186"/>
    </row>
    <row r="26" ht="13.5" customHeight="1">
      <c r="A26" s="32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17">
        <f t="shared" si="5"/>
        <v>0</v>
      </c>
      <c r="O26" s="153"/>
      <c r="P26" s="186"/>
    </row>
    <row r="27" ht="13.5" customHeight="1">
      <c r="A27" s="31" t="s">
        <v>34</v>
      </c>
      <c r="B27" s="172"/>
      <c r="C27" s="139"/>
      <c r="D27" s="139"/>
      <c r="E27" s="191"/>
      <c r="F27" s="172"/>
      <c r="G27" s="172"/>
      <c r="H27" s="192"/>
      <c r="I27" s="172"/>
      <c r="J27" s="140"/>
      <c r="K27" s="141"/>
      <c r="L27" s="172"/>
      <c r="M27" s="172"/>
      <c r="N27" s="17">
        <f t="shared" si="5"/>
        <v>0</v>
      </c>
      <c r="O27" s="153"/>
      <c r="P27" s="186"/>
    </row>
    <row r="28" ht="13.5" customHeight="1">
      <c r="A28" s="33" t="s">
        <v>35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17">
        <f t="shared" si="5"/>
        <v>0</v>
      </c>
      <c r="O28" s="153"/>
      <c r="P28" s="186"/>
    </row>
    <row r="29" ht="13.5" customHeight="1">
      <c r="A29" s="27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17">
        <f t="shared" si="5"/>
        <v>0</v>
      </c>
      <c r="O29" s="153"/>
      <c r="P29" s="186"/>
    </row>
    <row r="30" ht="13.5" customHeight="1">
      <c r="A30" s="31" t="s">
        <v>37</v>
      </c>
      <c r="B30" s="46"/>
      <c r="C30" s="87"/>
      <c r="D30" s="87"/>
      <c r="E30" s="87"/>
      <c r="F30" s="87"/>
      <c r="G30" s="87"/>
      <c r="H30" s="87"/>
      <c r="I30" s="46"/>
      <c r="J30" s="46"/>
      <c r="K30" s="46"/>
      <c r="L30" s="87"/>
      <c r="M30" s="87"/>
      <c r="N30" s="17">
        <f t="shared" si="5"/>
        <v>0</v>
      </c>
      <c r="O30" s="153"/>
      <c r="P30" s="186"/>
    </row>
    <row r="31" ht="13.5" customHeight="1">
      <c r="A31" s="3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17">
        <f t="shared" si="5"/>
        <v>0</v>
      </c>
      <c r="O31" s="153"/>
      <c r="P31" s="186"/>
    </row>
    <row r="32" ht="13.5" customHeight="1">
      <c r="A32" s="91" t="s">
        <v>23</v>
      </c>
      <c r="B32" s="28">
        <f t="shared" ref="B32:N32" si="6">SUM(B23:B31)</f>
        <v>0</v>
      </c>
      <c r="C32" s="28">
        <f t="shared" si="6"/>
        <v>3250</v>
      </c>
      <c r="D32" s="28">
        <f t="shared" si="6"/>
        <v>3250</v>
      </c>
      <c r="E32" s="28">
        <f t="shared" si="6"/>
        <v>0</v>
      </c>
      <c r="F32" s="28">
        <f t="shared" si="6"/>
        <v>0</v>
      </c>
      <c r="G32" s="28">
        <f t="shared" si="6"/>
        <v>0</v>
      </c>
      <c r="H32" s="28">
        <f t="shared" si="6"/>
        <v>0</v>
      </c>
      <c r="I32" s="28">
        <f t="shared" si="6"/>
        <v>0</v>
      </c>
      <c r="J32" s="28">
        <f t="shared" si="6"/>
        <v>0</v>
      </c>
      <c r="K32" s="28">
        <f t="shared" si="6"/>
        <v>0</v>
      </c>
      <c r="L32" s="28">
        <f t="shared" si="6"/>
        <v>0</v>
      </c>
      <c r="M32" s="28">
        <f t="shared" si="6"/>
        <v>0</v>
      </c>
      <c r="N32" s="28">
        <f t="shared" si="6"/>
        <v>6500</v>
      </c>
      <c r="O32" s="175"/>
      <c r="P32" s="186"/>
    </row>
    <row r="33" ht="13.5" customHeight="1">
      <c r="A33" s="79" t="s">
        <v>38</v>
      </c>
      <c r="B33" s="63"/>
      <c r="C33" s="63"/>
      <c r="D33" s="63"/>
      <c r="E33" s="63"/>
      <c r="F33" s="83"/>
      <c r="G33" s="83"/>
      <c r="H33" s="83"/>
      <c r="I33" s="83"/>
      <c r="J33" s="83"/>
      <c r="K33" s="83"/>
      <c r="L33" s="83"/>
      <c r="M33" s="83"/>
      <c r="N33" s="83"/>
      <c r="O33" s="170"/>
      <c r="P33" s="184"/>
    </row>
    <row r="34" ht="13.5" customHeight="1">
      <c r="A34" s="15" t="s">
        <v>39</v>
      </c>
      <c r="B34" s="87">
        <f t="shared" ref="B34:M34" si="7">1300+61.9+850</f>
        <v>2211.9</v>
      </c>
      <c r="C34" s="87">
        <f t="shared" si="7"/>
        <v>2211.9</v>
      </c>
      <c r="D34" s="87">
        <f t="shared" si="7"/>
        <v>2211.9</v>
      </c>
      <c r="E34" s="87">
        <f t="shared" si="7"/>
        <v>2211.9</v>
      </c>
      <c r="F34" s="87">
        <f t="shared" si="7"/>
        <v>2211.9</v>
      </c>
      <c r="G34" s="87">
        <f t="shared" si="7"/>
        <v>2211.9</v>
      </c>
      <c r="H34" s="87">
        <f t="shared" si="7"/>
        <v>2211.9</v>
      </c>
      <c r="I34" s="87">
        <f t="shared" si="7"/>
        <v>2211.9</v>
      </c>
      <c r="J34" s="87">
        <f t="shared" si="7"/>
        <v>2211.9</v>
      </c>
      <c r="K34" s="87">
        <f t="shared" si="7"/>
        <v>2211.9</v>
      </c>
      <c r="L34" s="87">
        <f t="shared" si="7"/>
        <v>2211.9</v>
      </c>
      <c r="M34" s="87">
        <f t="shared" si="7"/>
        <v>2211.9</v>
      </c>
      <c r="N34" s="17">
        <f t="shared" ref="N34:N47" si="8">SUM(B34:M34)</f>
        <v>26542.8</v>
      </c>
      <c r="O34" s="153"/>
      <c r="P34" s="193" t="s">
        <v>178</v>
      </c>
    </row>
    <row r="35" ht="13.5" customHeight="1">
      <c r="A35" s="19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17">
        <f t="shared" si="8"/>
        <v>0</v>
      </c>
      <c r="O35" s="153"/>
      <c r="P35" s="186"/>
    </row>
    <row r="36" ht="13.5" customHeight="1">
      <c r="A36" s="35" t="s">
        <v>41</v>
      </c>
      <c r="B36" s="87">
        <v>395.0</v>
      </c>
      <c r="C36" s="87">
        <v>395.0</v>
      </c>
      <c r="D36" s="87">
        <v>395.0</v>
      </c>
      <c r="E36" s="87">
        <v>395.0</v>
      </c>
      <c r="F36" s="87">
        <v>395.0</v>
      </c>
      <c r="G36" s="87">
        <v>395.0</v>
      </c>
      <c r="H36" s="87">
        <v>395.0</v>
      </c>
      <c r="I36" s="87">
        <v>395.0</v>
      </c>
      <c r="J36" s="87">
        <v>395.0</v>
      </c>
      <c r="K36" s="87">
        <v>395.0</v>
      </c>
      <c r="L36" s="87">
        <v>395.0</v>
      </c>
      <c r="M36" s="87">
        <v>395.0</v>
      </c>
      <c r="N36" s="17">
        <f t="shared" si="8"/>
        <v>4740</v>
      </c>
      <c r="O36" s="153"/>
      <c r="P36" s="194" t="s">
        <v>179</v>
      </c>
    </row>
    <row r="37" ht="13.5" customHeight="1">
      <c r="A37" s="35" t="s">
        <v>42</v>
      </c>
      <c r="B37" s="87">
        <v>759.0</v>
      </c>
      <c r="C37" s="87">
        <v>759.0</v>
      </c>
      <c r="D37" s="87">
        <v>759.0</v>
      </c>
      <c r="E37" s="87">
        <v>759.0</v>
      </c>
      <c r="F37" s="87">
        <v>759.0</v>
      </c>
      <c r="G37" s="87">
        <v>759.0</v>
      </c>
      <c r="H37" s="87">
        <v>759.0</v>
      </c>
      <c r="I37" s="87">
        <v>759.0</v>
      </c>
      <c r="J37" s="87">
        <v>759.0</v>
      </c>
      <c r="K37" s="87">
        <v>759.0</v>
      </c>
      <c r="L37" s="87">
        <v>759.0</v>
      </c>
      <c r="M37" s="87">
        <v>759.0</v>
      </c>
      <c r="N37" s="17">
        <f t="shared" si="8"/>
        <v>9108</v>
      </c>
      <c r="O37" s="153"/>
      <c r="P37" s="194" t="s">
        <v>180</v>
      </c>
    </row>
    <row r="38" ht="13.5" customHeight="1">
      <c r="A38" s="35" t="s">
        <v>43</v>
      </c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17">
        <f t="shared" si="8"/>
        <v>0</v>
      </c>
      <c r="O38" s="153"/>
      <c r="P38" s="186"/>
    </row>
    <row r="39" ht="13.5" customHeight="1">
      <c r="A39" s="35" t="s">
        <v>44</v>
      </c>
      <c r="B39" s="46"/>
      <c r="C39" s="46"/>
      <c r="D39" s="46"/>
      <c r="E39" s="46"/>
      <c r="F39" s="46"/>
      <c r="G39" s="46"/>
      <c r="H39" s="46"/>
      <c r="I39" s="46"/>
      <c r="J39" s="195"/>
      <c r="K39" s="46"/>
      <c r="L39" s="46"/>
      <c r="M39" s="46"/>
      <c r="N39" s="17">
        <f t="shared" si="8"/>
        <v>0</v>
      </c>
      <c r="O39" s="153"/>
      <c r="P39" s="186"/>
    </row>
    <row r="40" ht="13.5" customHeight="1">
      <c r="A40" s="35" t="s">
        <v>45</v>
      </c>
      <c r="B40" s="87"/>
      <c r="C40" s="46"/>
      <c r="D40" s="46"/>
      <c r="E40" s="46"/>
      <c r="F40" s="46"/>
      <c r="G40" s="46"/>
      <c r="H40" s="46"/>
      <c r="I40" s="46"/>
      <c r="J40" s="195"/>
      <c r="K40" s="87"/>
      <c r="L40" s="46"/>
      <c r="M40" s="46"/>
      <c r="N40" s="17">
        <f t="shared" si="8"/>
        <v>0</v>
      </c>
      <c r="O40" s="153"/>
      <c r="P40" s="186"/>
    </row>
    <row r="41" ht="13.5" customHeight="1">
      <c r="A41" s="39" t="s">
        <v>181</v>
      </c>
      <c r="B41" s="87">
        <v>5530.0</v>
      </c>
      <c r="C41" s="87">
        <v>5530.0</v>
      </c>
      <c r="D41" s="87">
        <v>5530.0</v>
      </c>
      <c r="E41" s="87">
        <v>5530.0</v>
      </c>
      <c r="F41" s="87">
        <v>5530.0</v>
      </c>
      <c r="G41" s="87">
        <v>5530.0</v>
      </c>
      <c r="H41" s="87">
        <v>5530.0</v>
      </c>
      <c r="I41" s="87">
        <v>5530.0</v>
      </c>
      <c r="J41" s="87">
        <v>5530.0</v>
      </c>
      <c r="K41" s="87">
        <v>5530.0</v>
      </c>
      <c r="L41" s="87">
        <v>5530.0</v>
      </c>
      <c r="M41" s="87">
        <v>5530.0</v>
      </c>
      <c r="N41" s="17">
        <f t="shared" si="8"/>
        <v>66360</v>
      </c>
      <c r="O41" s="153"/>
      <c r="P41" s="196" t="s">
        <v>182</v>
      </c>
    </row>
    <row r="42" ht="17.25" customHeight="1">
      <c r="A42" s="15" t="s">
        <v>47</v>
      </c>
      <c r="B42" s="87">
        <v>365.0</v>
      </c>
      <c r="C42" s="87">
        <v>365.0</v>
      </c>
      <c r="D42" s="87">
        <v>365.0</v>
      </c>
      <c r="E42" s="87">
        <v>365.0</v>
      </c>
      <c r="F42" s="87">
        <v>365.0</v>
      </c>
      <c r="G42" s="87">
        <v>365.0</v>
      </c>
      <c r="H42" s="87">
        <v>365.0</v>
      </c>
      <c r="I42" s="87">
        <v>365.0</v>
      </c>
      <c r="J42" s="87">
        <v>365.0</v>
      </c>
      <c r="K42" s="87">
        <v>365.0</v>
      </c>
      <c r="L42" s="87">
        <v>365.0</v>
      </c>
      <c r="M42" s="87">
        <v>365.0</v>
      </c>
      <c r="N42" s="17">
        <f t="shared" si="8"/>
        <v>4380</v>
      </c>
      <c r="O42" s="153"/>
      <c r="P42" s="196" t="s">
        <v>183</v>
      </c>
    </row>
    <row r="43" ht="13.5" customHeight="1">
      <c r="A43" s="15" t="s">
        <v>184</v>
      </c>
      <c r="B43" s="87">
        <v>1247.0</v>
      </c>
      <c r="C43" s="87">
        <v>1247.0</v>
      </c>
      <c r="D43" s="87">
        <v>1247.0</v>
      </c>
      <c r="E43" s="87">
        <v>1247.0</v>
      </c>
      <c r="F43" s="87">
        <v>1247.0</v>
      </c>
      <c r="G43" s="87">
        <v>1247.0</v>
      </c>
      <c r="H43" s="87">
        <v>1247.0</v>
      </c>
      <c r="I43" s="87">
        <v>1247.0</v>
      </c>
      <c r="J43" s="87">
        <v>1247.0</v>
      </c>
      <c r="K43" s="87">
        <v>1247.0</v>
      </c>
      <c r="L43" s="87">
        <v>1247.0</v>
      </c>
      <c r="M43" s="87">
        <v>1247.0</v>
      </c>
      <c r="N43" s="17">
        <f t="shared" si="8"/>
        <v>14964</v>
      </c>
      <c r="O43" s="153"/>
      <c r="P43" s="196" t="s">
        <v>185</v>
      </c>
    </row>
    <row r="44" ht="13.5" customHeight="1">
      <c r="A44" s="19" t="s">
        <v>130</v>
      </c>
      <c r="B44" s="87">
        <v>249.0</v>
      </c>
      <c r="C44" s="87">
        <v>249.0</v>
      </c>
      <c r="D44" s="87">
        <v>249.0</v>
      </c>
      <c r="E44" s="87">
        <v>249.0</v>
      </c>
      <c r="F44" s="87">
        <v>249.0</v>
      </c>
      <c r="G44" s="87">
        <v>249.0</v>
      </c>
      <c r="H44" s="87">
        <v>249.0</v>
      </c>
      <c r="I44" s="87">
        <v>249.0</v>
      </c>
      <c r="J44" s="87">
        <v>249.0</v>
      </c>
      <c r="K44" s="87">
        <v>249.0</v>
      </c>
      <c r="L44" s="87">
        <v>249.0</v>
      </c>
      <c r="M44" s="87">
        <v>249.0</v>
      </c>
      <c r="N44" s="17">
        <f t="shared" si="8"/>
        <v>2988</v>
      </c>
      <c r="O44" s="153"/>
      <c r="P44" s="196" t="s">
        <v>186</v>
      </c>
    </row>
    <row r="45" ht="13.5" customHeight="1">
      <c r="A45" s="156" t="s">
        <v>50</v>
      </c>
      <c r="B45" s="46">
        <f t="shared" ref="B45:M45" si="9">45+97.5</f>
        <v>142.5</v>
      </c>
      <c r="C45" s="46">
        <f t="shared" si="9"/>
        <v>142.5</v>
      </c>
      <c r="D45" s="46">
        <f t="shared" si="9"/>
        <v>142.5</v>
      </c>
      <c r="E45" s="46">
        <f t="shared" si="9"/>
        <v>142.5</v>
      </c>
      <c r="F45" s="46">
        <f t="shared" si="9"/>
        <v>142.5</v>
      </c>
      <c r="G45" s="46">
        <f t="shared" si="9"/>
        <v>142.5</v>
      </c>
      <c r="H45" s="46">
        <f t="shared" si="9"/>
        <v>142.5</v>
      </c>
      <c r="I45" s="46">
        <f t="shared" si="9"/>
        <v>142.5</v>
      </c>
      <c r="J45" s="46">
        <f t="shared" si="9"/>
        <v>142.5</v>
      </c>
      <c r="K45" s="46">
        <f t="shared" si="9"/>
        <v>142.5</v>
      </c>
      <c r="L45" s="46">
        <f t="shared" si="9"/>
        <v>142.5</v>
      </c>
      <c r="M45" s="46">
        <f t="shared" si="9"/>
        <v>142.5</v>
      </c>
      <c r="N45" s="17">
        <f t="shared" si="8"/>
        <v>1710</v>
      </c>
      <c r="O45" s="153"/>
      <c r="P45" s="196" t="s">
        <v>187</v>
      </c>
    </row>
    <row r="46" ht="13.5" customHeight="1">
      <c r="A46" s="15" t="s">
        <v>51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17">
        <f t="shared" si="8"/>
        <v>0</v>
      </c>
      <c r="O46" s="153"/>
      <c r="P46" s="186"/>
    </row>
    <row r="47" ht="13.5" customHeight="1">
      <c r="A47" s="19" t="s">
        <v>52</v>
      </c>
      <c r="B47" s="87">
        <f t="shared" ref="B47:M47" si="10">850+30+750+2500</f>
        <v>4130</v>
      </c>
      <c r="C47" s="87">
        <f t="shared" si="10"/>
        <v>4130</v>
      </c>
      <c r="D47" s="87">
        <f t="shared" si="10"/>
        <v>4130</v>
      </c>
      <c r="E47" s="87">
        <f t="shared" si="10"/>
        <v>4130</v>
      </c>
      <c r="F47" s="87">
        <f t="shared" si="10"/>
        <v>4130</v>
      </c>
      <c r="G47" s="87">
        <f t="shared" si="10"/>
        <v>4130</v>
      </c>
      <c r="H47" s="87">
        <f t="shared" si="10"/>
        <v>4130</v>
      </c>
      <c r="I47" s="87">
        <f t="shared" si="10"/>
        <v>4130</v>
      </c>
      <c r="J47" s="87">
        <f t="shared" si="10"/>
        <v>4130</v>
      </c>
      <c r="K47" s="87">
        <f t="shared" si="10"/>
        <v>4130</v>
      </c>
      <c r="L47" s="87">
        <f t="shared" si="10"/>
        <v>4130</v>
      </c>
      <c r="M47" s="87">
        <f t="shared" si="10"/>
        <v>4130</v>
      </c>
      <c r="N47" s="17">
        <f t="shared" si="8"/>
        <v>49560</v>
      </c>
      <c r="O47" s="153"/>
      <c r="P47" s="196" t="s">
        <v>188</v>
      </c>
    </row>
    <row r="48" ht="13.5" customHeight="1">
      <c r="A48" s="19" t="s">
        <v>189</v>
      </c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17"/>
      <c r="O48" s="153"/>
      <c r="P48" s="196" t="s">
        <v>190</v>
      </c>
    </row>
    <row r="49" ht="13.5" customHeight="1">
      <c r="A49" s="15" t="s">
        <v>53</v>
      </c>
      <c r="B49" s="87">
        <f t="shared" ref="B49:M49" si="11">350.33+55.66+80</f>
        <v>485.99</v>
      </c>
      <c r="C49" s="87">
        <f t="shared" si="11"/>
        <v>485.99</v>
      </c>
      <c r="D49" s="87">
        <f t="shared" si="11"/>
        <v>485.99</v>
      </c>
      <c r="E49" s="87">
        <f t="shared" si="11"/>
        <v>485.99</v>
      </c>
      <c r="F49" s="87">
        <f t="shared" si="11"/>
        <v>485.99</v>
      </c>
      <c r="G49" s="87">
        <f t="shared" si="11"/>
        <v>485.99</v>
      </c>
      <c r="H49" s="87">
        <f t="shared" si="11"/>
        <v>485.99</v>
      </c>
      <c r="I49" s="87">
        <f t="shared" si="11"/>
        <v>485.99</v>
      </c>
      <c r="J49" s="87">
        <f t="shared" si="11"/>
        <v>485.99</v>
      </c>
      <c r="K49" s="87">
        <f t="shared" si="11"/>
        <v>485.99</v>
      </c>
      <c r="L49" s="87">
        <f t="shared" si="11"/>
        <v>485.99</v>
      </c>
      <c r="M49" s="87">
        <f t="shared" si="11"/>
        <v>485.99</v>
      </c>
      <c r="N49" s="17">
        <f t="shared" ref="N49:N52" si="12">SUM(B49:M49)</f>
        <v>5831.88</v>
      </c>
      <c r="O49" s="153"/>
      <c r="P49" s="186"/>
    </row>
    <row r="50" ht="13.5" customHeight="1">
      <c r="A50" s="35" t="s">
        <v>54</v>
      </c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17">
        <f t="shared" si="12"/>
        <v>0</v>
      </c>
      <c r="O50" s="153"/>
    </row>
    <row r="51" ht="13.5" customHeight="1">
      <c r="A51" s="19" t="s">
        <v>155</v>
      </c>
      <c r="B51" s="96">
        <v>1600.0</v>
      </c>
      <c r="C51" s="96">
        <v>1600.0</v>
      </c>
      <c r="D51" s="96">
        <v>1600.0</v>
      </c>
      <c r="E51" s="96">
        <v>1600.0</v>
      </c>
      <c r="F51" s="96">
        <v>1600.0</v>
      </c>
      <c r="G51" s="96">
        <v>1600.0</v>
      </c>
      <c r="H51" s="96">
        <v>1600.0</v>
      </c>
      <c r="I51" s="96">
        <v>1600.0</v>
      </c>
      <c r="J51" s="96">
        <v>1600.0</v>
      </c>
      <c r="K51" s="96">
        <v>1600.0</v>
      </c>
      <c r="L51" s="96">
        <v>1600.0</v>
      </c>
      <c r="M51" s="96">
        <v>1600.0</v>
      </c>
      <c r="N51" s="17">
        <f t="shared" si="12"/>
        <v>19200</v>
      </c>
      <c r="O51" s="153"/>
      <c r="P51" s="187" t="s">
        <v>191</v>
      </c>
    </row>
    <row r="52" ht="13.5" customHeight="1">
      <c r="A52" s="15" t="s">
        <v>160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17">
        <f t="shared" si="12"/>
        <v>0</v>
      </c>
      <c r="O52" s="153"/>
      <c r="P52" s="186"/>
    </row>
    <row r="53" ht="13.5" customHeight="1">
      <c r="A53" s="91" t="s">
        <v>23</v>
      </c>
      <c r="B53" s="28">
        <f t="shared" ref="B53:N53" si="13">SUM(B34:B52)</f>
        <v>17115.39</v>
      </c>
      <c r="C53" s="28">
        <f t="shared" si="13"/>
        <v>17115.39</v>
      </c>
      <c r="D53" s="28">
        <f t="shared" si="13"/>
        <v>17115.39</v>
      </c>
      <c r="E53" s="28">
        <f t="shared" si="13"/>
        <v>17115.39</v>
      </c>
      <c r="F53" s="28">
        <f t="shared" si="13"/>
        <v>17115.39</v>
      </c>
      <c r="G53" s="28">
        <f t="shared" si="13"/>
        <v>17115.39</v>
      </c>
      <c r="H53" s="28">
        <f t="shared" si="13"/>
        <v>17115.39</v>
      </c>
      <c r="I53" s="28">
        <f t="shared" si="13"/>
        <v>17115.39</v>
      </c>
      <c r="J53" s="28">
        <f t="shared" si="13"/>
        <v>17115.39</v>
      </c>
      <c r="K53" s="28">
        <f t="shared" si="13"/>
        <v>17115.39</v>
      </c>
      <c r="L53" s="28">
        <f t="shared" si="13"/>
        <v>17115.39</v>
      </c>
      <c r="M53" s="28">
        <f t="shared" si="13"/>
        <v>17115.39</v>
      </c>
      <c r="N53" s="28">
        <f t="shared" si="13"/>
        <v>205384.68</v>
      </c>
      <c r="O53" s="175"/>
    </row>
    <row r="54" ht="13.5" customHeight="1">
      <c r="A54" s="79" t="s">
        <v>56</v>
      </c>
      <c r="B54" s="63"/>
      <c r="C54" s="63"/>
      <c r="D54" s="63"/>
      <c r="E54" s="63"/>
      <c r="F54" s="83"/>
      <c r="G54" s="83"/>
      <c r="H54" s="83"/>
      <c r="I54" s="83"/>
      <c r="J54" s="83"/>
      <c r="K54" s="83"/>
      <c r="L54" s="83"/>
      <c r="M54" s="83"/>
      <c r="N54" s="83"/>
      <c r="O54" s="170"/>
      <c r="P54" s="184"/>
    </row>
    <row r="55" ht="13.5" customHeight="1">
      <c r="A55" s="32" t="s">
        <v>57</v>
      </c>
      <c r="B55" s="197">
        <v>1000.0</v>
      </c>
      <c r="C55" s="87">
        <v>776.34</v>
      </c>
      <c r="D55" s="87"/>
      <c r="E55" s="197">
        <v>1000.0</v>
      </c>
      <c r="F55" s="87"/>
      <c r="G55" s="96"/>
      <c r="H55" s="197">
        <v>1000.0</v>
      </c>
      <c r="I55" s="87"/>
      <c r="J55" s="87"/>
      <c r="K55" s="197">
        <v>1000.0</v>
      </c>
      <c r="L55" s="87"/>
      <c r="M55" s="87"/>
      <c r="N55" s="17">
        <f t="shared" ref="N55:N70" si="14">SUM(B55:M55)</f>
        <v>4776.34</v>
      </c>
      <c r="O55" s="153"/>
      <c r="P55" s="185" t="s">
        <v>192</v>
      </c>
    </row>
    <row r="56" ht="13.5" customHeight="1">
      <c r="A56" s="32" t="s">
        <v>58</v>
      </c>
      <c r="B56" s="87">
        <v>3900.0</v>
      </c>
      <c r="C56" s="87">
        <v>3900.0</v>
      </c>
      <c r="D56" s="87">
        <v>3900.0</v>
      </c>
      <c r="E56" s="87">
        <v>3900.0</v>
      </c>
      <c r="F56" s="87">
        <v>3900.0</v>
      </c>
      <c r="G56" s="87">
        <v>3900.0</v>
      </c>
      <c r="H56" s="87">
        <v>3900.0</v>
      </c>
      <c r="I56" s="87">
        <v>3900.0</v>
      </c>
      <c r="J56" s="87">
        <v>3900.0</v>
      </c>
      <c r="K56" s="87">
        <v>3900.0</v>
      </c>
      <c r="L56" s="87">
        <v>3900.0</v>
      </c>
      <c r="M56" s="87">
        <v>3900.0</v>
      </c>
      <c r="N56" s="17">
        <f t="shared" si="14"/>
        <v>46800</v>
      </c>
      <c r="O56" s="153"/>
      <c r="P56" s="185" t="s">
        <v>193</v>
      </c>
    </row>
    <row r="57" ht="13.5" customHeight="1">
      <c r="A57" s="31" t="s">
        <v>59</v>
      </c>
      <c r="B57" s="87">
        <f t="shared" ref="B57:M57" si="15">399+351+57</f>
        <v>807</v>
      </c>
      <c r="C57" s="87">
        <f t="shared" si="15"/>
        <v>807</v>
      </c>
      <c r="D57" s="87">
        <f t="shared" si="15"/>
        <v>807</v>
      </c>
      <c r="E57" s="87">
        <f t="shared" si="15"/>
        <v>807</v>
      </c>
      <c r="F57" s="87">
        <f t="shared" si="15"/>
        <v>807</v>
      </c>
      <c r="G57" s="87">
        <f t="shared" si="15"/>
        <v>807</v>
      </c>
      <c r="H57" s="87">
        <f t="shared" si="15"/>
        <v>807</v>
      </c>
      <c r="I57" s="87">
        <f t="shared" si="15"/>
        <v>807</v>
      </c>
      <c r="J57" s="87">
        <f t="shared" si="15"/>
        <v>807</v>
      </c>
      <c r="K57" s="87">
        <f t="shared" si="15"/>
        <v>807</v>
      </c>
      <c r="L57" s="87">
        <f t="shared" si="15"/>
        <v>807</v>
      </c>
      <c r="M57" s="87">
        <f t="shared" si="15"/>
        <v>807</v>
      </c>
      <c r="N57" s="17">
        <f t="shared" si="14"/>
        <v>9684</v>
      </c>
      <c r="O57" s="153"/>
      <c r="P57" s="185" t="s">
        <v>194</v>
      </c>
    </row>
    <row r="58" ht="13.5" customHeight="1">
      <c r="A58" s="31" t="s">
        <v>133</v>
      </c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17">
        <f t="shared" si="14"/>
        <v>0</v>
      </c>
      <c r="O58" s="153"/>
      <c r="P58" s="186"/>
    </row>
    <row r="59" ht="13.5" customHeight="1">
      <c r="A59" s="31" t="s">
        <v>134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17">
        <f t="shared" si="14"/>
        <v>0</v>
      </c>
      <c r="O59" s="153"/>
      <c r="P59" s="186"/>
    </row>
    <row r="60" ht="13.5" customHeight="1">
      <c r="A60" s="31" t="s">
        <v>135</v>
      </c>
      <c r="B60" s="87">
        <v>1100.0</v>
      </c>
      <c r="C60" s="87">
        <v>1100.0</v>
      </c>
      <c r="D60" s="87">
        <v>1100.0</v>
      </c>
      <c r="E60" s="87">
        <v>1100.0</v>
      </c>
      <c r="F60" s="87">
        <v>1100.0</v>
      </c>
      <c r="G60" s="87">
        <v>1100.0</v>
      </c>
      <c r="H60" s="87">
        <v>1100.0</v>
      </c>
      <c r="I60" s="87">
        <v>1100.0</v>
      </c>
      <c r="J60" s="87">
        <v>1100.0</v>
      </c>
      <c r="K60" s="87">
        <v>1100.0</v>
      </c>
      <c r="L60" s="87">
        <v>1100.0</v>
      </c>
      <c r="M60" s="87">
        <v>1100.0</v>
      </c>
      <c r="N60" s="17">
        <f t="shared" si="14"/>
        <v>13200</v>
      </c>
      <c r="O60" s="153"/>
      <c r="P60" s="198" t="s">
        <v>195</v>
      </c>
    </row>
    <row r="61" ht="13.5" customHeight="1">
      <c r="A61" s="32" t="s">
        <v>136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17">
        <f t="shared" si="14"/>
        <v>0</v>
      </c>
      <c r="O61" s="153"/>
      <c r="P61" s="186"/>
    </row>
    <row r="62" ht="13.5" customHeight="1">
      <c r="A62" s="32" t="s">
        <v>137</v>
      </c>
      <c r="B62" s="87"/>
      <c r="C62" s="87"/>
      <c r="D62" s="87"/>
      <c r="E62" s="87"/>
      <c r="F62" s="199"/>
      <c r="G62" s="87"/>
      <c r="H62" s="87"/>
      <c r="I62" s="87"/>
      <c r="J62" s="87"/>
      <c r="K62" s="87"/>
      <c r="L62" s="87"/>
      <c r="M62" s="87"/>
      <c r="N62" s="17">
        <f t="shared" si="14"/>
        <v>0</v>
      </c>
      <c r="O62" s="153"/>
      <c r="P62" s="186"/>
    </row>
    <row r="63" ht="13.5" customHeight="1">
      <c r="A63" s="32" t="s">
        <v>63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17">
        <f t="shared" si="14"/>
        <v>0</v>
      </c>
      <c r="O63" s="153"/>
      <c r="P63" s="186"/>
    </row>
    <row r="64" ht="13.5" customHeight="1">
      <c r="A64" s="31" t="s">
        <v>64</v>
      </c>
      <c r="B64" s="87">
        <f t="shared" ref="B64:M64" si="16">16350</f>
        <v>16350</v>
      </c>
      <c r="C64" s="87">
        <f t="shared" si="16"/>
        <v>16350</v>
      </c>
      <c r="D64" s="87">
        <f t="shared" si="16"/>
        <v>16350</v>
      </c>
      <c r="E64" s="87">
        <f t="shared" si="16"/>
        <v>16350</v>
      </c>
      <c r="F64" s="87">
        <f t="shared" si="16"/>
        <v>16350</v>
      </c>
      <c r="G64" s="87">
        <f t="shared" si="16"/>
        <v>16350</v>
      </c>
      <c r="H64" s="87">
        <f t="shared" si="16"/>
        <v>16350</v>
      </c>
      <c r="I64" s="87">
        <f t="shared" si="16"/>
        <v>16350</v>
      </c>
      <c r="J64" s="87">
        <f t="shared" si="16"/>
        <v>16350</v>
      </c>
      <c r="K64" s="87">
        <f t="shared" si="16"/>
        <v>16350</v>
      </c>
      <c r="L64" s="87">
        <f t="shared" si="16"/>
        <v>16350</v>
      </c>
      <c r="M64" s="87">
        <f t="shared" si="16"/>
        <v>16350</v>
      </c>
      <c r="N64" s="17">
        <f t="shared" si="14"/>
        <v>196200</v>
      </c>
      <c r="O64" s="153"/>
      <c r="P64" s="185" t="s">
        <v>196</v>
      </c>
    </row>
    <row r="65" ht="13.5" customHeight="1">
      <c r="A65" s="31" t="s">
        <v>197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17">
        <f t="shared" si="14"/>
        <v>0</v>
      </c>
      <c r="O65" s="153"/>
      <c r="P65" s="186"/>
    </row>
    <row r="66" ht="13.5" customHeight="1">
      <c r="A66" s="31" t="s">
        <v>66</v>
      </c>
      <c r="B66" s="46"/>
      <c r="C66" s="46"/>
      <c r="D66" s="46"/>
      <c r="E66" s="46"/>
      <c r="F66" s="46"/>
      <c r="G66" s="46"/>
      <c r="H66" s="87"/>
      <c r="I66" s="46"/>
      <c r="J66" s="46"/>
      <c r="K66" s="46"/>
      <c r="L66" s="46"/>
      <c r="M66" s="46"/>
      <c r="N66" s="17">
        <f t="shared" si="14"/>
        <v>0</v>
      </c>
      <c r="O66" s="153"/>
      <c r="P66" s="186"/>
    </row>
    <row r="67" ht="13.5" customHeight="1">
      <c r="A67" s="31" t="s">
        <v>67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17">
        <f t="shared" si="14"/>
        <v>0</v>
      </c>
      <c r="O67" s="153"/>
      <c r="P67" s="186"/>
    </row>
    <row r="68" ht="13.5" customHeight="1">
      <c r="A68" s="25" t="s">
        <v>68</v>
      </c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17">
        <f t="shared" si="14"/>
        <v>0</v>
      </c>
      <c r="O68" s="153"/>
      <c r="P68" s="186"/>
    </row>
    <row r="69" ht="13.5" customHeight="1">
      <c r="A69" s="25" t="s">
        <v>69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17">
        <f t="shared" si="14"/>
        <v>0</v>
      </c>
      <c r="O69" s="153"/>
      <c r="P69" s="186"/>
    </row>
    <row r="70" ht="13.5" customHeight="1">
      <c r="A70" s="39" t="s">
        <v>70</v>
      </c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17">
        <f t="shared" si="14"/>
        <v>0</v>
      </c>
      <c r="O70" s="153"/>
      <c r="P70" s="186"/>
    </row>
    <row r="71" ht="13.5" customHeight="1">
      <c r="A71" s="91" t="s">
        <v>23</v>
      </c>
      <c r="B71" s="28">
        <f t="shared" ref="B71:M71" si="17">SUM(B55:B70)</f>
        <v>23157</v>
      </c>
      <c r="C71" s="28">
        <f t="shared" si="17"/>
        <v>22933.34</v>
      </c>
      <c r="D71" s="28">
        <f t="shared" si="17"/>
        <v>22157</v>
      </c>
      <c r="E71" s="28">
        <f t="shared" si="17"/>
        <v>23157</v>
      </c>
      <c r="F71" s="28">
        <f t="shared" si="17"/>
        <v>22157</v>
      </c>
      <c r="G71" s="28">
        <f t="shared" si="17"/>
        <v>22157</v>
      </c>
      <c r="H71" s="28">
        <f t="shared" si="17"/>
        <v>23157</v>
      </c>
      <c r="I71" s="28">
        <f t="shared" si="17"/>
        <v>22157</v>
      </c>
      <c r="J71" s="28">
        <f t="shared" si="17"/>
        <v>22157</v>
      </c>
      <c r="K71" s="28">
        <f t="shared" si="17"/>
        <v>23157</v>
      </c>
      <c r="L71" s="28">
        <f t="shared" si="17"/>
        <v>22157</v>
      </c>
      <c r="M71" s="28">
        <f t="shared" si="17"/>
        <v>22157</v>
      </c>
      <c r="N71" s="28">
        <f>SUM(N55:N67)</f>
        <v>270660.34</v>
      </c>
      <c r="O71" s="175"/>
      <c r="P71" s="186"/>
    </row>
    <row r="72" ht="13.5" customHeight="1">
      <c r="A72" s="79" t="s">
        <v>71</v>
      </c>
      <c r="B72" s="63"/>
      <c r="C72" s="63"/>
      <c r="D72" s="63"/>
      <c r="E72" s="63"/>
      <c r="F72" s="83"/>
      <c r="G72" s="83"/>
      <c r="H72" s="83"/>
      <c r="I72" s="83"/>
      <c r="J72" s="83"/>
      <c r="K72" s="83"/>
      <c r="L72" s="83"/>
      <c r="M72" s="83"/>
      <c r="N72" s="83"/>
      <c r="O72" s="170"/>
      <c r="P72" s="184"/>
    </row>
    <row r="73" ht="13.5" customHeight="1">
      <c r="A73" s="32" t="s">
        <v>138</v>
      </c>
      <c r="B73" s="87">
        <v>0.0</v>
      </c>
      <c r="C73" s="87">
        <v>0.0</v>
      </c>
      <c r="D73" s="87">
        <v>0.0</v>
      </c>
      <c r="E73" s="87">
        <v>0.0</v>
      </c>
      <c r="F73" s="87">
        <v>0.0</v>
      </c>
      <c r="G73" s="87">
        <v>0.0</v>
      </c>
      <c r="H73" s="87">
        <v>0.0</v>
      </c>
      <c r="I73" s="87">
        <v>0.0</v>
      </c>
      <c r="J73" s="87">
        <v>0.0</v>
      </c>
      <c r="K73" s="87">
        <v>0.0</v>
      </c>
      <c r="L73" s="87">
        <v>0.0</v>
      </c>
      <c r="M73" s="87">
        <v>0.0</v>
      </c>
      <c r="N73" s="17">
        <f t="shared" ref="N73:N84" si="18">SUM(B73:M73)</f>
        <v>0</v>
      </c>
      <c r="O73" s="153"/>
      <c r="P73" s="186"/>
    </row>
    <row r="74" ht="13.5" customHeight="1">
      <c r="A74" s="31" t="s">
        <v>73</v>
      </c>
      <c r="B74" s="87">
        <v>0.0</v>
      </c>
      <c r="C74" s="87">
        <v>0.0</v>
      </c>
      <c r="D74" s="87">
        <v>0.0</v>
      </c>
      <c r="E74" s="87">
        <v>0.0</v>
      </c>
      <c r="F74" s="87">
        <v>0.0</v>
      </c>
      <c r="G74" s="87">
        <v>0.0</v>
      </c>
      <c r="H74" s="87">
        <v>0.0</v>
      </c>
      <c r="I74" s="87">
        <v>0.0</v>
      </c>
      <c r="J74" s="87">
        <v>0.0</v>
      </c>
      <c r="K74" s="87">
        <v>0.0</v>
      </c>
      <c r="L74" s="87">
        <v>0.0</v>
      </c>
      <c r="M74" s="87">
        <v>0.0</v>
      </c>
      <c r="N74" s="17">
        <f t="shared" si="18"/>
        <v>0</v>
      </c>
      <c r="O74" s="153"/>
      <c r="P74" s="186"/>
    </row>
    <row r="75" ht="13.5" customHeight="1">
      <c r="A75" s="32" t="s">
        <v>139</v>
      </c>
      <c r="B75" s="87">
        <v>1100.0</v>
      </c>
      <c r="C75" s="87">
        <v>1100.0</v>
      </c>
      <c r="D75" s="87">
        <v>1100.0</v>
      </c>
      <c r="E75" s="87">
        <v>1100.0</v>
      </c>
      <c r="F75" s="87">
        <v>1100.0</v>
      </c>
      <c r="G75" s="87">
        <v>1100.0</v>
      </c>
      <c r="H75" s="87">
        <v>1100.0</v>
      </c>
      <c r="I75" s="87">
        <v>1100.0</v>
      </c>
      <c r="J75" s="87">
        <v>1100.0</v>
      </c>
      <c r="K75" s="87">
        <v>1100.0</v>
      </c>
      <c r="L75" s="87">
        <v>1100.0</v>
      </c>
      <c r="M75" s="87">
        <v>1100.0</v>
      </c>
      <c r="N75" s="17">
        <f t="shared" si="18"/>
        <v>13200</v>
      </c>
      <c r="O75" s="153"/>
      <c r="P75" s="198" t="s">
        <v>198</v>
      </c>
    </row>
    <row r="76" ht="13.5" customHeight="1">
      <c r="A76" s="31" t="s">
        <v>137</v>
      </c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17">
        <f t="shared" si="18"/>
        <v>0</v>
      </c>
      <c r="O76" s="153"/>
      <c r="P76" s="186"/>
    </row>
    <row r="77" ht="13.5" customHeight="1">
      <c r="A77" s="32" t="s">
        <v>136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17">
        <f t="shared" si="18"/>
        <v>0</v>
      </c>
      <c r="O77" s="153"/>
      <c r="P77" s="186"/>
    </row>
    <row r="78" ht="13.5" customHeight="1">
      <c r="A78" s="32" t="s">
        <v>63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17">
        <f t="shared" si="18"/>
        <v>0</v>
      </c>
      <c r="O78" s="153"/>
      <c r="P78" s="186"/>
    </row>
    <row r="79" ht="13.5" customHeight="1">
      <c r="A79" s="31" t="s">
        <v>140</v>
      </c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17">
        <f t="shared" si="18"/>
        <v>0</v>
      </c>
      <c r="O79" s="153"/>
      <c r="P79" s="186"/>
    </row>
    <row r="80" ht="13.5" customHeight="1">
      <c r="A80" s="27" t="s">
        <v>141</v>
      </c>
      <c r="B80" s="87">
        <v>4105.0</v>
      </c>
      <c r="C80" s="87">
        <v>4105.0</v>
      </c>
      <c r="D80" s="87">
        <v>4105.0</v>
      </c>
      <c r="E80" s="87">
        <v>4105.0</v>
      </c>
      <c r="F80" s="87">
        <v>4105.0</v>
      </c>
      <c r="G80" s="87">
        <v>4105.0</v>
      </c>
      <c r="H80" s="87">
        <v>4105.0</v>
      </c>
      <c r="I80" s="87">
        <v>4105.0</v>
      </c>
      <c r="J80" s="87">
        <v>4105.0</v>
      </c>
      <c r="K80" s="87">
        <v>4105.0</v>
      </c>
      <c r="L80" s="87">
        <v>4105.0</v>
      </c>
      <c r="M80" s="87">
        <v>4105.0</v>
      </c>
      <c r="N80" s="17">
        <f t="shared" si="18"/>
        <v>49260</v>
      </c>
      <c r="O80" s="153"/>
      <c r="P80" s="185" t="s">
        <v>199</v>
      </c>
    </row>
    <row r="81" ht="13.5" customHeight="1">
      <c r="A81" s="42" t="s">
        <v>79</v>
      </c>
      <c r="B81" s="87">
        <v>2000.0</v>
      </c>
      <c r="C81" s="87">
        <v>2350.0</v>
      </c>
      <c r="D81" s="87">
        <v>2350.0</v>
      </c>
      <c r="E81" s="87">
        <v>2350.0</v>
      </c>
      <c r="F81" s="87">
        <v>2350.0</v>
      </c>
      <c r="G81" s="87">
        <v>2350.0</v>
      </c>
      <c r="H81" s="87">
        <v>2350.0</v>
      </c>
      <c r="I81" s="87">
        <v>2350.0</v>
      </c>
      <c r="J81" s="87">
        <v>2350.0</v>
      </c>
      <c r="K81" s="87">
        <v>2350.0</v>
      </c>
      <c r="L81" s="87">
        <v>2350.0</v>
      </c>
      <c r="M81" s="87">
        <v>2350.0</v>
      </c>
      <c r="N81" s="17">
        <f t="shared" si="18"/>
        <v>27850</v>
      </c>
      <c r="O81" s="153"/>
      <c r="P81" s="185" t="s">
        <v>200</v>
      </c>
    </row>
    <row r="82" ht="13.5" customHeight="1">
      <c r="A82" s="43" t="s">
        <v>80</v>
      </c>
      <c r="B82" s="87">
        <v>0.0</v>
      </c>
      <c r="C82" s="87">
        <v>0.0</v>
      </c>
      <c r="D82" s="87">
        <v>0.0</v>
      </c>
      <c r="E82" s="87">
        <v>0.0</v>
      </c>
      <c r="F82" s="87">
        <v>0.0</v>
      </c>
      <c r="G82" s="87">
        <v>0.0</v>
      </c>
      <c r="H82" s="87">
        <v>0.0</v>
      </c>
      <c r="I82" s="87">
        <v>0.0</v>
      </c>
      <c r="J82" s="87">
        <v>0.0</v>
      </c>
      <c r="K82" s="87">
        <v>0.0</v>
      </c>
      <c r="L82" s="87">
        <v>0.0</v>
      </c>
      <c r="M82" s="87">
        <v>0.0</v>
      </c>
      <c r="N82" s="17">
        <f t="shared" si="18"/>
        <v>0</v>
      </c>
      <c r="O82" s="153"/>
      <c r="P82" s="186"/>
    </row>
    <row r="83" ht="13.5" customHeight="1">
      <c r="A83" s="91" t="s">
        <v>23</v>
      </c>
      <c r="B83" s="28">
        <f t="shared" ref="B83:M83" si="19">SUM(B73:B82)</f>
        <v>7205</v>
      </c>
      <c r="C83" s="28">
        <f t="shared" si="19"/>
        <v>7555</v>
      </c>
      <c r="D83" s="28">
        <f t="shared" si="19"/>
        <v>7555</v>
      </c>
      <c r="E83" s="28">
        <f t="shared" si="19"/>
        <v>7555</v>
      </c>
      <c r="F83" s="28">
        <f t="shared" si="19"/>
        <v>7555</v>
      </c>
      <c r="G83" s="28">
        <f t="shared" si="19"/>
        <v>7555</v>
      </c>
      <c r="H83" s="28">
        <f t="shared" si="19"/>
        <v>7555</v>
      </c>
      <c r="I83" s="28">
        <f t="shared" si="19"/>
        <v>7555</v>
      </c>
      <c r="J83" s="28">
        <f t="shared" si="19"/>
        <v>7555</v>
      </c>
      <c r="K83" s="28">
        <f t="shared" si="19"/>
        <v>7555</v>
      </c>
      <c r="L83" s="28">
        <f t="shared" si="19"/>
        <v>7555</v>
      </c>
      <c r="M83" s="28">
        <f t="shared" si="19"/>
        <v>7555</v>
      </c>
      <c r="N83" s="44">
        <f t="shared" si="18"/>
        <v>90310</v>
      </c>
      <c r="O83" s="174"/>
      <c r="P83" s="186"/>
    </row>
    <row r="84" ht="13.5" customHeight="1">
      <c r="A84" s="99" t="s">
        <v>81</v>
      </c>
      <c r="B84" s="28">
        <f t="shared" ref="B84:M84" si="20">B53+B71+B83</f>
        <v>47477.39</v>
      </c>
      <c r="C84" s="28">
        <f t="shared" si="20"/>
        <v>47603.73</v>
      </c>
      <c r="D84" s="28">
        <f t="shared" si="20"/>
        <v>46827.39</v>
      </c>
      <c r="E84" s="28">
        <f t="shared" si="20"/>
        <v>47827.39</v>
      </c>
      <c r="F84" s="28">
        <f t="shared" si="20"/>
        <v>46827.39</v>
      </c>
      <c r="G84" s="28">
        <f t="shared" si="20"/>
        <v>46827.39</v>
      </c>
      <c r="H84" s="28">
        <f t="shared" si="20"/>
        <v>47827.39</v>
      </c>
      <c r="I84" s="28">
        <f t="shared" si="20"/>
        <v>46827.39</v>
      </c>
      <c r="J84" s="28">
        <f t="shared" si="20"/>
        <v>46827.39</v>
      </c>
      <c r="K84" s="28">
        <f t="shared" si="20"/>
        <v>47827.39</v>
      </c>
      <c r="L84" s="28">
        <f t="shared" si="20"/>
        <v>46827.39</v>
      </c>
      <c r="M84" s="28">
        <f t="shared" si="20"/>
        <v>46827.39</v>
      </c>
      <c r="N84" s="44">
        <f t="shared" si="18"/>
        <v>566355.02</v>
      </c>
      <c r="O84" s="174"/>
      <c r="P84" s="186"/>
    </row>
    <row r="85" ht="13.5" customHeight="1">
      <c r="A85" s="99" t="s">
        <v>82</v>
      </c>
      <c r="B85" s="46">
        <f t="shared" ref="B85:N85" si="21">B84/B113</f>
        <v>327.4302759</v>
      </c>
      <c r="C85" s="46">
        <f t="shared" si="21"/>
        <v>280.0219412</v>
      </c>
      <c r="D85" s="46">
        <f t="shared" si="21"/>
        <v>228.4262927</v>
      </c>
      <c r="E85" s="46">
        <f t="shared" si="21"/>
        <v>239.13695</v>
      </c>
      <c r="F85" s="46">
        <f t="shared" si="21"/>
        <v>210.9341892</v>
      </c>
      <c r="G85" s="46">
        <f t="shared" si="21"/>
        <v>199.2654894</v>
      </c>
      <c r="H85" s="46">
        <f t="shared" si="21"/>
        <v>203.5208085</v>
      </c>
      <c r="I85" s="46">
        <f t="shared" si="21"/>
        <v>195.114125</v>
      </c>
      <c r="J85" s="46">
        <f t="shared" si="21"/>
        <v>217.801814</v>
      </c>
      <c r="K85" s="46">
        <f t="shared" si="21"/>
        <v>225.6008962</v>
      </c>
      <c r="L85" s="46">
        <f t="shared" si="21"/>
        <v>228.4262927</v>
      </c>
      <c r="M85" s="46">
        <f t="shared" si="21"/>
        <v>208.1217333</v>
      </c>
      <c r="N85" s="15">
        <f t="shared" si="21"/>
        <v>225.7293822</v>
      </c>
      <c r="O85" s="77"/>
      <c r="P85" s="186"/>
    </row>
    <row r="86" ht="13.5" customHeight="1">
      <c r="A86" s="79" t="s">
        <v>83</v>
      </c>
      <c r="B86" s="63"/>
      <c r="C86" s="63"/>
      <c r="D86" s="63"/>
      <c r="E86" s="63"/>
      <c r="F86" s="83"/>
      <c r="G86" s="83"/>
      <c r="H86" s="83"/>
      <c r="I86" s="83"/>
      <c r="J86" s="83"/>
      <c r="K86" s="83"/>
      <c r="L86" s="83"/>
      <c r="M86" s="83"/>
      <c r="N86" s="83"/>
      <c r="O86" s="170"/>
      <c r="P86" s="184"/>
    </row>
    <row r="87" ht="13.5" customHeight="1">
      <c r="A87" s="15" t="s">
        <v>84</v>
      </c>
      <c r="B87" s="87">
        <v>820.0</v>
      </c>
      <c r="C87" s="87">
        <v>820.0</v>
      </c>
      <c r="D87" s="87">
        <v>820.0</v>
      </c>
      <c r="E87" s="87">
        <v>820.0</v>
      </c>
      <c r="F87" s="87">
        <v>820.0</v>
      </c>
      <c r="G87" s="87">
        <v>820.0</v>
      </c>
      <c r="H87" s="87">
        <v>820.0</v>
      </c>
      <c r="I87" s="87">
        <v>820.0</v>
      </c>
      <c r="J87" s="87">
        <v>820.0</v>
      </c>
      <c r="K87" s="87">
        <v>820.0</v>
      </c>
      <c r="L87" s="87">
        <v>820.0</v>
      </c>
      <c r="M87" s="87">
        <v>820.0</v>
      </c>
      <c r="N87" s="17">
        <f t="shared" ref="N87:N90" si="22">SUM(B87:M87)</f>
        <v>9840</v>
      </c>
      <c r="O87" s="153"/>
      <c r="P87" s="187" t="s">
        <v>201</v>
      </c>
    </row>
    <row r="88" ht="13.5" customHeight="1">
      <c r="A88" s="15" t="s">
        <v>142</v>
      </c>
      <c r="B88" s="46"/>
      <c r="C88" s="87"/>
      <c r="D88" s="46"/>
      <c r="E88" s="46"/>
      <c r="F88" s="46"/>
      <c r="G88" s="46"/>
      <c r="H88" s="87"/>
      <c r="I88" s="46"/>
      <c r="J88" s="46"/>
      <c r="K88" s="46"/>
      <c r="L88" s="46"/>
      <c r="M88" s="46"/>
      <c r="N88" s="17">
        <f t="shared" si="22"/>
        <v>0</v>
      </c>
      <c r="O88" s="153"/>
      <c r="P88" s="186"/>
    </row>
    <row r="89" ht="13.5" customHeight="1">
      <c r="A89" s="9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17">
        <f t="shared" si="22"/>
        <v>0</v>
      </c>
      <c r="O89" s="153"/>
      <c r="P89" s="186"/>
    </row>
    <row r="90" ht="13.5" customHeight="1">
      <c r="A90" s="91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17">
        <f t="shared" si="22"/>
        <v>0</v>
      </c>
      <c r="O90" s="153"/>
      <c r="P90" s="186"/>
    </row>
    <row r="91" ht="13.5" customHeight="1">
      <c r="A91" s="91" t="s">
        <v>23</v>
      </c>
      <c r="B91" s="28">
        <f t="shared" ref="B91:N91" si="23">SUM(B87:B90)</f>
        <v>820</v>
      </c>
      <c r="C91" s="28">
        <f t="shared" si="23"/>
        <v>820</v>
      </c>
      <c r="D91" s="28">
        <f t="shared" si="23"/>
        <v>820</v>
      </c>
      <c r="E91" s="28">
        <f t="shared" si="23"/>
        <v>820</v>
      </c>
      <c r="F91" s="28">
        <f t="shared" si="23"/>
        <v>820</v>
      </c>
      <c r="G91" s="28">
        <f t="shared" si="23"/>
        <v>820</v>
      </c>
      <c r="H91" s="28">
        <f t="shared" si="23"/>
        <v>820</v>
      </c>
      <c r="I91" s="28">
        <f t="shared" si="23"/>
        <v>820</v>
      </c>
      <c r="J91" s="28">
        <f t="shared" si="23"/>
        <v>820</v>
      </c>
      <c r="K91" s="28">
        <f t="shared" si="23"/>
        <v>820</v>
      </c>
      <c r="L91" s="28">
        <f t="shared" si="23"/>
        <v>820</v>
      </c>
      <c r="M91" s="28">
        <f t="shared" si="23"/>
        <v>820</v>
      </c>
      <c r="N91" s="28">
        <f t="shared" si="23"/>
        <v>9840</v>
      </c>
      <c r="O91" s="175"/>
      <c r="P91" s="186"/>
    </row>
    <row r="92" ht="13.5" customHeight="1">
      <c r="A92" s="89" t="s">
        <v>88</v>
      </c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170"/>
      <c r="P92" s="184"/>
    </row>
    <row r="93" ht="13.5" customHeight="1">
      <c r="A93" s="31" t="s">
        <v>89</v>
      </c>
      <c r="B93" s="101">
        <f>PRODUCTION!I18</f>
        <v>750</v>
      </c>
      <c r="C93" s="102">
        <f>PRODUCTION!I19</f>
        <v>750</v>
      </c>
      <c r="D93" s="102">
        <f>PRODUCTION!I20</f>
        <v>750</v>
      </c>
      <c r="E93" s="102">
        <f>PRODUCTION!I21</f>
        <v>750</v>
      </c>
      <c r="F93" s="102">
        <f>PRODUCTION!I22</f>
        <v>750</v>
      </c>
      <c r="G93" s="102">
        <f>PRODUCTION!I23</f>
        <v>750</v>
      </c>
      <c r="H93" s="102">
        <f>PRODUCTION!I24</f>
        <v>750</v>
      </c>
      <c r="I93" s="102">
        <f>PRODUCTION!I25</f>
        <v>750</v>
      </c>
      <c r="J93" s="102">
        <f>PRODUCTION!I26</f>
        <v>750</v>
      </c>
      <c r="K93" s="102">
        <f>PRODUCTION!I27</f>
        <v>750</v>
      </c>
      <c r="L93" s="102">
        <f>PRODUCTION!I28</f>
        <v>750</v>
      </c>
      <c r="M93" s="102">
        <f>PRODUCTION!I29</f>
        <v>750</v>
      </c>
      <c r="N93" s="17">
        <f t="shared" ref="N93:N106" si="24">SUM(B93:M93)</f>
        <v>9000</v>
      </c>
      <c r="O93" s="153"/>
      <c r="P93" s="185"/>
    </row>
    <row r="94" ht="13.5" customHeight="1">
      <c r="A94" s="31" t="s">
        <v>90</v>
      </c>
      <c r="B94" s="46"/>
      <c r="C94" s="87"/>
      <c r="D94" s="87"/>
      <c r="E94" s="87"/>
      <c r="F94" s="87"/>
      <c r="G94" s="46"/>
      <c r="H94" s="46"/>
      <c r="I94" s="46"/>
      <c r="J94" s="46"/>
      <c r="K94" s="87"/>
      <c r="L94" s="46"/>
      <c r="M94" s="87"/>
      <c r="N94" s="17">
        <f t="shared" si="24"/>
        <v>0</v>
      </c>
      <c r="O94" s="153"/>
      <c r="P94" s="186"/>
    </row>
    <row r="95" ht="13.5" customHeight="1">
      <c r="A95" s="31" t="s">
        <v>91</v>
      </c>
      <c r="B95" s="87">
        <v>180.0</v>
      </c>
      <c r="C95" s="87">
        <v>180.0</v>
      </c>
      <c r="D95" s="87">
        <v>180.0</v>
      </c>
      <c r="E95" s="87">
        <v>180.0</v>
      </c>
      <c r="F95" s="87">
        <v>180.0</v>
      </c>
      <c r="G95" s="87">
        <v>180.0</v>
      </c>
      <c r="H95" s="87">
        <v>180.0</v>
      </c>
      <c r="I95" s="87">
        <v>180.0</v>
      </c>
      <c r="J95" s="87">
        <v>180.0</v>
      </c>
      <c r="K95" s="87">
        <f>180+200</f>
        <v>380</v>
      </c>
      <c r="L95" s="87">
        <v>180.0</v>
      </c>
      <c r="M95" s="87">
        <v>180.0</v>
      </c>
      <c r="N95" s="17">
        <f t="shared" si="24"/>
        <v>2360</v>
      </c>
      <c r="O95" s="153"/>
      <c r="P95" s="185"/>
    </row>
    <row r="96" ht="13.5" customHeight="1">
      <c r="A96" s="31" t="s">
        <v>92</v>
      </c>
      <c r="B96" s="146">
        <v>500.0</v>
      </c>
      <c r="C96" s="105">
        <v>500.0</v>
      </c>
      <c r="D96" s="105">
        <v>0.0</v>
      </c>
      <c r="E96" s="105">
        <v>0.0</v>
      </c>
      <c r="F96" s="104">
        <v>155.0</v>
      </c>
      <c r="G96" s="104">
        <f>350+167</f>
        <v>517</v>
      </c>
      <c r="H96" s="104">
        <v>0.0</v>
      </c>
      <c r="I96" s="105">
        <f>265+3.233</f>
        <v>268.233</v>
      </c>
      <c r="J96" s="105">
        <v>500.0</v>
      </c>
      <c r="K96" s="87">
        <v>456.78</v>
      </c>
      <c r="L96" s="105">
        <v>500.0</v>
      </c>
      <c r="M96" s="105">
        <v>500.0</v>
      </c>
      <c r="N96" s="17">
        <f t="shared" si="24"/>
        <v>3897.013</v>
      </c>
      <c r="O96" s="153"/>
      <c r="P96" s="185"/>
    </row>
    <row r="97" ht="13.5" customHeight="1">
      <c r="A97" s="32" t="s">
        <v>143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17">
        <f t="shared" si="24"/>
        <v>0</v>
      </c>
      <c r="O97" s="153"/>
      <c r="P97" s="186"/>
    </row>
    <row r="98" ht="13.5" customHeight="1">
      <c r="A98" s="32" t="s">
        <v>94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17">
        <f t="shared" si="24"/>
        <v>0</v>
      </c>
      <c r="O98" s="153"/>
      <c r="P98" s="186"/>
    </row>
    <row r="99" ht="13.5" customHeight="1">
      <c r="A99" s="32" t="s">
        <v>95</v>
      </c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17">
        <f t="shared" si="24"/>
        <v>0</v>
      </c>
      <c r="O99" s="153"/>
      <c r="P99" s="186"/>
    </row>
    <row r="100" ht="13.5" customHeight="1">
      <c r="A100" s="31" t="s">
        <v>96</v>
      </c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17">
        <f t="shared" si="24"/>
        <v>0</v>
      </c>
      <c r="O100" s="153"/>
      <c r="P100" s="186"/>
    </row>
    <row r="101" ht="13.5" customHeight="1">
      <c r="A101" s="31" t="s">
        <v>97</v>
      </c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87"/>
      <c r="M101" s="46"/>
      <c r="N101" s="17">
        <f t="shared" si="24"/>
        <v>0</v>
      </c>
      <c r="O101" s="153"/>
      <c r="P101" s="186"/>
    </row>
    <row r="102" ht="13.5" customHeight="1">
      <c r="A102" s="32" t="s">
        <v>98</v>
      </c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17">
        <f t="shared" si="24"/>
        <v>0</v>
      </c>
      <c r="O102" s="153"/>
      <c r="P102" s="186"/>
    </row>
    <row r="103" ht="13.5" customHeight="1">
      <c r="A103" s="31" t="s">
        <v>99</v>
      </c>
      <c r="B103" s="46"/>
      <c r="C103" s="46"/>
      <c r="D103" s="46"/>
      <c r="E103" s="46"/>
      <c r="F103" s="46"/>
      <c r="G103" s="46"/>
      <c r="H103" s="87"/>
      <c r="I103" s="46"/>
      <c r="J103" s="46"/>
      <c r="K103" s="46"/>
      <c r="L103" s="46"/>
      <c r="M103" s="46"/>
      <c r="N103" s="17">
        <f t="shared" si="24"/>
        <v>0</v>
      </c>
      <c r="O103" s="153"/>
      <c r="P103" s="186"/>
    </row>
    <row r="104" ht="13.5" customHeight="1">
      <c r="A104" s="32" t="s">
        <v>100</v>
      </c>
      <c r="B104" s="87">
        <v>200.0</v>
      </c>
      <c r="C104" s="87">
        <v>435.0</v>
      </c>
      <c r="D104" s="87">
        <f>200+113.63</f>
        <v>313.63</v>
      </c>
      <c r="E104" s="87">
        <v>200.0</v>
      </c>
      <c r="F104" s="87">
        <v>200.0</v>
      </c>
      <c r="G104" s="87">
        <v>605.0</v>
      </c>
      <c r="H104" s="87">
        <v>605.0</v>
      </c>
      <c r="I104" s="87">
        <v>200.0</v>
      </c>
      <c r="J104" s="87">
        <f>435+200</f>
        <v>635</v>
      </c>
      <c r="K104" s="87">
        <v>200.0</v>
      </c>
      <c r="L104" s="87">
        <v>200.0</v>
      </c>
      <c r="M104" s="87">
        <v>200.0</v>
      </c>
      <c r="N104" s="17">
        <f t="shared" si="24"/>
        <v>3993.63</v>
      </c>
      <c r="O104" s="153"/>
      <c r="P104" s="186"/>
    </row>
    <row r="105" ht="13.5" customHeight="1">
      <c r="A105" s="27" t="s">
        <v>101</v>
      </c>
      <c r="B105" s="87">
        <v>400.0</v>
      </c>
      <c r="C105" s="87">
        <v>475.0</v>
      </c>
      <c r="D105" s="87">
        <v>475.0</v>
      </c>
      <c r="E105" s="87">
        <v>475.0</v>
      </c>
      <c r="F105" s="87">
        <v>475.0</v>
      </c>
      <c r="G105" s="87">
        <v>475.0</v>
      </c>
      <c r="H105" s="87">
        <v>475.0</v>
      </c>
      <c r="I105" s="87">
        <v>475.0</v>
      </c>
      <c r="J105" s="87">
        <v>475.0</v>
      </c>
      <c r="K105" s="87">
        <v>475.0</v>
      </c>
      <c r="L105" s="87">
        <v>475.0</v>
      </c>
      <c r="M105" s="87">
        <v>475.0</v>
      </c>
      <c r="N105" s="17">
        <f t="shared" si="24"/>
        <v>5625</v>
      </c>
      <c r="O105" s="153"/>
      <c r="P105" s="185"/>
    </row>
    <row r="106" ht="13.5" customHeight="1">
      <c r="A106" s="27" t="s">
        <v>102</v>
      </c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17">
        <f t="shared" si="24"/>
        <v>0</v>
      </c>
      <c r="O106" s="153"/>
      <c r="P106" s="186"/>
    </row>
    <row r="107" ht="13.5" customHeight="1">
      <c r="A107" s="91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175"/>
      <c r="P107" s="186"/>
    </row>
    <row r="108" ht="13.5" customHeight="1">
      <c r="A108" s="91" t="s">
        <v>23</v>
      </c>
      <c r="B108" s="28">
        <f t="shared" ref="B108:N108" si="25">SUM(B93:B106)</f>
        <v>2030</v>
      </c>
      <c r="C108" s="28">
        <f t="shared" si="25"/>
        <v>2340</v>
      </c>
      <c r="D108" s="28">
        <f t="shared" si="25"/>
        <v>1718.63</v>
      </c>
      <c r="E108" s="28">
        <f t="shared" si="25"/>
        <v>1605</v>
      </c>
      <c r="F108" s="28">
        <f t="shared" si="25"/>
        <v>1760</v>
      </c>
      <c r="G108" s="28">
        <f t="shared" si="25"/>
        <v>2527</v>
      </c>
      <c r="H108" s="28">
        <f t="shared" si="25"/>
        <v>2010</v>
      </c>
      <c r="I108" s="28">
        <f t="shared" si="25"/>
        <v>1873.233</v>
      </c>
      <c r="J108" s="28">
        <f t="shared" si="25"/>
        <v>2540</v>
      </c>
      <c r="K108" s="28">
        <f t="shared" si="25"/>
        <v>2261.78</v>
      </c>
      <c r="L108" s="28">
        <f t="shared" si="25"/>
        <v>2105</v>
      </c>
      <c r="M108" s="28">
        <f t="shared" si="25"/>
        <v>2105</v>
      </c>
      <c r="N108" s="28">
        <f t="shared" si="25"/>
        <v>24875.643</v>
      </c>
      <c r="O108" s="175"/>
      <c r="P108" s="186"/>
    </row>
    <row r="109" ht="13.5" customHeight="1">
      <c r="A109" s="91" t="s">
        <v>104</v>
      </c>
      <c r="B109" s="147">
        <v>0.0</v>
      </c>
      <c r="C109" s="147">
        <v>0.0</v>
      </c>
      <c r="D109" s="147">
        <v>0.0</v>
      </c>
      <c r="E109" s="147">
        <v>0.0</v>
      </c>
      <c r="F109" s="147">
        <v>0.0</v>
      </c>
      <c r="G109" s="147">
        <v>0.0</v>
      </c>
      <c r="H109" s="147">
        <v>0.0</v>
      </c>
      <c r="I109" s="147">
        <v>0.0</v>
      </c>
      <c r="J109" s="147">
        <v>0.0</v>
      </c>
      <c r="K109" s="147">
        <v>0.0</v>
      </c>
      <c r="L109" s="147">
        <v>0.0</v>
      </c>
      <c r="M109" s="147">
        <v>0.0</v>
      </c>
      <c r="N109" s="44">
        <f>SUM(B109:M109)</f>
        <v>0</v>
      </c>
      <c r="O109" s="174"/>
      <c r="P109" s="186"/>
    </row>
    <row r="110" ht="13.5" customHeight="1">
      <c r="A110" s="112" t="s">
        <v>105</v>
      </c>
      <c r="B110" s="50">
        <f t="shared" ref="B110:N110" si="26">B108+B91+B84+B32+B21+B13</f>
        <v>58960.46407</v>
      </c>
      <c r="C110" s="50">
        <f t="shared" si="26"/>
        <v>62831.10179</v>
      </c>
      <c r="D110" s="50">
        <f t="shared" si="26"/>
        <v>62038.67116</v>
      </c>
      <c r="E110" s="50">
        <f t="shared" si="26"/>
        <v>63321.79413</v>
      </c>
      <c r="F110" s="50">
        <f t="shared" si="26"/>
        <v>55615.13206</v>
      </c>
      <c r="G110" s="50">
        <f t="shared" si="26"/>
        <v>64876.72326</v>
      </c>
      <c r="H110" s="50">
        <f t="shared" si="26"/>
        <v>60775.06107</v>
      </c>
      <c r="I110" s="50">
        <f t="shared" si="26"/>
        <v>59638.29407</v>
      </c>
      <c r="J110" s="50">
        <f t="shared" si="26"/>
        <v>62756.14086</v>
      </c>
      <c r="K110" s="50">
        <f t="shared" si="26"/>
        <v>65255.90619</v>
      </c>
      <c r="L110" s="50">
        <f t="shared" si="26"/>
        <v>66232.7086</v>
      </c>
      <c r="M110" s="50">
        <f t="shared" si="26"/>
        <v>66232.7086</v>
      </c>
      <c r="N110" s="50">
        <f t="shared" si="26"/>
        <v>748534.7059</v>
      </c>
      <c r="O110" s="176"/>
      <c r="P110" s="200"/>
    </row>
    <row r="111" ht="13.5" customHeight="1">
      <c r="A111" s="35" t="s">
        <v>106</v>
      </c>
      <c r="B111" s="148">
        <v>55.0</v>
      </c>
      <c r="C111" s="116">
        <v>70.0</v>
      </c>
      <c r="D111" s="116">
        <v>85.0</v>
      </c>
      <c r="E111" s="116">
        <v>90.0</v>
      </c>
      <c r="F111" s="116">
        <v>100.0</v>
      </c>
      <c r="G111" s="116">
        <v>105.0</v>
      </c>
      <c r="H111" s="116">
        <v>110.0</v>
      </c>
      <c r="I111" s="116">
        <v>110.0</v>
      </c>
      <c r="J111" s="116">
        <v>85.0</v>
      </c>
      <c r="K111" s="116">
        <v>82.0</v>
      </c>
      <c r="L111" s="116">
        <v>80.0</v>
      </c>
      <c r="M111" s="118">
        <v>100.0</v>
      </c>
      <c r="N111" s="149">
        <f t="shared" ref="N111:N113" si="27">SUM(B111:M111)</f>
        <v>1072</v>
      </c>
      <c r="O111" s="152"/>
      <c r="P111" s="186"/>
    </row>
    <row r="112" ht="13.5" customHeight="1">
      <c r="A112" s="35" t="s">
        <v>107</v>
      </c>
      <c r="B112" s="120">
        <v>90.0</v>
      </c>
      <c r="C112" s="120">
        <v>100.0</v>
      </c>
      <c r="D112" s="120">
        <v>120.0</v>
      </c>
      <c r="E112" s="120">
        <v>110.0</v>
      </c>
      <c r="F112" s="120">
        <v>122.0</v>
      </c>
      <c r="G112" s="120">
        <v>130.0</v>
      </c>
      <c r="H112" s="150">
        <v>125.0</v>
      </c>
      <c r="I112" s="120">
        <v>130.0</v>
      </c>
      <c r="J112" s="120">
        <v>130.0</v>
      </c>
      <c r="K112" s="120">
        <v>130.0</v>
      </c>
      <c r="L112" s="150">
        <v>125.0</v>
      </c>
      <c r="M112" s="121">
        <v>125.0</v>
      </c>
      <c r="N112" s="149">
        <f t="shared" si="27"/>
        <v>1437</v>
      </c>
      <c r="O112" s="152"/>
      <c r="P112" s="181"/>
    </row>
    <row r="113" ht="13.5" customHeight="1">
      <c r="A113" s="91" t="s">
        <v>23</v>
      </c>
      <c r="B113" s="122">
        <f t="shared" ref="B113:M113" si="28">B111+B112</f>
        <v>145</v>
      </c>
      <c r="C113" s="122">
        <f t="shared" si="28"/>
        <v>170</v>
      </c>
      <c r="D113" s="122">
        <f t="shared" si="28"/>
        <v>205</v>
      </c>
      <c r="E113" s="122">
        <f t="shared" si="28"/>
        <v>200</v>
      </c>
      <c r="F113" s="123">
        <f t="shared" si="28"/>
        <v>222</v>
      </c>
      <c r="G113" s="123">
        <f t="shared" si="28"/>
        <v>235</v>
      </c>
      <c r="H113" s="123">
        <f t="shared" si="28"/>
        <v>235</v>
      </c>
      <c r="I113" s="123">
        <f t="shared" si="28"/>
        <v>240</v>
      </c>
      <c r="J113" s="123">
        <f t="shared" si="28"/>
        <v>215</v>
      </c>
      <c r="K113" s="123">
        <f t="shared" si="28"/>
        <v>212</v>
      </c>
      <c r="L113" s="123">
        <f t="shared" si="28"/>
        <v>205</v>
      </c>
      <c r="M113" s="124">
        <f t="shared" si="28"/>
        <v>225</v>
      </c>
      <c r="N113" s="125">
        <f t="shared" si="27"/>
        <v>2509</v>
      </c>
      <c r="O113" s="178"/>
      <c r="P113" s="181"/>
    </row>
    <row r="114" ht="13.5" customHeight="1">
      <c r="A114" s="126" t="s">
        <v>108</v>
      </c>
      <c r="B114" s="58">
        <f t="shared" ref="B114:N114" si="29">B110/B113</f>
        <v>406.6238902</v>
      </c>
      <c r="C114" s="58">
        <f t="shared" si="29"/>
        <v>369.5947164</v>
      </c>
      <c r="D114" s="58">
        <f t="shared" si="29"/>
        <v>302.6276642</v>
      </c>
      <c r="E114" s="58">
        <f t="shared" si="29"/>
        <v>316.6089706</v>
      </c>
      <c r="F114" s="58">
        <f t="shared" si="29"/>
        <v>250.5186129</v>
      </c>
      <c r="G114" s="58">
        <f t="shared" si="29"/>
        <v>276.0711628</v>
      </c>
      <c r="H114" s="58">
        <f t="shared" si="29"/>
        <v>258.6172811</v>
      </c>
      <c r="I114" s="58">
        <f t="shared" si="29"/>
        <v>248.4928919</v>
      </c>
      <c r="J114" s="58">
        <f t="shared" si="29"/>
        <v>291.8890272</v>
      </c>
      <c r="K114" s="58">
        <f t="shared" si="29"/>
        <v>307.8108783</v>
      </c>
      <c r="L114" s="58">
        <f t="shared" si="29"/>
        <v>323.0863834</v>
      </c>
      <c r="M114" s="58">
        <f t="shared" si="29"/>
        <v>294.3675938</v>
      </c>
      <c r="N114" s="179">
        <f t="shared" si="29"/>
        <v>298.3398589</v>
      </c>
      <c r="O114" s="180"/>
      <c r="P114" s="201"/>
    </row>
    <row r="115" ht="13.5" customHeight="1">
      <c r="A115" s="79" t="s">
        <v>109</v>
      </c>
      <c r="B115" s="63"/>
      <c r="C115" s="63"/>
      <c r="D115" s="63"/>
      <c r="E115" s="63"/>
      <c r="F115" s="83"/>
      <c r="G115" s="83"/>
      <c r="H115" s="83"/>
      <c r="I115" s="83"/>
      <c r="J115" s="83"/>
      <c r="K115" s="83"/>
      <c r="L115" s="83"/>
      <c r="M115" s="83"/>
      <c r="N115" s="83"/>
      <c r="O115" s="170"/>
      <c r="P115" s="184"/>
    </row>
    <row r="116" ht="13.5" customHeight="1">
      <c r="A116" s="59" t="s">
        <v>110</v>
      </c>
      <c r="B116" s="87">
        <f t="shared" ref="B116:M116" si="30">1095</f>
        <v>1095</v>
      </c>
      <c r="C116" s="87">
        <f t="shared" si="30"/>
        <v>1095</v>
      </c>
      <c r="D116" s="87">
        <f t="shared" si="30"/>
        <v>1095</v>
      </c>
      <c r="E116" s="87">
        <f t="shared" si="30"/>
        <v>1095</v>
      </c>
      <c r="F116" s="87">
        <f t="shared" si="30"/>
        <v>1095</v>
      </c>
      <c r="G116" s="87">
        <f t="shared" si="30"/>
        <v>1095</v>
      </c>
      <c r="H116" s="87">
        <f t="shared" si="30"/>
        <v>1095</v>
      </c>
      <c r="I116" s="87">
        <f t="shared" si="30"/>
        <v>1095</v>
      </c>
      <c r="J116" s="87">
        <f t="shared" si="30"/>
        <v>1095</v>
      </c>
      <c r="K116" s="87">
        <f t="shared" si="30"/>
        <v>1095</v>
      </c>
      <c r="L116" s="87">
        <f t="shared" si="30"/>
        <v>1095</v>
      </c>
      <c r="M116" s="87">
        <f t="shared" si="30"/>
        <v>1095</v>
      </c>
      <c r="N116" s="17">
        <f t="shared" ref="N116:N121" si="31">SUM(B116:M116)</f>
        <v>13140</v>
      </c>
      <c r="O116" s="153"/>
      <c r="P116" s="186"/>
    </row>
    <row r="117" ht="13.5" customHeight="1">
      <c r="A117" s="60" t="s">
        <v>111</v>
      </c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17">
        <f t="shared" si="31"/>
        <v>0</v>
      </c>
      <c r="O117" s="153"/>
      <c r="P117" s="186"/>
    </row>
    <row r="118" ht="13.5" customHeight="1">
      <c r="A118" s="59" t="s">
        <v>112</v>
      </c>
      <c r="B118" s="87">
        <f>950+2130.32
</f>
        <v>3080.32</v>
      </c>
      <c r="C118" s="87">
        <v>950.0</v>
      </c>
      <c r="D118" s="87">
        <v>950.0</v>
      </c>
      <c r="E118" s="87">
        <f>950+2130.32
</f>
        <v>3080.32</v>
      </c>
      <c r="F118" s="87">
        <v>950.0</v>
      </c>
      <c r="G118" s="87">
        <v>950.0</v>
      </c>
      <c r="H118" s="87">
        <f>950+2130.32
</f>
        <v>3080.32</v>
      </c>
      <c r="I118" s="87">
        <v>950.0</v>
      </c>
      <c r="J118" s="87">
        <v>950.0</v>
      </c>
      <c r="K118" s="87">
        <f>950+2281.6</f>
        <v>3231.6</v>
      </c>
      <c r="L118" s="87">
        <v>950.0</v>
      </c>
      <c r="M118" s="87">
        <v>950.0</v>
      </c>
      <c r="N118" s="17">
        <f t="shared" si="31"/>
        <v>20072.56</v>
      </c>
      <c r="O118" s="153"/>
      <c r="P118" s="186"/>
    </row>
    <row r="119" ht="13.5" customHeight="1">
      <c r="A119" s="59" t="s">
        <v>161</v>
      </c>
      <c r="B119" s="98">
        <v>1400.0</v>
      </c>
      <c r="C119" s="98">
        <v>1400.0</v>
      </c>
      <c r="D119" s="98">
        <v>1400.0</v>
      </c>
      <c r="E119" s="98">
        <v>1400.0</v>
      </c>
      <c r="F119" s="98">
        <v>1400.0</v>
      </c>
      <c r="G119" s="98">
        <v>1400.0</v>
      </c>
      <c r="H119" s="98">
        <v>1400.0</v>
      </c>
      <c r="I119" s="98">
        <v>1400.0</v>
      </c>
      <c r="J119" s="98">
        <v>1400.0</v>
      </c>
      <c r="K119" s="98">
        <v>1400.0</v>
      </c>
      <c r="L119" s="98">
        <v>1400.0</v>
      </c>
      <c r="M119" s="98">
        <v>1400.0</v>
      </c>
      <c r="N119" s="17">
        <f t="shared" si="31"/>
        <v>16800</v>
      </c>
      <c r="O119" s="153"/>
      <c r="P119" s="186"/>
    </row>
    <row r="120" ht="13.5" customHeight="1">
      <c r="A120" s="61" t="s">
        <v>113</v>
      </c>
      <c r="B120" s="98">
        <v>395.0</v>
      </c>
      <c r="C120" s="98">
        <v>395.0</v>
      </c>
      <c r="D120" s="98">
        <v>395.0</v>
      </c>
      <c r="E120" s="98">
        <v>395.0</v>
      </c>
      <c r="F120" s="98">
        <v>395.0</v>
      </c>
      <c r="G120" s="98">
        <v>395.0</v>
      </c>
      <c r="H120" s="98">
        <v>395.0</v>
      </c>
      <c r="I120" s="98">
        <v>395.0</v>
      </c>
      <c r="J120" s="98">
        <v>395.0</v>
      </c>
      <c r="K120" s="98">
        <v>395.0</v>
      </c>
      <c r="L120" s="98">
        <v>395.0</v>
      </c>
      <c r="M120" s="98">
        <v>395.0</v>
      </c>
      <c r="N120" s="17">
        <f t="shared" si="31"/>
        <v>4740</v>
      </c>
      <c r="O120" s="153"/>
      <c r="P120" s="186"/>
    </row>
    <row r="121" ht="13.5" customHeight="1">
      <c r="A121" s="202" t="s">
        <v>202</v>
      </c>
      <c r="B121" s="96">
        <v>1841.0</v>
      </c>
      <c r="C121" s="96">
        <v>1841.0</v>
      </c>
      <c r="D121" s="96">
        <v>1841.0</v>
      </c>
      <c r="E121" s="96">
        <v>1841.0</v>
      </c>
      <c r="F121" s="96">
        <v>1841.0</v>
      </c>
      <c r="G121" s="96">
        <v>1841.0</v>
      </c>
      <c r="H121" s="96">
        <v>1841.0</v>
      </c>
      <c r="I121" s="96">
        <v>1841.0</v>
      </c>
      <c r="J121" s="96">
        <v>1841.0</v>
      </c>
      <c r="K121" s="96">
        <v>1841.0</v>
      </c>
      <c r="L121" s="96">
        <v>1841.0</v>
      </c>
      <c r="M121" s="96">
        <v>1841.0</v>
      </c>
      <c r="N121" s="17">
        <f t="shared" si="31"/>
        <v>22092</v>
      </c>
      <c r="O121" s="153"/>
      <c r="P121" s="186"/>
    </row>
    <row r="122" ht="13.5" customHeight="1">
      <c r="A122" s="99" t="s">
        <v>23</v>
      </c>
      <c r="B122" s="63">
        <f t="shared" ref="B122:N122" si="32">SUM(B116:B121)</f>
        <v>7811.32</v>
      </c>
      <c r="C122" s="63">
        <f t="shared" si="32"/>
        <v>5681</v>
      </c>
      <c r="D122" s="63">
        <f t="shared" si="32"/>
        <v>5681</v>
      </c>
      <c r="E122" s="63">
        <f t="shared" si="32"/>
        <v>7811.32</v>
      </c>
      <c r="F122" s="63">
        <f t="shared" si="32"/>
        <v>5681</v>
      </c>
      <c r="G122" s="63">
        <f t="shared" si="32"/>
        <v>5681</v>
      </c>
      <c r="H122" s="63">
        <f t="shared" si="32"/>
        <v>7811.32</v>
      </c>
      <c r="I122" s="63">
        <f t="shared" si="32"/>
        <v>5681</v>
      </c>
      <c r="J122" s="63">
        <f t="shared" si="32"/>
        <v>5681</v>
      </c>
      <c r="K122" s="63">
        <f t="shared" si="32"/>
        <v>7962.6</v>
      </c>
      <c r="L122" s="63">
        <f t="shared" si="32"/>
        <v>5681</v>
      </c>
      <c r="M122" s="63">
        <f t="shared" si="32"/>
        <v>5681</v>
      </c>
      <c r="N122" s="63">
        <f t="shared" si="32"/>
        <v>76844.56</v>
      </c>
      <c r="O122" s="135"/>
      <c r="P122" s="184"/>
    </row>
    <row r="123" ht="13.5" customHeight="1">
      <c r="A123" s="134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84"/>
    </row>
    <row r="124" ht="13.5" customHeight="1">
      <c r="A124" s="64" t="s">
        <v>115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186"/>
    </row>
    <row r="125" ht="13.5" customHeight="1">
      <c r="A125" s="64" t="s">
        <v>116</v>
      </c>
      <c r="B125" s="67">
        <f t="shared" ref="B125:M125" si="33">+B13*0.7+B21*0.7+B32*0.7+B53*0.6+B71+B108*0.6</f>
        <v>40687.38585</v>
      </c>
      <c r="C125" s="67">
        <f t="shared" si="33"/>
        <v>43053.73425</v>
      </c>
      <c r="D125" s="67">
        <f t="shared" si="33"/>
        <v>42328.26781</v>
      </c>
      <c r="E125" s="67">
        <f t="shared" si="33"/>
        <v>43537.81689</v>
      </c>
      <c r="F125" s="67">
        <f t="shared" si="33"/>
        <v>37827.65345</v>
      </c>
      <c r="G125" s="67">
        <f t="shared" si="33"/>
        <v>44234.06728</v>
      </c>
      <c r="H125" s="67">
        <f t="shared" si="33"/>
        <v>41714.60375</v>
      </c>
      <c r="I125" s="67">
        <f t="shared" si="33"/>
        <v>40632.54355</v>
      </c>
      <c r="J125" s="67">
        <f t="shared" si="33"/>
        <v>42748.3596</v>
      </c>
      <c r="K125" s="67">
        <f t="shared" si="33"/>
        <v>44826.01734</v>
      </c>
      <c r="L125" s="67">
        <f t="shared" si="33"/>
        <v>45225.45702</v>
      </c>
      <c r="M125" s="67">
        <f t="shared" si="33"/>
        <v>45225.45702</v>
      </c>
      <c r="N125" s="67">
        <f t="shared" ref="N125:N126" si="35">SUM(B125:M125)</f>
        <v>512041.3638</v>
      </c>
      <c r="O125" s="67"/>
      <c r="P125" s="203"/>
    </row>
    <row r="126" ht="13.5" customHeight="1">
      <c r="A126" s="64" t="s">
        <v>117</v>
      </c>
      <c r="B126" s="67">
        <f t="shared" ref="B126:M126" si="34">+B13*0.3+B21*0.3+B32*0.3+B53*0.4+B83+B91+B108*0.4</f>
        <v>18273.07822</v>
      </c>
      <c r="C126" s="67">
        <f t="shared" si="34"/>
        <v>19777.36754</v>
      </c>
      <c r="D126" s="67">
        <f t="shared" si="34"/>
        <v>19710.40335</v>
      </c>
      <c r="E126" s="67">
        <f t="shared" si="34"/>
        <v>19783.97724</v>
      </c>
      <c r="F126" s="67">
        <f t="shared" si="34"/>
        <v>17787.47862</v>
      </c>
      <c r="G126" s="67">
        <f t="shared" si="34"/>
        <v>20642.65598</v>
      </c>
      <c r="H126" s="67">
        <f t="shared" si="34"/>
        <v>19060.45732</v>
      </c>
      <c r="I126" s="67">
        <f t="shared" si="34"/>
        <v>19005.75052</v>
      </c>
      <c r="J126" s="67">
        <f t="shared" si="34"/>
        <v>20007.78126</v>
      </c>
      <c r="K126" s="67">
        <f t="shared" si="34"/>
        <v>20429.88886</v>
      </c>
      <c r="L126" s="67">
        <f t="shared" si="34"/>
        <v>21007.25158</v>
      </c>
      <c r="M126" s="67">
        <f t="shared" si="34"/>
        <v>21007.25158</v>
      </c>
      <c r="N126" s="67">
        <f t="shared" si="35"/>
        <v>236493.3421</v>
      </c>
      <c r="O126" s="67"/>
      <c r="P126" s="203"/>
    </row>
    <row r="127" ht="13.5" customHeight="1">
      <c r="A127" s="64" t="s">
        <v>23</v>
      </c>
      <c r="B127" s="67">
        <f t="shared" ref="B127:N127" si="36">SUM(B125:B126)</f>
        <v>58960.46407</v>
      </c>
      <c r="C127" s="67">
        <f t="shared" si="36"/>
        <v>62831.10179</v>
      </c>
      <c r="D127" s="67">
        <f t="shared" si="36"/>
        <v>62038.67116</v>
      </c>
      <c r="E127" s="67">
        <f t="shared" si="36"/>
        <v>63321.79413</v>
      </c>
      <c r="F127" s="67">
        <f t="shared" si="36"/>
        <v>55615.13206</v>
      </c>
      <c r="G127" s="67">
        <f t="shared" si="36"/>
        <v>64876.72326</v>
      </c>
      <c r="H127" s="67">
        <f t="shared" si="36"/>
        <v>60775.06107</v>
      </c>
      <c r="I127" s="67">
        <f t="shared" si="36"/>
        <v>59638.29407</v>
      </c>
      <c r="J127" s="67">
        <f t="shared" si="36"/>
        <v>62756.14086</v>
      </c>
      <c r="K127" s="67">
        <f t="shared" si="36"/>
        <v>65255.90619</v>
      </c>
      <c r="L127" s="67">
        <f t="shared" si="36"/>
        <v>66232.7086</v>
      </c>
      <c r="M127" s="67">
        <f t="shared" si="36"/>
        <v>66232.7086</v>
      </c>
      <c r="N127" s="67">
        <f t="shared" si="36"/>
        <v>748534.7059</v>
      </c>
      <c r="O127" s="67"/>
      <c r="P127" s="203"/>
    </row>
    <row r="128" ht="13.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203"/>
    </row>
    <row r="129" ht="13.5" customHeight="1">
      <c r="A129" s="69" t="s">
        <v>118</v>
      </c>
      <c r="B129" s="70">
        <f t="shared" ref="B129:N129" si="37">+B110</f>
        <v>58960.46407</v>
      </c>
      <c r="C129" s="70">
        <f t="shared" si="37"/>
        <v>62831.10179</v>
      </c>
      <c r="D129" s="70">
        <f t="shared" si="37"/>
        <v>62038.67116</v>
      </c>
      <c r="E129" s="70">
        <f t="shared" si="37"/>
        <v>63321.79413</v>
      </c>
      <c r="F129" s="70">
        <f t="shared" si="37"/>
        <v>55615.13206</v>
      </c>
      <c r="G129" s="70">
        <f t="shared" si="37"/>
        <v>64876.72326</v>
      </c>
      <c r="H129" s="70">
        <f t="shared" si="37"/>
        <v>60775.06107</v>
      </c>
      <c r="I129" s="70">
        <f t="shared" si="37"/>
        <v>59638.29407</v>
      </c>
      <c r="J129" s="70">
        <f t="shared" si="37"/>
        <v>62756.14086</v>
      </c>
      <c r="K129" s="70">
        <f t="shared" si="37"/>
        <v>65255.90619</v>
      </c>
      <c r="L129" s="70">
        <f t="shared" si="37"/>
        <v>66232.7086</v>
      </c>
      <c r="M129" s="70">
        <f t="shared" si="37"/>
        <v>66232.7086</v>
      </c>
      <c r="N129" s="70">
        <f t="shared" si="37"/>
        <v>748534.7059</v>
      </c>
      <c r="O129" s="70"/>
      <c r="P129" s="203"/>
    </row>
    <row r="130" ht="13.5" customHeight="1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84"/>
    </row>
    <row r="131" ht="13.5" customHeight="1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84"/>
    </row>
    <row r="132" ht="13.5" customHeight="1">
      <c r="A132" s="134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</row>
    <row r="133" ht="13.5" customHeight="1">
      <c r="A133" s="134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</row>
    <row r="134" ht="13.5" customHeight="1">
      <c r="A134" s="134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</row>
    <row r="135" ht="13.5" customHeight="1">
      <c r="A135" s="134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</row>
    <row r="136" ht="13.5" customHeight="1">
      <c r="A136" s="134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</row>
    <row r="137" ht="13.5" customHeight="1">
      <c r="A137" s="134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</row>
    <row r="138" ht="13.5" customHeight="1">
      <c r="A138" s="134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</row>
    <row r="139" ht="13.5" customHeight="1">
      <c r="A139" s="134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</row>
    <row r="140" ht="13.5" customHeight="1">
      <c r="A140" s="134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</row>
    <row r="141" ht="13.5" customHeight="1">
      <c r="A141" s="134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</row>
    <row r="142" ht="13.5" customHeight="1">
      <c r="A142" s="134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</row>
    <row r="143" ht="13.5" customHeight="1">
      <c r="A143" s="134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</row>
    <row r="144" ht="13.5" customHeight="1">
      <c r="A144" s="134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</row>
    <row r="145" ht="13.5" customHeight="1">
      <c r="A145" s="134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</row>
    <row r="146" ht="13.5" customHeight="1">
      <c r="A146" s="134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</row>
    <row r="147" ht="13.5" customHeight="1">
      <c r="A147" s="134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</row>
    <row r="148" ht="13.5" customHeight="1">
      <c r="A148" s="134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</row>
    <row r="149" ht="13.5" customHeight="1">
      <c r="A149" s="134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</row>
    <row r="150" ht="13.5" customHeight="1">
      <c r="A150" s="134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</row>
    <row r="151" ht="13.5" customHeight="1">
      <c r="A151" s="134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</row>
    <row r="152" ht="13.5" customHeight="1">
      <c r="A152" s="134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</row>
    <row r="153" ht="13.5" customHeight="1">
      <c r="A153" s="134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</row>
    <row r="154" ht="13.5" customHeight="1">
      <c r="A154" s="134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</row>
    <row r="155" ht="13.5" customHeight="1">
      <c r="A155" s="134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</row>
    <row r="156" ht="13.5" customHeight="1">
      <c r="A156" s="134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</row>
    <row r="157" ht="13.5" customHeight="1">
      <c r="A157" s="134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</row>
    <row r="158" ht="13.5" customHeight="1">
      <c r="A158" s="134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</row>
    <row r="159" ht="13.5" customHeight="1">
      <c r="A159" s="134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</row>
    <row r="160" ht="13.5" customHeight="1">
      <c r="A160" s="134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</row>
    <row r="161" ht="13.5" customHeight="1">
      <c r="A161" s="134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</row>
    <row r="162" ht="13.5" customHeight="1">
      <c r="A162" s="134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</row>
    <row r="163" ht="13.5" customHeight="1">
      <c r="A163" s="134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</row>
    <row r="164" ht="13.5" customHeight="1">
      <c r="A164" s="134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</row>
    <row r="165" ht="13.5" customHeight="1">
      <c r="A165" s="134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</row>
    <row r="166" ht="13.5" customHeight="1">
      <c r="A166" s="134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</row>
    <row r="167" ht="13.5" customHeight="1">
      <c r="A167" s="134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</row>
    <row r="168" ht="13.5" customHeight="1">
      <c r="A168" s="134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</row>
    <row r="169" ht="13.5" customHeight="1">
      <c r="A169" s="134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</row>
    <row r="170" ht="13.5" customHeight="1">
      <c r="A170" s="134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</row>
    <row r="171" ht="13.5" customHeight="1">
      <c r="A171" s="134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</row>
    <row r="172" ht="13.5" customHeight="1">
      <c r="A172" s="134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</row>
    <row r="173" ht="13.5" customHeight="1">
      <c r="A173" s="134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</row>
    <row r="174" ht="13.5" customHeight="1">
      <c r="A174" s="134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</row>
    <row r="175" ht="13.5" customHeight="1">
      <c r="A175" s="134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</row>
    <row r="176" ht="13.5" customHeight="1">
      <c r="A176" s="134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</row>
    <row r="177" ht="13.5" customHeight="1">
      <c r="A177" s="134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</row>
    <row r="178" ht="13.5" customHeight="1">
      <c r="A178" s="134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</row>
    <row r="179" ht="13.5" customHeight="1">
      <c r="A179" s="134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</row>
    <row r="180" ht="13.5" customHeight="1">
      <c r="A180" s="134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</row>
    <row r="181" ht="13.5" customHeight="1">
      <c r="A181" s="134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</row>
    <row r="182" ht="13.5" customHeight="1">
      <c r="A182" s="134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</row>
    <row r="183" ht="13.5" customHeight="1">
      <c r="A183" s="134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</row>
    <row r="184" ht="13.5" customHeight="1">
      <c r="A184" s="134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</row>
    <row r="185" ht="13.5" customHeight="1">
      <c r="A185" s="134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</row>
    <row r="186" ht="13.5" customHeight="1">
      <c r="A186" s="134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</row>
    <row r="187" ht="13.5" customHeight="1">
      <c r="A187" s="134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</row>
    <row r="188" ht="13.5" customHeight="1">
      <c r="A188" s="134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</row>
    <row r="189" ht="13.5" customHeight="1">
      <c r="A189" s="134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</row>
    <row r="190" ht="13.5" customHeight="1">
      <c r="A190" s="134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</row>
    <row r="191" ht="13.5" customHeight="1">
      <c r="A191" s="134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</row>
    <row r="192" ht="13.5" customHeight="1">
      <c r="A192" s="134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</row>
    <row r="193" ht="13.5" customHeight="1">
      <c r="A193" s="134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</row>
    <row r="194" ht="13.5" customHeight="1">
      <c r="A194" s="134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</row>
    <row r="195" ht="13.5" customHeight="1">
      <c r="A195" s="134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</row>
    <row r="196" ht="13.5" customHeight="1">
      <c r="A196" s="134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</row>
    <row r="197" ht="13.5" customHeight="1">
      <c r="A197" s="134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</row>
    <row r="198" ht="13.5" customHeight="1">
      <c r="A198" s="134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</row>
    <row r="199" ht="13.5" customHeight="1">
      <c r="A199" s="134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</row>
    <row r="200" ht="13.5" customHeight="1">
      <c r="A200" s="134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</row>
    <row r="201" ht="13.5" customHeight="1">
      <c r="A201" s="134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</row>
    <row r="202" ht="13.5" customHeight="1">
      <c r="A202" s="134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</row>
    <row r="203" ht="13.5" customHeight="1">
      <c r="A203" s="134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</row>
    <row r="204" ht="13.5" customHeight="1">
      <c r="A204" s="134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</row>
    <row r="205" ht="13.5" customHeight="1">
      <c r="A205" s="134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</row>
    <row r="206" ht="13.5" customHeight="1">
      <c r="A206" s="134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</row>
    <row r="207" ht="13.5" customHeight="1">
      <c r="A207" s="134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</row>
    <row r="208" ht="13.5" customHeight="1">
      <c r="A208" s="134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</row>
    <row r="209" ht="13.5" customHeight="1">
      <c r="A209" s="134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</row>
    <row r="210" ht="13.5" customHeight="1">
      <c r="A210" s="134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</row>
    <row r="211" ht="13.5" customHeight="1">
      <c r="A211" s="134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</row>
    <row r="212" ht="13.5" customHeight="1">
      <c r="A212" s="134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</row>
    <row r="213" ht="13.5" customHeight="1">
      <c r="A213" s="134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</row>
    <row r="214" ht="13.5" customHeight="1">
      <c r="A214" s="134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</row>
    <row r="215" ht="13.5" customHeight="1">
      <c r="A215" s="134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</row>
    <row r="216" ht="13.5" customHeight="1">
      <c r="A216" s="134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</row>
    <row r="217" ht="13.5" customHeight="1">
      <c r="A217" s="134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</row>
    <row r="218" ht="13.5" customHeight="1">
      <c r="A218" s="134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</row>
    <row r="219" ht="13.5" customHeight="1">
      <c r="A219" s="134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</row>
    <row r="220" ht="13.5" customHeight="1">
      <c r="A220" s="134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</row>
    <row r="221" ht="13.5" customHeight="1">
      <c r="A221" s="134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</row>
    <row r="222" ht="13.5" customHeight="1">
      <c r="A222" s="134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</row>
    <row r="223" ht="13.5" customHeight="1">
      <c r="A223" s="134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</row>
    <row r="224" ht="13.5" customHeight="1">
      <c r="A224" s="134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</row>
    <row r="225" ht="13.5" customHeight="1">
      <c r="A225" s="134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</row>
    <row r="226" ht="13.5" customHeight="1">
      <c r="A226" s="134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</row>
    <row r="227" ht="13.5" customHeight="1">
      <c r="A227" s="134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</row>
    <row r="228" ht="13.5" customHeight="1">
      <c r="A228" s="134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</row>
    <row r="229" ht="13.5" customHeight="1">
      <c r="A229" s="134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</row>
    <row r="230" ht="13.5" customHeight="1">
      <c r="A230" s="134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</row>
    <row r="231" ht="13.5" customHeight="1">
      <c r="A231" s="134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</row>
    <row r="232" ht="13.5" customHeight="1">
      <c r="A232" s="134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</row>
    <row r="233" ht="13.5" customHeight="1">
      <c r="A233" s="134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</row>
    <row r="234" ht="13.5" customHeight="1">
      <c r="A234" s="134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</row>
    <row r="235" ht="13.5" customHeight="1">
      <c r="A235" s="134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</row>
    <row r="236" ht="13.5" customHeight="1">
      <c r="A236" s="134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</row>
    <row r="237" ht="13.5" customHeight="1">
      <c r="A237" s="134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</row>
    <row r="238" ht="13.5" customHeight="1">
      <c r="A238" s="134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</row>
    <row r="239" ht="13.5" customHeight="1">
      <c r="A239" s="134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</row>
    <row r="240" ht="13.5" customHeight="1">
      <c r="A240" s="134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</row>
    <row r="241" ht="13.5" customHeight="1">
      <c r="A241" s="134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</row>
    <row r="242" ht="13.5" customHeight="1">
      <c r="A242" s="134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</row>
    <row r="243" ht="13.5" customHeight="1">
      <c r="A243" s="134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</row>
    <row r="244" ht="13.5" customHeight="1">
      <c r="A244" s="134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</row>
    <row r="245" ht="13.5" customHeight="1">
      <c r="A245" s="134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</row>
    <row r="246" ht="13.5" customHeight="1">
      <c r="A246" s="134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</row>
    <row r="247" ht="13.5" customHeight="1">
      <c r="A247" s="134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</row>
    <row r="248" ht="13.5" customHeight="1">
      <c r="A248" s="134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</row>
    <row r="249" ht="13.5" customHeight="1">
      <c r="A249" s="134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</row>
    <row r="250" ht="13.5" customHeight="1">
      <c r="A250" s="134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</row>
    <row r="251" ht="13.5" customHeight="1">
      <c r="A251" s="134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</row>
    <row r="252" ht="13.5" customHeight="1">
      <c r="A252" s="134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</row>
    <row r="253" ht="13.5" customHeight="1">
      <c r="A253" s="134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</row>
    <row r="254" ht="13.5" customHeight="1">
      <c r="A254" s="134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</row>
    <row r="255" ht="13.5" customHeight="1">
      <c r="A255" s="134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</row>
    <row r="256" ht="13.5" customHeight="1">
      <c r="A256" s="134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</row>
    <row r="257" ht="13.5" customHeight="1">
      <c r="A257" s="134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</row>
    <row r="258" ht="13.5" customHeight="1">
      <c r="A258" s="134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</row>
    <row r="259" ht="13.5" customHeight="1">
      <c r="A259" s="134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</row>
    <row r="260" ht="13.5" customHeight="1">
      <c r="A260" s="134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</row>
    <row r="261" ht="13.5" customHeight="1">
      <c r="A261" s="134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</row>
    <row r="262" ht="13.5" customHeight="1">
      <c r="A262" s="134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</row>
    <row r="263" ht="13.5" customHeight="1">
      <c r="A263" s="134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</row>
    <row r="264" ht="13.5" customHeight="1">
      <c r="A264" s="134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</row>
    <row r="265" ht="13.5" customHeight="1">
      <c r="A265" s="134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</row>
    <row r="266" ht="13.5" customHeight="1">
      <c r="A266" s="134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</row>
    <row r="267" ht="13.5" customHeight="1">
      <c r="A267" s="134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</row>
    <row r="268" ht="13.5" customHeight="1">
      <c r="A268" s="134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</row>
    <row r="269" ht="13.5" customHeight="1">
      <c r="A269" s="134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</row>
    <row r="270" ht="13.5" customHeight="1">
      <c r="A270" s="134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</row>
    <row r="271" ht="13.5" customHeight="1">
      <c r="A271" s="134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</row>
    <row r="272" ht="13.5" customHeight="1">
      <c r="A272" s="134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</row>
    <row r="273" ht="13.5" customHeight="1">
      <c r="A273" s="134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</row>
    <row r="274" ht="13.5" customHeight="1">
      <c r="A274" s="134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</row>
    <row r="275" ht="13.5" customHeight="1">
      <c r="A275" s="134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</row>
    <row r="276" ht="13.5" customHeight="1">
      <c r="A276" s="134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</row>
    <row r="277" ht="13.5" customHeight="1">
      <c r="A277" s="134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</row>
    <row r="278" ht="13.5" customHeight="1">
      <c r="A278" s="134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</row>
    <row r="279" ht="13.5" customHeight="1">
      <c r="A279" s="134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</row>
    <row r="280" ht="13.5" customHeight="1">
      <c r="A280" s="134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</row>
    <row r="281" ht="13.5" customHeight="1">
      <c r="A281" s="134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</row>
    <row r="282" ht="13.5" customHeight="1">
      <c r="A282" s="134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</row>
    <row r="283" ht="13.5" customHeight="1">
      <c r="A283" s="134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</row>
    <row r="284" ht="13.5" customHeight="1">
      <c r="A284" s="134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</row>
    <row r="285" ht="13.5" customHeight="1">
      <c r="A285" s="134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</row>
    <row r="286" ht="13.5" customHeight="1">
      <c r="A286" s="134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</row>
    <row r="287" ht="13.5" customHeight="1">
      <c r="A287" s="134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</row>
    <row r="288" ht="13.5" customHeight="1">
      <c r="A288" s="134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</row>
    <row r="289" ht="13.5" customHeight="1">
      <c r="A289" s="134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</row>
    <row r="290" ht="13.5" customHeight="1">
      <c r="A290" s="134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</row>
    <row r="291" ht="13.5" customHeight="1">
      <c r="A291" s="134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</row>
    <row r="292" ht="13.5" customHeight="1">
      <c r="A292" s="134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</row>
    <row r="293" ht="13.5" customHeight="1">
      <c r="A293" s="134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</row>
    <row r="294" ht="13.5" customHeight="1">
      <c r="A294" s="134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</row>
    <row r="295" ht="13.5" customHeight="1">
      <c r="A295" s="134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</row>
    <row r="296" ht="13.5" customHeight="1">
      <c r="A296" s="134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</row>
    <row r="297" ht="13.5" customHeight="1">
      <c r="A297" s="134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</row>
    <row r="298" ht="13.5" customHeight="1">
      <c r="A298" s="134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</row>
    <row r="299" ht="13.5" customHeight="1">
      <c r="A299" s="134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</row>
    <row r="300" ht="13.5" customHeight="1">
      <c r="A300" s="134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</row>
    <row r="301" ht="13.5" customHeight="1">
      <c r="A301" s="134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</row>
    <row r="302" ht="13.5" customHeight="1">
      <c r="A302" s="134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</row>
    <row r="303" ht="13.5" customHeight="1">
      <c r="A303" s="134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</row>
    <row r="304" ht="13.5" customHeight="1">
      <c r="A304" s="134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</row>
    <row r="305" ht="13.5" customHeight="1">
      <c r="A305" s="134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</row>
    <row r="306" ht="13.5" customHeight="1">
      <c r="A306" s="134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</row>
    <row r="307" ht="13.5" customHeight="1">
      <c r="A307" s="134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</row>
    <row r="308" ht="13.5" customHeight="1">
      <c r="A308" s="134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</row>
    <row r="309" ht="13.5" customHeight="1">
      <c r="A309" s="134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</row>
    <row r="310" ht="13.5" customHeight="1">
      <c r="A310" s="134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</row>
    <row r="311" ht="13.5" customHeight="1">
      <c r="A311" s="134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</row>
    <row r="312" ht="13.5" customHeight="1">
      <c r="A312" s="134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</row>
    <row r="313" ht="13.5" customHeight="1">
      <c r="A313" s="134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</row>
    <row r="314" ht="13.5" customHeight="1">
      <c r="A314" s="134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</row>
    <row r="315" ht="13.5" customHeight="1">
      <c r="A315" s="134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</row>
    <row r="316" ht="13.5" customHeight="1">
      <c r="A316" s="134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</row>
    <row r="317" ht="13.5" customHeight="1">
      <c r="A317" s="134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</row>
    <row r="318" ht="13.5" customHeight="1">
      <c r="A318" s="134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</row>
    <row r="319" ht="13.5" customHeight="1">
      <c r="A319" s="134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</row>
    <row r="320" ht="13.5" customHeight="1">
      <c r="A320" s="134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</row>
    <row r="321" ht="13.5" customHeight="1">
      <c r="A321" s="134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</row>
    <row r="322" ht="13.5" customHeight="1">
      <c r="A322" s="134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</row>
    <row r="323" ht="13.5" customHeight="1">
      <c r="A323" s="134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</row>
    <row r="324" ht="13.5" customHeight="1">
      <c r="A324" s="134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</row>
    <row r="325" ht="13.5" customHeight="1">
      <c r="A325" s="134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</row>
    <row r="326" ht="13.5" customHeight="1">
      <c r="A326" s="134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</row>
    <row r="327" ht="13.5" customHeight="1">
      <c r="A327" s="134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</row>
    <row r="328" ht="13.5" customHeight="1">
      <c r="A328" s="134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</row>
    <row r="329" ht="13.5" customHeight="1">
      <c r="A329" s="134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</row>
    <row r="330" ht="13.5" customHeight="1">
      <c r="A330" s="134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</row>
    <row r="331" ht="13.5" customHeight="1">
      <c r="A331" s="134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</row>
    <row r="332" ht="13.5" customHeight="1">
      <c r="A332" s="134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</row>
    <row r="333" ht="13.5" customHeight="1">
      <c r="A333" s="134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</row>
    <row r="334" ht="13.5" customHeight="1">
      <c r="A334" s="134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</row>
    <row r="335" ht="13.5" customHeight="1">
      <c r="A335" s="134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</row>
    <row r="336" ht="13.5" customHeight="1">
      <c r="A336" s="134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</row>
    <row r="337" ht="13.5" customHeight="1">
      <c r="A337" s="134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</row>
    <row r="338" ht="13.5" customHeight="1">
      <c r="A338" s="134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</row>
    <row r="339" ht="13.5" customHeight="1">
      <c r="A339" s="134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</row>
    <row r="340" ht="13.5" customHeight="1">
      <c r="A340" s="134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</row>
    <row r="341" ht="13.5" customHeight="1">
      <c r="A341" s="134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</row>
    <row r="342" ht="13.5" customHeight="1">
      <c r="A342" s="134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</row>
    <row r="343" ht="13.5" customHeight="1">
      <c r="A343" s="134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</row>
    <row r="344" ht="13.5" customHeight="1">
      <c r="A344" s="134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</row>
    <row r="345" ht="13.5" customHeight="1">
      <c r="A345" s="134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</row>
    <row r="346" ht="13.5" customHeight="1">
      <c r="A346" s="134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</row>
    <row r="347" ht="13.5" customHeight="1">
      <c r="A347" s="134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</row>
    <row r="348" ht="13.5" customHeight="1">
      <c r="A348" s="134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</row>
    <row r="349" ht="13.5" customHeight="1">
      <c r="A349" s="134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</row>
    <row r="350" ht="13.5" customHeight="1">
      <c r="A350" s="134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</row>
    <row r="351" ht="13.5" customHeight="1">
      <c r="A351" s="134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</row>
    <row r="352" ht="13.5" customHeight="1">
      <c r="A352" s="134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</row>
    <row r="353" ht="13.5" customHeight="1">
      <c r="A353" s="134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</row>
    <row r="354" ht="13.5" customHeight="1">
      <c r="A354" s="134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</row>
    <row r="355" ht="13.5" customHeight="1">
      <c r="A355" s="134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</row>
    <row r="356" ht="13.5" customHeight="1">
      <c r="A356" s="134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</row>
    <row r="357" ht="13.5" customHeight="1">
      <c r="A357" s="134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</row>
    <row r="358" ht="13.5" customHeight="1">
      <c r="A358" s="134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</row>
    <row r="359" ht="13.5" customHeight="1">
      <c r="A359" s="134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</row>
    <row r="360" ht="13.5" customHeight="1">
      <c r="A360" s="134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</row>
    <row r="361" ht="13.5" customHeight="1">
      <c r="A361" s="134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</row>
    <row r="362" ht="13.5" customHeight="1">
      <c r="A362" s="134"/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</row>
    <row r="363" ht="13.5" customHeight="1">
      <c r="A363" s="134"/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</row>
    <row r="364" ht="13.5" customHeight="1">
      <c r="A364" s="134"/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</row>
    <row r="365" ht="13.5" customHeight="1">
      <c r="A365" s="134"/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</row>
    <row r="366" ht="13.5" customHeight="1">
      <c r="A366" s="134"/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</row>
    <row r="367" ht="13.5" customHeight="1">
      <c r="A367" s="134"/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</row>
    <row r="368" ht="13.5" customHeight="1">
      <c r="A368" s="134"/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</row>
    <row r="369" ht="13.5" customHeight="1">
      <c r="A369" s="134"/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</row>
    <row r="370" ht="13.5" customHeight="1">
      <c r="A370" s="134"/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</row>
    <row r="371" ht="13.5" customHeight="1">
      <c r="A371" s="134"/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</row>
    <row r="372" ht="13.5" customHeight="1">
      <c r="A372" s="134"/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</row>
    <row r="373" ht="13.5" customHeight="1">
      <c r="A373" s="134"/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</row>
    <row r="374" ht="13.5" customHeight="1">
      <c r="A374" s="134"/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</row>
    <row r="375" ht="13.5" customHeight="1">
      <c r="A375" s="134"/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</row>
    <row r="376" ht="13.5" customHeight="1">
      <c r="A376" s="134"/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</row>
    <row r="377" ht="13.5" customHeight="1">
      <c r="A377" s="134"/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</row>
    <row r="378" ht="13.5" customHeight="1">
      <c r="A378" s="134"/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</row>
    <row r="379" ht="13.5" customHeight="1">
      <c r="A379" s="134"/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</row>
    <row r="380" ht="13.5" customHeight="1">
      <c r="A380" s="134"/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</row>
    <row r="381" ht="13.5" customHeight="1">
      <c r="A381" s="134"/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</row>
    <row r="382" ht="13.5" customHeight="1">
      <c r="A382" s="134"/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</row>
    <row r="383" ht="13.5" customHeight="1">
      <c r="A383" s="134"/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</row>
    <row r="384" ht="13.5" customHeight="1">
      <c r="A384" s="134"/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</row>
    <row r="385" ht="13.5" customHeight="1">
      <c r="A385" s="134"/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</row>
    <row r="386" ht="13.5" customHeight="1">
      <c r="A386" s="134"/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</row>
    <row r="387" ht="13.5" customHeight="1">
      <c r="A387" s="134"/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</row>
    <row r="388" ht="13.5" customHeight="1">
      <c r="A388" s="134"/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</row>
    <row r="389" ht="13.5" customHeight="1">
      <c r="A389" s="134"/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</row>
    <row r="390" ht="13.5" customHeight="1">
      <c r="A390" s="134"/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</row>
    <row r="391" ht="13.5" customHeight="1">
      <c r="A391" s="134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</row>
    <row r="392" ht="13.5" customHeight="1">
      <c r="A392" s="134"/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</row>
    <row r="393" ht="13.5" customHeight="1">
      <c r="A393" s="134"/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</row>
    <row r="394" ht="13.5" customHeight="1">
      <c r="A394" s="134"/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</row>
    <row r="395" ht="13.5" customHeight="1">
      <c r="A395" s="134"/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</row>
    <row r="396" ht="13.5" customHeight="1">
      <c r="A396" s="134"/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</row>
    <row r="397" ht="13.5" customHeight="1">
      <c r="A397" s="134"/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</row>
    <row r="398" ht="13.5" customHeight="1">
      <c r="A398" s="134"/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</row>
    <row r="399" ht="13.5" customHeight="1">
      <c r="A399" s="134"/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</row>
    <row r="400" ht="13.5" customHeight="1">
      <c r="A400" s="134"/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</row>
    <row r="401" ht="13.5" customHeight="1">
      <c r="A401" s="134"/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</row>
    <row r="402" ht="13.5" customHeight="1">
      <c r="A402" s="134"/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</row>
    <row r="403" ht="13.5" customHeight="1">
      <c r="A403" s="134"/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</row>
    <row r="404" ht="13.5" customHeight="1">
      <c r="A404" s="134"/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</row>
    <row r="405" ht="13.5" customHeight="1">
      <c r="A405" s="134"/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</row>
    <row r="406" ht="13.5" customHeight="1">
      <c r="A406" s="134"/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</row>
    <row r="407" ht="13.5" customHeight="1">
      <c r="A407" s="134"/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</row>
    <row r="408" ht="13.5" customHeight="1">
      <c r="A408" s="134"/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</row>
    <row r="409" ht="13.5" customHeight="1">
      <c r="A409" s="134"/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</row>
    <row r="410" ht="13.5" customHeight="1">
      <c r="A410" s="134"/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</row>
    <row r="411" ht="13.5" customHeight="1">
      <c r="A411" s="134"/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</row>
    <row r="412" ht="13.5" customHeight="1">
      <c r="A412" s="134"/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</row>
    <row r="413" ht="13.5" customHeight="1">
      <c r="A413" s="134"/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</row>
    <row r="414" ht="13.5" customHeight="1">
      <c r="A414" s="134"/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</row>
    <row r="415" ht="13.5" customHeight="1">
      <c r="A415" s="134"/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</row>
    <row r="416" ht="13.5" customHeight="1">
      <c r="A416" s="134"/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</row>
    <row r="417" ht="13.5" customHeight="1">
      <c r="A417" s="134"/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</row>
    <row r="418" ht="13.5" customHeight="1">
      <c r="A418" s="134"/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</row>
    <row r="419" ht="13.5" customHeight="1">
      <c r="A419" s="134"/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</row>
    <row r="420" ht="13.5" customHeight="1">
      <c r="A420" s="134"/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</row>
    <row r="421" ht="13.5" customHeight="1">
      <c r="A421" s="134"/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</row>
    <row r="422" ht="13.5" customHeight="1">
      <c r="A422" s="134"/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</row>
    <row r="423" ht="13.5" customHeight="1">
      <c r="A423" s="134"/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</row>
    <row r="424" ht="13.5" customHeight="1">
      <c r="A424" s="134"/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</row>
    <row r="425" ht="13.5" customHeight="1">
      <c r="A425" s="134"/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</row>
    <row r="426" ht="13.5" customHeight="1">
      <c r="A426" s="134"/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</row>
    <row r="427" ht="13.5" customHeight="1">
      <c r="A427" s="134"/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</row>
    <row r="428" ht="13.5" customHeight="1">
      <c r="A428" s="134"/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</row>
    <row r="429" ht="13.5" customHeight="1">
      <c r="A429" s="134"/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</row>
    <row r="430" ht="13.5" customHeight="1">
      <c r="A430" s="134"/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</row>
    <row r="431" ht="13.5" customHeight="1">
      <c r="A431" s="134"/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</row>
    <row r="432" ht="13.5" customHeight="1">
      <c r="A432" s="134"/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</row>
    <row r="433" ht="13.5" customHeight="1">
      <c r="A433" s="134"/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</row>
    <row r="434" ht="13.5" customHeight="1">
      <c r="A434" s="134"/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</row>
    <row r="435" ht="13.5" customHeight="1">
      <c r="A435" s="134"/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</row>
    <row r="436" ht="13.5" customHeight="1">
      <c r="A436" s="134"/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</row>
    <row r="437" ht="13.5" customHeight="1">
      <c r="A437" s="134"/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</row>
    <row r="438" ht="13.5" customHeight="1">
      <c r="A438" s="134"/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</row>
    <row r="439" ht="13.5" customHeight="1">
      <c r="A439" s="134"/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</row>
    <row r="440" ht="13.5" customHeight="1">
      <c r="A440" s="134"/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</row>
    <row r="441" ht="13.5" customHeight="1">
      <c r="A441" s="134"/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</row>
    <row r="442" ht="13.5" customHeight="1">
      <c r="A442" s="134"/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</row>
    <row r="443" ht="13.5" customHeight="1">
      <c r="A443" s="134"/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</row>
    <row r="444" ht="13.5" customHeight="1">
      <c r="A444" s="134"/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</row>
    <row r="445" ht="13.5" customHeight="1">
      <c r="A445" s="134"/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</row>
    <row r="446" ht="13.5" customHeight="1">
      <c r="A446" s="134"/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</row>
    <row r="447" ht="13.5" customHeight="1">
      <c r="A447" s="134"/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</row>
    <row r="448" ht="13.5" customHeight="1">
      <c r="A448" s="134"/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</row>
    <row r="449" ht="13.5" customHeight="1">
      <c r="A449" s="134"/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</row>
    <row r="450" ht="13.5" customHeight="1">
      <c r="A450" s="134"/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</row>
    <row r="451" ht="13.5" customHeight="1">
      <c r="A451" s="134"/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</row>
    <row r="452" ht="13.5" customHeight="1">
      <c r="A452" s="134"/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</row>
    <row r="453" ht="13.5" customHeight="1">
      <c r="A453" s="134"/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</row>
    <row r="454" ht="13.5" customHeight="1">
      <c r="A454" s="134"/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</row>
    <row r="455" ht="13.5" customHeight="1">
      <c r="A455" s="134"/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</row>
    <row r="456" ht="13.5" customHeight="1">
      <c r="A456" s="134"/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</row>
    <row r="457" ht="13.5" customHeight="1">
      <c r="A457" s="134"/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</row>
    <row r="458" ht="13.5" customHeight="1">
      <c r="A458" s="134"/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</row>
    <row r="459" ht="13.5" customHeight="1">
      <c r="A459" s="134"/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</row>
    <row r="460" ht="13.5" customHeight="1">
      <c r="A460" s="134"/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</row>
    <row r="461" ht="13.5" customHeight="1">
      <c r="A461" s="134"/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</row>
    <row r="462" ht="13.5" customHeight="1">
      <c r="A462" s="134"/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</row>
    <row r="463" ht="13.5" customHeight="1">
      <c r="A463" s="134"/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</row>
    <row r="464" ht="13.5" customHeight="1">
      <c r="A464" s="134"/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</row>
    <row r="465" ht="13.5" customHeight="1">
      <c r="A465" s="134"/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</row>
    <row r="466" ht="13.5" customHeight="1">
      <c r="A466" s="134"/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</row>
    <row r="467" ht="13.5" customHeight="1">
      <c r="A467" s="134"/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</row>
    <row r="468" ht="13.5" customHeight="1">
      <c r="A468" s="134"/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</row>
    <row r="469" ht="13.5" customHeight="1">
      <c r="A469" s="134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</row>
    <row r="470" ht="13.5" customHeight="1">
      <c r="A470" s="134"/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</row>
    <row r="471" ht="13.5" customHeight="1">
      <c r="A471" s="134"/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</row>
    <row r="472" ht="13.5" customHeight="1">
      <c r="A472" s="134"/>
      <c r="B472" s="135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</row>
    <row r="473" ht="13.5" customHeight="1">
      <c r="A473" s="134"/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</row>
    <row r="474" ht="13.5" customHeight="1">
      <c r="A474" s="134"/>
      <c r="B474" s="135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</row>
    <row r="475" ht="13.5" customHeight="1">
      <c r="A475" s="134"/>
      <c r="B475" s="135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</row>
    <row r="476" ht="13.5" customHeight="1">
      <c r="A476" s="134"/>
      <c r="B476" s="135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</row>
    <row r="477" ht="13.5" customHeight="1">
      <c r="A477" s="134"/>
      <c r="B477" s="135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</row>
    <row r="478" ht="13.5" customHeight="1">
      <c r="A478" s="134"/>
      <c r="B478" s="135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</row>
    <row r="479" ht="13.5" customHeight="1">
      <c r="A479" s="134"/>
      <c r="B479" s="135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</row>
    <row r="480" ht="13.5" customHeight="1">
      <c r="A480" s="134"/>
      <c r="B480" s="135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</row>
    <row r="481" ht="13.5" customHeight="1">
      <c r="A481" s="134"/>
      <c r="B481" s="135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</row>
    <row r="482" ht="13.5" customHeight="1">
      <c r="A482" s="134"/>
      <c r="B482" s="135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</row>
    <row r="483" ht="13.5" customHeight="1">
      <c r="A483" s="134"/>
      <c r="B483" s="135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</row>
    <row r="484" ht="13.5" customHeight="1">
      <c r="A484" s="134"/>
      <c r="B484" s="135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</row>
    <row r="485" ht="13.5" customHeight="1">
      <c r="A485" s="134"/>
      <c r="B485" s="135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</row>
    <row r="486" ht="13.5" customHeight="1">
      <c r="A486" s="134"/>
      <c r="B486" s="135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</row>
    <row r="487" ht="13.5" customHeight="1">
      <c r="A487" s="134"/>
      <c r="B487" s="135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</row>
    <row r="488" ht="13.5" customHeight="1">
      <c r="A488" s="134"/>
      <c r="B488" s="135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</row>
    <row r="489" ht="13.5" customHeight="1">
      <c r="A489" s="134"/>
      <c r="B489" s="135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</row>
    <row r="490" ht="13.5" customHeight="1">
      <c r="A490" s="134"/>
      <c r="B490" s="135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</row>
    <row r="491" ht="13.5" customHeight="1">
      <c r="A491" s="134"/>
      <c r="B491" s="135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</row>
    <row r="492" ht="13.5" customHeight="1">
      <c r="A492" s="134"/>
      <c r="B492" s="135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</row>
    <row r="493" ht="13.5" customHeight="1">
      <c r="A493" s="134"/>
      <c r="B493" s="135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</row>
    <row r="494" ht="13.5" customHeight="1">
      <c r="A494" s="134"/>
      <c r="B494" s="135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</row>
    <row r="495" ht="13.5" customHeight="1">
      <c r="A495" s="134"/>
      <c r="B495" s="135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</row>
    <row r="496" ht="13.5" customHeight="1">
      <c r="A496" s="134"/>
      <c r="B496" s="135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</row>
    <row r="497" ht="13.5" customHeight="1">
      <c r="A497" s="134"/>
      <c r="B497" s="135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</row>
    <row r="498" ht="13.5" customHeight="1">
      <c r="A498" s="134"/>
      <c r="B498" s="135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</row>
    <row r="499" ht="13.5" customHeight="1">
      <c r="A499" s="134"/>
      <c r="B499" s="135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</row>
    <row r="500" ht="13.5" customHeight="1">
      <c r="A500" s="134"/>
      <c r="B500" s="135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</row>
    <row r="501" ht="13.5" customHeight="1">
      <c r="A501" s="134"/>
      <c r="B501" s="135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</row>
    <row r="502" ht="13.5" customHeight="1">
      <c r="A502" s="134"/>
      <c r="B502" s="135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</row>
    <row r="503" ht="13.5" customHeight="1">
      <c r="A503" s="134"/>
      <c r="B503" s="135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</row>
    <row r="504" ht="13.5" customHeight="1">
      <c r="A504" s="134"/>
      <c r="B504" s="135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</row>
    <row r="505" ht="13.5" customHeight="1">
      <c r="A505" s="134"/>
      <c r="B505" s="135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</row>
    <row r="506" ht="13.5" customHeight="1">
      <c r="A506" s="134"/>
      <c r="B506" s="135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</row>
    <row r="507" ht="13.5" customHeight="1">
      <c r="A507" s="134"/>
      <c r="B507" s="135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</row>
    <row r="508" ht="13.5" customHeight="1">
      <c r="A508" s="134"/>
      <c r="B508" s="135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</row>
    <row r="509" ht="13.5" customHeight="1">
      <c r="A509" s="134"/>
      <c r="B509" s="135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</row>
    <row r="510" ht="13.5" customHeight="1">
      <c r="A510" s="134"/>
      <c r="B510" s="135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</row>
    <row r="511" ht="13.5" customHeight="1">
      <c r="A511" s="134"/>
      <c r="B511" s="135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</row>
    <row r="512" ht="13.5" customHeight="1">
      <c r="A512" s="134"/>
      <c r="B512" s="135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</row>
    <row r="513" ht="13.5" customHeight="1">
      <c r="A513" s="134"/>
      <c r="B513" s="135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</row>
    <row r="514" ht="13.5" customHeight="1">
      <c r="A514" s="134"/>
      <c r="B514" s="135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</row>
    <row r="515" ht="13.5" customHeight="1">
      <c r="A515" s="134"/>
      <c r="B515" s="135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</row>
    <row r="516" ht="13.5" customHeight="1">
      <c r="A516" s="134"/>
      <c r="B516" s="135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</row>
    <row r="517" ht="13.5" customHeight="1">
      <c r="A517" s="134"/>
      <c r="B517" s="135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</row>
    <row r="518" ht="13.5" customHeight="1">
      <c r="A518" s="134"/>
      <c r="B518" s="135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</row>
    <row r="519" ht="13.5" customHeight="1">
      <c r="A519" s="134"/>
      <c r="B519" s="135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</row>
    <row r="520" ht="13.5" customHeight="1">
      <c r="A520" s="134"/>
      <c r="B520" s="135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</row>
    <row r="521" ht="13.5" customHeight="1">
      <c r="A521" s="134"/>
      <c r="B521" s="135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</row>
    <row r="522" ht="13.5" customHeight="1">
      <c r="A522" s="134"/>
      <c r="B522" s="135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</row>
    <row r="523" ht="13.5" customHeight="1">
      <c r="A523" s="134"/>
      <c r="B523" s="135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</row>
    <row r="524" ht="13.5" customHeight="1">
      <c r="A524" s="134"/>
      <c r="B524" s="135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</row>
    <row r="525" ht="13.5" customHeight="1">
      <c r="A525" s="134"/>
      <c r="B525" s="135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</row>
    <row r="526" ht="13.5" customHeight="1">
      <c r="A526" s="134"/>
      <c r="B526" s="135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</row>
    <row r="527" ht="13.5" customHeight="1">
      <c r="A527" s="134"/>
      <c r="B527" s="135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</row>
    <row r="528" ht="13.5" customHeight="1">
      <c r="A528" s="134"/>
      <c r="B528" s="135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</row>
    <row r="529" ht="13.5" customHeight="1">
      <c r="A529" s="134"/>
      <c r="B529" s="135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</row>
    <row r="530" ht="13.5" customHeight="1">
      <c r="A530" s="134"/>
      <c r="B530" s="135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</row>
    <row r="531" ht="13.5" customHeight="1">
      <c r="A531" s="134"/>
      <c r="B531" s="135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</row>
    <row r="532" ht="13.5" customHeight="1">
      <c r="A532" s="134"/>
      <c r="B532" s="135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</row>
    <row r="533" ht="13.5" customHeight="1">
      <c r="A533" s="134"/>
      <c r="B533" s="135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</row>
    <row r="534" ht="13.5" customHeight="1">
      <c r="A534" s="134"/>
      <c r="B534" s="135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</row>
    <row r="535" ht="13.5" customHeight="1">
      <c r="A535" s="134"/>
      <c r="B535" s="135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</row>
    <row r="536" ht="13.5" customHeight="1">
      <c r="A536" s="134"/>
      <c r="B536" s="135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</row>
    <row r="537" ht="13.5" customHeight="1">
      <c r="A537" s="134"/>
      <c r="B537" s="135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</row>
    <row r="538" ht="13.5" customHeight="1">
      <c r="A538" s="134"/>
      <c r="B538" s="135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</row>
    <row r="539" ht="13.5" customHeight="1">
      <c r="A539" s="134"/>
      <c r="B539" s="135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</row>
    <row r="540" ht="13.5" customHeight="1">
      <c r="A540" s="134"/>
      <c r="B540" s="135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</row>
    <row r="541" ht="13.5" customHeight="1">
      <c r="A541" s="134"/>
      <c r="B541" s="135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</row>
    <row r="542" ht="13.5" customHeight="1">
      <c r="A542" s="134"/>
      <c r="B542" s="135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</row>
    <row r="543" ht="13.5" customHeight="1">
      <c r="A543" s="134"/>
      <c r="B543" s="135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</row>
    <row r="544" ht="13.5" customHeight="1">
      <c r="A544" s="134"/>
      <c r="B544" s="135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</row>
    <row r="545" ht="13.5" customHeight="1">
      <c r="A545" s="134"/>
      <c r="B545" s="135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</row>
    <row r="546" ht="13.5" customHeight="1">
      <c r="A546" s="134"/>
      <c r="B546" s="135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</row>
    <row r="547" ht="13.5" customHeight="1">
      <c r="A547" s="134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</row>
    <row r="548" ht="13.5" customHeight="1">
      <c r="A548" s="134"/>
      <c r="B548" s="135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</row>
    <row r="549" ht="13.5" customHeight="1">
      <c r="A549" s="134"/>
      <c r="B549" s="135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</row>
    <row r="550" ht="13.5" customHeight="1">
      <c r="A550" s="134"/>
      <c r="B550" s="135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</row>
    <row r="551" ht="13.5" customHeight="1">
      <c r="A551" s="134"/>
      <c r="B551" s="135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</row>
    <row r="552" ht="13.5" customHeight="1">
      <c r="A552" s="134"/>
      <c r="B552" s="135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</row>
    <row r="553" ht="13.5" customHeight="1">
      <c r="A553" s="134"/>
      <c r="B553" s="135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</row>
    <row r="554" ht="13.5" customHeight="1">
      <c r="A554" s="134"/>
      <c r="B554" s="135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</row>
    <row r="555" ht="13.5" customHeight="1">
      <c r="A555" s="134"/>
      <c r="B555" s="135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</row>
    <row r="556" ht="13.5" customHeight="1">
      <c r="A556" s="134"/>
      <c r="B556" s="135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</row>
    <row r="557" ht="13.5" customHeight="1">
      <c r="A557" s="134"/>
      <c r="B557" s="135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</row>
    <row r="558" ht="13.5" customHeight="1">
      <c r="A558" s="134"/>
      <c r="B558" s="135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</row>
    <row r="559" ht="13.5" customHeight="1">
      <c r="A559" s="134"/>
      <c r="B559" s="135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</row>
    <row r="560" ht="13.5" customHeight="1">
      <c r="A560" s="134"/>
      <c r="B560" s="135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</row>
    <row r="561" ht="13.5" customHeight="1">
      <c r="A561" s="134"/>
      <c r="B561" s="135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</row>
    <row r="562" ht="13.5" customHeight="1">
      <c r="A562" s="134"/>
      <c r="B562" s="135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</row>
    <row r="563" ht="13.5" customHeight="1">
      <c r="A563" s="134"/>
      <c r="B563" s="135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</row>
    <row r="564" ht="13.5" customHeight="1">
      <c r="A564" s="134"/>
      <c r="B564" s="135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</row>
    <row r="565" ht="13.5" customHeight="1">
      <c r="A565" s="134"/>
      <c r="B565" s="135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</row>
    <row r="566" ht="13.5" customHeight="1">
      <c r="A566" s="134"/>
      <c r="B566" s="135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</row>
    <row r="567" ht="13.5" customHeight="1">
      <c r="A567" s="134"/>
      <c r="B567" s="135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</row>
    <row r="568" ht="13.5" customHeight="1">
      <c r="A568" s="134"/>
      <c r="B568" s="135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</row>
    <row r="569" ht="13.5" customHeight="1">
      <c r="A569" s="134"/>
      <c r="B569" s="135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</row>
    <row r="570" ht="13.5" customHeight="1">
      <c r="A570" s="134"/>
      <c r="B570" s="135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</row>
    <row r="571" ht="13.5" customHeight="1">
      <c r="A571" s="134"/>
      <c r="B571" s="135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</row>
    <row r="572" ht="13.5" customHeight="1">
      <c r="A572" s="134"/>
      <c r="B572" s="135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</row>
    <row r="573" ht="13.5" customHeight="1">
      <c r="A573" s="134"/>
      <c r="B573" s="135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</row>
    <row r="574" ht="13.5" customHeight="1">
      <c r="A574" s="134"/>
      <c r="B574" s="135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</row>
    <row r="575" ht="13.5" customHeight="1">
      <c r="A575" s="134"/>
      <c r="B575" s="135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</row>
    <row r="576" ht="13.5" customHeight="1">
      <c r="A576" s="134"/>
      <c r="B576" s="135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</row>
    <row r="577" ht="13.5" customHeight="1">
      <c r="A577" s="134"/>
      <c r="B577" s="135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</row>
    <row r="578" ht="13.5" customHeight="1">
      <c r="A578" s="134"/>
      <c r="B578" s="135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</row>
    <row r="579" ht="13.5" customHeight="1">
      <c r="A579" s="134"/>
      <c r="B579" s="135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</row>
    <row r="580" ht="13.5" customHeight="1">
      <c r="A580" s="134"/>
      <c r="B580" s="135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</row>
    <row r="581" ht="13.5" customHeight="1">
      <c r="A581" s="134"/>
      <c r="B581" s="135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</row>
    <row r="582" ht="13.5" customHeight="1">
      <c r="A582" s="134"/>
      <c r="B582" s="135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</row>
    <row r="583" ht="13.5" customHeight="1">
      <c r="A583" s="134"/>
      <c r="B583" s="135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</row>
    <row r="584" ht="13.5" customHeight="1">
      <c r="A584" s="134"/>
      <c r="B584" s="135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</row>
    <row r="585" ht="13.5" customHeight="1">
      <c r="A585" s="134"/>
      <c r="B585" s="135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</row>
    <row r="586" ht="13.5" customHeight="1">
      <c r="A586" s="134"/>
      <c r="B586" s="135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</row>
    <row r="587" ht="13.5" customHeight="1">
      <c r="A587" s="134"/>
      <c r="B587" s="135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</row>
    <row r="588" ht="13.5" customHeight="1">
      <c r="A588" s="134"/>
      <c r="B588" s="135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</row>
    <row r="589" ht="13.5" customHeight="1">
      <c r="A589" s="134"/>
      <c r="B589" s="135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</row>
    <row r="590" ht="13.5" customHeight="1">
      <c r="A590" s="134"/>
      <c r="B590" s="135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</row>
    <row r="591" ht="13.5" customHeight="1">
      <c r="A591" s="134"/>
      <c r="B591" s="135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</row>
    <row r="592" ht="13.5" customHeight="1">
      <c r="A592" s="134"/>
      <c r="B592" s="135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</row>
    <row r="593" ht="13.5" customHeight="1">
      <c r="A593" s="134"/>
      <c r="B593" s="135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</row>
    <row r="594" ht="13.5" customHeight="1">
      <c r="A594" s="134"/>
      <c r="B594" s="135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</row>
    <row r="595" ht="13.5" customHeight="1">
      <c r="A595" s="134"/>
      <c r="B595" s="135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</row>
    <row r="596" ht="13.5" customHeight="1">
      <c r="A596" s="134"/>
      <c r="B596" s="135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</row>
    <row r="597" ht="13.5" customHeight="1">
      <c r="A597" s="134"/>
      <c r="B597" s="135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</row>
    <row r="598" ht="13.5" customHeight="1">
      <c r="A598" s="134"/>
      <c r="B598" s="135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</row>
    <row r="599" ht="13.5" customHeight="1">
      <c r="A599" s="134"/>
      <c r="B599" s="135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</row>
    <row r="600" ht="13.5" customHeight="1">
      <c r="A600" s="134"/>
      <c r="B600" s="135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</row>
    <row r="601" ht="13.5" customHeight="1">
      <c r="A601" s="134"/>
      <c r="B601" s="135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</row>
    <row r="602" ht="13.5" customHeight="1">
      <c r="A602" s="134"/>
      <c r="B602" s="135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</row>
    <row r="603" ht="13.5" customHeight="1">
      <c r="A603" s="134"/>
      <c r="B603" s="135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</row>
    <row r="604" ht="13.5" customHeight="1">
      <c r="A604" s="134"/>
      <c r="B604" s="135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</row>
    <row r="605" ht="13.5" customHeight="1">
      <c r="A605" s="134"/>
      <c r="B605" s="135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</row>
    <row r="606" ht="13.5" customHeight="1">
      <c r="A606" s="134"/>
      <c r="B606" s="135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</row>
    <row r="607" ht="13.5" customHeight="1">
      <c r="A607" s="134"/>
      <c r="B607" s="135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</row>
    <row r="608" ht="13.5" customHeight="1">
      <c r="A608" s="134"/>
      <c r="B608" s="135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</row>
    <row r="609" ht="13.5" customHeight="1">
      <c r="A609" s="134"/>
      <c r="B609" s="135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</row>
    <row r="610" ht="13.5" customHeight="1">
      <c r="A610" s="134"/>
      <c r="B610" s="135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</row>
    <row r="611" ht="13.5" customHeight="1">
      <c r="A611" s="134"/>
      <c r="B611" s="135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</row>
    <row r="612" ht="13.5" customHeight="1">
      <c r="A612" s="134"/>
      <c r="B612" s="135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</row>
    <row r="613" ht="13.5" customHeight="1">
      <c r="A613" s="134"/>
      <c r="B613" s="135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</row>
    <row r="614" ht="13.5" customHeight="1">
      <c r="A614" s="134"/>
      <c r="B614" s="135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</row>
    <row r="615" ht="13.5" customHeight="1">
      <c r="A615" s="134"/>
      <c r="B615" s="135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</row>
    <row r="616" ht="13.5" customHeight="1">
      <c r="A616" s="134"/>
      <c r="B616" s="135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</row>
    <row r="617" ht="13.5" customHeight="1">
      <c r="A617" s="134"/>
      <c r="B617" s="135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</row>
    <row r="618" ht="13.5" customHeight="1">
      <c r="A618" s="134"/>
      <c r="B618" s="135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</row>
    <row r="619" ht="13.5" customHeight="1">
      <c r="A619" s="134"/>
      <c r="B619" s="135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</row>
    <row r="620" ht="13.5" customHeight="1">
      <c r="A620" s="134"/>
      <c r="B620" s="135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</row>
    <row r="621" ht="13.5" customHeight="1">
      <c r="A621" s="134"/>
      <c r="B621" s="135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</row>
    <row r="622" ht="13.5" customHeight="1">
      <c r="A622" s="134"/>
      <c r="B622" s="135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</row>
    <row r="623" ht="13.5" customHeight="1">
      <c r="A623" s="134"/>
      <c r="B623" s="135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</row>
    <row r="624" ht="13.5" customHeight="1">
      <c r="A624" s="134"/>
      <c r="B624" s="135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</row>
    <row r="625" ht="13.5" customHeight="1">
      <c r="A625" s="134"/>
      <c r="B625" s="135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</row>
    <row r="626" ht="13.5" customHeight="1">
      <c r="A626" s="134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</row>
    <row r="627" ht="13.5" customHeight="1">
      <c r="A627" s="134"/>
      <c r="B627" s="135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</row>
    <row r="628" ht="13.5" customHeight="1">
      <c r="A628" s="134"/>
      <c r="B628" s="135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</row>
    <row r="629" ht="13.5" customHeight="1">
      <c r="A629" s="134"/>
      <c r="B629" s="135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</row>
    <row r="630" ht="13.5" customHeight="1">
      <c r="A630" s="134"/>
      <c r="B630" s="135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</row>
    <row r="631" ht="13.5" customHeight="1">
      <c r="A631" s="134"/>
      <c r="B631" s="135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</row>
    <row r="632" ht="13.5" customHeight="1">
      <c r="A632" s="134"/>
      <c r="B632" s="135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</row>
    <row r="633" ht="13.5" customHeight="1">
      <c r="A633" s="134"/>
      <c r="B633" s="135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</row>
    <row r="634" ht="13.5" customHeight="1">
      <c r="A634" s="134"/>
      <c r="B634" s="135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</row>
    <row r="635" ht="13.5" customHeight="1">
      <c r="A635" s="134"/>
      <c r="B635" s="135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</row>
    <row r="636" ht="13.5" customHeight="1">
      <c r="A636" s="134"/>
      <c r="B636" s="135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</row>
    <row r="637" ht="13.5" customHeight="1">
      <c r="A637" s="134"/>
      <c r="B637" s="135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</row>
    <row r="638" ht="13.5" customHeight="1">
      <c r="A638" s="134"/>
      <c r="B638" s="135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</row>
    <row r="639" ht="13.5" customHeight="1">
      <c r="A639" s="134"/>
      <c r="B639" s="135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</row>
    <row r="640" ht="13.5" customHeight="1">
      <c r="A640" s="134"/>
      <c r="B640" s="135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</row>
    <row r="641" ht="13.5" customHeight="1">
      <c r="A641" s="134"/>
      <c r="B641" s="135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</row>
    <row r="642" ht="13.5" customHeight="1">
      <c r="A642" s="134"/>
      <c r="B642" s="135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</row>
    <row r="643" ht="13.5" customHeight="1">
      <c r="A643" s="134"/>
      <c r="B643" s="135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</row>
    <row r="644" ht="13.5" customHeight="1">
      <c r="A644" s="134"/>
      <c r="B644" s="135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</row>
    <row r="645" ht="13.5" customHeight="1">
      <c r="A645" s="134"/>
      <c r="B645" s="135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</row>
    <row r="646" ht="13.5" customHeight="1">
      <c r="A646" s="134"/>
      <c r="B646" s="135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</row>
    <row r="647" ht="13.5" customHeight="1">
      <c r="A647" s="134"/>
      <c r="B647" s="135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</row>
    <row r="648" ht="13.5" customHeight="1">
      <c r="A648" s="134"/>
      <c r="B648" s="135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</row>
    <row r="649" ht="13.5" customHeight="1">
      <c r="A649" s="134"/>
      <c r="B649" s="135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</row>
    <row r="650" ht="13.5" customHeight="1">
      <c r="A650" s="134"/>
      <c r="B650" s="135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</row>
    <row r="651" ht="13.5" customHeight="1">
      <c r="A651" s="134"/>
      <c r="B651" s="135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</row>
    <row r="652" ht="13.5" customHeight="1">
      <c r="A652" s="134"/>
      <c r="B652" s="135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</row>
    <row r="653" ht="13.5" customHeight="1">
      <c r="A653" s="134"/>
      <c r="B653" s="135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</row>
    <row r="654" ht="13.5" customHeight="1">
      <c r="A654" s="134"/>
      <c r="B654" s="135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</row>
    <row r="655" ht="13.5" customHeight="1">
      <c r="A655" s="134"/>
      <c r="B655" s="135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</row>
    <row r="656" ht="13.5" customHeight="1">
      <c r="A656" s="134"/>
      <c r="B656" s="135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</row>
    <row r="657" ht="13.5" customHeight="1">
      <c r="A657" s="134"/>
      <c r="B657" s="135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</row>
    <row r="658" ht="13.5" customHeight="1">
      <c r="A658" s="134"/>
      <c r="B658" s="135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</row>
    <row r="659" ht="13.5" customHeight="1">
      <c r="A659" s="134"/>
      <c r="B659" s="135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</row>
    <row r="660" ht="13.5" customHeight="1">
      <c r="A660" s="134"/>
      <c r="B660" s="135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</row>
    <row r="661" ht="13.5" customHeight="1">
      <c r="A661" s="134"/>
      <c r="B661" s="135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</row>
    <row r="662" ht="13.5" customHeight="1">
      <c r="A662" s="134"/>
      <c r="B662" s="135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</row>
    <row r="663" ht="13.5" customHeight="1">
      <c r="A663" s="134"/>
      <c r="B663" s="135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</row>
    <row r="664" ht="13.5" customHeight="1">
      <c r="A664" s="134"/>
      <c r="B664" s="135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</row>
    <row r="665" ht="13.5" customHeight="1">
      <c r="A665" s="134"/>
      <c r="B665" s="135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</row>
    <row r="666" ht="13.5" customHeight="1">
      <c r="A666" s="134"/>
      <c r="B666" s="135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</row>
    <row r="667" ht="13.5" customHeight="1">
      <c r="A667" s="134"/>
      <c r="B667" s="135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</row>
    <row r="668" ht="13.5" customHeight="1">
      <c r="A668" s="134"/>
      <c r="B668" s="135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</row>
    <row r="669" ht="13.5" customHeight="1">
      <c r="A669" s="134"/>
      <c r="B669" s="135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</row>
    <row r="670" ht="13.5" customHeight="1">
      <c r="A670" s="134"/>
      <c r="B670" s="135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</row>
    <row r="671" ht="13.5" customHeight="1">
      <c r="A671" s="134"/>
      <c r="B671" s="135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</row>
    <row r="672" ht="13.5" customHeight="1">
      <c r="A672" s="134"/>
      <c r="B672" s="135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</row>
    <row r="673" ht="13.5" customHeight="1">
      <c r="A673" s="134"/>
      <c r="B673" s="135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</row>
    <row r="674" ht="13.5" customHeight="1">
      <c r="A674" s="134"/>
      <c r="B674" s="135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</row>
    <row r="675" ht="13.5" customHeight="1">
      <c r="A675" s="134"/>
      <c r="B675" s="135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</row>
    <row r="676" ht="13.5" customHeight="1">
      <c r="A676" s="134"/>
      <c r="B676" s="135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</row>
    <row r="677" ht="13.5" customHeight="1">
      <c r="A677" s="134"/>
      <c r="B677" s="135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</row>
    <row r="678" ht="13.5" customHeight="1">
      <c r="A678" s="134"/>
      <c r="B678" s="135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</row>
    <row r="679" ht="13.5" customHeight="1">
      <c r="A679" s="134"/>
      <c r="B679" s="135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</row>
    <row r="680" ht="13.5" customHeight="1">
      <c r="A680" s="134"/>
      <c r="B680" s="135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</row>
    <row r="681" ht="13.5" customHeight="1">
      <c r="A681" s="134"/>
      <c r="B681" s="135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</row>
    <row r="682" ht="13.5" customHeight="1">
      <c r="A682" s="134"/>
      <c r="B682" s="135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</row>
    <row r="683" ht="13.5" customHeight="1">
      <c r="A683" s="134"/>
      <c r="B683" s="135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</row>
    <row r="684" ht="13.5" customHeight="1">
      <c r="A684" s="134"/>
      <c r="B684" s="135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</row>
    <row r="685" ht="13.5" customHeight="1">
      <c r="A685" s="134"/>
      <c r="B685" s="135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</row>
    <row r="686" ht="13.5" customHeight="1">
      <c r="A686" s="134"/>
      <c r="B686" s="135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</row>
    <row r="687" ht="13.5" customHeight="1">
      <c r="A687" s="134"/>
      <c r="B687" s="135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</row>
    <row r="688" ht="13.5" customHeight="1">
      <c r="A688" s="134"/>
      <c r="B688" s="135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</row>
    <row r="689" ht="13.5" customHeight="1">
      <c r="A689" s="134"/>
      <c r="B689" s="135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</row>
    <row r="690" ht="13.5" customHeight="1">
      <c r="A690" s="134"/>
      <c r="B690" s="135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</row>
    <row r="691" ht="13.5" customHeight="1">
      <c r="A691" s="134"/>
      <c r="B691" s="135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</row>
    <row r="692" ht="13.5" customHeight="1">
      <c r="A692" s="134"/>
      <c r="B692" s="135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</row>
    <row r="693" ht="13.5" customHeight="1">
      <c r="A693" s="134"/>
      <c r="B693" s="135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</row>
    <row r="694" ht="13.5" customHeight="1">
      <c r="A694" s="134"/>
      <c r="B694" s="135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</row>
    <row r="695" ht="13.5" customHeight="1">
      <c r="A695" s="134"/>
      <c r="B695" s="135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</row>
    <row r="696" ht="13.5" customHeight="1">
      <c r="A696" s="134"/>
      <c r="B696" s="135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</row>
    <row r="697" ht="13.5" customHeight="1">
      <c r="A697" s="134"/>
      <c r="B697" s="135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</row>
    <row r="698" ht="13.5" customHeight="1">
      <c r="A698" s="134"/>
      <c r="B698" s="135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</row>
    <row r="699" ht="13.5" customHeight="1">
      <c r="A699" s="134"/>
      <c r="B699" s="135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</row>
    <row r="700" ht="13.5" customHeight="1">
      <c r="A700" s="134"/>
      <c r="B700" s="135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</row>
    <row r="701" ht="13.5" customHeight="1">
      <c r="A701" s="134"/>
      <c r="B701" s="135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</row>
    <row r="702" ht="13.5" customHeight="1">
      <c r="A702" s="134"/>
      <c r="B702" s="135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</row>
    <row r="703" ht="13.5" customHeight="1">
      <c r="A703" s="134"/>
      <c r="B703" s="135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</row>
    <row r="704" ht="13.5" customHeight="1">
      <c r="A704" s="134"/>
      <c r="B704" s="135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</row>
    <row r="705" ht="13.5" customHeight="1">
      <c r="A705" s="134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</row>
    <row r="706" ht="13.5" customHeight="1">
      <c r="A706" s="134"/>
      <c r="B706" s="135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</row>
    <row r="707" ht="13.5" customHeight="1">
      <c r="A707" s="134"/>
      <c r="B707" s="135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</row>
    <row r="708" ht="13.5" customHeight="1">
      <c r="A708" s="134"/>
      <c r="B708" s="135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</row>
    <row r="709" ht="13.5" customHeight="1">
      <c r="A709" s="134"/>
      <c r="B709" s="135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</row>
    <row r="710" ht="13.5" customHeight="1">
      <c r="A710" s="134"/>
      <c r="B710" s="135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</row>
    <row r="711" ht="13.5" customHeight="1">
      <c r="A711" s="134"/>
      <c r="B711" s="135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</row>
    <row r="712" ht="13.5" customHeight="1">
      <c r="A712" s="134"/>
      <c r="B712" s="135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</row>
    <row r="713" ht="13.5" customHeight="1">
      <c r="A713" s="134"/>
      <c r="B713" s="135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</row>
    <row r="714" ht="13.5" customHeight="1">
      <c r="A714" s="134"/>
      <c r="B714" s="135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</row>
    <row r="715" ht="13.5" customHeight="1">
      <c r="A715" s="134"/>
      <c r="B715" s="135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</row>
    <row r="716" ht="13.5" customHeight="1">
      <c r="A716" s="134"/>
      <c r="B716" s="135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</row>
    <row r="717" ht="13.5" customHeight="1">
      <c r="A717" s="134"/>
      <c r="B717" s="135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</row>
    <row r="718" ht="13.5" customHeight="1">
      <c r="A718" s="134"/>
      <c r="B718" s="135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</row>
    <row r="719" ht="13.5" customHeight="1">
      <c r="A719" s="134"/>
      <c r="B719" s="135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</row>
    <row r="720" ht="13.5" customHeight="1">
      <c r="A720" s="134"/>
      <c r="B720" s="135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</row>
    <row r="721" ht="13.5" customHeight="1">
      <c r="A721" s="134"/>
      <c r="B721" s="135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</row>
    <row r="722" ht="13.5" customHeight="1">
      <c r="A722" s="134"/>
      <c r="B722" s="135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</row>
    <row r="723" ht="13.5" customHeight="1">
      <c r="A723" s="134"/>
      <c r="B723" s="135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</row>
    <row r="724" ht="13.5" customHeight="1">
      <c r="A724" s="134"/>
      <c r="B724" s="135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</row>
    <row r="725" ht="13.5" customHeight="1">
      <c r="A725" s="134"/>
      <c r="B725" s="135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</row>
    <row r="726" ht="13.5" customHeight="1">
      <c r="A726" s="134"/>
      <c r="B726" s="135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</row>
    <row r="727" ht="13.5" customHeight="1">
      <c r="A727" s="134"/>
      <c r="B727" s="135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</row>
    <row r="728" ht="13.5" customHeight="1">
      <c r="A728" s="134"/>
      <c r="B728" s="135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</row>
    <row r="729" ht="13.5" customHeight="1">
      <c r="A729" s="134"/>
      <c r="B729" s="135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</row>
    <row r="730" ht="13.5" customHeight="1">
      <c r="A730" s="134"/>
      <c r="B730" s="135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</row>
    <row r="731" ht="13.5" customHeight="1">
      <c r="A731" s="134"/>
      <c r="B731" s="135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</row>
    <row r="732" ht="13.5" customHeight="1">
      <c r="A732" s="134"/>
      <c r="B732" s="135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</row>
    <row r="733" ht="13.5" customHeight="1">
      <c r="A733" s="134"/>
      <c r="B733" s="135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</row>
    <row r="734" ht="13.5" customHeight="1">
      <c r="A734" s="134"/>
      <c r="B734" s="135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</row>
    <row r="735" ht="13.5" customHeight="1">
      <c r="A735" s="134"/>
      <c r="B735" s="135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</row>
    <row r="736" ht="13.5" customHeight="1">
      <c r="A736" s="134"/>
      <c r="B736" s="135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</row>
    <row r="737" ht="13.5" customHeight="1">
      <c r="A737" s="134"/>
      <c r="B737" s="135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</row>
    <row r="738" ht="13.5" customHeight="1">
      <c r="A738" s="134"/>
      <c r="B738" s="135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</row>
    <row r="739" ht="13.5" customHeight="1">
      <c r="A739" s="134"/>
      <c r="B739" s="135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</row>
    <row r="740" ht="13.5" customHeight="1">
      <c r="A740" s="134"/>
      <c r="B740" s="135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</row>
    <row r="741" ht="13.5" customHeight="1">
      <c r="A741" s="134"/>
      <c r="B741" s="135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</row>
    <row r="742" ht="13.5" customHeight="1">
      <c r="A742" s="134"/>
      <c r="B742" s="135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</row>
    <row r="743" ht="13.5" customHeight="1">
      <c r="A743" s="134"/>
      <c r="B743" s="135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</row>
    <row r="744" ht="13.5" customHeight="1">
      <c r="A744" s="134"/>
      <c r="B744" s="135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</row>
    <row r="745" ht="13.5" customHeight="1">
      <c r="A745" s="134"/>
      <c r="B745" s="135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</row>
    <row r="746" ht="13.5" customHeight="1">
      <c r="A746" s="134"/>
      <c r="B746" s="135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</row>
    <row r="747" ht="13.5" customHeight="1">
      <c r="A747" s="134"/>
      <c r="B747" s="135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</row>
    <row r="748" ht="13.5" customHeight="1">
      <c r="A748" s="134"/>
      <c r="B748" s="135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</row>
    <row r="749" ht="13.5" customHeight="1">
      <c r="A749" s="134"/>
      <c r="B749" s="135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</row>
    <row r="750" ht="13.5" customHeight="1">
      <c r="A750" s="134"/>
      <c r="B750" s="135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</row>
    <row r="751" ht="13.5" customHeight="1">
      <c r="A751" s="134"/>
      <c r="B751" s="135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</row>
    <row r="752" ht="13.5" customHeight="1">
      <c r="A752" s="134"/>
      <c r="B752" s="135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</row>
    <row r="753" ht="13.5" customHeight="1">
      <c r="A753" s="134"/>
      <c r="B753" s="135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</row>
    <row r="754" ht="13.5" customHeight="1">
      <c r="A754" s="134"/>
      <c r="B754" s="135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</row>
    <row r="755" ht="13.5" customHeight="1">
      <c r="A755" s="134"/>
      <c r="B755" s="135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</row>
    <row r="756" ht="13.5" customHeight="1">
      <c r="A756" s="134"/>
      <c r="B756" s="135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</row>
    <row r="757" ht="13.5" customHeight="1">
      <c r="A757" s="134"/>
      <c r="B757" s="135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</row>
    <row r="758" ht="13.5" customHeight="1">
      <c r="A758" s="134"/>
      <c r="B758" s="135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</row>
    <row r="759" ht="13.5" customHeight="1">
      <c r="A759" s="134"/>
      <c r="B759" s="135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</row>
    <row r="760" ht="13.5" customHeight="1">
      <c r="A760" s="134"/>
      <c r="B760" s="135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</row>
    <row r="761" ht="13.5" customHeight="1">
      <c r="A761" s="134"/>
      <c r="B761" s="135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</row>
    <row r="762" ht="13.5" customHeight="1">
      <c r="A762" s="134"/>
      <c r="B762" s="135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</row>
    <row r="763" ht="13.5" customHeight="1">
      <c r="A763" s="134"/>
      <c r="B763" s="135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</row>
    <row r="764" ht="13.5" customHeight="1">
      <c r="A764" s="134"/>
      <c r="B764" s="135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</row>
    <row r="765" ht="13.5" customHeight="1">
      <c r="A765" s="134"/>
      <c r="B765" s="135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</row>
    <row r="766" ht="13.5" customHeight="1">
      <c r="A766" s="134"/>
      <c r="B766" s="135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</row>
    <row r="767" ht="13.5" customHeight="1">
      <c r="A767" s="134"/>
      <c r="B767" s="135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</row>
    <row r="768" ht="13.5" customHeight="1">
      <c r="A768" s="134"/>
      <c r="B768" s="135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</row>
    <row r="769" ht="13.5" customHeight="1">
      <c r="A769" s="134"/>
      <c r="B769" s="135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</row>
    <row r="770" ht="13.5" customHeight="1">
      <c r="A770" s="134"/>
      <c r="B770" s="135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</row>
    <row r="771" ht="13.5" customHeight="1">
      <c r="A771" s="134"/>
      <c r="B771" s="135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</row>
    <row r="772" ht="13.5" customHeight="1">
      <c r="A772" s="134"/>
      <c r="B772" s="135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</row>
    <row r="773" ht="13.5" customHeight="1">
      <c r="A773" s="134"/>
      <c r="B773" s="135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</row>
    <row r="774" ht="13.5" customHeight="1">
      <c r="A774" s="134"/>
      <c r="B774" s="135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</row>
    <row r="775" ht="13.5" customHeight="1">
      <c r="A775" s="134"/>
      <c r="B775" s="135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</row>
    <row r="776" ht="13.5" customHeight="1">
      <c r="A776" s="134"/>
      <c r="B776" s="135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</row>
    <row r="777" ht="13.5" customHeight="1">
      <c r="A777" s="134"/>
      <c r="B777" s="135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</row>
    <row r="778" ht="13.5" customHeight="1">
      <c r="A778" s="134"/>
      <c r="B778" s="135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</row>
    <row r="779" ht="13.5" customHeight="1">
      <c r="A779" s="134"/>
      <c r="B779" s="135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</row>
    <row r="780" ht="13.5" customHeight="1">
      <c r="A780" s="134"/>
      <c r="B780" s="135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</row>
    <row r="781" ht="13.5" customHeight="1">
      <c r="A781" s="134"/>
      <c r="B781" s="135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</row>
    <row r="782" ht="13.5" customHeight="1">
      <c r="A782" s="134"/>
      <c r="B782" s="135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</row>
    <row r="783" ht="13.5" customHeight="1">
      <c r="A783" s="134"/>
      <c r="B783" s="135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</row>
    <row r="784" ht="13.5" customHeight="1">
      <c r="A784" s="134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</row>
    <row r="785" ht="13.5" customHeight="1">
      <c r="A785" s="134"/>
      <c r="B785" s="135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</row>
    <row r="786" ht="13.5" customHeight="1">
      <c r="A786" s="134"/>
      <c r="B786" s="135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</row>
    <row r="787" ht="13.5" customHeight="1">
      <c r="A787" s="134"/>
      <c r="B787" s="135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</row>
    <row r="788" ht="13.5" customHeight="1">
      <c r="A788" s="134"/>
      <c r="B788" s="135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</row>
    <row r="789" ht="13.5" customHeight="1">
      <c r="A789" s="134"/>
      <c r="B789" s="135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</row>
    <row r="790" ht="13.5" customHeight="1">
      <c r="A790" s="134"/>
      <c r="B790" s="135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</row>
    <row r="791" ht="13.5" customHeight="1">
      <c r="A791" s="134"/>
      <c r="B791" s="135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</row>
    <row r="792" ht="13.5" customHeight="1">
      <c r="A792" s="134"/>
      <c r="B792" s="135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</row>
    <row r="793" ht="13.5" customHeight="1">
      <c r="A793" s="134"/>
      <c r="B793" s="135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</row>
    <row r="794" ht="13.5" customHeight="1">
      <c r="A794" s="134"/>
      <c r="B794" s="135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</row>
    <row r="795" ht="13.5" customHeight="1">
      <c r="A795" s="134"/>
      <c r="B795" s="135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</row>
    <row r="796" ht="13.5" customHeight="1">
      <c r="A796" s="134"/>
      <c r="B796" s="135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</row>
    <row r="797" ht="13.5" customHeight="1">
      <c r="A797" s="134"/>
      <c r="B797" s="135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</row>
    <row r="798" ht="13.5" customHeight="1">
      <c r="A798" s="134"/>
      <c r="B798" s="135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</row>
    <row r="799" ht="13.5" customHeight="1">
      <c r="A799" s="134"/>
      <c r="B799" s="135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</row>
    <row r="800" ht="13.5" customHeight="1">
      <c r="A800" s="134"/>
      <c r="B800" s="135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</row>
    <row r="801" ht="13.5" customHeight="1">
      <c r="A801" s="134"/>
      <c r="B801" s="135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</row>
    <row r="802" ht="13.5" customHeight="1">
      <c r="A802" s="134"/>
      <c r="B802" s="135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</row>
    <row r="803" ht="13.5" customHeight="1">
      <c r="A803" s="134"/>
      <c r="B803" s="135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</row>
    <row r="804" ht="13.5" customHeight="1">
      <c r="A804" s="134"/>
      <c r="B804" s="135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</row>
    <row r="805" ht="13.5" customHeight="1">
      <c r="A805" s="134"/>
      <c r="B805" s="135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</row>
    <row r="806" ht="13.5" customHeight="1">
      <c r="A806" s="134"/>
      <c r="B806" s="135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</row>
    <row r="807" ht="13.5" customHeight="1">
      <c r="A807" s="134"/>
      <c r="B807" s="135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</row>
    <row r="808" ht="13.5" customHeight="1">
      <c r="A808" s="134"/>
      <c r="B808" s="135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</row>
    <row r="809" ht="13.5" customHeight="1">
      <c r="A809" s="134"/>
      <c r="B809" s="135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</row>
    <row r="810" ht="13.5" customHeight="1">
      <c r="A810" s="134"/>
      <c r="B810" s="135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</row>
    <row r="811" ht="13.5" customHeight="1">
      <c r="A811" s="134"/>
      <c r="B811" s="135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</row>
    <row r="812" ht="13.5" customHeight="1">
      <c r="A812" s="134"/>
      <c r="B812" s="135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</row>
    <row r="813" ht="13.5" customHeight="1">
      <c r="A813" s="134"/>
      <c r="B813" s="135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</row>
    <row r="814" ht="13.5" customHeight="1">
      <c r="A814" s="134"/>
      <c r="B814" s="135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</row>
    <row r="815" ht="13.5" customHeight="1">
      <c r="A815" s="134"/>
      <c r="B815" s="135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</row>
    <row r="816" ht="13.5" customHeight="1">
      <c r="A816" s="134"/>
      <c r="B816" s="135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</row>
    <row r="817" ht="13.5" customHeight="1">
      <c r="A817" s="134"/>
      <c r="B817" s="135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</row>
    <row r="818" ht="13.5" customHeight="1">
      <c r="A818" s="134"/>
      <c r="B818" s="135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</row>
    <row r="819" ht="13.5" customHeight="1">
      <c r="A819" s="134"/>
      <c r="B819" s="135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</row>
    <row r="820" ht="13.5" customHeight="1">
      <c r="A820" s="134"/>
      <c r="B820" s="135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</row>
    <row r="821" ht="13.5" customHeight="1">
      <c r="A821" s="134"/>
      <c r="B821" s="135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</row>
    <row r="822" ht="13.5" customHeight="1">
      <c r="A822" s="134"/>
      <c r="B822" s="135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</row>
    <row r="823" ht="13.5" customHeight="1">
      <c r="A823" s="134"/>
      <c r="B823" s="135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</row>
    <row r="824" ht="13.5" customHeight="1">
      <c r="A824" s="134"/>
      <c r="B824" s="135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</row>
    <row r="825" ht="13.5" customHeight="1">
      <c r="A825" s="134"/>
      <c r="B825" s="135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</row>
    <row r="826" ht="13.5" customHeight="1">
      <c r="A826" s="134"/>
      <c r="B826" s="135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</row>
    <row r="827" ht="13.5" customHeight="1">
      <c r="A827" s="134"/>
      <c r="B827" s="135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</row>
    <row r="828" ht="13.5" customHeight="1">
      <c r="A828" s="134"/>
      <c r="B828" s="135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</row>
    <row r="829" ht="13.5" customHeight="1">
      <c r="A829" s="134"/>
      <c r="B829" s="135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</row>
    <row r="830" ht="13.5" customHeight="1">
      <c r="A830" s="134"/>
      <c r="B830" s="135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</row>
    <row r="831" ht="13.5" customHeight="1">
      <c r="A831" s="134"/>
      <c r="B831" s="135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</row>
    <row r="832" ht="13.5" customHeight="1">
      <c r="A832" s="134"/>
      <c r="B832" s="135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</row>
    <row r="833" ht="13.5" customHeight="1">
      <c r="A833" s="134"/>
      <c r="B833" s="135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</row>
    <row r="834" ht="13.5" customHeight="1">
      <c r="A834" s="134"/>
      <c r="B834" s="135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</row>
    <row r="835" ht="13.5" customHeight="1">
      <c r="A835" s="134"/>
      <c r="B835" s="135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</row>
    <row r="836" ht="13.5" customHeight="1">
      <c r="A836" s="134"/>
      <c r="B836" s="135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</row>
    <row r="837" ht="13.5" customHeight="1">
      <c r="A837" s="134"/>
      <c r="B837" s="135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</row>
    <row r="838" ht="13.5" customHeight="1">
      <c r="A838" s="134"/>
      <c r="B838" s="135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</row>
    <row r="839" ht="13.5" customHeight="1">
      <c r="A839" s="134"/>
      <c r="B839" s="135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</row>
    <row r="840" ht="13.5" customHeight="1">
      <c r="A840" s="134"/>
      <c r="B840" s="135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</row>
    <row r="841" ht="13.5" customHeight="1">
      <c r="A841" s="134"/>
      <c r="B841" s="135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</row>
    <row r="842" ht="13.5" customHeight="1">
      <c r="A842" s="134"/>
      <c r="B842" s="135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</row>
    <row r="843" ht="13.5" customHeight="1">
      <c r="A843" s="134"/>
      <c r="B843" s="135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</row>
    <row r="844" ht="13.5" customHeight="1">
      <c r="A844" s="134"/>
      <c r="B844" s="135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</row>
    <row r="845" ht="13.5" customHeight="1">
      <c r="A845" s="134"/>
      <c r="B845" s="135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</row>
    <row r="846" ht="13.5" customHeight="1">
      <c r="A846" s="134"/>
      <c r="B846" s="135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</row>
    <row r="847" ht="13.5" customHeight="1">
      <c r="A847" s="134"/>
      <c r="B847" s="135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</row>
    <row r="848" ht="13.5" customHeight="1">
      <c r="A848" s="134"/>
      <c r="B848" s="135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</row>
    <row r="849" ht="13.5" customHeight="1">
      <c r="A849" s="134"/>
      <c r="B849" s="135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</row>
    <row r="850" ht="13.5" customHeight="1">
      <c r="A850" s="134"/>
      <c r="B850" s="135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</row>
    <row r="851" ht="13.5" customHeight="1">
      <c r="A851" s="134"/>
      <c r="B851" s="135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</row>
    <row r="852" ht="13.5" customHeight="1">
      <c r="A852" s="134"/>
      <c r="B852" s="135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</row>
    <row r="853" ht="13.5" customHeight="1">
      <c r="A853" s="134"/>
      <c r="B853" s="135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</row>
    <row r="854" ht="13.5" customHeight="1">
      <c r="A854" s="134"/>
      <c r="B854" s="135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</row>
    <row r="855" ht="13.5" customHeight="1">
      <c r="A855" s="134"/>
      <c r="B855" s="135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</row>
    <row r="856" ht="13.5" customHeight="1">
      <c r="A856" s="134"/>
      <c r="B856" s="135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</row>
    <row r="857" ht="13.5" customHeight="1">
      <c r="A857" s="134"/>
      <c r="B857" s="135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</row>
    <row r="858" ht="13.5" customHeight="1">
      <c r="A858" s="134"/>
      <c r="B858" s="135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</row>
    <row r="859" ht="13.5" customHeight="1">
      <c r="A859" s="134"/>
      <c r="B859" s="135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</row>
    <row r="860" ht="13.5" customHeight="1">
      <c r="A860" s="134"/>
      <c r="B860" s="135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</row>
    <row r="861" ht="13.5" customHeight="1">
      <c r="A861" s="134"/>
      <c r="B861" s="135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</row>
    <row r="862" ht="13.5" customHeight="1">
      <c r="A862" s="134"/>
      <c r="B862" s="135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</row>
    <row r="863" ht="13.5" customHeight="1">
      <c r="A863" s="134"/>
      <c r="B863" s="135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</row>
    <row r="864" ht="13.5" customHeight="1">
      <c r="A864" s="134"/>
      <c r="B864" s="135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</row>
    <row r="865" ht="13.5" customHeight="1">
      <c r="A865" s="134"/>
      <c r="B865" s="135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</row>
    <row r="866" ht="13.5" customHeight="1">
      <c r="A866" s="134"/>
      <c r="B866" s="135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</row>
    <row r="867" ht="13.5" customHeight="1">
      <c r="A867" s="134"/>
      <c r="B867" s="135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</row>
    <row r="868" ht="13.5" customHeight="1">
      <c r="A868" s="134"/>
      <c r="B868" s="135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</row>
    <row r="869" ht="13.5" customHeight="1">
      <c r="A869" s="134"/>
      <c r="B869" s="135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</row>
    <row r="870" ht="13.5" customHeight="1">
      <c r="A870" s="134"/>
      <c r="B870" s="135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</row>
    <row r="871" ht="13.5" customHeight="1">
      <c r="A871" s="134"/>
      <c r="B871" s="135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</row>
    <row r="872" ht="13.5" customHeight="1">
      <c r="A872" s="134"/>
      <c r="B872" s="135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</row>
    <row r="873" ht="13.5" customHeight="1">
      <c r="A873" s="134"/>
      <c r="B873" s="135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</row>
    <row r="874" ht="13.5" customHeight="1">
      <c r="A874" s="134"/>
      <c r="B874" s="135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</row>
    <row r="875" ht="13.5" customHeight="1">
      <c r="A875" s="134"/>
      <c r="B875" s="135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</row>
    <row r="876" ht="13.5" customHeight="1">
      <c r="A876" s="134"/>
      <c r="B876" s="135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</row>
    <row r="877" ht="13.5" customHeight="1">
      <c r="A877" s="134"/>
      <c r="B877" s="135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</row>
    <row r="878" ht="13.5" customHeight="1">
      <c r="A878" s="134"/>
      <c r="B878" s="135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</row>
    <row r="879" ht="13.5" customHeight="1">
      <c r="A879" s="134"/>
      <c r="B879" s="135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</row>
    <row r="880" ht="13.5" customHeight="1">
      <c r="A880" s="134"/>
      <c r="B880" s="135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</row>
    <row r="881" ht="13.5" customHeight="1">
      <c r="A881" s="134"/>
      <c r="B881" s="135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</row>
    <row r="882" ht="13.5" customHeight="1">
      <c r="A882" s="134"/>
      <c r="B882" s="135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</row>
    <row r="883" ht="13.5" customHeight="1">
      <c r="A883" s="134"/>
      <c r="B883" s="135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</row>
    <row r="884" ht="13.5" customHeight="1">
      <c r="A884" s="134"/>
      <c r="B884" s="135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</row>
    <row r="885" ht="13.5" customHeight="1">
      <c r="A885" s="134"/>
      <c r="B885" s="135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</row>
    <row r="886" ht="13.5" customHeight="1">
      <c r="A886" s="134"/>
      <c r="B886" s="135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</row>
    <row r="887" ht="13.5" customHeight="1">
      <c r="A887" s="134"/>
      <c r="B887" s="135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</row>
    <row r="888" ht="13.5" customHeight="1">
      <c r="A888" s="134"/>
      <c r="B888" s="135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</row>
    <row r="889" ht="13.5" customHeight="1">
      <c r="A889" s="134"/>
      <c r="B889" s="135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</row>
    <row r="890" ht="13.5" customHeight="1">
      <c r="A890" s="134"/>
      <c r="B890" s="135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</row>
    <row r="891" ht="13.5" customHeight="1">
      <c r="A891" s="134"/>
      <c r="B891" s="135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</row>
    <row r="892" ht="13.5" customHeight="1">
      <c r="A892" s="134"/>
      <c r="B892" s="135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</row>
    <row r="893" ht="13.5" customHeight="1">
      <c r="A893" s="134"/>
      <c r="B893" s="135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</row>
    <row r="894" ht="13.5" customHeight="1">
      <c r="A894" s="134"/>
      <c r="B894" s="135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</row>
    <row r="895" ht="13.5" customHeight="1">
      <c r="A895" s="134"/>
      <c r="B895" s="135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</row>
    <row r="896" ht="13.5" customHeight="1">
      <c r="A896" s="134"/>
      <c r="B896" s="135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</row>
    <row r="897" ht="13.5" customHeight="1">
      <c r="A897" s="134"/>
      <c r="B897" s="135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</row>
    <row r="898" ht="13.5" customHeight="1">
      <c r="A898" s="134"/>
      <c r="B898" s="135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</row>
    <row r="899" ht="13.5" customHeight="1">
      <c r="A899" s="134"/>
      <c r="B899" s="135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</row>
    <row r="900" ht="13.5" customHeight="1">
      <c r="A900" s="134"/>
      <c r="B900" s="135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</row>
    <row r="901" ht="13.5" customHeight="1">
      <c r="A901" s="134"/>
      <c r="B901" s="135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</row>
    <row r="902" ht="13.5" customHeight="1">
      <c r="A902" s="134"/>
      <c r="B902" s="135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</row>
    <row r="903" ht="13.5" customHeight="1">
      <c r="A903" s="134"/>
      <c r="B903" s="135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</row>
    <row r="904" ht="13.5" customHeight="1">
      <c r="A904" s="134"/>
      <c r="B904" s="135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</row>
    <row r="905" ht="13.5" customHeight="1">
      <c r="A905" s="134"/>
      <c r="B905" s="135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</row>
    <row r="906" ht="13.5" customHeight="1">
      <c r="A906" s="134"/>
      <c r="B906" s="135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</row>
    <row r="907" ht="13.5" customHeight="1">
      <c r="A907" s="134"/>
      <c r="B907" s="135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</row>
    <row r="908" ht="13.5" customHeight="1">
      <c r="A908" s="134"/>
      <c r="B908" s="135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</row>
    <row r="909" ht="13.5" customHeight="1">
      <c r="A909" s="134"/>
      <c r="B909" s="135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</row>
    <row r="910" ht="13.5" customHeight="1">
      <c r="A910" s="134"/>
      <c r="B910" s="135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</row>
    <row r="911" ht="13.5" customHeight="1">
      <c r="A911" s="134"/>
      <c r="B911" s="135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</row>
    <row r="912" ht="13.5" customHeight="1">
      <c r="A912" s="134"/>
      <c r="B912" s="135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</row>
    <row r="913" ht="13.5" customHeight="1">
      <c r="A913" s="134"/>
      <c r="B913" s="135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</row>
    <row r="914" ht="13.5" customHeight="1">
      <c r="A914" s="134"/>
      <c r="B914" s="135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</row>
    <row r="915" ht="13.5" customHeight="1">
      <c r="A915" s="134"/>
      <c r="B915" s="135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</row>
    <row r="916" ht="13.5" customHeight="1">
      <c r="A916" s="134"/>
      <c r="B916" s="135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</row>
    <row r="917" ht="13.5" customHeight="1">
      <c r="A917" s="134"/>
      <c r="B917" s="135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</row>
    <row r="918" ht="13.5" customHeight="1">
      <c r="A918" s="134"/>
      <c r="B918" s="135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</row>
    <row r="919" ht="13.5" customHeight="1">
      <c r="A919" s="134"/>
      <c r="B919" s="135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</row>
    <row r="920" ht="13.5" customHeight="1">
      <c r="A920" s="134"/>
      <c r="B920" s="135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</row>
    <row r="921" ht="13.5" customHeight="1">
      <c r="A921" s="134"/>
      <c r="B921" s="135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</row>
    <row r="922" ht="13.5" customHeight="1">
      <c r="A922" s="134"/>
      <c r="B922" s="135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</row>
    <row r="923" ht="13.5" customHeight="1">
      <c r="A923" s="134"/>
      <c r="B923" s="135"/>
      <c r="C923" s="135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</row>
    <row r="924" ht="13.5" customHeight="1">
      <c r="A924" s="134"/>
      <c r="B924" s="135"/>
      <c r="C924" s="135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</row>
    <row r="925" ht="13.5" customHeight="1">
      <c r="A925" s="134"/>
      <c r="B925" s="135"/>
      <c r="C925" s="135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</row>
    <row r="926" ht="13.5" customHeight="1">
      <c r="A926" s="134"/>
      <c r="B926" s="135"/>
      <c r="C926" s="135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</row>
    <row r="927" ht="13.5" customHeight="1">
      <c r="A927" s="134"/>
      <c r="B927" s="135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</row>
    <row r="928" ht="13.5" customHeight="1">
      <c r="A928" s="134"/>
      <c r="B928" s="135"/>
      <c r="C928" s="135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</row>
    <row r="929" ht="13.5" customHeight="1">
      <c r="A929" s="134"/>
      <c r="B929" s="135"/>
      <c r="C929" s="135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</row>
    <row r="930" ht="13.5" customHeight="1">
      <c r="A930" s="134"/>
      <c r="B930" s="135"/>
      <c r="C930" s="135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</row>
    <row r="931" ht="13.5" customHeight="1">
      <c r="A931" s="134"/>
      <c r="B931" s="135"/>
      <c r="C931" s="135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</row>
    <row r="932" ht="13.5" customHeight="1">
      <c r="A932" s="134"/>
      <c r="B932" s="135"/>
      <c r="C932" s="135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</row>
    <row r="933" ht="13.5" customHeight="1">
      <c r="A933" s="134"/>
      <c r="B933" s="135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</row>
    <row r="934" ht="13.5" customHeight="1">
      <c r="A934" s="134"/>
      <c r="B934" s="135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</row>
    <row r="935" ht="13.5" customHeight="1">
      <c r="A935" s="134"/>
      <c r="B935" s="135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</row>
    <row r="936" ht="13.5" customHeight="1">
      <c r="A936" s="134"/>
      <c r="B936" s="135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</row>
    <row r="937" ht="13.5" customHeight="1">
      <c r="A937" s="134"/>
      <c r="B937" s="135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</row>
    <row r="938" ht="13.5" customHeight="1">
      <c r="A938" s="134"/>
      <c r="B938" s="135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</row>
    <row r="939" ht="13.5" customHeight="1">
      <c r="A939" s="134"/>
      <c r="B939" s="135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</row>
    <row r="940" ht="13.5" customHeight="1">
      <c r="A940" s="134"/>
      <c r="B940" s="135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</row>
    <row r="941" ht="13.5" customHeight="1">
      <c r="A941" s="134"/>
      <c r="B941" s="135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</row>
    <row r="942" ht="13.5" customHeight="1">
      <c r="A942" s="134"/>
      <c r="B942" s="135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</row>
    <row r="943" ht="13.5" customHeight="1">
      <c r="A943" s="134"/>
      <c r="B943" s="135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</row>
    <row r="944" ht="13.5" customHeight="1">
      <c r="A944" s="134"/>
      <c r="B944" s="135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</row>
    <row r="945" ht="13.5" customHeight="1">
      <c r="A945" s="134"/>
      <c r="B945" s="135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</row>
    <row r="946" ht="13.5" customHeight="1">
      <c r="A946" s="134"/>
      <c r="B946" s="135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</row>
    <row r="947" ht="13.5" customHeight="1">
      <c r="A947" s="134"/>
      <c r="B947" s="135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</row>
    <row r="948" ht="13.5" customHeight="1">
      <c r="A948" s="134"/>
      <c r="B948" s="135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</row>
    <row r="949" ht="13.5" customHeight="1">
      <c r="A949" s="134"/>
      <c r="B949" s="135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</row>
    <row r="950" ht="13.5" customHeight="1">
      <c r="A950" s="134"/>
      <c r="B950" s="135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</row>
    <row r="951" ht="13.5" customHeight="1">
      <c r="A951" s="134"/>
      <c r="B951" s="135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</row>
    <row r="952" ht="13.5" customHeight="1">
      <c r="A952" s="134"/>
      <c r="B952" s="135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</row>
    <row r="953" ht="13.5" customHeight="1">
      <c r="A953" s="134"/>
      <c r="B953" s="135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</row>
    <row r="954" ht="13.5" customHeight="1">
      <c r="A954" s="134"/>
      <c r="B954" s="135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</row>
    <row r="955" ht="13.5" customHeight="1">
      <c r="A955" s="134"/>
      <c r="B955" s="135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</row>
    <row r="956" ht="13.5" customHeight="1">
      <c r="A956" s="134"/>
      <c r="B956" s="135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</row>
    <row r="957" ht="13.5" customHeight="1">
      <c r="A957" s="134"/>
      <c r="B957" s="135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</row>
    <row r="958" ht="13.5" customHeight="1">
      <c r="A958" s="134"/>
      <c r="B958" s="135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</row>
    <row r="959" ht="13.5" customHeight="1">
      <c r="A959" s="134"/>
      <c r="B959" s="135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</row>
    <row r="960" ht="13.5" customHeight="1">
      <c r="A960" s="134"/>
      <c r="B960" s="135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</row>
    <row r="961" ht="13.5" customHeight="1">
      <c r="A961" s="134"/>
      <c r="B961" s="135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</row>
    <row r="962" ht="13.5" customHeight="1">
      <c r="A962" s="134"/>
      <c r="B962" s="135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</row>
    <row r="963" ht="13.5" customHeight="1">
      <c r="A963" s="134"/>
      <c r="B963" s="135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</row>
    <row r="964" ht="13.5" customHeight="1">
      <c r="A964" s="134"/>
      <c r="B964" s="135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</row>
    <row r="965" ht="13.5" customHeight="1">
      <c r="A965" s="134"/>
      <c r="B965" s="135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</row>
    <row r="966" ht="13.5" customHeight="1">
      <c r="A966" s="134"/>
      <c r="B966" s="135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</row>
    <row r="967" ht="13.5" customHeight="1">
      <c r="A967" s="134"/>
      <c r="B967" s="135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</row>
    <row r="968" ht="13.5" customHeight="1">
      <c r="A968" s="134"/>
      <c r="B968" s="135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</row>
    <row r="969" ht="13.5" customHeight="1">
      <c r="A969" s="134"/>
      <c r="B969" s="135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</row>
    <row r="970" ht="13.5" customHeight="1">
      <c r="A970" s="134"/>
      <c r="B970" s="135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</row>
    <row r="971" ht="13.5" customHeight="1">
      <c r="A971" s="134"/>
      <c r="B971" s="135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</row>
    <row r="972" ht="13.5" customHeight="1">
      <c r="A972" s="134"/>
      <c r="B972" s="135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</row>
    <row r="973" ht="13.5" customHeight="1">
      <c r="A973" s="134"/>
      <c r="B973" s="135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</row>
    <row r="974" ht="13.5" customHeight="1">
      <c r="A974" s="134"/>
      <c r="B974" s="135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</row>
    <row r="975" ht="13.5" customHeight="1">
      <c r="A975" s="134"/>
      <c r="B975" s="135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</row>
    <row r="976" ht="13.5" customHeight="1">
      <c r="A976" s="134"/>
      <c r="B976" s="135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</row>
    <row r="977" ht="13.5" customHeight="1">
      <c r="A977" s="134"/>
      <c r="B977" s="135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</row>
    <row r="978" ht="13.5" customHeight="1">
      <c r="A978" s="134"/>
      <c r="B978" s="135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</row>
    <row r="979" ht="13.5" customHeight="1">
      <c r="A979" s="134"/>
      <c r="B979" s="135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</row>
    <row r="980" ht="13.5" customHeight="1">
      <c r="A980" s="134"/>
      <c r="B980" s="135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</row>
    <row r="981" ht="13.5" customHeight="1">
      <c r="A981" s="134"/>
      <c r="B981" s="135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</row>
    <row r="982" ht="13.5" customHeight="1">
      <c r="A982" s="134"/>
      <c r="B982" s="135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</row>
    <row r="983" ht="13.5" customHeight="1">
      <c r="A983" s="134"/>
      <c r="B983" s="135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</row>
    <row r="984" ht="13.5" customHeight="1">
      <c r="A984" s="134"/>
      <c r="B984" s="135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</row>
    <row r="985" ht="13.5" customHeight="1">
      <c r="A985" s="134"/>
      <c r="B985" s="135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</row>
    <row r="986" ht="13.5" customHeight="1">
      <c r="A986" s="134"/>
      <c r="B986" s="135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</row>
    <row r="987" ht="13.5" customHeight="1">
      <c r="A987" s="134"/>
      <c r="B987" s="135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</row>
    <row r="988" ht="13.5" customHeight="1">
      <c r="A988" s="134"/>
      <c r="B988" s="135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</row>
    <row r="989" ht="13.5" customHeight="1">
      <c r="A989" s="134"/>
      <c r="B989" s="135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</row>
    <row r="990" ht="13.5" customHeight="1">
      <c r="A990" s="134"/>
      <c r="B990" s="135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</row>
    <row r="991" ht="13.5" customHeight="1">
      <c r="A991" s="134"/>
      <c r="B991" s="135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</row>
    <row r="992" ht="13.5" customHeight="1">
      <c r="A992" s="134"/>
      <c r="B992" s="135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</row>
    <row r="993" ht="13.5" customHeight="1">
      <c r="A993" s="134"/>
      <c r="B993" s="135"/>
      <c r="C993" s="135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</row>
    <row r="994" ht="13.5" customHeight="1">
      <c r="A994" s="134"/>
      <c r="B994" s="135"/>
      <c r="C994" s="135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</row>
    <row r="995" ht="13.5" customHeight="1">
      <c r="A995" s="134"/>
      <c r="B995" s="135"/>
      <c r="C995" s="135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</row>
    <row r="996" ht="13.5" customHeight="1">
      <c r="A996" s="134"/>
      <c r="B996" s="135"/>
      <c r="C996" s="135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</row>
    <row r="997" ht="13.5" customHeight="1">
      <c r="A997" s="134"/>
      <c r="B997" s="135"/>
      <c r="C997" s="135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</row>
    <row r="998" ht="13.5" customHeight="1">
      <c r="A998" s="134"/>
      <c r="B998" s="135"/>
      <c r="C998" s="135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</row>
    <row r="999" ht="13.5" customHeight="1">
      <c r="A999" s="134"/>
      <c r="B999" s="135"/>
      <c r="C999" s="135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</row>
    <row r="1000" ht="13.5" customHeight="1">
      <c r="A1000" s="134"/>
      <c r="B1000" s="135"/>
      <c r="C1000" s="135"/>
      <c r="D1000" s="135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35"/>
    </row>
    <row r="1001" ht="13.5" customHeight="1">
      <c r="A1001" s="134"/>
      <c r="B1001" s="135"/>
      <c r="C1001" s="135"/>
      <c r="D1001" s="135"/>
      <c r="E1001" s="135"/>
      <c r="F1001" s="135"/>
      <c r="G1001" s="135"/>
      <c r="H1001" s="135"/>
      <c r="I1001" s="135"/>
      <c r="J1001" s="135"/>
      <c r="K1001" s="135"/>
      <c r="L1001" s="135"/>
      <c r="M1001" s="135"/>
      <c r="N1001" s="135"/>
      <c r="O1001" s="135"/>
      <c r="P1001" s="135"/>
    </row>
    <row r="1002" ht="13.5" customHeight="1">
      <c r="A1002" s="134"/>
      <c r="B1002" s="135"/>
      <c r="C1002" s="135"/>
      <c r="D1002" s="135"/>
      <c r="E1002" s="135"/>
      <c r="F1002" s="135"/>
      <c r="G1002" s="135"/>
      <c r="H1002" s="135"/>
      <c r="I1002" s="135"/>
      <c r="J1002" s="135"/>
      <c r="K1002" s="135"/>
      <c r="L1002" s="135"/>
      <c r="M1002" s="135"/>
      <c r="N1002" s="135"/>
      <c r="O1002" s="135"/>
      <c r="P1002" s="135"/>
    </row>
    <row r="1003" ht="13.5" customHeight="1">
      <c r="A1003" s="134"/>
      <c r="B1003" s="135"/>
      <c r="C1003" s="135"/>
      <c r="D1003" s="135"/>
      <c r="E1003" s="135"/>
      <c r="F1003" s="135"/>
      <c r="G1003" s="135"/>
      <c r="H1003" s="135"/>
      <c r="I1003" s="135"/>
      <c r="J1003" s="135"/>
      <c r="K1003" s="135"/>
      <c r="L1003" s="135"/>
      <c r="M1003" s="135"/>
      <c r="N1003" s="135"/>
      <c r="O1003" s="135"/>
      <c r="P1003" s="135"/>
    </row>
    <row r="1004" ht="13.5" customHeight="1">
      <c r="A1004" s="134"/>
      <c r="B1004" s="135"/>
      <c r="C1004" s="135"/>
      <c r="D1004" s="135"/>
      <c r="E1004" s="135"/>
      <c r="F1004" s="135"/>
      <c r="G1004" s="135"/>
      <c r="H1004" s="135"/>
      <c r="I1004" s="135"/>
      <c r="J1004" s="135"/>
      <c r="K1004" s="135"/>
      <c r="L1004" s="135"/>
      <c r="M1004" s="135"/>
      <c r="N1004" s="135"/>
      <c r="O1004" s="135"/>
      <c r="P1004" s="135"/>
    </row>
    <row r="1005" ht="13.5" customHeight="1">
      <c r="A1005" s="134"/>
      <c r="B1005" s="135"/>
      <c r="C1005" s="135"/>
      <c r="D1005" s="135"/>
      <c r="E1005" s="135"/>
      <c r="F1005" s="135"/>
      <c r="G1005" s="135"/>
      <c r="H1005" s="135"/>
      <c r="I1005" s="135"/>
      <c r="J1005" s="135"/>
      <c r="K1005" s="135"/>
      <c r="L1005" s="135"/>
      <c r="M1005" s="135"/>
      <c r="N1005" s="135"/>
      <c r="O1005" s="135"/>
      <c r="P1005" s="135"/>
    </row>
    <row r="1006" ht="13.5" customHeight="1">
      <c r="A1006" s="134"/>
      <c r="B1006" s="135"/>
      <c r="C1006" s="135"/>
      <c r="D1006" s="135"/>
      <c r="E1006" s="135"/>
      <c r="F1006" s="135"/>
      <c r="G1006" s="135"/>
      <c r="H1006" s="135"/>
      <c r="I1006" s="135"/>
      <c r="J1006" s="135"/>
      <c r="K1006" s="135"/>
      <c r="L1006" s="135"/>
      <c r="M1006" s="135"/>
      <c r="N1006" s="135"/>
      <c r="O1006" s="135"/>
      <c r="P1006" s="135"/>
    </row>
    <row r="1007" ht="13.5" customHeight="1">
      <c r="A1007" s="134"/>
      <c r="B1007" s="135"/>
      <c r="C1007" s="135"/>
      <c r="D1007" s="135"/>
      <c r="E1007" s="135"/>
      <c r="F1007" s="135"/>
      <c r="G1007" s="135"/>
      <c r="H1007" s="135"/>
      <c r="I1007" s="135"/>
      <c r="J1007" s="135"/>
      <c r="K1007" s="135"/>
      <c r="L1007" s="135"/>
      <c r="M1007" s="135"/>
      <c r="N1007" s="135"/>
      <c r="O1007" s="135"/>
      <c r="P1007" s="135"/>
    </row>
    <row r="1008" ht="13.5" customHeight="1">
      <c r="A1008" s="134"/>
      <c r="B1008" s="135"/>
      <c r="C1008" s="135"/>
      <c r="D1008" s="135"/>
      <c r="E1008" s="135"/>
      <c r="F1008" s="135"/>
      <c r="G1008" s="135"/>
      <c r="H1008" s="135"/>
      <c r="I1008" s="135"/>
      <c r="J1008" s="135"/>
      <c r="K1008" s="135"/>
      <c r="L1008" s="135"/>
      <c r="M1008" s="135"/>
      <c r="N1008" s="135"/>
      <c r="O1008" s="135"/>
      <c r="P1008" s="135"/>
    </row>
    <row r="1009" ht="13.5" customHeight="1">
      <c r="A1009" s="134"/>
      <c r="B1009" s="135"/>
      <c r="C1009" s="135"/>
      <c r="D1009" s="135"/>
      <c r="E1009" s="135"/>
      <c r="F1009" s="135"/>
      <c r="G1009" s="135"/>
      <c r="H1009" s="135"/>
      <c r="I1009" s="135"/>
      <c r="J1009" s="135"/>
      <c r="K1009" s="135"/>
      <c r="L1009" s="135"/>
      <c r="M1009" s="135"/>
      <c r="N1009" s="135"/>
      <c r="O1009" s="135"/>
      <c r="P1009" s="135"/>
    </row>
    <row r="1010" ht="13.5" customHeight="1">
      <c r="A1010" s="134"/>
      <c r="B1010" s="135"/>
      <c r="C1010" s="135"/>
      <c r="D1010" s="135"/>
      <c r="E1010" s="135"/>
      <c r="F1010" s="135"/>
      <c r="G1010" s="135"/>
      <c r="H1010" s="135"/>
      <c r="I1010" s="135"/>
      <c r="J1010" s="135"/>
      <c r="K1010" s="135"/>
      <c r="L1010" s="135"/>
      <c r="M1010" s="135"/>
      <c r="N1010" s="135"/>
      <c r="O1010" s="135"/>
      <c r="P1010" s="135"/>
    </row>
    <row r="1011" ht="13.5" customHeight="1">
      <c r="A1011" s="134"/>
      <c r="B1011" s="135"/>
      <c r="C1011" s="135"/>
      <c r="D1011" s="135"/>
      <c r="E1011" s="135"/>
      <c r="F1011" s="135"/>
      <c r="G1011" s="135"/>
      <c r="H1011" s="135"/>
      <c r="I1011" s="135"/>
      <c r="J1011" s="135"/>
      <c r="K1011" s="135"/>
      <c r="L1011" s="135"/>
      <c r="M1011" s="135"/>
      <c r="N1011" s="135"/>
      <c r="O1011" s="135"/>
      <c r="P1011" s="135"/>
    </row>
    <row r="1012" ht="13.5" customHeight="1">
      <c r="A1012" s="134"/>
      <c r="B1012" s="135"/>
      <c r="C1012" s="135"/>
      <c r="D1012" s="135"/>
      <c r="E1012" s="135"/>
      <c r="F1012" s="135"/>
      <c r="G1012" s="135"/>
      <c r="H1012" s="135"/>
      <c r="I1012" s="135"/>
      <c r="J1012" s="135"/>
      <c r="K1012" s="135"/>
      <c r="L1012" s="135"/>
      <c r="M1012" s="135"/>
      <c r="N1012" s="135"/>
      <c r="O1012" s="135"/>
      <c r="P1012" s="135"/>
    </row>
    <row r="1013" ht="13.5" customHeight="1">
      <c r="A1013" s="134"/>
      <c r="B1013" s="135"/>
      <c r="C1013" s="135"/>
      <c r="D1013" s="135"/>
      <c r="E1013" s="135"/>
      <c r="F1013" s="135"/>
      <c r="G1013" s="135"/>
      <c r="H1013" s="135"/>
      <c r="I1013" s="135"/>
      <c r="J1013" s="135"/>
      <c r="K1013" s="135"/>
      <c r="L1013" s="135"/>
      <c r="M1013" s="135"/>
      <c r="N1013" s="135"/>
      <c r="O1013" s="135"/>
      <c r="P1013" s="135"/>
    </row>
    <row r="1014" ht="13.5" customHeight="1">
      <c r="A1014" s="134"/>
      <c r="B1014" s="135"/>
      <c r="C1014" s="135"/>
      <c r="D1014" s="135"/>
      <c r="E1014" s="135"/>
      <c r="F1014" s="135"/>
      <c r="G1014" s="135"/>
      <c r="H1014" s="135"/>
      <c r="I1014" s="135"/>
      <c r="J1014" s="135"/>
      <c r="K1014" s="135"/>
      <c r="L1014" s="135"/>
      <c r="M1014" s="135"/>
      <c r="N1014" s="135"/>
      <c r="O1014" s="135"/>
      <c r="P1014" s="135"/>
    </row>
    <row r="1015" ht="13.5" customHeight="1">
      <c r="A1015" s="134"/>
      <c r="B1015" s="135"/>
      <c r="C1015" s="135"/>
      <c r="D1015" s="135"/>
      <c r="E1015" s="135"/>
      <c r="F1015" s="135"/>
      <c r="G1015" s="135"/>
      <c r="H1015" s="135"/>
      <c r="I1015" s="135"/>
      <c r="J1015" s="135"/>
      <c r="K1015" s="135"/>
      <c r="L1015" s="135"/>
      <c r="M1015" s="135"/>
      <c r="N1015" s="135"/>
      <c r="O1015" s="135"/>
      <c r="P1015" s="135"/>
    </row>
    <row r="1016" ht="13.5" customHeight="1">
      <c r="A1016" s="134"/>
      <c r="B1016" s="135"/>
      <c r="C1016" s="135"/>
      <c r="D1016" s="135"/>
      <c r="E1016" s="135"/>
      <c r="F1016" s="135"/>
      <c r="G1016" s="135"/>
      <c r="H1016" s="135"/>
      <c r="I1016" s="135"/>
      <c r="J1016" s="135"/>
      <c r="K1016" s="135"/>
      <c r="L1016" s="135"/>
      <c r="M1016" s="135"/>
      <c r="N1016" s="135"/>
      <c r="O1016" s="135"/>
      <c r="P1016" s="135"/>
    </row>
    <row r="1017" ht="13.5" customHeight="1">
      <c r="A1017" s="134"/>
      <c r="B1017" s="135"/>
      <c r="C1017" s="135"/>
      <c r="D1017" s="135"/>
      <c r="E1017" s="135"/>
      <c r="F1017" s="135"/>
      <c r="G1017" s="135"/>
      <c r="H1017" s="135"/>
      <c r="I1017" s="135"/>
      <c r="J1017" s="135"/>
      <c r="K1017" s="135"/>
      <c r="L1017" s="135"/>
      <c r="M1017" s="135"/>
      <c r="N1017" s="135"/>
      <c r="O1017" s="135"/>
      <c r="P1017" s="135"/>
    </row>
    <row r="1018" ht="13.5" customHeight="1">
      <c r="A1018" s="134"/>
      <c r="B1018" s="135"/>
      <c r="C1018" s="135"/>
      <c r="D1018" s="135"/>
      <c r="E1018" s="135"/>
      <c r="F1018" s="135"/>
      <c r="G1018" s="135"/>
      <c r="H1018" s="135"/>
      <c r="I1018" s="135"/>
      <c r="J1018" s="135"/>
      <c r="K1018" s="135"/>
      <c r="L1018" s="135"/>
      <c r="M1018" s="135"/>
      <c r="N1018" s="135"/>
      <c r="O1018" s="135"/>
      <c r="P1018" s="135"/>
    </row>
    <row r="1019" ht="13.5" customHeight="1">
      <c r="A1019" s="134"/>
      <c r="B1019" s="135"/>
      <c r="C1019" s="135"/>
      <c r="D1019" s="135"/>
      <c r="E1019" s="135"/>
      <c r="F1019" s="135"/>
      <c r="G1019" s="135"/>
      <c r="H1019" s="135"/>
      <c r="I1019" s="135"/>
      <c r="J1019" s="135"/>
      <c r="K1019" s="135"/>
      <c r="L1019" s="135"/>
      <c r="M1019" s="135"/>
      <c r="N1019" s="135"/>
      <c r="O1019" s="135"/>
      <c r="P1019" s="135"/>
    </row>
    <row r="1020" ht="13.5" customHeight="1">
      <c r="A1020" s="134"/>
      <c r="B1020" s="135"/>
      <c r="C1020" s="135"/>
      <c r="D1020" s="135"/>
      <c r="E1020" s="135"/>
      <c r="F1020" s="135"/>
      <c r="G1020" s="135"/>
      <c r="H1020" s="135"/>
      <c r="I1020" s="135"/>
      <c r="J1020" s="135"/>
      <c r="K1020" s="135"/>
      <c r="L1020" s="135"/>
      <c r="M1020" s="135"/>
      <c r="N1020" s="135"/>
      <c r="O1020" s="135"/>
      <c r="P1020" s="135"/>
    </row>
    <row r="1021" ht="13.5" customHeight="1">
      <c r="A1021" s="134"/>
      <c r="B1021" s="135"/>
      <c r="C1021" s="135"/>
      <c r="D1021" s="135"/>
      <c r="E1021" s="135"/>
      <c r="F1021" s="135"/>
      <c r="G1021" s="135"/>
      <c r="H1021" s="135"/>
      <c r="I1021" s="135"/>
      <c r="J1021" s="135"/>
      <c r="K1021" s="135"/>
      <c r="L1021" s="135"/>
      <c r="M1021" s="135"/>
      <c r="N1021" s="135"/>
      <c r="O1021" s="135"/>
      <c r="P1021" s="135"/>
    </row>
    <row r="1022" ht="13.5" customHeight="1">
      <c r="A1022" s="134"/>
      <c r="B1022" s="135"/>
      <c r="C1022" s="135"/>
      <c r="D1022" s="135"/>
      <c r="E1022" s="135"/>
      <c r="F1022" s="135"/>
      <c r="G1022" s="135"/>
      <c r="H1022" s="135"/>
      <c r="I1022" s="135"/>
      <c r="J1022" s="135"/>
      <c r="K1022" s="135"/>
      <c r="L1022" s="135"/>
      <c r="M1022" s="135"/>
      <c r="N1022" s="135"/>
      <c r="O1022" s="135"/>
      <c r="P1022" s="135"/>
    </row>
    <row r="1023" ht="13.5" customHeight="1">
      <c r="A1023" s="134"/>
      <c r="B1023" s="135"/>
      <c r="C1023" s="135"/>
      <c r="D1023" s="135"/>
      <c r="E1023" s="135"/>
      <c r="F1023" s="135"/>
      <c r="G1023" s="135"/>
      <c r="H1023" s="135"/>
      <c r="I1023" s="135"/>
      <c r="J1023" s="135"/>
      <c r="K1023" s="135"/>
      <c r="L1023" s="135"/>
      <c r="M1023" s="135"/>
      <c r="N1023" s="135"/>
      <c r="O1023" s="135"/>
      <c r="P1023" s="135"/>
    </row>
    <row r="1024" ht="13.5" customHeight="1">
      <c r="A1024" s="134"/>
      <c r="B1024" s="135"/>
      <c r="C1024" s="135"/>
      <c r="D1024" s="135"/>
      <c r="E1024" s="135"/>
      <c r="F1024" s="135"/>
      <c r="G1024" s="135"/>
      <c r="H1024" s="135"/>
      <c r="I1024" s="135"/>
      <c r="J1024" s="135"/>
      <c r="K1024" s="135"/>
      <c r="L1024" s="135"/>
      <c r="M1024" s="135"/>
      <c r="N1024" s="135"/>
      <c r="O1024" s="135"/>
      <c r="P1024" s="135"/>
    </row>
    <row r="1025" ht="13.5" customHeight="1">
      <c r="A1025" s="134"/>
      <c r="B1025" s="135"/>
      <c r="C1025" s="135"/>
      <c r="D1025" s="135"/>
      <c r="E1025" s="135"/>
      <c r="F1025" s="135"/>
      <c r="G1025" s="135"/>
      <c r="H1025" s="135"/>
      <c r="I1025" s="135"/>
      <c r="J1025" s="135"/>
      <c r="K1025" s="135"/>
      <c r="L1025" s="135"/>
      <c r="M1025" s="135"/>
      <c r="N1025" s="135"/>
      <c r="O1025" s="135"/>
      <c r="P1025" s="135"/>
    </row>
    <row r="1026" ht="13.5" customHeight="1">
      <c r="A1026" s="134"/>
      <c r="B1026" s="135"/>
      <c r="C1026" s="135"/>
      <c r="D1026" s="135"/>
      <c r="E1026" s="135"/>
      <c r="F1026" s="135"/>
      <c r="G1026" s="135"/>
      <c r="H1026" s="135"/>
      <c r="I1026" s="135"/>
      <c r="J1026" s="135"/>
      <c r="K1026" s="135"/>
      <c r="L1026" s="135"/>
      <c r="M1026" s="135"/>
      <c r="N1026" s="135"/>
      <c r="O1026" s="135"/>
      <c r="P1026" s="135"/>
    </row>
    <row r="1027" ht="13.5" customHeight="1">
      <c r="A1027" s="134"/>
      <c r="B1027" s="135"/>
      <c r="C1027" s="135"/>
      <c r="D1027" s="135"/>
      <c r="E1027" s="135"/>
      <c r="F1027" s="135"/>
      <c r="G1027" s="135"/>
      <c r="H1027" s="135"/>
      <c r="I1027" s="135"/>
      <c r="J1027" s="135"/>
      <c r="K1027" s="135"/>
      <c r="L1027" s="135"/>
      <c r="M1027" s="135"/>
      <c r="N1027" s="135"/>
      <c r="O1027" s="135"/>
      <c r="P1027" s="135"/>
    </row>
    <row r="1028" ht="13.5" customHeight="1">
      <c r="A1028" s="134"/>
      <c r="B1028" s="135"/>
      <c r="C1028" s="135"/>
      <c r="D1028" s="135"/>
      <c r="E1028" s="135"/>
      <c r="F1028" s="135"/>
      <c r="G1028" s="135"/>
      <c r="H1028" s="135"/>
      <c r="I1028" s="135"/>
      <c r="J1028" s="135"/>
      <c r="K1028" s="135"/>
      <c r="L1028" s="135"/>
      <c r="M1028" s="135"/>
      <c r="N1028" s="135"/>
      <c r="O1028" s="135"/>
      <c r="P1028" s="135"/>
    </row>
    <row r="1029" ht="13.5" customHeight="1">
      <c r="A1029" s="134"/>
      <c r="B1029" s="135"/>
      <c r="C1029" s="135"/>
      <c r="D1029" s="135"/>
      <c r="E1029" s="135"/>
      <c r="F1029" s="135"/>
      <c r="G1029" s="135"/>
      <c r="H1029" s="135"/>
      <c r="I1029" s="135"/>
      <c r="J1029" s="135"/>
      <c r="K1029" s="135"/>
      <c r="L1029" s="135"/>
      <c r="M1029" s="135"/>
      <c r="N1029" s="135"/>
      <c r="O1029" s="135"/>
      <c r="P1029" s="135"/>
    </row>
    <row r="1030" ht="13.5" customHeight="1">
      <c r="A1030" s="134"/>
      <c r="B1030" s="135"/>
      <c r="C1030" s="135"/>
      <c r="D1030" s="135"/>
      <c r="E1030" s="135"/>
      <c r="F1030" s="135"/>
      <c r="G1030" s="135"/>
      <c r="H1030" s="135"/>
      <c r="I1030" s="135"/>
      <c r="J1030" s="135"/>
      <c r="K1030" s="135"/>
      <c r="L1030" s="135"/>
      <c r="M1030" s="135"/>
      <c r="N1030" s="135"/>
      <c r="O1030" s="135"/>
      <c r="P1030" s="135"/>
    </row>
    <row r="1031" ht="13.5" customHeight="1">
      <c r="A1031" s="134"/>
      <c r="B1031" s="135"/>
      <c r="C1031" s="135"/>
      <c r="D1031" s="135"/>
      <c r="E1031" s="135"/>
      <c r="F1031" s="135"/>
      <c r="G1031" s="135"/>
      <c r="H1031" s="135"/>
      <c r="I1031" s="135"/>
      <c r="J1031" s="135"/>
      <c r="K1031" s="135"/>
      <c r="L1031" s="135"/>
      <c r="M1031" s="135"/>
      <c r="N1031" s="135"/>
      <c r="O1031" s="135"/>
      <c r="P1031" s="135"/>
    </row>
    <row r="1032" ht="13.5" customHeight="1">
      <c r="A1032" s="134"/>
      <c r="B1032" s="135"/>
      <c r="C1032" s="135"/>
      <c r="D1032" s="135"/>
      <c r="E1032" s="135"/>
      <c r="F1032" s="135"/>
      <c r="G1032" s="135"/>
      <c r="H1032" s="135"/>
      <c r="I1032" s="135"/>
      <c r="J1032" s="135"/>
      <c r="K1032" s="135"/>
      <c r="L1032" s="135"/>
      <c r="M1032" s="135"/>
      <c r="N1032" s="135"/>
      <c r="O1032" s="135"/>
      <c r="P1032" s="135"/>
    </row>
    <row r="1033" ht="13.5" customHeight="1">
      <c r="A1033" s="134"/>
      <c r="B1033" s="135"/>
      <c r="C1033" s="135"/>
      <c r="D1033" s="135"/>
      <c r="E1033" s="135"/>
      <c r="F1033" s="135"/>
      <c r="G1033" s="135"/>
      <c r="H1033" s="135"/>
      <c r="I1033" s="135"/>
      <c r="J1033" s="135"/>
      <c r="K1033" s="135"/>
      <c r="L1033" s="135"/>
      <c r="M1033" s="135"/>
      <c r="N1033" s="135"/>
      <c r="O1033" s="135"/>
      <c r="P1033" s="135"/>
    </row>
    <row r="1034" ht="13.5" customHeight="1">
      <c r="A1034" s="134"/>
      <c r="B1034" s="135"/>
      <c r="C1034" s="135"/>
      <c r="D1034" s="135"/>
      <c r="E1034" s="135"/>
      <c r="F1034" s="135"/>
      <c r="G1034" s="135"/>
      <c r="H1034" s="135"/>
      <c r="I1034" s="135"/>
      <c r="J1034" s="135"/>
      <c r="K1034" s="135"/>
      <c r="L1034" s="135"/>
      <c r="M1034" s="135"/>
      <c r="N1034" s="135"/>
      <c r="O1034" s="135"/>
      <c r="P1034" s="135"/>
    </row>
    <row r="1035" ht="13.5" customHeight="1">
      <c r="A1035" s="134"/>
      <c r="B1035" s="135"/>
      <c r="C1035" s="135"/>
      <c r="D1035" s="135"/>
      <c r="E1035" s="135"/>
      <c r="F1035" s="135"/>
      <c r="G1035" s="135"/>
      <c r="H1035" s="135"/>
      <c r="I1035" s="135"/>
      <c r="J1035" s="135"/>
      <c r="K1035" s="135"/>
      <c r="L1035" s="135"/>
      <c r="M1035" s="135"/>
      <c r="N1035" s="135"/>
      <c r="O1035" s="135"/>
      <c r="P1035" s="135"/>
    </row>
    <row r="1036" ht="13.5" customHeight="1">
      <c r="A1036" s="134"/>
      <c r="B1036" s="135"/>
      <c r="C1036" s="135"/>
      <c r="D1036" s="135"/>
      <c r="E1036" s="135"/>
      <c r="F1036" s="135"/>
      <c r="G1036" s="135"/>
      <c r="H1036" s="135"/>
      <c r="I1036" s="135"/>
      <c r="J1036" s="135"/>
      <c r="K1036" s="135"/>
      <c r="L1036" s="135"/>
      <c r="M1036" s="135"/>
      <c r="N1036" s="135"/>
      <c r="O1036" s="135"/>
      <c r="P1036" s="135"/>
    </row>
    <row r="1037" ht="13.5" customHeight="1">
      <c r="A1037" s="134"/>
      <c r="B1037" s="135"/>
      <c r="C1037" s="135"/>
      <c r="D1037" s="135"/>
      <c r="E1037" s="135"/>
      <c r="F1037" s="135"/>
      <c r="G1037" s="135"/>
      <c r="H1037" s="135"/>
      <c r="I1037" s="135"/>
      <c r="J1037" s="135"/>
      <c r="K1037" s="135"/>
      <c r="L1037" s="135"/>
      <c r="M1037" s="135"/>
      <c r="N1037" s="135"/>
      <c r="O1037" s="135"/>
      <c r="P1037" s="135"/>
    </row>
    <row r="1038" ht="13.5" customHeight="1">
      <c r="A1038" s="134"/>
      <c r="B1038" s="135"/>
      <c r="C1038" s="135"/>
      <c r="D1038" s="135"/>
      <c r="E1038" s="135"/>
      <c r="F1038" s="135"/>
      <c r="G1038" s="135"/>
      <c r="H1038" s="135"/>
      <c r="I1038" s="135"/>
      <c r="J1038" s="135"/>
      <c r="K1038" s="135"/>
      <c r="L1038" s="135"/>
      <c r="M1038" s="135"/>
      <c r="N1038" s="135"/>
      <c r="O1038" s="135"/>
      <c r="P1038" s="135"/>
    </row>
    <row r="1039" ht="13.5" customHeight="1">
      <c r="A1039" s="134"/>
      <c r="B1039" s="135"/>
      <c r="C1039" s="135"/>
      <c r="D1039" s="135"/>
      <c r="E1039" s="135"/>
      <c r="F1039" s="135"/>
      <c r="G1039" s="135"/>
      <c r="H1039" s="135"/>
      <c r="I1039" s="135"/>
      <c r="J1039" s="135"/>
      <c r="K1039" s="135"/>
      <c r="L1039" s="135"/>
      <c r="M1039" s="135"/>
      <c r="N1039" s="135"/>
      <c r="O1039" s="135"/>
      <c r="P1039" s="135"/>
    </row>
    <row r="1040" ht="13.5" customHeight="1">
      <c r="A1040" s="134"/>
      <c r="B1040" s="135"/>
      <c r="C1040" s="135"/>
      <c r="D1040" s="135"/>
      <c r="E1040" s="135"/>
      <c r="F1040" s="135"/>
      <c r="G1040" s="135"/>
      <c r="H1040" s="135"/>
      <c r="I1040" s="135"/>
      <c r="J1040" s="135"/>
      <c r="K1040" s="135"/>
      <c r="L1040" s="135"/>
      <c r="M1040" s="135"/>
      <c r="N1040" s="135"/>
      <c r="O1040" s="135"/>
      <c r="P1040" s="135"/>
    </row>
    <row r="1041" ht="13.5" customHeight="1">
      <c r="A1041" s="134"/>
      <c r="B1041" s="135"/>
      <c r="C1041" s="135"/>
      <c r="D1041" s="135"/>
      <c r="E1041" s="135"/>
      <c r="F1041" s="135"/>
      <c r="G1041" s="135"/>
      <c r="H1041" s="135"/>
      <c r="I1041" s="135"/>
      <c r="J1041" s="135"/>
      <c r="K1041" s="135"/>
      <c r="L1041" s="135"/>
      <c r="M1041" s="135"/>
      <c r="N1041" s="135"/>
      <c r="O1041" s="135"/>
      <c r="P1041" s="135"/>
    </row>
    <row r="1042" ht="13.5" customHeight="1">
      <c r="A1042" s="134"/>
      <c r="B1042" s="135"/>
      <c r="C1042" s="135"/>
      <c r="D1042" s="135"/>
      <c r="E1042" s="135"/>
      <c r="F1042" s="135"/>
      <c r="G1042" s="135"/>
      <c r="H1042" s="135"/>
      <c r="I1042" s="135"/>
      <c r="J1042" s="135"/>
      <c r="K1042" s="135"/>
      <c r="L1042" s="135"/>
      <c r="M1042" s="135"/>
      <c r="N1042" s="135"/>
      <c r="O1042" s="135"/>
      <c r="P1042" s="135"/>
    </row>
    <row r="1043" ht="13.5" customHeight="1">
      <c r="A1043" s="134"/>
      <c r="B1043" s="135"/>
      <c r="C1043" s="135"/>
      <c r="D1043" s="135"/>
      <c r="E1043" s="135"/>
      <c r="F1043" s="135"/>
      <c r="G1043" s="135"/>
      <c r="H1043" s="135"/>
      <c r="I1043" s="135"/>
      <c r="J1043" s="135"/>
      <c r="K1043" s="135"/>
      <c r="L1043" s="135"/>
      <c r="M1043" s="135"/>
      <c r="N1043" s="135"/>
      <c r="O1043" s="135"/>
      <c r="P1043" s="135"/>
    </row>
    <row r="1044" ht="13.5" customHeight="1">
      <c r="A1044" s="134"/>
      <c r="B1044" s="135"/>
      <c r="C1044" s="135"/>
      <c r="D1044" s="135"/>
      <c r="E1044" s="135"/>
      <c r="F1044" s="135"/>
      <c r="G1044" s="135"/>
      <c r="H1044" s="135"/>
      <c r="I1044" s="135"/>
      <c r="J1044" s="135"/>
      <c r="K1044" s="135"/>
      <c r="L1044" s="135"/>
      <c r="M1044" s="135"/>
      <c r="N1044" s="135"/>
      <c r="O1044" s="135"/>
      <c r="P1044" s="135"/>
    </row>
    <row r="1045" ht="13.5" customHeight="1">
      <c r="A1045" s="134"/>
      <c r="B1045" s="135"/>
      <c r="C1045" s="135"/>
      <c r="D1045" s="135"/>
      <c r="E1045" s="135"/>
      <c r="F1045" s="135"/>
      <c r="G1045" s="135"/>
      <c r="H1045" s="135"/>
      <c r="I1045" s="135"/>
      <c r="J1045" s="135"/>
      <c r="K1045" s="135"/>
      <c r="L1045" s="135"/>
      <c r="M1045" s="135"/>
      <c r="N1045" s="135"/>
      <c r="O1045" s="135"/>
      <c r="P1045" s="135"/>
    </row>
    <row r="1046" ht="13.5" customHeight="1">
      <c r="A1046" s="134"/>
      <c r="B1046" s="135"/>
      <c r="C1046" s="135"/>
      <c r="D1046" s="135"/>
      <c r="E1046" s="135"/>
      <c r="F1046" s="135"/>
      <c r="G1046" s="135"/>
      <c r="H1046" s="135"/>
      <c r="I1046" s="135"/>
      <c r="J1046" s="135"/>
      <c r="K1046" s="135"/>
      <c r="L1046" s="135"/>
      <c r="M1046" s="135"/>
      <c r="N1046" s="135"/>
      <c r="O1046" s="135"/>
      <c r="P1046" s="135"/>
    </row>
    <row r="1047" ht="13.5" customHeight="1">
      <c r="A1047" s="134"/>
      <c r="B1047" s="135"/>
      <c r="C1047" s="135"/>
      <c r="D1047" s="135"/>
      <c r="E1047" s="135"/>
      <c r="F1047" s="135"/>
      <c r="G1047" s="135"/>
      <c r="H1047" s="135"/>
      <c r="I1047" s="135"/>
      <c r="J1047" s="135"/>
      <c r="K1047" s="135"/>
      <c r="L1047" s="135"/>
      <c r="M1047" s="135"/>
      <c r="N1047" s="135"/>
      <c r="O1047" s="135"/>
      <c r="P1047" s="135"/>
    </row>
    <row r="1048" ht="13.5" customHeight="1">
      <c r="A1048" s="134"/>
      <c r="B1048" s="135"/>
      <c r="C1048" s="135"/>
      <c r="D1048" s="135"/>
      <c r="E1048" s="135"/>
      <c r="F1048" s="135"/>
      <c r="G1048" s="135"/>
      <c r="H1048" s="135"/>
      <c r="I1048" s="135"/>
      <c r="J1048" s="135"/>
      <c r="K1048" s="135"/>
      <c r="L1048" s="135"/>
      <c r="M1048" s="135"/>
      <c r="N1048" s="135"/>
      <c r="O1048" s="135"/>
      <c r="P1048" s="135"/>
    </row>
    <row r="1049" ht="13.5" customHeight="1">
      <c r="A1049" s="134"/>
      <c r="B1049" s="135"/>
      <c r="C1049" s="135"/>
      <c r="D1049" s="135"/>
      <c r="E1049" s="135"/>
      <c r="F1049" s="135"/>
      <c r="G1049" s="135"/>
      <c r="H1049" s="135"/>
      <c r="I1049" s="135"/>
      <c r="J1049" s="135"/>
      <c r="K1049" s="135"/>
      <c r="L1049" s="135"/>
      <c r="M1049" s="135"/>
      <c r="N1049" s="135"/>
      <c r="O1049" s="135"/>
      <c r="P1049" s="135"/>
    </row>
    <row r="1050" ht="13.5" customHeight="1">
      <c r="A1050" s="134"/>
      <c r="B1050" s="135"/>
      <c r="C1050" s="135"/>
      <c r="D1050" s="135"/>
      <c r="E1050" s="135"/>
      <c r="F1050" s="135"/>
      <c r="G1050" s="135"/>
      <c r="H1050" s="135"/>
      <c r="I1050" s="135"/>
      <c r="J1050" s="135"/>
      <c r="K1050" s="135"/>
      <c r="L1050" s="135"/>
      <c r="M1050" s="135"/>
      <c r="N1050" s="135"/>
      <c r="O1050" s="135"/>
      <c r="P1050" s="135"/>
    </row>
    <row r="1051" ht="13.5" customHeight="1">
      <c r="A1051" s="134"/>
      <c r="B1051" s="135"/>
      <c r="C1051" s="135"/>
      <c r="D1051" s="135"/>
      <c r="E1051" s="135"/>
      <c r="F1051" s="135"/>
      <c r="G1051" s="135"/>
      <c r="H1051" s="135"/>
      <c r="I1051" s="135"/>
      <c r="J1051" s="135"/>
      <c r="K1051" s="135"/>
      <c r="L1051" s="135"/>
      <c r="M1051" s="135"/>
      <c r="N1051" s="135"/>
      <c r="O1051" s="135"/>
      <c r="P1051" s="135"/>
    </row>
    <row r="1052" ht="13.5" customHeight="1">
      <c r="A1052" s="134"/>
      <c r="B1052" s="135"/>
      <c r="C1052" s="135"/>
      <c r="D1052" s="135"/>
      <c r="E1052" s="135"/>
      <c r="F1052" s="135"/>
      <c r="G1052" s="135"/>
      <c r="H1052" s="135"/>
      <c r="I1052" s="135"/>
      <c r="J1052" s="135"/>
      <c r="K1052" s="135"/>
      <c r="L1052" s="135"/>
      <c r="M1052" s="135"/>
      <c r="N1052" s="135"/>
      <c r="O1052" s="135"/>
      <c r="P1052" s="135"/>
    </row>
    <row r="1053" ht="13.5" customHeight="1">
      <c r="A1053" s="134"/>
      <c r="B1053" s="135"/>
      <c r="C1053" s="135"/>
      <c r="D1053" s="135"/>
      <c r="E1053" s="135"/>
      <c r="F1053" s="135"/>
      <c r="G1053" s="135"/>
      <c r="H1053" s="135"/>
      <c r="I1053" s="135"/>
      <c r="J1053" s="135"/>
      <c r="K1053" s="135"/>
      <c r="L1053" s="135"/>
      <c r="M1053" s="135"/>
      <c r="N1053" s="135"/>
      <c r="O1053" s="135"/>
      <c r="P1053" s="135"/>
    </row>
    <row r="1054" ht="13.5" customHeight="1">
      <c r="A1054" s="134"/>
      <c r="B1054" s="135"/>
      <c r="C1054" s="135"/>
      <c r="D1054" s="135"/>
      <c r="E1054" s="135"/>
      <c r="F1054" s="135"/>
      <c r="G1054" s="135"/>
      <c r="H1054" s="135"/>
      <c r="I1054" s="135"/>
      <c r="J1054" s="135"/>
      <c r="K1054" s="135"/>
      <c r="L1054" s="135"/>
      <c r="M1054" s="135"/>
      <c r="N1054" s="135"/>
      <c r="O1054" s="135"/>
      <c r="P1054" s="135"/>
    </row>
    <row r="1055" ht="13.5" customHeight="1">
      <c r="A1055" s="134"/>
      <c r="B1055" s="135"/>
      <c r="C1055" s="135"/>
      <c r="D1055" s="135"/>
      <c r="E1055" s="135"/>
      <c r="F1055" s="135"/>
      <c r="G1055" s="135"/>
      <c r="H1055" s="135"/>
      <c r="I1055" s="135"/>
      <c r="J1055" s="135"/>
      <c r="K1055" s="135"/>
      <c r="L1055" s="135"/>
      <c r="M1055" s="135"/>
      <c r="N1055" s="135"/>
      <c r="O1055" s="135"/>
      <c r="P1055" s="135"/>
    </row>
    <row r="1056" ht="13.5" customHeight="1">
      <c r="A1056" s="134"/>
      <c r="B1056" s="135"/>
      <c r="C1056" s="135"/>
      <c r="D1056" s="135"/>
      <c r="E1056" s="135"/>
      <c r="F1056" s="135"/>
      <c r="G1056" s="135"/>
      <c r="H1056" s="135"/>
      <c r="I1056" s="135"/>
      <c r="J1056" s="135"/>
      <c r="K1056" s="135"/>
      <c r="L1056" s="135"/>
      <c r="M1056" s="135"/>
      <c r="N1056" s="135"/>
      <c r="O1056" s="135"/>
      <c r="P1056" s="135"/>
    </row>
    <row r="1057" ht="13.5" customHeight="1">
      <c r="A1057" s="134"/>
      <c r="B1057" s="135"/>
      <c r="C1057" s="135"/>
      <c r="D1057" s="135"/>
      <c r="E1057" s="135"/>
      <c r="F1057" s="135"/>
      <c r="G1057" s="135"/>
      <c r="H1057" s="135"/>
      <c r="I1057" s="135"/>
      <c r="J1057" s="135"/>
      <c r="K1057" s="135"/>
      <c r="L1057" s="135"/>
      <c r="M1057" s="135"/>
      <c r="N1057" s="135"/>
      <c r="O1057" s="135"/>
      <c r="P1057" s="135"/>
    </row>
    <row r="1058" ht="13.5" customHeight="1">
      <c r="A1058" s="134"/>
      <c r="B1058" s="135"/>
      <c r="C1058" s="135"/>
      <c r="D1058" s="135"/>
      <c r="E1058" s="135"/>
      <c r="F1058" s="135"/>
      <c r="G1058" s="135"/>
      <c r="H1058" s="135"/>
      <c r="I1058" s="135"/>
      <c r="J1058" s="135"/>
      <c r="K1058" s="135"/>
      <c r="L1058" s="135"/>
      <c r="M1058" s="135"/>
      <c r="N1058" s="135"/>
      <c r="O1058" s="135"/>
      <c r="P1058" s="135"/>
    </row>
    <row r="1059" ht="13.5" customHeight="1">
      <c r="A1059" s="134"/>
      <c r="B1059" s="135"/>
      <c r="C1059" s="135"/>
      <c r="D1059" s="135"/>
      <c r="E1059" s="135"/>
      <c r="F1059" s="135"/>
      <c r="G1059" s="135"/>
      <c r="H1059" s="135"/>
      <c r="I1059" s="135"/>
      <c r="J1059" s="135"/>
      <c r="K1059" s="135"/>
      <c r="L1059" s="135"/>
      <c r="M1059" s="135"/>
      <c r="N1059" s="135"/>
      <c r="O1059" s="135"/>
      <c r="P1059" s="135"/>
    </row>
    <row r="1060" ht="13.5" customHeight="1">
      <c r="A1060" s="134"/>
      <c r="B1060" s="135"/>
      <c r="C1060" s="135"/>
      <c r="D1060" s="135"/>
      <c r="E1060" s="135"/>
      <c r="F1060" s="135"/>
      <c r="G1060" s="135"/>
      <c r="H1060" s="135"/>
      <c r="I1060" s="135"/>
      <c r="J1060" s="135"/>
      <c r="K1060" s="135"/>
      <c r="L1060" s="135"/>
      <c r="M1060" s="135"/>
      <c r="N1060" s="135"/>
      <c r="O1060" s="135"/>
      <c r="P1060" s="135"/>
    </row>
    <row r="1061" ht="13.5" customHeight="1">
      <c r="A1061" s="134"/>
      <c r="B1061" s="135"/>
      <c r="C1061" s="135"/>
      <c r="D1061" s="135"/>
      <c r="E1061" s="135"/>
      <c r="F1061" s="135"/>
      <c r="G1061" s="135"/>
      <c r="H1061" s="135"/>
      <c r="I1061" s="135"/>
      <c r="J1061" s="135"/>
      <c r="K1061" s="135"/>
      <c r="L1061" s="135"/>
      <c r="M1061" s="135"/>
      <c r="N1061" s="135"/>
      <c r="O1061" s="135"/>
      <c r="P1061" s="135"/>
    </row>
    <row r="1062" ht="13.5" customHeight="1">
      <c r="A1062" s="134"/>
      <c r="B1062" s="135"/>
      <c r="C1062" s="135"/>
      <c r="D1062" s="135"/>
      <c r="E1062" s="135"/>
      <c r="F1062" s="135"/>
      <c r="G1062" s="135"/>
      <c r="H1062" s="135"/>
      <c r="I1062" s="135"/>
      <c r="J1062" s="135"/>
      <c r="K1062" s="135"/>
      <c r="L1062" s="135"/>
      <c r="M1062" s="135"/>
      <c r="N1062" s="135"/>
      <c r="O1062" s="135"/>
      <c r="P1062" s="135"/>
    </row>
    <row r="1063" ht="13.5" customHeight="1">
      <c r="A1063" s="134"/>
      <c r="B1063" s="135"/>
      <c r="C1063" s="135"/>
      <c r="D1063" s="135"/>
      <c r="E1063" s="135"/>
      <c r="F1063" s="135"/>
      <c r="G1063" s="135"/>
      <c r="H1063" s="135"/>
      <c r="I1063" s="135"/>
      <c r="J1063" s="135"/>
      <c r="K1063" s="135"/>
      <c r="L1063" s="135"/>
      <c r="M1063" s="135"/>
      <c r="N1063" s="135"/>
      <c r="O1063" s="135"/>
      <c r="P1063" s="135"/>
    </row>
    <row r="1064" ht="13.5" customHeight="1">
      <c r="A1064" s="134"/>
      <c r="B1064" s="135"/>
      <c r="C1064" s="135"/>
      <c r="D1064" s="135"/>
      <c r="E1064" s="135"/>
      <c r="F1064" s="135"/>
      <c r="G1064" s="135"/>
      <c r="H1064" s="135"/>
      <c r="I1064" s="135"/>
      <c r="J1064" s="135"/>
      <c r="K1064" s="135"/>
      <c r="L1064" s="135"/>
      <c r="M1064" s="135"/>
      <c r="N1064" s="135"/>
      <c r="O1064" s="135"/>
      <c r="P1064" s="135"/>
    </row>
    <row r="1065" ht="13.5" customHeight="1">
      <c r="A1065" s="134"/>
      <c r="B1065" s="135"/>
      <c r="C1065" s="135"/>
      <c r="D1065" s="135"/>
      <c r="E1065" s="135"/>
      <c r="F1065" s="135"/>
      <c r="G1065" s="135"/>
      <c r="H1065" s="135"/>
      <c r="I1065" s="135"/>
      <c r="J1065" s="135"/>
      <c r="K1065" s="135"/>
      <c r="L1065" s="135"/>
      <c r="M1065" s="135"/>
      <c r="N1065" s="135"/>
      <c r="O1065" s="135"/>
      <c r="P1065" s="135"/>
    </row>
    <row r="1066" ht="13.5" customHeight="1">
      <c r="A1066" s="134"/>
      <c r="B1066" s="135"/>
      <c r="C1066" s="135"/>
      <c r="D1066" s="135"/>
      <c r="E1066" s="135"/>
      <c r="F1066" s="135"/>
      <c r="G1066" s="135"/>
      <c r="H1066" s="135"/>
      <c r="I1066" s="135"/>
      <c r="J1066" s="135"/>
      <c r="K1066" s="135"/>
      <c r="L1066" s="135"/>
      <c r="M1066" s="135"/>
      <c r="N1066" s="135"/>
      <c r="O1066" s="135"/>
      <c r="P1066" s="135"/>
    </row>
    <row r="1067" ht="13.5" customHeight="1">
      <c r="A1067" s="134"/>
      <c r="B1067" s="135"/>
      <c r="C1067" s="135"/>
      <c r="D1067" s="135"/>
      <c r="E1067" s="135"/>
      <c r="F1067" s="135"/>
      <c r="G1067" s="135"/>
      <c r="H1067" s="135"/>
      <c r="I1067" s="135"/>
      <c r="J1067" s="135"/>
      <c r="K1067" s="135"/>
      <c r="L1067" s="135"/>
      <c r="M1067" s="135"/>
      <c r="N1067" s="135"/>
      <c r="O1067" s="135"/>
      <c r="P1067" s="135"/>
    </row>
    <row r="1068" ht="13.5" customHeight="1">
      <c r="A1068" s="134"/>
      <c r="B1068" s="135"/>
      <c r="C1068" s="135"/>
      <c r="D1068" s="135"/>
      <c r="E1068" s="135"/>
      <c r="F1068" s="135"/>
      <c r="G1068" s="135"/>
      <c r="H1068" s="135"/>
      <c r="I1068" s="135"/>
      <c r="J1068" s="135"/>
      <c r="K1068" s="135"/>
      <c r="L1068" s="135"/>
      <c r="M1068" s="135"/>
      <c r="N1068" s="135"/>
      <c r="O1068" s="135"/>
      <c r="P1068" s="135"/>
    </row>
    <row r="1069" ht="13.5" customHeight="1">
      <c r="A1069" s="134"/>
      <c r="B1069" s="135"/>
      <c r="C1069" s="135"/>
      <c r="D1069" s="135"/>
      <c r="E1069" s="135"/>
      <c r="F1069" s="135"/>
      <c r="G1069" s="135"/>
      <c r="H1069" s="135"/>
      <c r="I1069" s="135"/>
      <c r="J1069" s="135"/>
      <c r="K1069" s="135"/>
      <c r="L1069" s="135"/>
      <c r="M1069" s="135"/>
      <c r="N1069" s="135"/>
      <c r="O1069" s="135"/>
      <c r="P1069" s="135"/>
    </row>
    <row r="1070" ht="13.5" customHeight="1">
      <c r="A1070" s="134"/>
      <c r="B1070" s="135"/>
      <c r="C1070" s="135"/>
      <c r="D1070" s="135"/>
      <c r="E1070" s="135"/>
      <c r="F1070" s="135"/>
      <c r="G1070" s="135"/>
      <c r="H1070" s="135"/>
      <c r="I1070" s="135"/>
      <c r="J1070" s="135"/>
      <c r="K1070" s="135"/>
      <c r="L1070" s="135"/>
      <c r="M1070" s="135"/>
      <c r="N1070" s="135"/>
      <c r="O1070" s="135"/>
      <c r="P1070" s="135"/>
    </row>
    <row r="1071" ht="13.5" customHeight="1">
      <c r="A1071" s="134"/>
      <c r="B1071" s="135"/>
      <c r="C1071" s="135"/>
      <c r="D1071" s="135"/>
      <c r="E1071" s="135"/>
      <c r="F1071" s="135"/>
      <c r="G1071" s="135"/>
      <c r="H1071" s="135"/>
      <c r="I1071" s="135"/>
      <c r="J1071" s="135"/>
      <c r="K1071" s="135"/>
      <c r="L1071" s="135"/>
      <c r="M1071" s="135"/>
      <c r="N1071" s="135"/>
      <c r="O1071" s="135"/>
      <c r="P1071" s="135"/>
    </row>
    <row r="1072" ht="13.5" customHeight="1">
      <c r="A1072" s="134"/>
      <c r="B1072" s="135"/>
      <c r="C1072" s="135"/>
      <c r="D1072" s="135"/>
      <c r="E1072" s="135"/>
      <c r="F1072" s="135"/>
      <c r="G1072" s="135"/>
      <c r="H1072" s="135"/>
      <c r="I1072" s="135"/>
      <c r="J1072" s="135"/>
      <c r="K1072" s="135"/>
      <c r="L1072" s="135"/>
      <c r="M1072" s="135"/>
      <c r="N1072" s="135"/>
      <c r="O1072" s="135"/>
      <c r="P1072" s="135"/>
    </row>
    <row r="1073" ht="13.5" customHeight="1">
      <c r="A1073" s="134"/>
      <c r="B1073" s="135"/>
      <c r="C1073" s="135"/>
      <c r="D1073" s="135"/>
      <c r="E1073" s="135"/>
      <c r="F1073" s="135"/>
      <c r="G1073" s="135"/>
      <c r="H1073" s="135"/>
      <c r="I1073" s="135"/>
      <c r="J1073" s="135"/>
      <c r="K1073" s="135"/>
      <c r="L1073" s="135"/>
      <c r="M1073" s="135"/>
      <c r="N1073" s="135"/>
      <c r="O1073" s="135"/>
      <c r="P1073" s="135"/>
    </row>
    <row r="1074" ht="13.5" customHeight="1">
      <c r="A1074" s="134"/>
      <c r="B1074" s="135"/>
      <c r="C1074" s="135"/>
      <c r="D1074" s="135"/>
      <c r="E1074" s="135"/>
      <c r="F1074" s="135"/>
      <c r="G1074" s="135"/>
      <c r="H1074" s="135"/>
      <c r="I1074" s="135"/>
      <c r="J1074" s="135"/>
      <c r="K1074" s="135"/>
      <c r="L1074" s="135"/>
      <c r="M1074" s="135"/>
      <c r="N1074" s="135"/>
      <c r="O1074" s="135"/>
      <c r="P1074" s="135"/>
    </row>
    <row r="1075" ht="13.5" customHeight="1">
      <c r="A1075" s="134"/>
      <c r="B1075" s="135"/>
      <c r="C1075" s="135"/>
      <c r="D1075" s="135"/>
      <c r="E1075" s="135"/>
      <c r="F1075" s="135"/>
      <c r="G1075" s="135"/>
      <c r="H1075" s="135"/>
      <c r="I1075" s="135"/>
      <c r="J1075" s="135"/>
      <c r="K1075" s="135"/>
      <c r="L1075" s="135"/>
      <c r="M1075" s="135"/>
      <c r="N1075" s="135"/>
      <c r="O1075" s="135"/>
      <c r="P1075" s="135"/>
    </row>
    <row r="1076" ht="13.5" customHeight="1">
      <c r="A1076" s="134"/>
      <c r="B1076" s="135"/>
      <c r="C1076" s="135"/>
      <c r="D1076" s="135"/>
      <c r="E1076" s="135"/>
      <c r="F1076" s="135"/>
      <c r="G1076" s="135"/>
      <c r="H1076" s="135"/>
      <c r="I1076" s="135"/>
      <c r="J1076" s="135"/>
      <c r="K1076" s="135"/>
      <c r="L1076" s="135"/>
      <c r="M1076" s="135"/>
      <c r="N1076" s="135"/>
      <c r="O1076" s="135"/>
      <c r="P1076" s="135"/>
    </row>
    <row r="1077" ht="13.5" customHeight="1">
      <c r="A1077" s="134"/>
      <c r="B1077" s="135"/>
      <c r="C1077" s="135"/>
      <c r="D1077" s="135"/>
      <c r="E1077" s="135"/>
      <c r="F1077" s="135"/>
      <c r="G1077" s="135"/>
      <c r="H1077" s="135"/>
      <c r="I1077" s="135"/>
      <c r="J1077" s="135"/>
      <c r="K1077" s="135"/>
      <c r="L1077" s="135"/>
      <c r="M1077" s="135"/>
      <c r="N1077" s="135"/>
      <c r="O1077" s="135"/>
      <c r="P1077" s="135"/>
    </row>
    <row r="1078" ht="13.5" customHeight="1">
      <c r="A1078" s="134"/>
      <c r="B1078" s="135"/>
      <c r="C1078" s="135"/>
      <c r="D1078" s="135"/>
      <c r="E1078" s="135"/>
      <c r="F1078" s="135"/>
      <c r="G1078" s="135"/>
      <c r="H1078" s="135"/>
      <c r="I1078" s="135"/>
      <c r="J1078" s="135"/>
      <c r="K1078" s="135"/>
      <c r="L1078" s="135"/>
      <c r="M1078" s="135"/>
      <c r="N1078" s="135"/>
      <c r="O1078" s="135"/>
      <c r="P1078" s="135"/>
    </row>
    <row r="1079" ht="13.5" customHeight="1">
      <c r="A1079" s="134"/>
      <c r="B1079" s="135"/>
      <c r="C1079" s="135"/>
      <c r="D1079" s="135"/>
      <c r="E1079" s="135"/>
      <c r="F1079" s="135"/>
      <c r="G1079" s="135"/>
      <c r="H1079" s="135"/>
      <c r="I1079" s="135"/>
      <c r="J1079" s="135"/>
      <c r="K1079" s="135"/>
      <c r="L1079" s="135"/>
      <c r="M1079" s="135"/>
      <c r="N1079" s="135"/>
      <c r="O1079" s="135"/>
      <c r="P1079" s="135"/>
    </row>
    <row r="1080" ht="13.5" customHeight="1">
      <c r="A1080" s="134"/>
      <c r="B1080" s="135"/>
      <c r="C1080" s="135"/>
      <c r="D1080" s="135"/>
      <c r="E1080" s="135"/>
      <c r="F1080" s="135"/>
      <c r="G1080" s="135"/>
      <c r="H1080" s="135"/>
      <c r="I1080" s="135"/>
      <c r="J1080" s="135"/>
      <c r="K1080" s="135"/>
      <c r="L1080" s="135"/>
      <c r="M1080" s="135"/>
      <c r="N1080" s="135"/>
      <c r="O1080" s="135"/>
      <c r="P1080" s="135"/>
    </row>
    <row r="1081" ht="13.5" customHeight="1">
      <c r="A1081" s="134"/>
      <c r="B1081" s="135"/>
      <c r="C1081" s="135"/>
      <c r="D1081" s="135"/>
      <c r="E1081" s="135"/>
      <c r="F1081" s="135"/>
      <c r="G1081" s="135"/>
      <c r="H1081" s="135"/>
      <c r="I1081" s="135"/>
      <c r="J1081" s="135"/>
      <c r="K1081" s="135"/>
      <c r="L1081" s="135"/>
      <c r="M1081" s="135"/>
      <c r="N1081" s="135"/>
      <c r="O1081" s="135"/>
      <c r="P1081" s="135"/>
    </row>
    <row r="1082" ht="13.5" customHeight="1">
      <c r="A1082" s="134"/>
      <c r="B1082" s="135"/>
      <c r="C1082" s="135"/>
      <c r="D1082" s="135"/>
      <c r="E1082" s="135"/>
      <c r="F1082" s="135"/>
      <c r="G1082" s="135"/>
      <c r="H1082" s="135"/>
      <c r="I1082" s="135"/>
      <c r="J1082" s="135"/>
      <c r="K1082" s="135"/>
      <c r="L1082" s="135"/>
      <c r="M1082" s="135"/>
      <c r="N1082" s="135"/>
      <c r="O1082" s="135"/>
      <c r="P1082" s="135"/>
    </row>
    <row r="1083" ht="13.5" customHeight="1">
      <c r="A1083" s="134"/>
      <c r="B1083" s="135"/>
      <c r="C1083" s="135"/>
      <c r="D1083" s="135"/>
      <c r="E1083" s="135"/>
      <c r="F1083" s="135"/>
      <c r="G1083" s="135"/>
      <c r="H1083" s="135"/>
      <c r="I1083" s="135"/>
      <c r="J1083" s="135"/>
      <c r="K1083" s="135"/>
      <c r="L1083" s="135"/>
      <c r="M1083" s="135"/>
      <c r="N1083" s="135"/>
      <c r="O1083" s="135"/>
      <c r="P1083" s="135"/>
    </row>
    <row r="1084" ht="13.5" customHeight="1">
      <c r="A1084" s="134"/>
      <c r="B1084" s="135"/>
      <c r="C1084" s="135"/>
      <c r="D1084" s="135"/>
      <c r="E1084" s="135"/>
      <c r="F1084" s="135"/>
      <c r="G1084" s="135"/>
      <c r="H1084" s="135"/>
      <c r="I1084" s="135"/>
      <c r="J1084" s="135"/>
      <c r="K1084" s="135"/>
      <c r="L1084" s="135"/>
      <c r="M1084" s="135"/>
      <c r="N1084" s="135"/>
      <c r="O1084" s="135"/>
      <c r="P1084" s="135"/>
    </row>
    <row r="1085" ht="13.5" customHeight="1">
      <c r="A1085" s="134"/>
      <c r="B1085" s="135"/>
      <c r="C1085" s="135"/>
      <c r="D1085" s="135"/>
      <c r="E1085" s="135"/>
      <c r="F1085" s="135"/>
      <c r="G1085" s="135"/>
      <c r="H1085" s="135"/>
      <c r="I1085" s="135"/>
      <c r="J1085" s="135"/>
      <c r="K1085" s="135"/>
      <c r="L1085" s="135"/>
      <c r="M1085" s="135"/>
      <c r="N1085" s="135"/>
      <c r="O1085" s="135"/>
      <c r="P1085" s="135"/>
    </row>
    <row r="1086" ht="13.5" customHeight="1">
      <c r="A1086" s="134"/>
      <c r="B1086" s="135"/>
      <c r="C1086" s="135"/>
      <c r="D1086" s="135"/>
      <c r="E1086" s="135"/>
      <c r="F1086" s="135"/>
      <c r="G1086" s="135"/>
      <c r="H1086" s="135"/>
      <c r="I1086" s="135"/>
      <c r="J1086" s="135"/>
      <c r="K1086" s="135"/>
      <c r="L1086" s="135"/>
      <c r="M1086" s="135"/>
      <c r="N1086" s="135"/>
      <c r="O1086" s="135"/>
      <c r="P1086" s="135"/>
    </row>
    <row r="1087" ht="13.5" customHeight="1">
      <c r="A1087" s="134"/>
      <c r="B1087" s="135"/>
      <c r="C1087" s="135"/>
      <c r="D1087" s="135"/>
      <c r="E1087" s="135"/>
      <c r="F1087" s="135"/>
      <c r="G1087" s="135"/>
      <c r="H1087" s="135"/>
      <c r="I1087" s="135"/>
      <c r="J1087" s="135"/>
      <c r="K1087" s="135"/>
      <c r="L1087" s="135"/>
      <c r="M1087" s="135"/>
      <c r="N1087" s="135"/>
      <c r="O1087" s="135"/>
      <c r="P1087" s="135"/>
    </row>
    <row r="1088" ht="13.5" customHeight="1">
      <c r="A1088" s="134"/>
      <c r="B1088" s="135"/>
      <c r="C1088" s="135"/>
      <c r="D1088" s="135"/>
      <c r="E1088" s="135"/>
      <c r="F1088" s="135"/>
      <c r="G1088" s="135"/>
      <c r="H1088" s="135"/>
      <c r="I1088" s="135"/>
      <c r="J1088" s="135"/>
      <c r="K1088" s="135"/>
      <c r="L1088" s="135"/>
      <c r="M1088" s="135"/>
      <c r="N1088" s="135"/>
      <c r="O1088" s="135"/>
      <c r="P1088" s="135"/>
    </row>
    <row r="1089" ht="13.5" customHeight="1">
      <c r="A1089" s="134"/>
      <c r="B1089" s="135"/>
      <c r="C1089" s="135"/>
      <c r="D1089" s="135"/>
      <c r="E1089" s="135"/>
      <c r="F1089" s="135"/>
      <c r="G1089" s="135"/>
      <c r="H1089" s="135"/>
      <c r="I1089" s="135"/>
      <c r="J1089" s="135"/>
      <c r="K1089" s="135"/>
      <c r="L1089" s="135"/>
      <c r="M1089" s="135"/>
      <c r="N1089" s="135"/>
      <c r="O1089" s="135"/>
      <c r="P1089" s="135"/>
    </row>
    <row r="1090" ht="13.5" customHeight="1">
      <c r="A1090" s="134"/>
      <c r="B1090" s="135"/>
      <c r="C1090" s="135"/>
      <c r="D1090" s="135"/>
      <c r="E1090" s="135"/>
      <c r="F1090" s="135"/>
      <c r="G1090" s="135"/>
      <c r="H1090" s="135"/>
      <c r="I1090" s="135"/>
      <c r="J1090" s="135"/>
      <c r="K1090" s="135"/>
      <c r="L1090" s="135"/>
      <c r="M1090" s="135"/>
      <c r="N1090" s="135"/>
      <c r="O1090" s="135"/>
      <c r="P1090" s="135"/>
    </row>
    <row r="1091" ht="13.5" customHeight="1">
      <c r="A1091" s="134"/>
      <c r="B1091" s="135"/>
      <c r="C1091" s="135"/>
      <c r="D1091" s="135"/>
      <c r="E1091" s="135"/>
      <c r="F1091" s="135"/>
      <c r="G1091" s="135"/>
      <c r="H1091" s="135"/>
      <c r="I1091" s="135"/>
      <c r="J1091" s="135"/>
      <c r="K1091" s="135"/>
      <c r="L1091" s="135"/>
      <c r="M1091" s="135"/>
      <c r="N1091" s="135"/>
      <c r="O1091" s="135"/>
      <c r="P1091" s="135"/>
    </row>
    <row r="1092" ht="13.5" customHeight="1">
      <c r="A1092" s="134"/>
      <c r="B1092" s="135"/>
      <c r="C1092" s="135"/>
      <c r="D1092" s="135"/>
      <c r="E1092" s="135"/>
      <c r="F1092" s="135"/>
      <c r="G1092" s="135"/>
      <c r="H1092" s="135"/>
      <c r="I1092" s="135"/>
      <c r="J1092" s="135"/>
      <c r="K1092" s="135"/>
      <c r="L1092" s="135"/>
      <c r="M1092" s="135"/>
      <c r="N1092" s="135"/>
      <c r="O1092" s="135"/>
      <c r="P1092" s="135"/>
    </row>
    <row r="1093" ht="13.5" customHeight="1">
      <c r="A1093" s="134"/>
      <c r="B1093" s="135"/>
      <c r="C1093" s="135"/>
      <c r="D1093" s="135"/>
      <c r="E1093" s="135"/>
      <c r="F1093" s="135"/>
      <c r="G1093" s="135"/>
      <c r="H1093" s="135"/>
      <c r="I1093" s="135"/>
      <c r="J1093" s="135"/>
      <c r="K1093" s="135"/>
      <c r="L1093" s="135"/>
      <c r="M1093" s="135"/>
      <c r="N1093" s="135"/>
      <c r="O1093" s="135"/>
      <c r="P1093" s="135"/>
    </row>
    <row r="1094" ht="13.5" customHeight="1">
      <c r="A1094" s="134"/>
      <c r="B1094" s="135"/>
      <c r="C1094" s="135"/>
      <c r="D1094" s="135"/>
      <c r="E1094" s="135"/>
      <c r="F1094" s="135"/>
      <c r="G1094" s="135"/>
      <c r="H1094" s="135"/>
      <c r="I1094" s="135"/>
      <c r="J1094" s="135"/>
      <c r="K1094" s="135"/>
      <c r="L1094" s="135"/>
      <c r="M1094" s="135"/>
      <c r="N1094" s="135"/>
      <c r="O1094" s="135"/>
      <c r="P1094" s="135"/>
    </row>
    <row r="1095" ht="13.5" customHeight="1">
      <c r="A1095" s="134"/>
      <c r="B1095" s="135"/>
      <c r="C1095" s="135"/>
      <c r="D1095" s="135"/>
      <c r="E1095" s="135"/>
      <c r="F1095" s="135"/>
      <c r="G1095" s="135"/>
      <c r="H1095" s="135"/>
      <c r="I1095" s="135"/>
      <c r="J1095" s="135"/>
      <c r="K1095" s="135"/>
      <c r="L1095" s="135"/>
      <c r="M1095" s="135"/>
      <c r="N1095" s="135"/>
      <c r="O1095" s="135"/>
      <c r="P1095" s="135"/>
    </row>
    <row r="1096" ht="13.5" customHeight="1">
      <c r="A1096" s="134"/>
      <c r="B1096" s="135"/>
      <c r="C1096" s="135"/>
      <c r="D1096" s="135"/>
      <c r="E1096" s="135"/>
      <c r="F1096" s="135"/>
      <c r="G1096" s="135"/>
      <c r="H1096" s="135"/>
      <c r="I1096" s="135"/>
      <c r="J1096" s="135"/>
      <c r="K1096" s="135"/>
      <c r="L1096" s="135"/>
      <c r="M1096" s="135"/>
      <c r="N1096" s="135"/>
      <c r="O1096" s="135"/>
      <c r="P1096" s="135"/>
    </row>
    <row r="1097" ht="13.5" customHeight="1">
      <c r="A1097" s="134"/>
      <c r="B1097" s="135"/>
      <c r="C1097" s="135"/>
      <c r="D1097" s="135"/>
      <c r="E1097" s="135"/>
      <c r="F1097" s="135"/>
      <c r="G1097" s="135"/>
      <c r="H1097" s="135"/>
      <c r="I1097" s="135"/>
      <c r="J1097" s="135"/>
      <c r="K1097" s="135"/>
      <c r="L1097" s="135"/>
      <c r="M1097" s="135"/>
      <c r="N1097" s="135"/>
      <c r="O1097" s="135"/>
      <c r="P1097" s="135"/>
    </row>
    <row r="1098" ht="13.5" customHeight="1">
      <c r="A1098" s="134"/>
      <c r="B1098" s="135"/>
      <c r="C1098" s="135"/>
      <c r="D1098" s="135"/>
      <c r="E1098" s="135"/>
      <c r="F1098" s="135"/>
      <c r="G1098" s="135"/>
      <c r="H1098" s="135"/>
      <c r="I1098" s="135"/>
      <c r="J1098" s="135"/>
      <c r="K1098" s="135"/>
      <c r="L1098" s="135"/>
      <c r="M1098" s="135"/>
      <c r="N1098" s="135"/>
      <c r="O1098" s="135"/>
      <c r="P1098" s="135"/>
    </row>
    <row r="1099" ht="13.5" customHeight="1">
      <c r="A1099" s="134"/>
      <c r="B1099" s="135"/>
      <c r="C1099" s="135"/>
      <c r="D1099" s="135"/>
      <c r="E1099" s="135"/>
      <c r="F1099" s="135"/>
      <c r="G1099" s="135"/>
      <c r="H1099" s="135"/>
      <c r="I1099" s="135"/>
      <c r="J1099" s="135"/>
      <c r="K1099" s="135"/>
      <c r="L1099" s="135"/>
      <c r="M1099" s="135"/>
      <c r="N1099" s="135"/>
      <c r="O1099" s="135"/>
      <c r="P1099" s="135"/>
    </row>
    <row r="1100" ht="13.5" customHeight="1">
      <c r="A1100" s="134"/>
      <c r="B1100" s="135"/>
      <c r="C1100" s="135"/>
      <c r="D1100" s="135"/>
      <c r="E1100" s="135"/>
      <c r="F1100" s="135"/>
      <c r="G1100" s="135"/>
      <c r="H1100" s="135"/>
      <c r="I1100" s="135"/>
      <c r="J1100" s="135"/>
      <c r="K1100" s="135"/>
      <c r="L1100" s="135"/>
      <c r="M1100" s="135"/>
      <c r="N1100" s="135"/>
      <c r="O1100" s="135"/>
      <c r="P1100" s="135"/>
    </row>
    <row r="1101" ht="13.5" customHeight="1">
      <c r="A1101" s="134"/>
      <c r="B1101" s="135"/>
      <c r="C1101" s="135"/>
      <c r="D1101" s="135"/>
      <c r="E1101" s="135"/>
      <c r="F1101" s="135"/>
      <c r="G1101" s="135"/>
      <c r="H1101" s="135"/>
      <c r="I1101" s="135"/>
      <c r="J1101" s="135"/>
      <c r="K1101" s="135"/>
      <c r="L1101" s="135"/>
      <c r="M1101" s="135"/>
      <c r="N1101" s="135"/>
      <c r="O1101" s="135"/>
      <c r="P1101" s="135"/>
    </row>
    <row r="1102" ht="13.5" customHeight="1">
      <c r="A1102" s="134"/>
      <c r="B1102" s="135"/>
      <c r="C1102" s="135"/>
      <c r="D1102" s="135"/>
      <c r="E1102" s="135"/>
      <c r="F1102" s="135"/>
      <c r="G1102" s="135"/>
      <c r="H1102" s="135"/>
      <c r="I1102" s="135"/>
      <c r="J1102" s="135"/>
      <c r="K1102" s="135"/>
      <c r="L1102" s="135"/>
      <c r="M1102" s="135"/>
      <c r="N1102" s="135"/>
      <c r="O1102" s="135"/>
      <c r="P1102" s="135"/>
    </row>
    <row r="1103" ht="13.5" customHeight="1">
      <c r="A1103" s="134"/>
      <c r="B1103" s="135"/>
      <c r="C1103" s="135"/>
      <c r="D1103" s="135"/>
      <c r="E1103" s="135"/>
      <c r="F1103" s="135"/>
      <c r="G1103" s="135"/>
      <c r="H1103" s="135"/>
      <c r="I1103" s="135"/>
      <c r="J1103" s="135"/>
      <c r="K1103" s="135"/>
      <c r="L1103" s="135"/>
      <c r="M1103" s="135"/>
      <c r="N1103" s="135"/>
      <c r="O1103" s="135"/>
      <c r="P1103" s="135"/>
    </row>
    <row r="1104" ht="13.5" customHeight="1">
      <c r="A1104" s="134"/>
      <c r="B1104" s="135"/>
      <c r="C1104" s="135"/>
      <c r="D1104" s="135"/>
      <c r="E1104" s="135"/>
      <c r="F1104" s="135"/>
      <c r="G1104" s="135"/>
      <c r="H1104" s="135"/>
      <c r="I1104" s="135"/>
      <c r="J1104" s="135"/>
      <c r="K1104" s="135"/>
      <c r="L1104" s="135"/>
      <c r="M1104" s="135"/>
      <c r="N1104" s="135"/>
      <c r="O1104" s="135"/>
      <c r="P1104" s="135"/>
    </row>
    <row r="1105" ht="13.5" customHeight="1">
      <c r="A1105" s="134"/>
      <c r="B1105" s="135"/>
      <c r="C1105" s="135"/>
      <c r="D1105" s="135"/>
      <c r="E1105" s="135"/>
      <c r="F1105" s="135"/>
      <c r="G1105" s="135"/>
      <c r="H1105" s="135"/>
      <c r="I1105" s="135"/>
      <c r="J1105" s="135"/>
      <c r="K1105" s="135"/>
      <c r="L1105" s="135"/>
      <c r="M1105" s="135"/>
      <c r="N1105" s="135"/>
      <c r="O1105" s="135"/>
      <c r="P1105" s="135"/>
    </row>
    <row r="1106" ht="13.5" customHeight="1">
      <c r="A1106" s="134"/>
      <c r="B1106" s="135"/>
      <c r="C1106" s="135"/>
      <c r="D1106" s="135"/>
      <c r="E1106" s="135"/>
      <c r="F1106" s="135"/>
      <c r="G1106" s="135"/>
      <c r="H1106" s="135"/>
      <c r="I1106" s="135"/>
      <c r="J1106" s="135"/>
      <c r="K1106" s="135"/>
      <c r="L1106" s="135"/>
      <c r="M1106" s="135"/>
      <c r="N1106" s="135"/>
      <c r="O1106" s="135"/>
      <c r="P1106" s="135"/>
    </row>
    <row r="1107" ht="13.5" customHeight="1">
      <c r="A1107" s="134"/>
      <c r="B1107" s="135"/>
      <c r="C1107" s="135"/>
      <c r="D1107" s="135"/>
      <c r="E1107" s="135"/>
      <c r="F1107" s="135"/>
      <c r="G1107" s="135"/>
      <c r="H1107" s="135"/>
      <c r="I1107" s="135"/>
      <c r="J1107" s="135"/>
      <c r="K1107" s="135"/>
      <c r="L1107" s="135"/>
      <c r="M1107" s="135"/>
      <c r="N1107" s="135"/>
      <c r="O1107" s="135"/>
      <c r="P1107" s="135"/>
    </row>
    <row r="1108" ht="13.5" customHeight="1">
      <c r="A1108" s="134"/>
      <c r="B1108" s="135"/>
      <c r="C1108" s="135"/>
      <c r="D1108" s="135"/>
      <c r="E1108" s="135"/>
      <c r="F1108" s="135"/>
      <c r="G1108" s="135"/>
      <c r="H1108" s="135"/>
      <c r="I1108" s="135"/>
      <c r="J1108" s="135"/>
      <c r="K1108" s="135"/>
      <c r="L1108" s="135"/>
      <c r="M1108" s="135"/>
      <c r="N1108" s="135"/>
      <c r="O1108" s="135"/>
      <c r="P1108" s="135"/>
    </row>
    <row r="1109" ht="13.5" customHeight="1">
      <c r="A1109" s="134"/>
      <c r="B1109" s="135"/>
      <c r="C1109" s="135"/>
      <c r="D1109" s="135"/>
      <c r="E1109" s="135"/>
      <c r="F1109" s="135"/>
      <c r="G1109" s="135"/>
      <c r="H1109" s="135"/>
      <c r="I1109" s="135"/>
      <c r="J1109" s="135"/>
      <c r="K1109" s="135"/>
      <c r="L1109" s="135"/>
      <c r="M1109" s="135"/>
      <c r="N1109" s="135"/>
      <c r="O1109" s="135"/>
      <c r="P1109" s="135"/>
    </row>
    <row r="1110" ht="13.5" customHeight="1">
      <c r="A1110" s="134"/>
      <c r="B1110" s="135"/>
      <c r="C1110" s="135"/>
      <c r="D1110" s="135"/>
      <c r="E1110" s="135"/>
      <c r="F1110" s="135"/>
      <c r="G1110" s="135"/>
      <c r="H1110" s="135"/>
      <c r="I1110" s="135"/>
      <c r="J1110" s="135"/>
      <c r="K1110" s="135"/>
      <c r="L1110" s="135"/>
      <c r="M1110" s="135"/>
      <c r="N1110" s="135"/>
      <c r="O1110" s="135"/>
      <c r="P1110" s="135"/>
    </row>
    <row r="1111" ht="13.5" customHeight="1">
      <c r="A1111" s="134"/>
      <c r="B1111" s="135"/>
      <c r="C1111" s="135"/>
      <c r="D1111" s="135"/>
      <c r="E1111" s="135"/>
      <c r="F1111" s="135"/>
      <c r="G1111" s="135"/>
      <c r="H1111" s="135"/>
      <c r="I1111" s="135"/>
      <c r="J1111" s="135"/>
      <c r="K1111" s="135"/>
      <c r="L1111" s="135"/>
      <c r="M1111" s="135"/>
      <c r="N1111" s="135"/>
      <c r="O1111" s="135"/>
      <c r="P1111" s="135"/>
    </row>
    <row r="1112" ht="13.5" customHeight="1">
      <c r="A1112" s="134"/>
      <c r="B1112" s="135"/>
      <c r="C1112" s="135"/>
      <c r="D1112" s="135"/>
      <c r="E1112" s="135"/>
      <c r="F1112" s="135"/>
      <c r="G1112" s="135"/>
      <c r="H1112" s="135"/>
      <c r="I1112" s="135"/>
      <c r="J1112" s="135"/>
      <c r="K1112" s="135"/>
      <c r="L1112" s="135"/>
      <c r="M1112" s="135"/>
      <c r="N1112" s="135"/>
      <c r="O1112" s="135"/>
      <c r="P1112" s="135"/>
    </row>
    <row r="1113" ht="13.5" customHeight="1">
      <c r="A1113" s="134"/>
      <c r="B1113" s="135"/>
      <c r="C1113" s="135"/>
      <c r="D1113" s="135"/>
      <c r="E1113" s="135"/>
      <c r="F1113" s="135"/>
      <c r="G1113" s="135"/>
      <c r="H1113" s="135"/>
      <c r="I1113" s="135"/>
      <c r="J1113" s="135"/>
      <c r="K1113" s="135"/>
      <c r="L1113" s="135"/>
      <c r="M1113" s="135"/>
      <c r="N1113" s="135"/>
      <c r="O1113" s="135"/>
      <c r="P1113" s="135"/>
    </row>
    <row r="1114" ht="13.5" customHeight="1">
      <c r="A1114" s="134"/>
      <c r="B1114" s="135"/>
      <c r="C1114" s="135"/>
      <c r="D1114" s="135"/>
      <c r="E1114" s="135"/>
      <c r="F1114" s="135"/>
      <c r="G1114" s="135"/>
      <c r="H1114" s="135"/>
      <c r="I1114" s="135"/>
      <c r="J1114" s="135"/>
      <c r="K1114" s="135"/>
      <c r="L1114" s="135"/>
      <c r="M1114" s="135"/>
      <c r="N1114" s="135"/>
      <c r="O1114" s="135"/>
      <c r="P1114" s="135"/>
    </row>
    <row r="1115" ht="13.5" customHeight="1">
      <c r="A1115" s="134"/>
      <c r="B1115" s="135"/>
      <c r="C1115" s="135"/>
      <c r="D1115" s="135"/>
      <c r="E1115" s="135"/>
      <c r="F1115" s="135"/>
      <c r="G1115" s="135"/>
      <c r="H1115" s="135"/>
      <c r="I1115" s="135"/>
      <c r="J1115" s="135"/>
      <c r="K1115" s="135"/>
      <c r="L1115" s="135"/>
      <c r="M1115" s="135"/>
      <c r="N1115" s="135"/>
      <c r="O1115" s="135"/>
      <c r="P1115" s="135"/>
    </row>
    <row r="1116" ht="13.5" customHeight="1">
      <c r="A1116" s="134"/>
      <c r="B1116" s="135"/>
      <c r="C1116" s="135"/>
      <c r="D1116" s="135"/>
      <c r="E1116" s="135"/>
      <c r="F1116" s="135"/>
      <c r="G1116" s="135"/>
      <c r="H1116" s="135"/>
      <c r="I1116" s="135"/>
      <c r="J1116" s="135"/>
      <c r="K1116" s="135"/>
      <c r="L1116" s="135"/>
      <c r="M1116" s="135"/>
      <c r="N1116" s="135"/>
      <c r="O1116" s="135"/>
      <c r="P1116" s="135"/>
    </row>
    <row r="1117" ht="13.5" customHeight="1">
      <c r="A1117" s="134"/>
      <c r="B1117" s="135"/>
      <c r="C1117" s="135"/>
      <c r="D1117" s="135"/>
      <c r="E1117" s="135"/>
      <c r="F1117" s="135"/>
      <c r="G1117" s="135"/>
      <c r="H1117" s="135"/>
      <c r="I1117" s="135"/>
      <c r="J1117" s="135"/>
      <c r="K1117" s="135"/>
      <c r="L1117" s="135"/>
      <c r="M1117" s="135"/>
      <c r="N1117" s="135"/>
      <c r="O1117" s="135"/>
      <c r="P1117" s="135"/>
    </row>
    <row r="1118" ht="13.5" customHeight="1">
      <c r="A1118" s="134"/>
      <c r="B1118" s="135"/>
      <c r="C1118" s="135"/>
      <c r="D1118" s="135"/>
      <c r="E1118" s="135"/>
      <c r="F1118" s="135"/>
      <c r="G1118" s="135"/>
      <c r="H1118" s="135"/>
      <c r="I1118" s="135"/>
      <c r="J1118" s="135"/>
      <c r="K1118" s="135"/>
      <c r="L1118" s="135"/>
      <c r="M1118" s="135"/>
      <c r="N1118" s="135"/>
      <c r="O1118" s="135"/>
      <c r="P1118" s="135"/>
    </row>
    <row r="1119" ht="13.5" customHeight="1">
      <c r="A1119" s="134"/>
      <c r="B1119" s="135"/>
      <c r="C1119" s="135"/>
      <c r="D1119" s="135"/>
      <c r="E1119" s="135"/>
      <c r="F1119" s="135"/>
      <c r="G1119" s="135"/>
      <c r="H1119" s="135"/>
      <c r="I1119" s="135"/>
      <c r="J1119" s="135"/>
      <c r="K1119" s="135"/>
      <c r="L1119" s="135"/>
      <c r="M1119" s="135"/>
      <c r="N1119" s="135"/>
      <c r="O1119" s="135"/>
      <c r="P1119" s="135"/>
    </row>
    <row r="1120" ht="13.5" customHeight="1">
      <c r="A1120" s="134"/>
      <c r="B1120" s="135"/>
      <c r="C1120" s="135"/>
      <c r="D1120" s="135"/>
      <c r="E1120" s="135"/>
      <c r="F1120" s="135"/>
      <c r="G1120" s="135"/>
      <c r="H1120" s="135"/>
      <c r="I1120" s="135"/>
      <c r="J1120" s="135"/>
      <c r="K1120" s="135"/>
      <c r="L1120" s="135"/>
      <c r="M1120" s="135"/>
      <c r="N1120" s="135"/>
      <c r="O1120" s="135"/>
      <c r="P1120" s="135"/>
    </row>
    <row r="1121" ht="13.5" customHeight="1">
      <c r="A1121" s="134"/>
      <c r="B1121" s="135"/>
      <c r="C1121" s="135"/>
      <c r="D1121" s="135"/>
      <c r="E1121" s="135"/>
      <c r="F1121" s="135"/>
      <c r="G1121" s="135"/>
      <c r="H1121" s="135"/>
      <c r="I1121" s="135"/>
      <c r="J1121" s="135"/>
      <c r="K1121" s="135"/>
      <c r="L1121" s="135"/>
      <c r="M1121" s="135"/>
      <c r="N1121" s="135"/>
      <c r="O1121" s="135"/>
      <c r="P1121" s="135"/>
    </row>
    <row r="1122" ht="13.5" customHeight="1">
      <c r="A1122" s="134"/>
      <c r="B1122" s="135"/>
      <c r="C1122" s="135"/>
      <c r="D1122" s="135"/>
      <c r="E1122" s="135"/>
      <c r="F1122" s="135"/>
      <c r="G1122" s="135"/>
      <c r="H1122" s="135"/>
      <c r="I1122" s="135"/>
      <c r="J1122" s="135"/>
      <c r="K1122" s="135"/>
      <c r="L1122" s="135"/>
      <c r="M1122" s="135"/>
      <c r="N1122" s="135"/>
      <c r="O1122" s="135"/>
      <c r="P1122" s="135"/>
    </row>
    <row r="1123" ht="13.5" customHeight="1">
      <c r="A1123" s="134"/>
      <c r="B1123" s="135"/>
      <c r="C1123" s="135"/>
      <c r="D1123" s="135"/>
      <c r="E1123" s="135"/>
      <c r="F1123" s="135"/>
      <c r="G1123" s="135"/>
      <c r="H1123" s="135"/>
      <c r="I1123" s="135"/>
      <c r="J1123" s="135"/>
      <c r="K1123" s="135"/>
      <c r="L1123" s="135"/>
      <c r="M1123" s="135"/>
      <c r="N1123" s="135"/>
      <c r="O1123" s="135"/>
      <c r="P1123" s="135"/>
    </row>
    <row r="1124" ht="13.5" customHeight="1">
      <c r="A1124" s="134"/>
      <c r="B1124" s="135"/>
      <c r="C1124" s="135"/>
      <c r="D1124" s="135"/>
      <c r="E1124" s="135"/>
      <c r="F1124" s="135"/>
      <c r="G1124" s="135"/>
      <c r="H1124" s="135"/>
      <c r="I1124" s="135"/>
      <c r="J1124" s="135"/>
      <c r="K1124" s="135"/>
      <c r="L1124" s="135"/>
      <c r="M1124" s="135"/>
      <c r="N1124" s="135"/>
      <c r="O1124" s="135"/>
      <c r="P1124" s="135"/>
    </row>
    <row r="1125" ht="13.5" customHeight="1">
      <c r="A1125" s="134"/>
      <c r="B1125" s="135"/>
      <c r="C1125" s="135"/>
      <c r="D1125" s="135"/>
      <c r="E1125" s="135"/>
      <c r="F1125" s="135"/>
      <c r="G1125" s="135"/>
      <c r="H1125" s="135"/>
      <c r="I1125" s="135"/>
      <c r="J1125" s="135"/>
      <c r="K1125" s="135"/>
      <c r="L1125" s="135"/>
      <c r="M1125" s="135"/>
      <c r="N1125" s="135"/>
      <c r="O1125" s="135"/>
      <c r="P1125" s="135"/>
    </row>
    <row r="1126" ht="13.5" customHeight="1">
      <c r="A1126" s="134"/>
      <c r="B1126" s="135"/>
      <c r="C1126" s="135"/>
      <c r="D1126" s="135"/>
      <c r="E1126" s="135"/>
      <c r="F1126" s="135"/>
      <c r="G1126" s="135"/>
      <c r="H1126" s="135"/>
      <c r="I1126" s="135"/>
      <c r="J1126" s="135"/>
      <c r="K1126" s="135"/>
      <c r="L1126" s="135"/>
      <c r="M1126" s="135"/>
      <c r="N1126" s="135"/>
      <c r="O1126" s="135"/>
      <c r="P1126" s="135"/>
    </row>
    <row r="1127" ht="13.5" customHeight="1">
      <c r="A1127" s="134"/>
      <c r="B1127" s="135"/>
      <c r="C1127" s="135"/>
      <c r="D1127" s="135"/>
      <c r="E1127" s="135"/>
      <c r="F1127" s="135"/>
      <c r="G1127" s="135"/>
      <c r="H1127" s="135"/>
      <c r="I1127" s="135"/>
      <c r="J1127" s="135"/>
      <c r="K1127" s="135"/>
      <c r="L1127" s="135"/>
      <c r="M1127" s="135"/>
      <c r="N1127" s="135"/>
      <c r="O1127" s="135"/>
      <c r="P1127" s="135"/>
    </row>
    <row r="1128" ht="13.5" customHeight="1">
      <c r="A1128" s="134"/>
      <c r="B1128" s="135"/>
      <c r="C1128" s="135"/>
      <c r="D1128" s="135"/>
      <c r="E1128" s="135"/>
      <c r="F1128" s="135"/>
      <c r="G1128" s="135"/>
      <c r="H1128" s="135"/>
      <c r="I1128" s="135"/>
      <c r="J1128" s="135"/>
      <c r="K1128" s="135"/>
      <c r="L1128" s="135"/>
      <c r="M1128" s="135"/>
      <c r="N1128" s="135"/>
      <c r="O1128" s="135"/>
      <c r="P1128" s="135"/>
    </row>
    <row r="1129" ht="13.5" customHeight="1">
      <c r="A1129" s="134"/>
      <c r="B1129" s="135"/>
      <c r="C1129" s="135"/>
      <c r="D1129" s="135"/>
      <c r="E1129" s="135"/>
      <c r="F1129" s="135"/>
      <c r="G1129" s="135"/>
      <c r="H1129" s="135"/>
      <c r="I1129" s="135"/>
      <c r="J1129" s="135"/>
      <c r="K1129" s="135"/>
      <c r="L1129" s="135"/>
      <c r="M1129" s="135"/>
      <c r="N1129" s="135"/>
      <c r="O1129" s="135"/>
      <c r="P1129" s="135"/>
    </row>
    <row r="1130" ht="13.5" customHeight="1">
      <c r="A1130" s="134"/>
      <c r="B1130" s="135"/>
      <c r="C1130" s="135"/>
      <c r="D1130" s="135"/>
      <c r="E1130" s="135"/>
      <c r="F1130" s="135"/>
      <c r="G1130" s="135"/>
      <c r="H1130" s="135"/>
      <c r="I1130" s="135"/>
      <c r="J1130" s="135"/>
      <c r="K1130" s="135"/>
      <c r="L1130" s="135"/>
      <c r="M1130" s="135"/>
      <c r="N1130" s="135"/>
      <c r="O1130" s="135"/>
      <c r="P1130" s="135"/>
    </row>
    <row r="1131" ht="13.5" customHeight="1">
      <c r="A1131" s="134"/>
      <c r="B1131" s="135"/>
      <c r="C1131" s="135"/>
      <c r="D1131" s="135"/>
      <c r="E1131" s="135"/>
      <c r="F1131" s="135"/>
      <c r="G1131" s="135"/>
      <c r="H1131" s="135"/>
      <c r="I1131" s="135"/>
      <c r="J1131" s="135"/>
      <c r="K1131" s="135"/>
      <c r="L1131" s="135"/>
      <c r="M1131" s="135"/>
      <c r="N1131" s="135"/>
      <c r="O1131" s="135"/>
      <c r="P1131" s="135"/>
    </row>
    <row r="1132" ht="13.5" customHeight="1">
      <c r="A1132" s="134"/>
      <c r="B1132" s="135"/>
      <c r="C1132" s="135"/>
      <c r="D1132" s="135"/>
      <c r="E1132" s="135"/>
      <c r="F1132" s="135"/>
      <c r="G1132" s="135"/>
      <c r="H1132" s="135"/>
      <c r="I1132" s="135"/>
      <c r="J1132" s="135"/>
      <c r="K1132" s="135"/>
      <c r="L1132" s="135"/>
      <c r="M1132" s="135"/>
      <c r="N1132" s="135"/>
      <c r="O1132" s="135"/>
      <c r="P1132" s="135"/>
    </row>
  </sheetData>
  <mergeCells count="1">
    <mergeCell ref="A1:N1"/>
  </mergeCell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31.38"/>
    <col customWidth="1" min="2" max="13" width="9.75"/>
    <col customWidth="1" min="14" max="14" width="15.13"/>
  </cols>
  <sheetData>
    <row r="1" ht="13.5" customHeight="1">
      <c r="A1" s="76" t="s">
        <v>203</v>
      </c>
    </row>
    <row r="2" ht="13.5" customHeight="1">
      <c r="A2" s="16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ht="13.5" customHeight="1">
      <c r="A3" s="165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 t="s">
        <v>0</v>
      </c>
    </row>
    <row r="4" ht="13.5" customHeight="1">
      <c r="A4" s="79" t="s">
        <v>14</v>
      </c>
      <c r="B4" s="63"/>
      <c r="C4" s="63"/>
      <c r="D4" s="63"/>
      <c r="E4" s="63"/>
      <c r="F4" s="83"/>
      <c r="G4" s="83"/>
      <c r="H4" s="83"/>
      <c r="I4" s="83"/>
      <c r="J4" s="83"/>
      <c r="K4" s="83"/>
      <c r="L4" s="83"/>
      <c r="M4" s="83"/>
      <c r="N4" s="83"/>
    </row>
    <row r="5" ht="13.5" customHeight="1">
      <c r="A5" s="15" t="s">
        <v>15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17">
        <f t="shared" ref="N5:N12" si="1">SUM(B5:M5)</f>
        <v>0</v>
      </c>
    </row>
    <row r="6" ht="13.5" customHeight="1">
      <c r="A6" s="15" t="s">
        <v>123</v>
      </c>
      <c r="B6" s="84"/>
      <c r="C6" s="84"/>
      <c r="D6" s="84"/>
      <c r="E6" s="84"/>
      <c r="F6" s="84"/>
      <c r="G6" s="84"/>
      <c r="H6" s="84"/>
      <c r="I6" s="84"/>
      <c r="J6" s="85"/>
      <c r="K6" s="84"/>
      <c r="L6" s="84"/>
      <c r="M6" s="84"/>
      <c r="N6" s="17">
        <f t="shared" si="1"/>
        <v>0</v>
      </c>
    </row>
    <row r="7" ht="13.5" customHeight="1">
      <c r="A7" s="15" t="s">
        <v>17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7">
        <f t="shared" si="1"/>
        <v>0</v>
      </c>
    </row>
    <row r="8" ht="13.5" customHeight="1">
      <c r="A8" s="15" t="s">
        <v>18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17">
        <f t="shared" si="1"/>
        <v>0</v>
      </c>
    </row>
    <row r="9" ht="13.5" customHeight="1">
      <c r="A9" s="20" t="s">
        <v>204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17">
        <f t="shared" si="1"/>
        <v>0</v>
      </c>
    </row>
    <row r="10" ht="13.5" customHeight="1">
      <c r="A10" s="15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17">
        <f t="shared" si="1"/>
        <v>0</v>
      </c>
    </row>
    <row r="11" ht="13.5" customHeight="1">
      <c r="A11" s="15" t="s">
        <v>21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17">
        <f t="shared" si="1"/>
        <v>0</v>
      </c>
    </row>
    <row r="12" ht="13.5" customHeight="1">
      <c r="A12" s="15" t="s">
        <v>22</v>
      </c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17">
        <f t="shared" si="1"/>
        <v>0</v>
      </c>
    </row>
    <row r="13" ht="13.5" customHeight="1">
      <c r="A13" s="21" t="s">
        <v>23</v>
      </c>
      <c r="B13" s="22">
        <f t="shared" ref="B13:N13" si="2">SUM(B5:B12)</f>
        <v>0</v>
      </c>
      <c r="C13" s="22">
        <f t="shared" si="2"/>
        <v>0</v>
      </c>
      <c r="D13" s="22">
        <f t="shared" si="2"/>
        <v>0</v>
      </c>
      <c r="E13" s="22">
        <f t="shared" si="2"/>
        <v>0</v>
      </c>
      <c r="F13" s="22">
        <f t="shared" si="2"/>
        <v>0</v>
      </c>
      <c r="G13" s="22">
        <f t="shared" si="2"/>
        <v>0</v>
      </c>
      <c r="H13" s="22">
        <f t="shared" si="2"/>
        <v>0</v>
      </c>
      <c r="I13" s="22">
        <f t="shared" si="2"/>
        <v>0</v>
      </c>
      <c r="J13" s="22">
        <f t="shared" si="2"/>
        <v>0</v>
      </c>
      <c r="K13" s="22">
        <f t="shared" si="2"/>
        <v>0</v>
      </c>
      <c r="L13" s="22">
        <f t="shared" si="2"/>
        <v>0</v>
      </c>
      <c r="M13" s="22">
        <f t="shared" si="2"/>
        <v>0</v>
      </c>
      <c r="N13" s="22">
        <f t="shared" si="2"/>
        <v>0</v>
      </c>
    </row>
    <row r="14" ht="13.5" customHeight="1">
      <c r="A14" s="89" t="s">
        <v>24</v>
      </c>
      <c r="B14" s="90"/>
      <c r="C14" s="90"/>
      <c r="D14" s="90"/>
      <c r="E14" s="90"/>
      <c r="F14" s="63"/>
      <c r="G14" s="63"/>
      <c r="H14" s="63"/>
      <c r="I14" s="63"/>
      <c r="J14" s="63"/>
      <c r="K14" s="63"/>
      <c r="L14" s="63"/>
      <c r="M14" s="63"/>
      <c r="N14" s="83"/>
    </row>
    <row r="15" ht="13.5" customHeight="1">
      <c r="A15" s="35" t="s">
        <v>153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17">
        <f t="shared" ref="N15:N20" si="3">SUM(B15:M15)</f>
        <v>0</v>
      </c>
    </row>
    <row r="16" ht="13.5" customHeight="1">
      <c r="A16" s="35" t="s">
        <v>26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17">
        <f t="shared" si="3"/>
        <v>0</v>
      </c>
    </row>
    <row r="17" ht="13.5" customHeight="1">
      <c r="A17" s="3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17">
        <f t="shared" si="3"/>
        <v>0</v>
      </c>
    </row>
    <row r="18" ht="13.5" customHeight="1">
      <c r="A18" s="3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17">
        <f t="shared" si="3"/>
        <v>0</v>
      </c>
    </row>
    <row r="19" ht="13.5" customHeight="1">
      <c r="A19" s="27" t="s">
        <v>29</v>
      </c>
      <c r="B19" s="8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17">
        <f t="shared" si="3"/>
        <v>0</v>
      </c>
    </row>
    <row r="20" ht="13.5" customHeight="1">
      <c r="A20" s="3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17">
        <f t="shared" si="3"/>
        <v>0</v>
      </c>
    </row>
    <row r="21" ht="13.5" customHeight="1">
      <c r="A21" s="91" t="s">
        <v>23</v>
      </c>
      <c r="B21" s="28">
        <f t="shared" ref="B21:N21" si="4">SUM(B15:B20)</f>
        <v>0</v>
      </c>
      <c r="C21" s="28">
        <f t="shared" si="4"/>
        <v>0</v>
      </c>
      <c r="D21" s="28">
        <f t="shared" si="4"/>
        <v>0</v>
      </c>
      <c r="E21" s="28">
        <f t="shared" si="4"/>
        <v>0</v>
      </c>
      <c r="F21" s="28">
        <f t="shared" si="4"/>
        <v>0</v>
      </c>
      <c r="G21" s="28">
        <f t="shared" si="4"/>
        <v>0</v>
      </c>
      <c r="H21" s="28">
        <f t="shared" si="4"/>
        <v>0</v>
      </c>
      <c r="I21" s="28">
        <f t="shared" si="4"/>
        <v>0</v>
      </c>
      <c r="J21" s="28">
        <f t="shared" si="4"/>
        <v>0</v>
      </c>
      <c r="K21" s="28">
        <f t="shared" si="4"/>
        <v>0</v>
      </c>
      <c r="L21" s="28">
        <f t="shared" si="4"/>
        <v>0</v>
      </c>
      <c r="M21" s="28">
        <f t="shared" si="4"/>
        <v>0</v>
      </c>
      <c r="N21" s="28">
        <f t="shared" si="4"/>
        <v>0</v>
      </c>
    </row>
    <row r="22" ht="13.5" customHeight="1">
      <c r="A22" s="89" t="s">
        <v>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3"/>
    </row>
    <row r="23" ht="13.5" customHeight="1">
      <c r="A23" s="26" t="s">
        <v>31</v>
      </c>
      <c r="B23" s="87"/>
      <c r="C23" s="46"/>
      <c r="D23" s="87"/>
      <c r="E23" s="204"/>
      <c r="F23" s="87"/>
      <c r="G23" s="204"/>
      <c r="H23" s="87"/>
      <c r="I23" s="87"/>
      <c r="J23" s="87"/>
      <c r="K23" s="204"/>
      <c r="L23" s="46"/>
      <c r="M23" s="46"/>
      <c r="N23" s="17">
        <f t="shared" ref="N23:N31" si="5">SUM(B23:M23)</f>
        <v>0</v>
      </c>
    </row>
    <row r="24" ht="13.5" customHeight="1">
      <c r="A24" s="32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17">
        <f t="shared" si="5"/>
        <v>0</v>
      </c>
    </row>
    <row r="25" ht="13.5" customHeight="1">
      <c r="A25" s="15" t="s">
        <v>127</v>
      </c>
      <c r="B25" s="46"/>
      <c r="C25" s="46"/>
      <c r="D25" s="46"/>
      <c r="E25" s="46"/>
      <c r="F25" s="46"/>
      <c r="G25" s="46"/>
      <c r="H25" s="46"/>
      <c r="I25" s="87"/>
      <c r="J25" s="46"/>
      <c r="K25" s="46"/>
      <c r="L25" s="46"/>
      <c r="M25" s="46"/>
      <c r="N25" s="17">
        <f t="shared" si="5"/>
        <v>0</v>
      </c>
    </row>
    <row r="26" ht="13.5" customHeight="1">
      <c r="A26" s="32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17">
        <f t="shared" si="5"/>
        <v>0</v>
      </c>
    </row>
    <row r="27" ht="13.5" customHeight="1">
      <c r="A27" s="31" t="s">
        <v>34</v>
      </c>
      <c r="B27" s="87"/>
      <c r="C27" s="87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17">
        <f t="shared" si="5"/>
        <v>0</v>
      </c>
    </row>
    <row r="28" ht="13.5" customHeight="1">
      <c r="A28" s="33" t="s">
        <v>35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17">
        <f t="shared" si="5"/>
        <v>0</v>
      </c>
    </row>
    <row r="29" ht="13.5" customHeight="1">
      <c r="A29" s="27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17">
        <f t="shared" si="5"/>
        <v>0</v>
      </c>
    </row>
    <row r="30" ht="13.5" customHeight="1">
      <c r="A30" s="31" t="s">
        <v>37</v>
      </c>
      <c r="B30" s="46"/>
      <c r="C30" s="87"/>
      <c r="D30" s="87"/>
      <c r="E30" s="87"/>
      <c r="F30" s="87"/>
      <c r="G30" s="87"/>
      <c r="H30" s="87"/>
      <c r="I30" s="46"/>
      <c r="J30" s="46"/>
      <c r="K30" s="46"/>
      <c r="L30" s="87"/>
      <c r="M30" s="87"/>
      <c r="N30" s="17">
        <f t="shared" si="5"/>
        <v>0</v>
      </c>
    </row>
    <row r="31" ht="13.5" customHeight="1">
      <c r="A31" s="3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17">
        <f t="shared" si="5"/>
        <v>0</v>
      </c>
    </row>
    <row r="32" ht="13.5" customHeight="1">
      <c r="A32" s="91" t="s">
        <v>23</v>
      </c>
      <c r="B32" s="28">
        <f t="shared" ref="B32:N32" si="6">SUM(B23:B31)</f>
        <v>0</v>
      </c>
      <c r="C32" s="28">
        <f t="shared" si="6"/>
        <v>0</v>
      </c>
      <c r="D32" s="28">
        <f t="shared" si="6"/>
        <v>0</v>
      </c>
      <c r="E32" s="28">
        <f t="shared" si="6"/>
        <v>0</v>
      </c>
      <c r="F32" s="28">
        <f t="shared" si="6"/>
        <v>0</v>
      </c>
      <c r="G32" s="28">
        <f t="shared" si="6"/>
        <v>0</v>
      </c>
      <c r="H32" s="28">
        <f t="shared" si="6"/>
        <v>0</v>
      </c>
      <c r="I32" s="28">
        <f t="shared" si="6"/>
        <v>0</v>
      </c>
      <c r="J32" s="28">
        <f t="shared" si="6"/>
        <v>0</v>
      </c>
      <c r="K32" s="28">
        <f t="shared" si="6"/>
        <v>0</v>
      </c>
      <c r="L32" s="28">
        <f t="shared" si="6"/>
        <v>0</v>
      </c>
      <c r="M32" s="28">
        <f t="shared" si="6"/>
        <v>0</v>
      </c>
      <c r="N32" s="28">
        <f t="shared" si="6"/>
        <v>0</v>
      </c>
    </row>
    <row r="33" ht="13.5" customHeight="1">
      <c r="A33" s="79" t="s">
        <v>38</v>
      </c>
      <c r="B33" s="63"/>
      <c r="C33" s="63"/>
      <c r="D33" s="63"/>
      <c r="E33" s="63"/>
      <c r="F33" s="83"/>
      <c r="G33" s="83"/>
      <c r="H33" s="83"/>
      <c r="I33" s="83"/>
      <c r="J33" s="83"/>
      <c r="K33" s="83"/>
      <c r="L33" s="83"/>
      <c r="M33" s="83"/>
      <c r="N33" s="83"/>
    </row>
    <row r="34" ht="13.5" customHeight="1">
      <c r="A34" s="15" t="s">
        <v>39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17">
        <f t="shared" ref="N34:N51" si="7">SUM(B34:M34)</f>
        <v>0</v>
      </c>
    </row>
    <row r="35" ht="13.5" customHeight="1">
      <c r="A35" s="19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17">
        <f t="shared" si="7"/>
        <v>0</v>
      </c>
    </row>
    <row r="36" ht="13.5" customHeight="1">
      <c r="A36" s="35" t="s">
        <v>41</v>
      </c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17">
        <f t="shared" si="7"/>
        <v>0</v>
      </c>
    </row>
    <row r="37" ht="13.5" customHeight="1">
      <c r="A37" s="35" t="s">
        <v>42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17">
        <f t="shared" si="7"/>
        <v>0</v>
      </c>
    </row>
    <row r="38" ht="13.5" customHeight="1">
      <c r="A38" s="35" t="s">
        <v>43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17">
        <f t="shared" si="7"/>
        <v>0</v>
      </c>
    </row>
    <row r="39" ht="13.5" customHeight="1">
      <c r="A39" s="35" t="s">
        <v>44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17">
        <f t="shared" si="7"/>
        <v>0</v>
      </c>
    </row>
    <row r="40" ht="13.5" customHeight="1">
      <c r="A40" s="35" t="s">
        <v>45</v>
      </c>
      <c r="B40" s="46"/>
      <c r="C40" s="46"/>
      <c r="D40" s="46"/>
      <c r="E40" s="46"/>
      <c r="F40" s="46"/>
      <c r="G40" s="46"/>
      <c r="H40" s="46"/>
      <c r="I40" s="46"/>
      <c r="J40" s="46"/>
      <c r="K40" s="87"/>
      <c r="L40" s="46"/>
      <c r="M40" s="46"/>
      <c r="N40" s="17">
        <f t="shared" si="7"/>
        <v>0</v>
      </c>
    </row>
    <row r="41" ht="13.5" customHeight="1">
      <c r="A41" s="35" t="s">
        <v>46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17">
        <f t="shared" si="7"/>
        <v>0</v>
      </c>
    </row>
    <row r="42" ht="13.5" customHeight="1">
      <c r="A42" s="15" t="s">
        <v>47</v>
      </c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17">
        <f t="shared" si="7"/>
        <v>0</v>
      </c>
    </row>
    <row r="43" ht="13.5" customHeight="1">
      <c r="A43" s="15" t="s">
        <v>184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17">
        <f t="shared" si="7"/>
        <v>0</v>
      </c>
    </row>
    <row r="44" ht="13.5" customHeight="1">
      <c r="A44" s="19" t="s">
        <v>130</v>
      </c>
      <c r="B44" s="206"/>
      <c r="C44" s="206"/>
      <c r="D44" s="206"/>
      <c r="E44" s="206"/>
      <c r="F44" s="206"/>
      <c r="G44" s="206"/>
      <c r="H44" s="206"/>
      <c r="I44" s="206"/>
      <c r="J44" s="206"/>
      <c r="K44" s="206"/>
      <c r="L44" s="206"/>
      <c r="M44" s="206"/>
      <c r="N44" s="17">
        <f t="shared" si="7"/>
        <v>0</v>
      </c>
    </row>
    <row r="45" ht="13.5" customHeight="1">
      <c r="A45" s="156" t="s">
        <v>50</v>
      </c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46"/>
      <c r="N45" s="17">
        <f t="shared" si="7"/>
        <v>0</v>
      </c>
    </row>
    <row r="46" ht="13.5" customHeight="1">
      <c r="A46" s="15" t="s">
        <v>51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17">
        <f t="shared" si="7"/>
        <v>0</v>
      </c>
    </row>
    <row r="47" ht="13.5" customHeight="1">
      <c r="A47" s="19" t="s">
        <v>52</v>
      </c>
      <c r="B47" s="87">
        <v>0.0</v>
      </c>
      <c r="C47" s="87">
        <v>0.0</v>
      </c>
      <c r="D47" s="87">
        <v>0.0</v>
      </c>
      <c r="E47" s="87">
        <v>0.0</v>
      </c>
      <c r="F47" s="87">
        <v>0.0</v>
      </c>
      <c r="G47" s="87">
        <v>0.0</v>
      </c>
      <c r="H47" s="87">
        <v>0.0</v>
      </c>
      <c r="I47" s="87">
        <v>0.0</v>
      </c>
      <c r="J47" s="87">
        <v>0.0</v>
      </c>
      <c r="K47" s="87">
        <v>0.0</v>
      </c>
      <c r="L47" s="87">
        <v>0.0</v>
      </c>
      <c r="M47" s="87">
        <v>0.0</v>
      </c>
      <c r="N47" s="17">
        <f t="shared" si="7"/>
        <v>0</v>
      </c>
    </row>
    <row r="48" ht="13.5" customHeight="1">
      <c r="A48" s="15" t="s">
        <v>53</v>
      </c>
      <c r="B48" s="206"/>
      <c r="C48" s="206"/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17">
        <f t="shared" si="7"/>
        <v>0</v>
      </c>
    </row>
    <row r="49" ht="13.5" customHeight="1">
      <c r="A49" s="35" t="s">
        <v>54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17">
        <f t="shared" si="7"/>
        <v>0</v>
      </c>
    </row>
    <row r="50" ht="13.5" customHeight="1">
      <c r="A50" s="1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17">
        <f t="shared" si="7"/>
        <v>0</v>
      </c>
    </row>
    <row r="51" ht="13.5" customHeight="1">
      <c r="A51" s="15" t="s">
        <v>160</v>
      </c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17">
        <f t="shared" si="7"/>
        <v>0</v>
      </c>
    </row>
    <row r="52" ht="13.5" customHeight="1">
      <c r="A52" s="91" t="s">
        <v>23</v>
      </c>
      <c r="B52" s="28">
        <f t="shared" ref="B52:N52" si="8">SUM(B34:B51)</f>
        <v>0</v>
      </c>
      <c r="C52" s="28">
        <f t="shared" si="8"/>
        <v>0</v>
      </c>
      <c r="D52" s="28">
        <f t="shared" si="8"/>
        <v>0</v>
      </c>
      <c r="E52" s="28">
        <f t="shared" si="8"/>
        <v>0</v>
      </c>
      <c r="F52" s="28">
        <f t="shared" si="8"/>
        <v>0</v>
      </c>
      <c r="G52" s="28">
        <f t="shared" si="8"/>
        <v>0</v>
      </c>
      <c r="H52" s="28">
        <f t="shared" si="8"/>
        <v>0</v>
      </c>
      <c r="I52" s="28">
        <f t="shared" si="8"/>
        <v>0</v>
      </c>
      <c r="J52" s="28">
        <f t="shared" si="8"/>
        <v>0</v>
      </c>
      <c r="K52" s="28">
        <f t="shared" si="8"/>
        <v>0</v>
      </c>
      <c r="L52" s="28">
        <f t="shared" si="8"/>
        <v>0</v>
      </c>
      <c r="M52" s="28">
        <f t="shared" si="8"/>
        <v>0</v>
      </c>
      <c r="N52" s="28">
        <f t="shared" si="8"/>
        <v>0</v>
      </c>
    </row>
    <row r="53" ht="13.5" customHeight="1">
      <c r="A53" s="79" t="s">
        <v>56</v>
      </c>
      <c r="B53" s="63"/>
      <c r="C53" s="63"/>
      <c r="D53" s="63"/>
      <c r="E53" s="63"/>
      <c r="F53" s="83"/>
      <c r="G53" s="83"/>
      <c r="H53" s="83"/>
      <c r="I53" s="83"/>
      <c r="J53" s="83"/>
      <c r="K53" s="83"/>
      <c r="L53" s="83"/>
      <c r="M53" s="83"/>
      <c r="N53" s="83"/>
    </row>
    <row r="54" ht="13.5" customHeight="1">
      <c r="A54" s="32" t="s">
        <v>57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17">
        <f t="shared" ref="N54:N69" si="9">SUM(B54:M54)</f>
        <v>0</v>
      </c>
    </row>
    <row r="55" ht="13.5" customHeight="1">
      <c r="A55" s="32" t="s">
        <v>58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17">
        <f t="shared" si="9"/>
        <v>0</v>
      </c>
    </row>
    <row r="56" ht="13.5" customHeight="1">
      <c r="A56" s="31" t="s">
        <v>59</v>
      </c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17">
        <f t="shared" si="9"/>
        <v>0</v>
      </c>
    </row>
    <row r="57" ht="13.5" customHeight="1">
      <c r="A57" s="32" t="s">
        <v>60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17">
        <f t="shared" si="9"/>
        <v>0</v>
      </c>
    </row>
    <row r="58" ht="13.5" customHeight="1">
      <c r="A58" s="31" t="s">
        <v>134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17">
        <f t="shared" si="9"/>
        <v>0</v>
      </c>
    </row>
    <row r="59" ht="13.5" customHeight="1">
      <c r="A59" s="32" t="s">
        <v>205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17">
        <f t="shared" si="9"/>
        <v>0</v>
      </c>
    </row>
    <row r="60" ht="13.5" customHeight="1">
      <c r="A60" s="32" t="s">
        <v>136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17">
        <f t="shared" si="9"/>
        <v>0</v>
      </c>
    </row>
    <row r="61" ht="13.5" customHeight="1">
      <c r="A61" s="32" t="s">
        <v>137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17">
        <f t="shared" si="9"/>
        <v>0</v>
      </c>
    </row>
    <row r="62" ht="13.5" customHeight="1">
      <c r="A62" s="32" t="s">
        <v>63</v>
      </c>
      <c r="B62" s="46"/>
      <c r="C62" s="46"/>
      <c r="D62" s="46"/>
      <c r="E62" s="87"/>
      <c r="F62" s="87"/>
      <c r="G62" s="87"/>
      <c r="H62" s="87"/>
      <c r="I62" s="87"/>
      <c r="J62" s="87"/>
      <c r="K62" s="87"/>
      <c r="L62" s="87"/>
      <c r="M62" s="87"/>
      <c r="N62" s="17">
        <f t="shared" si="9"/>
        <v>0</v>
      </c>
    </row>
    <row r="63" ht="13.5" customHeight="1">
      <c r="A63" s="31" t="s">
        <v>64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17">
        <f t="shared" si="9"/>
        <v>0</v>
      </c>
    </row>
    <row r="64" ht="13.5" customHeight="1">
      <c r="A64" s="32" t="s">
        <v>65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17">
        <f t="shared" si="9"/>
        <v>0</v>
      </c>
    </row>
    <row r="65" ht="13.5" customHeight="1">
      <c r="A65" s="31" t="s">
        <v>66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17">
        <f t="shared" si="9"/>
        <v>0</v>
      </c>
    </row>
    <row r="66" ht="13.5" customHeight="1">
      <c r="A66" s="31" t="s">
        <v>67</v>
      </c>
      <c r="B66" s="46"/>
      <c r="C66" s="46"/>
      <c r="D66" s="46"/>
      <c r="E66" s="46"/>
      <c r="F66" s="46"/>
      <c r="G66" s="46"/>
      <c r="H66" s="87"/>
      <c r="I66" s="87"/>
      <c r="J66" s="87"/>
      <c r="K66" s="87"/>
      <c r="L66" s="87"/>
      <c r="M66" s="87"/>
      <c r="N66" s="17">
        <f t="shared" si="9"/>
        <v>0</v>
      </c>
    </row>
    <row r="67" ht="13.5" customHeight="1">
      <c r="A67" s="25" t="s">
        <v>165</v>
      </c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17">
        <f t="shared" si="9"/>
        <v>0</v>
      </c>
    </row>
    <row r="68" ht="13.5" customHeight="1">
      <c r="A68" s="25" t="s">
        <v>69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17">
        <f t="shared" si="9"/>
        <v>0</v>
      </c>
    </row>
    <row r="69" ht="13.5" customHeight="1">
      <c r="A69" s="39" t="s">
        <v>70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17">
        <f t="shared" si="9"/>
        <v>0</v>
      </c>
    </row>
    <row r="70" ht="13.5" customHeight="1">
      <c r="A70" s="91" t="s">
        <v>23</v>
      </c>
      <c r="B70" s="28">
        <f t="shared" ref="B70:M70" si="10">SUM(B54:B69)</f>
        <v>0</v>
      </c>
      <c r="C70" s="28">
        <f t="shared" si="10"/>
        <v>0</v>
      </c>
      <c r="D70" s="28">
        <f t="shared" si="10"/>
        <v>0</v>
      </c>
      <c r="E70" s="28">
        <f t="shared" si="10"/>
        <v>0</v>
      </c>
      <c r="F70" s="28">
        <f t="shared" si="10"/>
        <v>0</v>
      </c>
      <c r="G70" s="28">
        <f t="shared" si="10"/>
        <v>0</v>
      </c>
      <c r="H70" s="28">
        <f t="shared" si="10"/>
        <v>0</v>
      </c>
      <c r="I70" s="28">
        <f t="shared" si="10"/>
        <v>0</v>
      </c>
      <c r="J70" s="28">
        <f t="shared" si="10"/>
        <v>0</v>
      </c>
      <c r="K70" s="28">
        <f t="shared" si="10"/>
        <v>0</v>
      </c>
      <c r="L70" s="28">
        <f t="shared" si="10"/>
        <v>0</v>
      </c>
      <c r="M70" s="28">
        <f t="shared" si="10"/>
        <v>0</v>
      </c>
      <c r="N70" s="28">
        <f>SUM(N54:N66)</f>
        <v>0</v>
      </c>
    </row>
    <row r="71" ht="13.5" customHeight="1">
      <c r="A71" s="79" t="s">
        <v>71</v>
      </c>
      <c r="B71" s="63"/>
      <c r="C71" s="63"/>
      <c r="D71" s="63"/>
      <c r="E71" s="63"/>
      <c r="F71" s="83"/>
      <c r="G71" s="83"/>
      <c r="H71" s="83"/>
      <c r="I71" s="83"/>
      <c r="J71" s="83"/>
      <c r="K71" s="83"/>
      <c r="L71" s="83"/>
      <c r="M71" s="83"/>
      <c r="N71" s="83"/>
    </row>
    <row r="72" ht="13.5" customHeight="1">
      <c r="A72" s="32" t="s">
        <v>138</v>
      </c>
      <c r="B72" s="206">
        <v>0.0</v>
      </c>
      <c r="C72" s="206">
        <v>0.0</v>
      </c>
      <c r="D72" s="206">
        <v>0.0</v>
      </c>
      <c r="E72" s="206">
        <v>0.0</v>
      </c>
      <c r="F72" s="206">
        <v>0.0</v>
      </c>
      <c r="G72" s="206">
        <v>0.0</v>
      </c>
      <c r="H72" s="206">
        <v>0.0</v>
      </c>
      <c r="I72" s="206">
        <v>0.0</v>
      </c>
      <c r="J72" s="206">
        <v>0.0</v>
      </c>
      <c r="K72" s="206">
        <v>0.0</v>
      </c>
      <c r="L72" s="206">
        <v>0.0</v>
      </c>
      <c r="M72" s="206">
        <v>0.0</v>
      </c>
      <c r="N72" s="17">
        <f t="shared" ref="N72:N83" si="11">SUM(B72:M72)</f>
        <v>0</v>
      </c>
    </row>
    <row r="73" ht="13.5" customHeight="1">
      <c r="A73" s="31" t="s">
        <v>73</v>
      </c>
      <c r="B73" s="206">
        <v>0.0</v>
      </c>
      <c r="C73" s="206">
        <v>0.0</v>
      </c>
      <c r="D73" s="206">
        <v>0.0</v>
      </c>
      <c r="E73" s="206">
        <v>0.0</v>
      </c>
      <c r="F73" s="206">
        <v>0.0</v>
      </c>
      <c r="G73" s="206">
        <v>0.0</v>
      </c>
      <c r="H73" s="206">
        <v>0.0</v>
      </c>
      <c r="I73" s="206">
        <v>0.0</v>
      </c>
      <c r="J73" s="206">
        <v>0.0</v>
      </c>
      <c r="K73" s="206">
        <v>0.0</v>
      </c>
      <c r="L73" s="206">
        <v>0.0</v>
      </c>
      <c r="M73" s="206">
        <v>0.0</v>
      </c>
      <c r="N73" s="17">
        <f t="shared" si="11"/>
        <v>0</v>
      </c>
    </row>
    <row r="74" ht="13.5" customHeight="1">
      <c r="A74" s="32" t="s">
        <v>139</v>
      </c>
      <c r="B74" s="207">
        <v>0.0</v>
      </c>
      <c r="C74" s="207">
        <v>0.0</v>
      </c>
      <c r="D74" s="207">
        <v>0.0</v>
      </c>
      <c r="E74" s="207">
        <v>0.0</v>
      </c>
      <c r="F74" s="207">
        <v>0.0</v>
      </c>
      <c r="G74" s="207">
        <v>0.0</v>
      </c>
      <c r="H74" s="207">
        <v>0.0</v>
      </c>
      <c r="I74" s="207">
        <v>0.0</v>
      </c>
      <c r="J74" s="207">
        <v>0.0</v>
      </c>
      <c r="K74" s="207">
        <v>0.0</v>
      </c>
      <c r="L74" s="207">
        <v>0.0</v>
      </c>
      <c r="M74" s="207">
        <v>0.0</v>
      </c>
      <c r="N74" s="17">
        <f t="shared" si="11"/>
        <v>0</v>
      </c>
    </row>
    <row r="75" ht="13.5" customHeight="1">
      <c r="A75" s="31" t="s">
        <v>137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87"/>
      <c r="N75" s="17">
        <f t="shared" si="11"/>
        <v>0</v>
      </c>
    </row>
    <row r="76" ht="13.5" customHeight="1">
      <c r="A76" s="32" t="s">
        <v>136</v>
      </c>
      <c r="B76" s="46"/>
      <c r="C76" s="46"/>
      <c r="D76" s="46"/>
      <c r="E76" s="46"/>
      <c r="F76" s="87"/>
      <c r="G76" s="46"/>
      <c r="H76" s="46"/>
      <c r="I76" s="46"/>
      <c r="J76" s="46"/>
      <c r="K76" s="46"/>
      <c r="L76" s="46"/>
      <c r="M76" s="87"/>
      <c r="N76" s="17">
        <f t="shared" si="11"/>
        <v>0</v>
      </c>
    </row>
    <row r="77" ht="13.5" customHeight="1">
      <c r="A77" s="32" t="s">
        <v>63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17">
        <f t="shared" si="11"/>
        <v>0</v>
      </c>
    </row>
    <row r="78" ht="13.5" customHeight="1">
      <c r="A78" s="31" t="s">
        <v>140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17">
        <f t="shared" si="11"/>
        <v>0</v>
      </c>
    </row>
    <row r="79" ht="13.5" customHeight="1">
      <c r="A79" s="27" t="s">
        <v>141</v>
      </c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17">
        <f t="shared" si="11"/>
        <v>0</v>
      </c>
    </row>
    <row r="80" ht="13.5" customHeight="1">
      <c r="A80" s="145" t="s">
        <v>79</v>
      </c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17">
        <f t="shared" si="11"/>
        <v>0</v>
      </c>
    </row>
    <row r="81" ht="13.5" customHeight="1">
      <c r="A81" s="43" t="s">
        <v>80</v>
      </c>
      <c r="B81" s="205">
        <v>0.0</v>
      </c>
      <c r="C81" s="205">
        <v>0.0</v>
      </c>
      <c r="D81" s="205">
        <v>0.0</v>
      </c>
      <c r="E81" s="205">
        <v>0.0</v>
      </c>
      <c r="F81" s="205">
        <v>0.0</v>
      </c>
      <c r="G81" s="205">
        <v>0.0</v>
      </c>
      <c r="H81" s="205">
        <v>0.0</v>
      </c>
      <c r="I81" s="205">
        <v>0.0</v>
      </c>
      <c r="J81" s="205">
        <v>0.0</v>
      </c>
      <c r="K81" s="205">
        <v>0.0</v>
      </c>
      <c r="L81" s="205">
        <v>0.0</v>
      </c>
      <c r="M81" s="205">
        <v>0.0</v>
      </c>
      <c r="N81" s="17">
        <f t="shared" si="11"/>
        <v>0</v>
      </c>
    </row>
    <row r="82" ht="13.5" customHeight="1">
      <c r="A82" s="91" t="s">
        <v>23</v>
      </c>
      <c r="B82" s="28">
        <f t="shared" ref="B82:M82" si="12">SUM(B72:B81)</f>
        <v>0</v>
      </c>
      <c r="C82" s="28">
        <f t="shared" si="12"/>
        <v>0</v>
      </c>
      <c r="D82" s="28">
        <f t="shared" si="12"/>
        <v>0</v>
      </c>
      <c r="E82" s="28">
        <f t="shared" si="12"/>
        <v>0</v>
      </c>
      <c r="F82" s="28">
        <f t="shared" si="12"/>
        <v>0</v>
      </c>
      <c r="G82" s="28">
        <f t="shared" si="12"/>
        <v>0</v>
      </c>
      <c r="H82" s="28">
        <f t="shared" si="12"/>
        <v>0</v>
      </c>
      <c r="I82" s="28">
        <f t="shared" si="12"/>
        <v>0</v>
      </c>
      <c r="J82" s="28">
        <f t="shared" si="12"/>
        <v>0</v>
      </c>
      <c r="K82" s="28">
        <f t="shared" si="12"/>
        <v>0</v>
      </c>
      <c r="L82" s="28">
        <f t="shared" si="12"/>
        <v>0</v>
      </c>
      <c r="M82" s="28">
        <f t="shared" si="12"/>
        <v>0</v>
      </c>
      <c r="N82" s="44">
        <f t="shared" si="11"/>
        <v>0</v>
      </c>
    </row>
    <row r="83" ht="13.5" customHeight="1">
      <c r="A83" s="99" t="s">
        <v>81</v>
      </c>
      <c r="B83" s="28">
        <f t="shared" ref="B83:M83" si="13">B52+B70+B82</f>
        <v>0</v>
      </c>
      <c r="C83" s="28">
        <f t="shared" si="13"/>
        <v>0</v>
      </c>
      <c r="D83" s="28">
        <f t="shared" si="13"/>
        <v>0</v>
      </c>
      <c r="E83" s="28">
        <f t="shared" si="13"/>
        <v>0</v>
      </c>
      <c r="F83" s="28">
        <f t="shared" si="13"/>
        <v>0</v>
      </c>
      <c r="G83" s="28">
        <f t="shared" si="13"/>
        <v>0</v>
      </c>
      <c r="H83" s="28">
        <f t="shared" si="13"/>
        <v>0</v>
      </c>
      <c r="I83" s="28">
        <f t="shared" si="13"/>
        <v>0</v>
      </c>
      <c r="J83" s="28">
        <f t="shared" si="13"/>
        <v>0</v>
      </c>
      <c r="K83" s="28">
        <f t="shared" si="13"/>
        <v>0</v>
      </c>
      <c r="L83" s="28">
        <f t="shared" si="13"/>
        <v>0</v>
      </c>
      <c r="M83" s="28">
        <f t="shared" si="13"/>
        <v>0</v>
      </c>
      <c r="N83" s="44">
        <f t="shared" si="11"/>
        <v>0</v>
      </c>
    </row>
    <row r="84" ht="13.5" customHeight="1">
      <c r="A84" s="99" t="s">
        <v>82</v>
      </c>
      <c r="B84" s="46" t="str">
        <f t="shared" ref="B84:N84" si="14">B83/B112</f>
        <v>#DIV/0!</v>
      </c>
      <c r="C84" s="46" t="str">
        <f t="shared" si="14"/>
        <v>#DIV/0!</v>
      </c>
      <c r="D84" s="46" t="str">
        <f t="shared" si="14"/>
        <v>#DIV/0!</v>
      </c>
      <c r="E84" s="46" t="str">
        <f t="shared" si="14"/>
        <v>#DIV/0!</v>
      </c>
      <c r="F84" s="46" t="str">
        <f t="shared" si="14"/>
        <v>#DIV/0!</v>
      </c>
      <c r="G84" s="46" t="str">
        <f t="shared" si="14"/>
        <v>#DIV/0!</v>
      </c>
      <c r="H84" s="46" t="str">
        <f t="shared" si="14"/>
        <v>#DIV/0!</v>
      </c>
      <c r="I84" s="46" t="str">
        <f t="shared" si="14"/>
        <v>#DIV/0!</v>
      </c>
      <c r="J84" s="46" t="str">
        <f t="shared" si="14"/>
        <v>#DIV/0!</v>
      </c>
      <c r="K84" s="46" t="str">
        <f t="shared" si="14"/>
        <v>#DIV/0!</v>
      </c>
      <c r="L84" s="46" t="str">
        <f t="shared" si="14"/>
        <v>#DIV/0!</v>
      </c>
      <c r="M84" s="46" t="str">
        <f t="shared" si="14"/>
        <v>#DIV/0!</v>
      </c>
      <c r="N84" s="15" t="str">
        <f t="shared" si="14"/>
        <v>#DIV/0!</v>
      </c>
    </row>
    <row r="85" ht="13.5" customHeight="1">
      <c r="A85" s="79" t="s">
        <v>83</v>
      </c>
      <c r="B85" s="63"/>
      <c r="C85" s="63"/>
      <c r="D85" s="63"/>
      <c r="E85" s="63"/>
      <c r="F85" s="83"/>
      <c r="G85" s="83"/>
      <c r="H85" s="83"/>
      <c r="I85" s="83"/>
      <c r="J85" s="83"/>
      <c r="K85" s="83"/>
      <c r="L85" s="83"/>
      <c r="M85" s="83"/>
      <c r="N85" s="83"/>
    </row>
    <row r="86" ht="13.5" customHeight="1">
      <c r="A86" s="15" t="s">
        <v>84</v>
      </c>
      <c r="B86" s="206"/>
      <c r="C86" s="206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17">
        <f t="shared" ref="N86:N89" si="15">SUM(B86:M86)</f>
        <v>0</v>
      </c>
    </row>
    <row r="87" ht="13.5" customHeight="1">
      <c r="A87" s="15" t="s">
        <v>142</v>
      </c>
      <c r="B87" s="46"/>
      <c r="C87" s="87"/>
      <c r="D87" s="46"/>
      <c r="E87" s="46"/>
      <c r="F87" s="46"/>
      <c r="G87" s="46"/>
      <c r="H87" s="87"/>
      <c r="I87" s="46"/>
      <c r="J87" s="46"/>
      <c r="K87" s="46"/>
      <c r="L87" s="46"/>
      <c r="M87" s="46"/>
      <c r="N87" s="17">
        <f t="shared" si="15"/>
        <v>0</v>
      </c>
    </row>
    <row r="88" ht="13.5" customHeight="1">
      <c r="A88" s="9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17">
        <f t="shared" si="15"/>
        <v>0</v>
      </c>
    </row>
    <row r="89" ht="13.5" customHeight="1">
      <c r="A89" s="9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17">
        <f t="shared" si="15"/>
        <v>0</v>
      </c>
    </row>
    <row r="90" ht="13.5" customHeight="1">
      <c r="A90" s="91" t="s">
        <v>23</v>
      </c>
      <c r="B90" s="28">
        <f t="shared" ref="B90:N90" si="16">SUM(B86:B89)</f>
        <v>0</v>
      </c>
      <c r="C90" s="28">
        <f t="shared" si="16"/>
        <v>0</v>
      </c>
      <c r="D90" s="28">
        <f t="shared" si="16"/>
        <v>0</v>
      </c>
      <c r="E90" s="28">
        <f t="shared" si="16"/>
        <v>0</v>
      </c>
      <c r="F90" s="28">
        <f t="shared" si="16"/>
        <v>0</v>
      </c>
      <c r="G90" s="28">
        <f t="shared" si="16"/>
        <v>0</v>
      </c>
      <c r="H90" s="28">
        <f t="shared" si="16"/>
        <v>0</v>
      </c>
      <c r="I90" s="28">
        <f t="shared" si="16"/>
        <v>0</v>
      </c>
      <c r="J90" s="28">
        <f t="shared" si="16"/>
        <v>0</v>
      </c>
      <c r="K90" s="28">
        <f t="shared" si="16"/>
        <v>0</v>
      </c>
      <c r="L90" s="28">
        <f t="shared" si="16"/>
        <v>0</v>
      </c>
      <c r="M90" s="28">
        <f t="shared" si="16"/>
        <v>0</v>
      </c>
      <c r="N90" s="28">
        <f t="shared" si="16"/>
        <v>0</v>
      </c>
    </row>
    <row r="91" ht="13.5" customHeight="1">
      <c r="A91" s="89" t="s">
        <v>88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</row>
    <row r="92" ht="13.5" customHeight="1">
      <c r="A92" s="31" t="s">
        <v>89</v>
      </c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17">
        <f t="shared" ref="N92:N105" si="17">SUM(B92:M92)</f>
        <v>0</v>
      </c>
    </row>
    <row r="93" ht="13.5" customHeight="1">
      <c r="A93" s="31" t="s">
        <v>90</v>
      </c>
      <c r="B93" s="46"/>
      <c r="C93" s="87"/>
      <c r="D93" s="46"/>
      <c r="E93" s="87"/>
      <c r="F93" s="208"/>
      <c r="G93" s="46"/>
      <c r="H93" s="46"/>
      <c r="I93" s="46"/>
      <c r="J93" s="46"/>
      <c r="K93" s="87"/>
      <c r="L93" s="46"/>
      <c r="M93" s="46"/>
      <c r="N93" s="17">
        <f t="shared" si="17"/>
        <v>0</v>
      </c>
    </row>
    <row r="94" ht="13.5" customHeight="1">
      <c r="A94" s="31" t="s">
        <v>91</v>
      </c>
      <c r="B94" s="46"/>
      <c r="C94" s="46"/>
      <c r="D94" s="46"/>
      <c r="E94" s="46"/>
      <c r="F94" s="46"/>
      <c r="G94" s="46"/>
      <c r="H94" s="46"/>
      <c r="I94" s="46"/>
      <c r="J94" s="46"/>
      <c r="K94" s="87"/>
      <c r="L94" s="46"/>
      <c r="M94" s="46"/>
      <c r="N94" s="17">
        <f t="shared" si="17"/>
        <v>0</v>
      </c>
    </row>
    <row r="95" ht="13.5" customHeight="1">
      <c r="A95" s="31" t="s">
        <v>92</v>
      </c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17">
        <f t="shared" si="17"/>
        <v>0</v>
      </c>
    </row>
    <row r="96" ht="13.5" customHeight="1">
      <c r="A96" s="32" t="s">
        <v>143</v>
      </c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17">
        <f t="shared" si="17"/>
        <v>0</v>
      </c>
    </row>
    <row r="97" ht="13.5" customHeight="1">
      <c r="A97" s="32" t="s">
        <v>94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17">
        <f t="shared" si="17"/>
        <v>0</v>
      </c>
    </row>
    <row r="98" ht="13.5" customHeight="1">
      <c r="A98" s="32" t="s">
        <v>95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17">
        <f t="shared" si="17"/>
        <v>0</v>
      </c>
    </row>
    <row r="99" ht="13.5" customHeight="1">
      <c r="A99" s="31" t="s">
        <v>96</v>
      </c>
      <c r="B99" s="46"/>
      <c r="C99" s="46"/>
      <c r="D99" s="46"/>
      <c r="E99" s="46"/>
      <c r="F99" s="46"/>
      <c r="G99" s="46"/>
      <c r="H99" s="87"/>
      <c r="I99" s="46"/>
      <c r="J99" s="46"/>
      <c r="K99" s="46"/>
      <c r="L99" s="87"/>
      <c r="M99" s="46"/>
      <c r="N99" s="17">
        <f t="shared" si="17"/>
        <v>0</v>
      </c>
    </row>
    <row r="100" ht="13.5" customHeight="1">
      <c r="A100" s="31" t="s">
        <v>97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87"/>
      <c r="M100" s="46"/>
      <c r="N100" s="17">
        <f t="shared" si="17"/>
        <v>0</v>
      </c>
    </row>
    <row r="101" ht="13.5" customHeight="1">
      <c r="A101" s="32" t="s">
        <v>98</v>
      </c>
      <c r="B101" s="87">
        <v>0.0</v>
      </c>
      <c r="C101" s="87">
        <v>0.0</v>
      </c>
      <c r="D101" s="87">
        <v>0.0</v>
      </c>
      <c r="E101" s="87">
        <v>0.0</v>
      </c>
      <c r="F101" s="87">
        <v>0.0</v>
      </c>
      <c r="G101" s="87">
        <v>0.0</v>
      </c>
      <c r="H101" s="87">
        <v>0.0</v>
      </c>
      <c r="I101" s="87">
        <v>0.0</v>
      </c>
      <c r="J101" s="87">
        <v>0.0</v>
      </c>
      <c r="K101" s="87">
        <v>0.0</v>
      </c>
      <c r="L101" s="87">
        <v>0.0</v>
      </c>
      <c r="M101" s="87">
        <v>0.0</v>
      </c>
      <c r="N101" s="17">
        <f t="shared" si="17"/>
        <v>0</v>
      </c>
    </row>
    <row r="102" ht="13.5" customHeight="1">
      <c r="A102" s="31" t="s">
        <v>99</v>
      </c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17">
        <f t="shared" si="17"/>
        <v>0</v>
      </c>
    </row>
    <row r="103" ht="13.5" customHeight="1">
      <c r="A103" s="32" t="s">
        <v>100</v>
      </c>
      <c r="B103" s="87"/>
      <c r="C103" s="87"/>
      <c r="D103" s="209"/>
      <c r="E103" s="210"/>
      <c r="F103" s="87"/>
      <c r="G103" s="87"/>
      <c r="H103" s="87"/>
      <c r="I103" s="87"/>
      <c r="J103" s="87"/>
      <c r="K103" s="87"/>
      <c r="L103" s="87"/>
      <c r="M103" s="87"/>
      <c r="N103" s="17">
        <f t="shared" si="17"/>
        <v>0</v>
      </c>
    </row>
    <row r="104" ht="13.5" customHeight="1">
      <c r="A104" s="33" t="s">
        <v>206</v>
      </c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17">
        <f t="shared" si="17"/>
        <v>0</v>
      </c>
    </row>
    <row r="105" ht="13.5" customHeight="1">
      <c r="A105" s="27" t="s">
        <v>102</v>
      </c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17">
        <f t="shared" si="17"/>
        <v>0</v>
      </c>
    </row>
    <row r="106" ht="13.5" customHeight="1">
      <c r="A106" s="9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ht="13.5" customHeight="1">
      <c r="A107" s="91" t="s">
        <v>23</v>
      </c>
      <c r="B107" s="28">
        <f t="shared" ref="B107:N107" si="18">SUM(B92:B105)</f>
        <v>0</v>
      </c>
      <c r="C107" s="28">
        <f t="shared" si="18"/>
        <v>0</v>
      </c>
      <c r="D107" s="28">
        <f t="shared" si="18"/>
        <v>0</v>
      </c>
      <c r="E107" s="28">
        <f t="shared" si="18"/>
        <v>0</v>
      </c>
      <c r="F107" s="28">
        <f t="shared" si="18"/>
        <v>0</v>
      </c>
      <c r="G107" s="28">
        <f t="shared" si="18"/>
        <v>0</v>
      </c>
      <c r="H107" s="28">
        <f t="shared" si="18"/>
        <v>0</v>
      </c>
      <c r="I107" s="28">
        <f t="shared" si="18"/>
        <v>0</v>
      </c>
      <c r="J107" s="28">
        <f t="shared" si="18"/>
        <v>0</v>
      </c>
      <c r="K107" s="28">
        <f t="shared" si="18"/>
        <v>0</v>
      </c>
      <c r="L107" s="28">
        <f t="shared" si="18"/>
        <v>0</v>
      </c>
      <c r="M107" s="28">
        <f t="shared" si="18"/>
        <v>0</v>
      </c>
      <c r="N107" s="28">
        <f t="shared" si="18"/>
        <v>0</v>
      </c>
    </row>
    <row r="108" ht="13.5" customHeight="1">
      <c r="A108" s="91" t="s">
        <v>104</v>
      </c>
      <c r="B108" s="147">
        <v>0.0</v>
      </c>
      <c r="C108" s="147">
        <v>0.0</v>
      </c>
      <c r="D108" s="147">
        <v>0.0</v>
      </c>
      <c r="E108" s="147">
        <v>0.0</v>
      </c>
      <c r="F108" s="147">
        <v>0.0</v>
      </c>
      <c r="G108" s="147">
        <v>0.0</v>
      </c>
      <c r="H108" s="147">
        <v>0.0</v>
      </c>
      <c r="I108" s="147">
        <v>0.0</v>
      </c>
      <c r="J108" s="147">
        <v>0.0</v>
      </c>
      <c r="K108" s="147">
        <v>0.0</v>
      </c>
      <c r="L108" s="147">
        <v>0.0</v>
      </c>
      <c r="M108" s="147">
        <v>0.0</v>
      </c>
      <c r="N108" s="44">
        <f>SUM(B108:M108)</f>
        <v>0</v>
      </c>
    </row>
    <row r="109" ht="13.5" customHeight="1">
      <c r="A109" s="112" t="s">
        <v>105</v>
      </c>
      <c r="B109" s="50">
        <f t="shared" ref="B109:N109" si="19">B107+B90+B83+B32+B21+B13</f>
        <v>0</v>
      </c>
      <c r="C109" s="50">
        <f t="shared" si="19"/>
        <v>0</v>
      </c>
      <c r="D109" s="50">
        <f t="shared" si="19"/>
        <v>0</v>
      </c>
      <c r="E109" s="50">
        <f t="shared" si="19"/>
        <v>0</v>
      </c>
      <c r="F109" s="50">
        <f t="shared" si="19"/>
        <v>0</v>
      </c>
      <c r="G109" s="50">
        <f t="shared" si="19"/>
        <v>0</v>
      </c>
      <c r="H109" s="50">
        <f t="shared" si="19"/>
        <v>0</v>
      </c>
      <c r="I109" s="50">
        <f t="shared" si="19"/>
        <v>0</v>
      </c>
      <c r="J109" s="50">
        <f t="shared" si="19"/>
        <v>0</v>
      </c>
      <c r="K109" s="50">
        <f t="shared" si="19"/>
        <v>0</v>
      </c>
      <c r="L109" s="50">
        <f t="shared" si="19"/>
        <v>0</v>
      </c>
      <c r="M109" s="50">
        <f t="shared" si="19"/>
        <v>0</v>
      </c>
      <c r="N109" s="50">
        <f t="shared" si="19"/>
        <v>0</v>
      </c>
    </row>
    <row r="110" ht="13.5" customHeight="1">
      <c r="A110" s="35" t="s">
        <v>106</v>
      </c>
      <c r="B110" s="211">
        <v>0.0</v>
      </c>
      <c r="C110" s="211">
        <v>0.0</v>
      </c>
      <c r="D110" s="211">
        <v>0.0</v>
      </c>
      <c r="E110" s="211">
        <v>0.0</v>
      </c>
      <c r="F110" s="211">
        <v>0.0</v>
      </c>
      <c r="G110" s="211">
        <v>0.0</v>
      </c>
      <c r="H110" s="211">
        <v>0.0</v>
      </c>
      <c r="I110" s="211">
        <v>0.0</v>
      </c>
      <c r="J110" s="211">
        <v>0.0</v>
      </c>
      <c r="K110" s="211">
        <v>0.0</v>
      </c>
      <c r="L110" s="211">
        <v>0.0</v>
      </c>
      <c r="M110" s="211">
        <v>0.0</v>
      </c>
      <c r="N110" s="149">
        <f t="shared" ref="N110:N112" si="20">SUM(B110:M110)</f>
        <v>0</v>
      </c>
    </row>
    <row r="111" ht="13.5" customHeight="1">
      <c r="A111" s="35" t="s">
        <v>107</v>
      </c>
      <c r="B111" s="212">
        <v>0.0</v>
      </c>
      <c r="C111" s="212">
        <v>0.0</v>
      </c>
      <c r="D111" s="212">
        <v>0.0</v>
      </c>
      <c r="E111" s="212">
        <v>0.0</v>
      </c>
      <c r="F111" s="212">
        <v>0.0</v>
      </c>
      <c r="G111" s="212">
        <v>0.0</v>
      </c>
      <c r="H111" s="212">
        <v>0.0</v>
      </c>
      <c r="I111" s="212">
        <v>0.0</v>
      </c>
      <c r="J111" s="212">
        <v>0.0</v>
      </c>
      <c r="K111" s="212">
        <v>0.0</v>
      </c>
      <c r="L111" s="212">
        <v>0.0</v>
      </c>
      <c r="M111" s="212">
        <v>0.0</v>
      </c>
      <c r="N111" s="149">
        <f t="shared" si="20"/>
        <v>0</v>
      </c>
    </row>
    <row r="112" ht="13.5" customHeight="1">
      <c r="A112" s="91" t="s">
        <v>23</v>
      </c>
      <c r="B112" s="213">
        <v>0.0</v>
      </c>
      <c r="C112" s="214">
        <f t="shared" ref="C112:M112" si="21">C110+C111</f>
        <v>0</v>
      </c>
      <c r="D112" s="214">
        <f t="shared" si="21"/>
        <v>0</v>
      </c>
      <c r="E112" s="214">
        <f t="shared" si="21"/>
        <v>0</v>
      </c>
      <c r="F112" s="215">
        <f t="shared" si="21"/>
        <v>0</v>
      </c>
      <c r="G112" s="215">
        <f t="shared" si="21"/>
        <v>0</v>
      </c>
      <c r="H112" s="215">
        <f t="shared" si="21"/>
        <v>0</v>
      </c>
      <c r="I112" s="215">
        <f t="shared" si="21"/>
        <v>0</v>
      </c>
      <c r="J112" s="215">
        <f t="shared" si="21"/>
        <v>0</v>
      </c>
      <c r="K112" s="215">
        <f t="shared" si="21"/>
        <v>0</v>
      </c>
      <c r="L112" s="215">
        <f t="shared" si="21"/>
        <v>0</v>
      </c>
      <c r="M112" s="216">
        <f t="shared" si="21"/>
        <v>0</v>
      </c>
      <c r="N112" s="125">
        <f t="shared" si="20"/>
        <v>0</v>
      </c>
    </row>
    <row r="113" ht="13.5" customHeight="1">
      <c r="A113" s="126" t="s">
        <v>108</v>
      </c>
      <c r="B113" s="58" t="str">
        <f t="shared" ref="B113:N113" si="22">B109/B112</f>
        <v>#DIV/0!</v>
      </c>
      <c r="C113" s="58" t="str">
        <f t="shared" si="22"/>
        <v>#DIV/0!</v>
      </c>
      <c r="D113" s="58" t="str">
        <f t="shared" si="22"/>
        <v>#DIV/0!</v>
      </c>
      <c r="E113" s="58" t="str">
        <f t="shared" si="22"/>
        <v>#DIV/0!</v>
      </c>
      <c r="F113" s="58" t="str">
        <f t="shared" si="22"/>
        <v>#DIV/0!</v>
      </c>
      <c r="G113" s="58" t="str">
        <f t="shared" si="22"/>
        <v>#DIV/0!</v>
      </c>
      <c r="H113" s="58" t="str">
        <f t="shared" si="22"/>
        <v>#DIV/0!</v>
      </c>
      <c r="I113" s="58" t="str">
        <f t="shared" si="22"/>
        <v>#DIV/0!</v>
      </c>
      <c r="J113" s="58" t="str">
        <f t="shared" si="22"/>
        <v>#DIV/0!</v>
      </c>
      <c r="K113" s="58" t="str">
        <f t="shared" si="22"/>
        <v>#DIV/0!</v>
      </c>
      <c r="L113" s="58" t="str">
        <f t="shared" si="22"/>
        <v>#DIV/0!</v>
      </c>
      <c r="M113" s="58" t="str">
        <f t="shared" si="22"/>
        <v>#DIV/0!</v>
      </c>
      <c r="N113" s="179" t="str">
        <f t="shared" si="22"/>
        <v>#DIV/0!</v>
      </c>
    </row>
    <row r="114" ht="13.5" customHeight="1">
      <c r="A114" s="79" t="s">
        <v>109</v>
      </c>
      <c r="B114" s="63"/>
      <c r="C114" s="63"/>
      <c r="D114" s="63"/>
      <c r="E114" s="63"/>
      <c r="F114" s="83"/>
      <c r="G114" s="83"/>
      <c r="H114" s="83"/>
      <c r="I114" s="83"/>
      <c r="J114" s="83"/>
      <c r="K114" s="83"/>
      <c r="L114" s="83"/>
      <c r="M114" s="83"/>
      <c r="N114" s="83"/>
    </row>
    <row r="115" ht="13.5" customHeight="1">
      <c r="A115" s="59" t="s">
        <v>110</v>
      </c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17">
        <f t="shared" ref="N115:N120" si="23">SUM(B115:M115)</f>
        <v>0</v>
      </c>
    </row>
    <row r="116" ht="13.5" customHeight="1">
      <c r="A116" s="60" t="s">
        <v>111</v>
      </c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17">
        <f t="shared" si="23"/>
        <v>0</v>
      </c>
    </row>
    <row r="117" ht="13.5" customHeight="1">
      <c r="A117" s="59" t="s">
        <v>112</v>
      </c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17">
        <f t="shared" si="23"/>
        <v>0</v>
      </c>
    </row>
    <row r="118" ht="13.5" customHeight="1">
      <c r="A118" s="59" t="s">
        <v>80</v>
      </c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17">
        <f t="shared" si="23"/>
        <v>0</v>
      </c>
    </row>
    <row r="119" ht="13.5" customHeight="1">
      <c r="A119" s="61" t="s">
        <v>113</v>
      </c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17">
        <f t="shared" si="23"/>
        <v>0</v>
      </c>
    </row>
    <row r="120" ht="13.5" customHeight="1">
      <c r="A120" s="202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17">
        <f t="shared" si="23"/>
        <v>0</v>
      </c>
    </row>
    <row r="121" ht="13.5" customHeight="1">
      <c r="A121" s="99" t="s">
        <v>23</v>
      </c>
      <c r="B121" s="63">
        <f t="shared" ref="B121:N121" si="24">SUM(B115:B120)</f>
        <v>0</v>
      </c>
      <c r="C121" s="63">
        <f t="shared" si="24"/>
        <v>0</v>
      </c>
      <c r="D121" s="63">
        <f t="shared" si="24"/>
        <v>0</v>
      </c>
      <c r="E121" s="63">
        <f t="shared" si="24"/>
        <v>0</v>
      </c>
      <c r="F121" s="63">
        <f t="shared" si="24"/>
        <v>0</v>
      </c>
      <c r="G121" s="63">
        <f t="shared" si="24"/>
        <v>0</v>
      </c>
      <c r="H121" s="63">
        <f t="shared" si="24"/>
        <v>0</v>
      </c>
      <c r="I121" s="63">
        <f t="shared" si="24"/>
        <v>0</v>
      </c>
      <c r="J121" s="63">
        <f t="shared" si="24"/>
        <v>0</v>
      </c>
      <c r="K121" s="63">
        <f t="shared" si="24"/>
        <v>0</v>
      </c>
      <c r="L121" s="63">
        <f t="shared" si="24"/>
        <v>0</v>
      </c>
      <c r="M121" s="63">
        <f t="shared" si="24"/>
        <v>0</v>
      </c>
      <c r="N121" s="63">
        <f t="shared" si="24"/>
        <v>0</v>
      </c>
    </row>
    <row r="122" ht="13.5" customHeight="1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</row>
    <row r="123" ht="13.5" customHeight="1">
      <c r="A123" s="134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</row>
    <row r="124" ht="13.5" customHeight="1">
      <c r="A124" s="64" t="s">
        <v>115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</row>
    <row r="125" ht="13.5" customHeight="1">
      <c r="A125" s="64" t="s">
        <v>116</v>
      </c>
      <c r="B125" s="67">
        <f t="shared" ref="B125:M125" si="25">+B13*0.7+B21*0.7+B32*0.7+B52*0.6+B70+B107*0.6</f>
        <v>0</v>
      </c>
      <c r="C125" s="67">
        <f t="shared" si="25"/>
        <v>0</v>
      </c>
      <c r="D125" s="67">
        <f t="shared" si="25"/>
        <v>0</v>
      </c>
      <c r="E125" s="67">
        <f t="shared" si="25"/>
        <v>0</v>
      </c>
      <c r="F125" s="67">
        <f t="shared" si="25"/>
        <v>0</v>
      </c>
      <c r="G125" s="67">
        <f t="shared" si="25"/>
        <v>0</v>
      </c>
      <c r="H125" s="67">
        <f t="shared" si="25"/>
        <v>0</v>
      </c>
      <c r="I125" s="67">
        <f t="shared" si="25"/>
        <v>0</v>
      </c>
      <c r="J125" s="67">
        <f t="shared" si="25"/>
        <v>0</v>
      </c>
      <c r="K125" s="67">
        <f t="shared" si="25"/>
        <v>0</v>
      </c>
      <c r="L125" s="67">
        <f t="shared" si="25"/>
        <v>0</v>
      </c>
      <c r="M125" s="67">
        <f t="shared" si="25"/>
        <v>0</v>
      </c>
      <c r="N125" s="67">
        <f t="shared" ref="N125:N126" si="27">SUM(B125:M125)</f>
        <v>0</v>
      </c>
    </row>
    <row r="126" ht="13.5" customHeight="1">
      <c r="A126" s="64" t="s">
        <v>117</v>
      </c>
      <c r="B126" s="67">
        <f t="shared" ref="B126:M126" si="26">+B13*0.3+B21*0.3+B32*0.3+B52*0.4+B82+B90+B107*0.4</f>
        <v>0</v>
      </c>
      <c r="C126" s="67">
        <f t="shared" si="26"/>
        <v>0</v>
      </c>
      <c r="D126" s="67">
        <f t="shared" si="26"/>
        <v>0</v>
      </c>
      <c r="E126" s="67">
        <f t="shared" si="26"/>
        <v>0</v>
      </c>
      <c r="F126" s="67">
        <f t="shared" si="26"/>
        <v>0</v>
      </c>
      <c r="G126" s="67">
        <f t="shared" si="26"/>
        <v>0</v>
      </c>
      <c r="H126" s="67">
        <f t="shared" si="26"/>
        <v>0</v>
      </c>
      <c r="I126" s="67">
        <f t="shared" si="26"/>
        <v>0</v>
      </c>
      <c r="J126" s="67">
        <f t="shared" si="26"/>
        <v>0</v>
      </c>
      <c r="K126" s="67">
        <f t="shared" si="26"/>
        <v>0</v>
      </c>
      <c r="L126" s="67">
        <f t="shared" si="26"/>
        <v>0</v>
      </c>
      <c r="M126" s="67">
        <f t="shared" si="26"/>
        <v>0</v>
      </c>
      <c r="N126" s="67">
        <f t="shared" si="27"/>
        <v>0</v>
      </c>
    </row>
    <row r="127" ht="13.5" customHeight="1">
      <c r="A127" s="64" t="s">
        <v>23</v>
      </c>
      <c r="B127" s="67">
        <f t="shared" ref="B127:N127" si="28">SUM(B125:B126)</f>
        <v>0</v>
      </c>
      <c r="C127" s="67">
        <f t="shared" si="28"/>
        <v>0</v>
      </c>
      <c r="D127" s="67">
        <f t="shared" si="28"/>
        <v>0</v>
      </c>
      <c r="E127" s="67">
        <f t="shared" si="28"/>
        <v>0</v>
      </c>
      <c r="F127" s="67">
        <f t="shared" si="28"/>
        <v>0</v>
      </c>
      <c r="G127" s="67">
        <f t="shared" si="28"/>
        <v>0</v>
      </c>
      <c r="H127" s="67">
        <f t="shared" si="28"/>
        <v>0</v>
      </c>
      <c r="I127" s="67">
        <f t="shared" si="28"/>
        <v>0</v>
      </c>
      <c r="J127" s="67">
        <f t="shared" si="28"/>
        <v>0</v>
      </c>
      <c r="K127" s="67">
        <f t="shared" si="28"/>
        <v>0</v>
      </c>
      <c r="L127" s="67">
        <f t="shared" si="28"/>
        <v>0</v>
      </c>
      <c r="M127" s="67">
        <f t="shared" si="28"/>
        <v>0</v>
      </c>
      <c r="N127" s="67">
        <f t="shared" si="28"/>
        <v>0</v>
      </c>
    </row>
    <row r="128" ht="13.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</row>
    <row r="129" ht="13.5" customHeight="1">
      <c r="A129" s="69" t="s">
        <v>118</v>
      </c>
      <c r="B129" s="70">
        <f t="shared" ref="B129:N129" si="29">+B109</f>
        <v>0</v>
      </c>
      <c r="C129" s="70">
        <f t="shared" si="29"/>
        <v>0</v>
      </c>
      <c r="D129" s="70">
        <f t="shared" si="29"/>
        <v>0</v>
      </c>
      <c r="E129" s="70">
        <f t="shared" si="29"/>
        <v>0</v>
      </c>
      <c r="F129" s="70">
        <f t="shared" si="29"/>
        <v>0</v>
      </c>
      <c r="G129" s="70">
        <f t="shared" si="29"/>
        <v>0</v>
      </c>
      <c r="H129" s="70">
        <f t="shared" si="29"/>
        <v>0</v>
      </c>
      <c r="I129" s="70">
        <f t="shared" si="29"/>
        <v>0</v>
      </c>
      <c r="J129" s="70">
        <f t="shared" si="29"/>
        <v>0</v>
      </c>
      <c r="K129" s="70">
        <f t="shared" si="29"/>
        <v>0</v>
      </c>
      <c r="L129" s="70">
        <f t="shared" si="29"/>
        <v>0</v>
      </c>
      <c r="M129" s="70">
        <f t="shared" si="29"/>
        <v>0</v>
      </c>
      <c r="N129" s="70">
        <f t="shared" si="29"/>
        <v>0</v>
      </c>
    </row>
    <row r="130" ht="13.5" customHeight="1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</row>
    <row r="131" ht="13.5" customHeight="1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</row>
  </sheetData>
  <mergeCells count="1">
    <mergeCell ref="A1:N1"/>
  </mergeCells>
  <drawing r:id="rId2"/>
  <legacyDrawing r:id="rId3"/>
</worksheet>
</file>