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yde\Documents\"/>
    </mc:Choice>
  </mc:AlternateContent>
  <xr:revisionPtr revIDLastSave="0" documentId="13_ncr:1_{2F6F6B8A-A1D5-4E8D-BD43-0A9A61886B28}" xr6:coauthVersionLast="44" xr6:coauthVersionMax="44" xr10:uidLastSave="{00000000-0000-0000-0000-000000000000}"/>
  <bookViews>
    <workbookView xWindow="1944" yWindow="5256" windowWidth="17280" windowHeight="9420" activeTab="2" xr2:uid="{00000000-000D-0000-FFFF-FFFF00000000}"/>
  </bookViews>
  <sheets>
    <sheet name="Marx" sheetId="1" r:id="rId1"/>
    <sheet name="Sraffa w-r" sheetId="4" r:id="rId2"/>
    <sheet name="Sraffa" sheetId="2" r:id="rId3"/>
    <sheet name="Sraffa check" sheetId="3" r:id="rId4"/>
  </sheets>
  <definedNames>
    <definedName name="_a12">Sraffa!$K$22:$K$23,Sraffa!$M$22:$M$23</definedName>
    <definedName name="_A2">'Sraffa check'!$B$10:$D$12</definedName>
    <definedName name="A">Sraffa!$C$21:$E$23</definedName>
    <definedName name="I">Sraffa!$G$21:$I$23</definedName>
    <definedName name="l">Sraffa!$C$27:$E$27</definedName>
    <definedName name="LeontiefInv">Sraffa!$C$31:$E$33</definedName>
    <definedName name="Matrix_pA">Sraffa!#REF!</definedName>
    <definedName name="Net_product">Sraffa!$G$5:$G$7</definedName>
    <definedName name="Result1">Sraffa!$C$47:$E$47</definedName>
    <definedName name="Table_R">Sraffa!$C$41:$E$43</definedName>
    <definedName name="Units_of_labor">Sraffa!$C$27:$E$27</definedName>
    <definedName name="Vector_p">Sraffa!$C$49:$E$49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1" i="2" l="1"/>
  <c r="C48" i="2"/>
  <c r="I10" i="4" l="1"/>
  <c r="D10" i="4"/>
  <c r="F8" i="4"/>
  <c r="H8" i="4" s="1"/>
  <c r="F7" i="4"/>
  <c r="G7" i="4" s="1"/>
  <c r="J8" i="4"/>
  <c r="J7" i="4"/>
  <c r="J4" i="4"/>
  <c r="J3" i="4"/>
  <c r="F4" i="4"/>
  <c r="G4" i="4" s="1"/>
  <c r="F3" i="4"/>
  <c r="G3" i="4" s="1"/>
  <c r="H3" i="4" l="1"/>
  <c r="H4" i="4"/>
  <c r="G10" i="4"/>
  <c r="H7" i="4"/>
  <c r="G8" i="4"/>
  <c r="G9" i="4" s="1"/>
  <c r="H27" i="3"/>
  <c r="C25" i="3" s="1"/>
  <c r="F8" i="2"/>
  <c r="P36" i="2"/>
  <c r="P37" i="2"/>
  <c r="A25" i="3" l="1"/>
  <c r="B25" i="3"/>
  <c r="X35" i="2"/>
  <c r="P38" i="2"/>
  <c r="Q38" i="2" s="1"/>
  <c r="T35" i="2"/>
  <c r="S33" i="2"/>
  <c r="Q33" i="2"/>
  <c r="Q31" i="2"/>
  <c r="Q28" i="2"/>
  <c r="P27" i="2"/>
  <c r="O27" i="2"/>
  <c r="E15" i="2"/>
  <c r="E16" i="2"/>
  <c r="E17" i="2"/>
  <c r="E14" i="2"/>
  <c r="D15" i="2"/>
  <c r="D16" i="2"/>
  <c r="D17" i="2"/>
  <c r="D14" i="2"/>
  <c r="C15" i="2"/>
  <c r="C16" i="2"/>
  <c r="C17" i="2"/>
  <c r="C14" i="2"/>
  <c r="J10" i="3" a="1"/>
  <c r="L12" i="3" s="1"/>
  <c r="H13" i="3"/>
  <c r="G13" i="3"/>
  <c r="F13" i="3"/>
  <c r="H11" i="3"/>
  <c r="H12" i="3"/>
  <c r="H10" i="3"/>
  <c r="G11" i="3"/>
  <c r="G12" i="3"/>
  <c r="G10" i="3"/>
  <c r="F12" i="3"/>
  <c r="F11" i="3"/>
  <c r="F10" i="3"/>
  <c r="F6" i="2"/>
  <c r="F7" i="2"/>
  <c r="F5" i="2"/>
  <c r="H4" i="1"/>
  <c r="G5" i="1"/>
  <c r="G4" i="1"/>
  <c r="I4" i="1" s="1"/>
  <c r="E6" i="1"/>
  <c r="G6" i="1" s="1"/>
  <c r="D6" i="1"/>
  <c r="H6" i="1" s="1"/>
  <c r="C6" i="1"/>
  <c r="D5" i="1"/>
  <c r="F5" i="1" s="1"/>
  <c r="F4" i="1"/>
  <c r="F6" i="1" s="1"/>
  <c r="I6" i="1" l="1"/>
  <c r="H5" i="1"/>
  <c r="I5" i="1" s="1"/>
  <c r="J5" i="1" s="1"/>
  <c r="B39" i="2"/>
  <c r="D22" i="2"/>
  <c r="E21" i="2"/>
  <c r="M27" i="2" s="1"/>
  <c r="O33" i="2" s="1"/>
  <c r="C23" i="2"/>
  <c r="J12" i="3"/>
  <c r="L10" i="3"/>
  <c r="K11" i="3"/>
  <c r="J10" i="3"/>
  <c r="K12" i="3"/>
  <c r="J11" i="3"/>
  <c r="L11" i="3"/>
  <c r="K10" i="3"/>
  <c r="C21" i="2"/>
  <c r="E27" i="2"/>
  <c r="C22" i="2"/>
  <c r="E23" i="2"/>
  <c r="G7" i="2"/>
  <c r="I7" i="2" s="1"/>
  <c r="C27" i="2"/>
  <c r="G5" i="2"/>
  <c r="I5" i="2" s="1"/>
  <c r="E22" i="2"/>
  <c r="M28" i="2" s="1"/>
  <c r="D21" i="2"/>
  <c r="L27" i="2" s="1"/>
  <c r="O30" i="2" s="1"/>
  <c r="D23" i="2"/>
  <c r="L29" i="2" s="1"/>
  <c r="G6" i="2"/>
  <c r="I6" i="2" s="1"/>
  <c r="D27" i="2"/>
  <c r="K5" i="1" l="1"/>
  <c r="L5" i="1" s="1"/>
  <c r="M5" i="1" s="1"/>
  <c r="N5" i="1" s="1"/>
  <c r="K6" i="1"/>
  <c r="L6" i="1" s="1"/>
  <c r="K4" i="1"/>
  <c r="L4" i="1" s="1"/>
  <c r="M4" i="1" s="1"/>
  <c r="J4" i="1"/>
  <c r="W22" i="2"/>
  <c r="W21" i="2"/>
  <c r="K29" i="2"/>
  <c r="P34" i="2" s="1"/>
  <c r="W23" i="2"/>
  <c r="X36" i="2"/>
  <c r="X37" i="2" s="1"/>
  <c r="K41" i="2" a="1"/>
  <c r="K28" i="2"/>
  <c r="T36" i="2"/>
  <c r="T37" i="2" s="1"/>
  <c r="Q34" i="2"/>
  <c r="P28" i="2"/>
  <c r="Q27" i="2"/>
  <c r="Q30" i="2"/>
  <c r="N10" i="3"/>
  <c r="R10" i="3" s="1"/>
  <c r="P10" i="3"/>
  <c r="R12" i="3" s="1"/>
  <c r="O10" i="3"/>
  <c r="R11" i="3" s="1"/>
  <c r="N11" i="3"/>
  <c r="S10" i="3" s="1"/>
  <c r="N12" i="3"/>
  <c r="T10" i="3" s="1"/>
  <c r="J15" i="3"/>
  <c r="P12" i="3"/>
  <c r="T12" i="3" s="1"/>
  <c r="O11" i="3"/>
  <c r="S11" i="3" s="1"/>
  <c r="P11" i="3"/>
  <c r="S12" i="3" s="1"/>
  <c r="O12" i="3"/>
  <c r="T11" i="3" s="1"/>
  <c r="K21" i="2" a="1"/>
  <c r="N4" i="1" l="1"/>
  <c r="N6" i="1" s="1"/>
  <c r="M6" i="1"/>
  <c r="P31" i="2"/>
  <c r="S29" i="2"/>
  <c r="S30" i="2" s="1"/>
  <c r="M20" i="3"/>
  <c r="M24" i="3" s="1"/>
  <c r="S26" i="2"/>
  <c r="S27" i="2" s="1"/>
  <c r="P30" i="2"/>
  <c r="P33" i="2"/>
  <c r="S32" i="2" s="1"/>
  <c r="K19" i="3"/>
  <c r="K23" i="3" s="1"/>
  <c r="L41" i="2"/>
  <c r="K41" i="2"/>
  <c r="L43" i="2"/>
  <c r="L42" i="2"/>
  <c r="K42" i="2"/>
  <c r="K43" i="2"/>
  <c r="M42" i="2"/>
  <c r="M41" i="2"/>
  <c r="M43" i="2"/>
  <c r="L21" i="3"/>
  <c r="L25" i="3" s="1"/>
  <c r="M19" i="3"/>
  <c r="M23" i="3" s="1"/>
  <c r="M21" i="3"/>
  <c r="M25" i="3" s="1"/>
  <c r="L20" i="3"/>
  <c r="L24" i="3" s="1"/>
  <c r="L19" i="3"/>
  <c r="L23" i="3" s="1"/>
  <c r="K20" i="3"/>
  <c r="K24" i="3" s="1"/>
  <c r="K21" i="3"/>
  <c r="K25" i="3" s="1"/>
  <c r="K21" i="2"/>
  <c r="K22" i="2"/>
  <c r="L23" i="2"/>
  <c r="M21" i="2"/>
  <c r="K23" i="2"/>
  <c r="M22" i="2"/>
  <c r="M23" i="2"/>
  <c r="L21" i="2"/>
  <c r="L22" i="2"/>
  <c r="P42" i="2" l="1"/>
  <c r="T42" i="2" s="1"/>
  <c r="P43" i="2"/>
  <c r="U42" i="2" s="1"/>
  <c r="G41" i="2"/>
  <c r="Q42" i="2"/>
  <c r="T43" i="2" s="1"/>
  <c r="Q43" i="2"/>
  <c r="U43" i="2" s="1"/>
  <c r="Q41" i="2"/>
  <c r="S43" i="2" s="1"/>
  <c r="P41" i="2"/>
  <c r="S42" i="2" s="1"/>
  <c r="O42" i="2"/>
  <c r="T41" i="2" s="1"/>
  <c r="O43" i="2"/>
  <c r="U41" i="2" s="1"/>
  <c r="O41" i="2"/>
  <c r="S41" i="2" s="1"/>
  <c r="O21" i="2"/>
  <c r="S21" i="2" s="1"/>
  <c r="O22" i="2"/>
  <c r="T21" i="2" s="1"/>
  <c r="O23" i="2"/>
  <c r="U21" i="2" s="1"/>
  <c r="P21" i="2"/>
  <c r="S22" i="2" s="1"/>
  <c r="Q21" i="2"/>
  <c r="S23" i="2" s="1"/>
  <c r="Q23" i="2"/>
  <c r="U23" i="2" s="1"/>
  <c r="P22" i="2"/>
  <c r="T22" i="2" s="1"/>
  <c r="G27" i="2"/>
  <c r="P23" i="2"/>
  <c r="U22" i="2" s="1"/>
  <c r="Q22" i="2"/>
  <c r="T23" i="2" s="1"/>
  <c r="D41" i="2" l="1"/>
  <c r="D43" i="2"/>
  <c r="E42" i="2"/>
  <c r="C43" i="2"/>
  <c r="C42" i="2"/>
  <c r="C41" i="2"/>
  <c r="E41" i="2"/>
  <c r="E43" i="2"/>
  <c r="D42" i="2"/>
  <c r="E33" i="2"/>
  <c r="D31" i="2"/>
  <c r="C32" i="2"/>
  <c r="D32" i="2"/>
  <c r="E31" i="2"/>
  <c r="D33" i="2"/>
  <c r="E32" i="2"/>
  <c r="C33" i="2"/>
  <c r="C31" i="2"/>
  <c r="C37" i="2" s="1" a="1"/>
  <c r="C47" i="2" l="1" a="1"/>
  <c r="D47" i="2" s="1"/>
  <c r="C37" i="2"/>
  <c r="E37" i="2"/>
  <c r="D37" i="2"/>
  <c r="E47" i="2" l="1"/>
  <c r="C49" i="2" s="1" a="1"/>
  <c r="C47" i="2"/>
  <c r="C49" i="2" l="1"/>
  <c r="D49" i="2"/>
  <c r="E49" i="2"/>
</calcChain>
</file>

<file path=xl/sharedStrings.xml><?xml version="1.0" encoding="utf-8"?>
<sst xmlns="http://schemas.openxmlformats.org/spreadsheetml/2006/main" count="192" uniqueCount="95">
  <si>
    <t># of ind</t>
  </si>
  <si>
    <t>c</t>
  </si>
  <si>
    <t>v</t>
  </si>
  <si>
    <t>s</t>
  </si>
  <si>
    <t>total</t>
  </si>
  <si>
    <t>Labor value</t>
  </si>
  <si>
    <t>s/v</t>
  </si>
  <si>
    <t>c/v</t>
  </si>
  <si>
    <t>r(%)</t>
  </si>
  <si>
    <t>Total</t>
  </si>
  <si>
    <t>r*(%)</t>
  </si>
  <si>
    <t>Price</t>
  </si>
  <si>
    <t>of prod</t>
  </si>
  <si>
    <t>Deviation</t>
  </si>
  <si>
    <t>Profits</t>
  </si>
  <si>
    <t>Transactions Table</t>
  </si>
  <si>
    <t>Gross output</t>
  </si>
  <si>
    <t>Iron</t>
  </si>
  <si>
    <t>Coal</t>
  </si>
  <si>
    <t>Wheat</t>
  </si>
  <si>
    <t>Units of labor</t>
  </si>
  <si>
    <t>inputs</t>
  </si>
  <si>
    <t>Gross</t>
  </si>
  <si>
    <t>output</t>
  </si>
  <si>
    <t>Net output</t>
  </si>
  <si>
    <t>Labor</t>
  </si>
  <si>
    <t>Technical coefficients</t>
  </si>
  <si>
    <r>
      <t xml:space="preserve">Matrix </t>
    </r>
    <r>
      <rPr>
        <b/>
        <sz val="11"/>
        <color theme="1"/>
        <rFont val="Calibri"/>
        <family val="2"/>
        <scheme val="minor"/>
      </rPr>
      <t>A</t>
    </r>
  </si>
  <si>
    <r>
      <t xml:space="preserve">Vector </t>
    </r>
    <r>
      <rPr>
        <b/>
        <sz val="11"/>
        <color theme="1"/>
        <rFont val="Calibri"/>
        <family val="2"/>
        <scheme val="minor"/>
      </rPr>
      <t>l</t>
    </r>
  </si>
  <si>
    <t>Leontief inverse</t>
  </si>
  <si>
    <r>
      <t xml:space="preserve">Leontief inverse </t>
    </r>
    <r>
      <rPr>
        <b/>
        <sz val="11"/>
        <color theme="1"/>
        <rFont val="Calibri"/>
        <family val="2"/>
        <scheme val="minor"/>
      </rPr>
      <t>(I − A)^(−1)</t>
    </r>
  </si>
  <si>
    <r>
      <t xml:space="preserve">Matrix </t>
    </r>
    <r>
      <rPr>
        <b/>
        <sz val="11"/>
        <color theme="1"/>
        <rFont val="Calibri"/>
        <family val="2"/>
        <scheme val="minor"/>
      </rPr>
      <t>I</t>
    </r>
  </si>
  <si>
    <r>
      <t xml:space="preserve">Matrix </t>
    </r>
    <r>
      <rPr>
        <b/>
        <sz val="11"/>
        <color theme="1"/>
        <rFont val="Calibri"/>
        <family val="2"/>
        <scheme val="minor"/>
      </rPr>
      <t>(I-A)</t>
    </r>
  </si>
  <si>
    <r>
      <t xml:space="preserve">Adjoint of matrix </t>
    </r>
    <r>
      <rPr>
        <b/>
        <sz val="11"/>
        <color theme="1"/>
        <rFont val="Calibri"/>
        <family val="2"/>
        <scheme val="minor"/>
      </rPr>
      <t>(I-A) step1</t>
    </r>
  </si>
  <si>
    <r>
      <t xml:space="preserve">Adjoint of matrix </t>
    </r>
    <r>
      <rPr>
        <b/>
        <sz val="11"/>
        <color theme="1"/>
        <rFont val="Calibri"/>
        <family val="2"/>
        <scheme val="minor"/>
      </rPr>
      <t>(I-A) step2</t>
    </r>
  </si>
  <si>
    <t>(I-A)</t>
  </si>
  <si>
    <t>Det (I-A)</t>
  </si>
  <si>
    <t>Adjoint (I-A) step 1</t>
  </si>
  <si>
    <t>Adjoint (I-A) step 2</t>
  </si>
  <si>
    <t>=0.45-λ</t>
  </si>
  <si>
    <t>=0.25-λ</t>
  </si>
  <si>
    <t>=0.364-λ</t>
  </si>
  <si>
    <r>
      <t xml:space="preserve">Matrix </t>
    </r>
    <r>
      <rPr>
        <b/>
        <sz val="11"/>
        <color theme="1"/>
        <rFont val="Calibri"/>
        <family val="2"/>
        <scheme val="minor"/>
      </rPr>
      <t>(A-λ*I)</t>
    </r>
  </si>
  <si>
    <t>Part #1  [+]</t>
  </si>
  <si>
    <t>Part #2 [-]</t>
  </si>
  <si>
    <t>Part #3 [+]</t>
  </si>
  <si>
    <t>λ1</t>
  </si>
  <si>
    <t>λ2</t>
  </si>
  <si>
    <t>λ3</t>
  </si>
  <si>
    <t>product of λs</t>
  </si>
  <si>
    <t>determinant of A</t>
  </si>
  <si>
    <t>Max λ =</t>
  </si>
  <si>
    <t>difference likely due</t>
  </si>
  <si>
    <t>to rounding</t>
  </si>
  <si>
    <t>Check 1:</t>
  </si>
  <si>
    <t>Check 2:</t>
  </si>
  <si>
    <t>sum of λs</t>
  </si>
  <si>
    <t>sum of marix A diag</t>
  </si>
  <si>
    <t>Embodied labor</t>
  </si>
  <si>
    <r>
      <t xml:space="preserve">Vector </t>
    </r>
    <r>
      <rPr>
        <b/>
        <sz val="11"/>
        <color theme="1"/>
        <rFont val="Calibri"/>
        <family val="2"/>
        <scheme val="minor"/>
      </rPr>
      <t>v=l*(I-A)^(-1)</t>
    </r>
  </si>
  <si>
    <t>Surplus/</t>
  </si>
  <si>
    <t>Net</t>
  </si>
  <si>
    <t>product</t>
  </si>
  <si>
    <r>
      <t xml:space="preserve">Matrix </t>
    </r>
    <r>
      <rPr>
        <b/>
        <sz val="11"/>
        <color theme="1"/>
        <rFont val="Calibri"/>
        <family val="2"/>
        <scheme val="minor"/>
      </rPr>
      <t>(I-A*(1+r))</t>
    </r>
  </si>
  <si>
    <t>w=1/[l*(I-A*(1+r))^(-1)*y]</t>
  </si>
  <si>
    <t>w =</t>
  </si>
  <si>
    <t>Interm calc'ns</t>
  </si>
  <si>
    <r>
      <t xml:space="preserve">Vector </t>
    </r>
    <r>
      <rPr>
        <b/>
        <sz val="11"/>
        <color theme="1"/>
        <rFont val="Calibri"/>
        <family val="2"/>
        <scheme val="minor"/>
      </rPr>
      <t>p</t>
    </r>
  </si>
  <si>
    <r>
      <t xml:space="preserve">Matrix determinant </t>
    </r>
    <r>
      <rPr>
        <b/>
        <sz val="11"/>
        <color theme="1"/>
        <rFont val="Calibri"/>
        <family val="2"/>
        <scheme val="minor"/>
      </rPr>
      <t>--&gt;</t>
    </r>
  </si>
  <si>
    <t>R=</t>
  </si>
  <si>
    <t>COLUMN OF RESULTS</t>
  </si>
  <si>
    <t>COLUMN OF ADDITIONAL CALCULATIONS BELOW ***</t>
  </si>
  <si>
    <t>p*y=1</t>
  </si>
  <si>
    <t>Total MOP</t>
  </si>
  <si>
    <t>Wages</t>
  </si>
  <si>
    <t>Value added</t>
  </si>
  <si>
    <t>Prices</t>
  </si>
  <si>
    <t xml:space="preserve">Rate of </t>
  </si>
  <si>
    <t>profit</t>
  </si>
  <si>
    <t>Industry</t>
  </si>
  <si>
    <t>K</t>
  </si>
  <si>
    <t>w</t>
  </si>
  <si>
    <t>L</t>
  </si>
  <si>
    <t>wL</t>
  </si>
  <si>
    <t>r</t>
  </si>
  <si>
    <t>S</t>
  </si>
  <si>
    <t>p</t>
  </si>
  <si>
    <t>L/K</t>
  </si>
  <si>
    <t>Food</t>
  </si>
  <si>
    <t>Cloth</t>
  </si>
  <si>
    <t>Surplus</t>
  </si>
  <si>
    <t>Deficit</t>
  </si>
  <si>
    <t>Change</t>
  </si>
  <si>
    <t>#1</t>
  </si>
  <si>
    <t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</si>
</sst>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0"/>
    <numFmt numFmtId="167" formatCode="0.0%"/>
    <numFmt numFmtId="168" formatCode="0.0000"/>
    <numFmt numFmtId="169" formatCode="0.00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0"/>
      <name val="Arial"/>
      <family val="2"/>
    </font>
    <font>
      <b/>
      <sz val="10"/>
      <color rgb="FF292934"/>
      <name val="Arial"/>
      <family val="2"/>
    </font>
    <font>
      <sz val="10"/>
      <color theme="1"/>
      <name val="Arial"/>
      <family val="2"/>
    </font>
    <font>
      <sz val="10"/>
      <color rgb="FF292934"/>
      <name val="Arial"/>
      <family val="2"/>
    </font>
    <font>
      <sz val="10"/>
      <color rgb="FF0000FF"/>
      <name val="Arial"/>
      <family val="2"/>
    </font>
    <font>
      <b/>
      <sz val="10"/>
      <color theme="1"/>
      <name val="Arial"/>
      <family val="2"/>
    </font>
    <font>
      <b/>
      <sz val="10"/>
      <color rgb="FF0000FF"/>
      <name val="Arial"/>
      <family val="2"/>
    </font>
    <font>
      <sz val="10"/>
      <color rgb="FFFFFFFF"/>
      <name val="Arial"/>
      <family val="2"/>
    </font>
    <font>
      <sz val="11"/>
      <color theme="1"/>
      <name val="Calibri"/>
      <family val="2"/>
    </font>
    <font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sz val="11"/>
      <color rgb="FF29293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000F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EF0EF"/>
        <bgColor indexed="64"/>
      </patternFill>
    </fill>
    <fill>
      <patternFill patternType="solid">
        <fgColor rgb="FFEDBAB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3A2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CE0DE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292934"/>
      </left>
      <right style="medium">
        <color rgb="FFFFFFFF"/>
      </right>
      <top style="medium">
        <color rgb="FF292934"/>
      </top>
      <bottom style="medium">
        <color rgb="FFFFFFFF"/>
      </bottom>
      <diagonal/>
    </border>
    <border>
      <left style="medium">
        <color rgb="FFFFFFFF"/>
      </left>
      <right/>
      <top style="medium">
        <color rgb="FF292934"/>
      </top>
      <bottom style="medium">
        <color rgb="FFFFFFFF"/>
      </bottom>
      <diagonal/>
    </border>
    <border>
      <left/>
      <right/>
      <top style="medium">
        <color rgb="FF292934"/>
      </top>
      <bottom style="medium">
        <color rgb="FFFFFFFF"/>
      </bottom>
      <diagonal/>
    </border>
    <border>
      <left/>
      <right style="medium">
        <color rgb="FF292934"/>
      </right>
      <top style="medium">
        <color rgb="FF292934"/>
      </top>
      <bottom style="medium">
        <color rgb="FFFFFFFF"/>
      </bottom>
      <diagonal/>
    </border>
    <border>
      <left style="medium">
        <color rgb="FF292934"/>
      </left>
      <right style="medium">
        <color rgb="FFFFFFFF"/>
      </right>
      <top style="medium">
        <color rgb="FFFFFFFF"/>
      </top>
      <bottom style="medium">
        <color rgb="FF292934"/>
      </bottom>
      <diagonal/>
    </border>
    <border>
      <left style="medium">
        <color rgb="FF292934"/>
      </left>
      <right style="medium">
        <color rgb="FFFFFFFF"/>
      </right>
      <top style="medium">
        <color rgb="FFFFFFFF"/>
      </top>
      <bottom/>
      <diagonal/>
    </border>
    <border>
      <left style="medium">
        <color rgb="FF292934"/>
      </left>
      <right style="medium">
        <color rgb="FFFFFFFF"/>
      </right>
      <top/>
      <bottom style="medium">
        <color rgb="FF29293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29293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292934"/>
      </bottom>
      <diagonal/>
    </border>
    <border>
      <left style="medium">
        <color rgb="FFFFFFFF"/>
      </left>
      <right style="medium">
        <color rgb="FF292934"/>
      </right>
      <top style="medium">
        <color rgb="FFFFFFFF"/>
      </top>
      <bottom style="medium">
        <color rgb="FF292934"/>
      </bottom>
      <diagonal/>
    </border>
    <border>
      <left style="medium">
        <color rgb="FF292934"/>
      </left>
      <right style="medium">
        <color rgb="FF292934"/>
      </right>
      <top style="medium">
        <color rgb="FF292934"/>
      </top>
      <bottom style="medium">
        <color rgb="FF292934"/>
      </bottom>
      <diagonal/>
    </border>
    <border>
      <left style="medium">
        <color rgb="FFFFFFFF"/>
      </left>
      <right style="medium">
        <color rgb="FFFFFFFF"/>
      </right>
      <top style="medium">
        <color rgb="FF292934"/>
      </top>
      <bottom style="medium">
        <color rgb="FFFFFFFF"/>
      </bottom>
      <diagonal/>
    </border>
    <border>
      <left style="medium">
        <color rgb="FF292934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292934"/>
      </bottom>
      <diagonal/>
    </border>
    <border>
      <left/>
      <right/>
      <top style="medium">
        <color rgb="FFFFFFFF"/>
      </top>
      <bottom style="medium">
        <color rgb="FF29293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292934"/>
      </bottom>
      <diagonal/>
    </border>
    <border>
      <left style="medium">
        <color rgb="FFFFFFFF"/>
      </left>
      <right style="medium">
        <color rgb="FFFFFFFF"/>
      </right>
      <top style="medium">
        <color rgb="FF292934"/>
      </top>
      <bottom style="medium">
        <color rgb="FF292934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292934"/>
      </left>
      <right/>
      <top style="medium">
        <color rgb="FF292934"/>
      </top>
      <bottom style="medium">
        <color rgb="FF292934"/>
      </bottom>
      <diagonal/>
    </border>
    <border>
      <left/>
      <right/>
      <top style="medium">
        <color rgb="FF292934"/>
      </top>
      <bottom style="medium">
        <color rgb="FF292934"/>
      </bottom>
      <diagonal/>
    </border>
    <border>
      <left/>
      <right style="medium">
        <color rgb="FF292934"/>
      </right>
      <top style="medium">
        <color rgb="FF292934"/>
      </top>
      <bottom style="medium">
        <color rgb="FF29293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7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4" fillId="0" borderId="1" xfId="0" applyFont="1" applyBorder="1"/>
    <xf numFmtId="165" fontId="4" fillId="0" borderId="1" xfId="0" applyNumberFormat="1" applyFont="1" applyBorder="1"/>
    <xf numFmtId="0" fontId="2" fillId="0" borderId="0" xfId="0" applyFont="1" applyBorder="1"/>
    <xf numFmtId="0" fontId="3" fillId="0" borderId="1" xfId="0" applyFont="1" applyBorder="1"/>
    <xf numFmtId="164" fontId="3" fillId="0" borderId="1" xfId="0" applyNumberFormat="1" applyFont="1" applyBorder="1"/>
    <xf numFmtId="0" fontId="2" fillId="4" borderId="1" xfId="0" applyFont="1" applyFill="1" applyBorder="1"/>
    <xf numFmtId="0" fontId="0" fillId="4" borderId="0" xfId="0" applyFill="1"/>
    <xf numFmtId="164" fontId="3" fillId="4" borderId="0" xfId="0" applyNumberFormat="1" applyFont="1" applyFill="1"/>
    <xf numFmtId="0" fontId="0" fillId="4" borderId="1" xfId="0" applyFill="1" applyBorder="1"/>
    <xf numFmtId="0" fontId="0" fillId="5" borderId="0" xfId="0" applyFill="1" applyBorder="1"/>
    <xf numFmtId="164" fontId="4" fillId="4" borderId="0" xfId="0" applyNumberFormat="1" applyFont="1" applyFill="1"/>
    <xf numFmtId="164" fontId="4" fillId="4" borderId="1" xfId="0" applyNumberFormat="1" applyFont="1" applyFill="1" applyBorder="1"/>
    <xf numFmtId="0" fontId="0" fillId="0" borderId="0" xfId="0" applyBorder="1"/>
    <xf numFmtId="0" fontId="5" fillId="2" borderId="2" xfId="0" applyNumberFormat="1" applyFont="1" applyFill="1" applyBorder="1" applyAlignment="1"/>
    <xf numFmtId="0" fontId="7" fillId="0" borderId="0" xfId="0" applyNumberFormat="1" applyFont="1" applyAlignment="1"/>
    <xf numFmtId="0" fontId="5" fillId="2" borderId="6" xfId="0" applyNumberFormat="1" applyFont="1" applyFill="1" applyBorder="1" applyAlignment="1"/>
    <xf numFmtId="0" fontId="8" fillId="2" borderId="9" xfId="0" applyNumberFormat="1" applyFont="1" applyFill="1" applyBorder="1" applyAlignment="1">
      <alignment horizontal="center"/>
    </xf>
    <xf numFmtId="0" fontId="8" fillId="2" borderId="12" xfId="0" applyNumberFormat="1" applyFont="1" applyFill="1" applyBorder="1" applyAlignment="1">
      <alignment horizontal="center"/>
    </xf>
    <xf numFmtId="0" fontId="8" fillId="3" borderId="13" xfId="0" applyNumberFormat="1" applyFont="1" applyFill="1" applyBorder="1" applyAlignment="1">
      <alignment horizontal="left"/>
    </xf>
    <xf numFmtId="0" fontId="8" fillId="3" borderId="13" xfId="0" applyNumberFormat="1" applyFont="1" applyFill="1" applyBorder="1" applyAlignment="1">
      <alignment horizontal="right" vertical="top"/>
    </xf>
    <xf numFmtId="0" fontId="8" fillId="3" borderId="2" xfId="0" applyNumberFormat="1" applyFont="1" applyFill="1" applyBorder="1" applyAlignment="1">
      <alignment horizontal="right" vertical="top"/>
    </xf>
    <xf numFmtId="0" fontId="8" fillId="3" borderId="14" xfId="0" applyNumberFormat="1" applyFont="1" applyFill="1" applyBorder="1" applyAlignment="1">
      <alignment horizontal="right"/>
    </xf>
    <xf numFmtId="0" fontId="8" fillId="2" borderId="13" xfId="0" applyNumberFormat="1" applyFont="1" applyFill="1" applyBorder="1" applyAlignment="1">
      <alignment horizontal="left"/>
    </xf>
    <xf numFmtId="0" fontId="8" fillId="2" borderId="13" xfId="0" applyNumberFormat="1" applyFont="1" applyFill="1" applyBorder="1" applyAlignment="1">
      <alignment horizontal="right" vertical="top"/>
    </xf>
    <xf numFmtId="0" fontId="8" fillId="2" borderId="15" xfId="0" applyNumberFormat="1" applyFont="1" applyFill="1" applyBorder="1" applyAlignment="1">
      <alignment horizontal="right" vertical="top"/>
    </xf>
    <xf numFmtId="0" fontId="8" fillId="2" borderId="16" xfId="0" applyNumberFormat="1" applyFont="1" applyFill="1" applyBorder="1" applyAlignment="1">
      <alignment horizontal="right"/>
    </xf>
    <xf numFmtId="0" fontId="8" fillId="3" borderId="15" xfId="0" applyNumberFormat="1" applyFont="1" applyFill="1" applyBorder="1" applyAlignment="1">
      <alignment horizontal="right" vertical="top"/>
    </xf>
    <xf numFmtId="0" fontId="8" fillId="3" borderId="16" xfId="0" applyNumberFormat="1" applyFont="1" applyFill="1" applyBorder="1" applyAlignment="1">
      <alignment horizontal="right"/>
    </xf>
    <xf numFmtId="0" fontId="8" fillId="2" borderId="14" xfId="0" applyNumberFormat="1" applyFont="1" applyFill="1" applyBorder="1" applyAlignment="1">
      <alignment horizontal="left"/>
    </xf>
    <xf numFmtId="0" fontId="8" fillId="2" borderId="14" xfId="0" applyNumberFormat="1" applyFont="1" applyFill="1" applyBorder="1" applyAlignment="1">
      <alignment horizontal="right"/>
    </xf>
    <xf numFmtId="0" fontId="5" fillId="2" borderId="16" xfId="0" applyNumberFormat="1" applyFont="1" applyFill="1" applyBorder="1" applyAlignment="1"/>
    <xf numFmtId="0" fontId="5" fillId="2" borderId="9" xfId="0" applyNumberFormat="1" applyFont="1" applyFill="1" applyBorder="1" applyAlignment="1"/>
    <xf numFmtId="0" fontId="5" fillId="2" borderId="20" xfId="0" applyNumberFormat="1" applyFont="1" applyFill="1" applyBorder="1" applyAlignment="1"/>
    <xf numFmtId="0" fontId="8" fillId="2" borderId="20" xfId="0" applyNumberFormat="1" applyFont="1" applyFill="1" applyBorder="1" applyAlignment="1">
      <alignment horizontal="center"/>
    </xf>
    <xf numFmtId="0" fontId="3" fillId="4" borderId="0" xfId="0" applyFont="1" applyFill="1"/>
    <xf numFmtId="166" fontId="3" fillId="4" borderId="0" xfId="0" applyNumberFormat="1" applyFont="1" applyFill="1"/>
    <xf numFmtId="0" fontId="5" fillId="2" borderId="24" xfId="0" applyFont="1" applyFill="1" applyBorder="1" applyAlignment="1">
      <alignment wrapText="1"/>
    </xf>
    <xf numFmtId="0" fontId="8" fillId="2" borderId="24" xfId="0" applyFont="1" applyFill="1" applyBorder="1" applyAlignment="1">
      <alignment horizontal="center" wrapText="1" readingOrder="1"/>
    </xf>
    <xf numFmtId="0" fontId="8" fillId="3" borderId="16" xfId="0" applyFont="1" applyFill="1" applyBorder="1" applyAlignment="1">
      <alignment horizontal="left" wrapText="1" readingOrder="1"/>
    </xf>
    <xf numFmtId="0" fontId="8" fillId="3" borderId="16" xfId="0" applyFont="1" applyFill="1" applyBorder="1" applyAlignment="1">
      <alignment horizontal="right" wrapText="1" readingOrder="1"/>
    </xf>
    <xf numFmtId="0" fontId="8" fillId="2" borderId="16" xfId="0" applyFont="1" applyFill="1" applyBorder="1" applyAlignment="1">
      <alignment horizontal="left" wrapText="1" readingOrder="1"/>
    </xf>
    <xf numFmtId="0" fontId="8" fillId="2" borderId="16" xfId="0" applyFont="1" applyFill="1" applyBorder="1" applyAlignment="1">
      <alignment horizontal="right" wrapText="1" readingOrder="1"/>
    </xf>
    <xf numFmtId="0" fontId="10" fillId="4" borderId="0" xfId="0" applyNumberFormat="1" applyFont="1" applyFill="1" applyAlignment="1"/>
    <xf numFmtId="0" fontId="7" fillId="4" borderId="0" xfId="0" applyNumberFormat="1" applyFont="1" applyFill="1" applyAlignment="1"/>
    <xf numFmtId="0" fontId="9" fillId="4" borderId="0" xfId="0" applyNumberFormat="1" applyFont="1" applyFill="1" applyAlignment="1"/>
    <xf numFmtId="0" fontId="11" fillId="4" borderId="0" xfId="0" applyNumberFormat="1" applyFont="1" applyFill="1" applyAlignment="1"/>
    <xf numFmtId="0" fontId="13" fillId="4" borderId="0" xfId="0" applyFont="1" applyFill="1"/>
    <xf numFmtId="0" fontId="3" fillId="4" borderId="0" xfId="0" quotePrefix="1" applyFont="1" applyFill="1"/>
    <xf numFmtId="0" fontId="0" fillId="0" borderId="0" xfId="0" applyAlignment="1">
      <alignment horizontal="right"/>
    </xf>
    <xf numFmtId="0" fontId="2" fillId="4" borderId="0" xfId="0" applyFont="1" applyFill="1"/>
    <xf numFmtId="0" fontId="14" fillId="4" borderId="0" xfId="0" applyFont="1" applyFill="1"/>
    <xf numFmtId="0" fontId="0" fillId="4" borderId="0" xfId="0" applyFill="1" applyAlignment="1">
      <alignment horizontal="right"/>
    </xf>
    <xf numFmtId="0" fontId="3" fillId="4" borderId="0" xfId="0" applyFont="1" applyFill="1" applyAlignment="1">
      <alignment horizontal="right"/>
    </xf>
    <xf numFmtId="164" fontId="3" fillId="4" borderId="0" xfId="0" applyNumberFormat="1" applyFont="1" applyFill="1" applyAlignment="1">
      <alignment horizontal="right"/>
    </xf>
    <xf numFmtId="0" fontId="2" fillId="7" borderId="0" xfId="0" applyFont="1" applyFill="1"/>
    <xf numFmtId="0" fontId="4" fillId="7" borderId="0" xfId="0" applyFont="1" applyFill="1"/>
    <xf numFmtId="0" fontId="0" fillId="7" borderId="0" xfId="0" applyFill="1"/>
    <xf numFmtId="0" fontId="15" fillId="7" borderId="0" xfId="0" applyFont="1" applyFill="1"/>
    <xf numFmtId="164" fontId="4" fillId="7" borderId="0" xfId="0" applyNumberFormat="1" applyFont="1" applyFill="1"/>
    <xf numFmtId="0" fontId="16" fillId="4" borderId="0" xfId="0" applyNumberFormat="1" applyFont="1" applyFill="1" applyAlignment="1"/>
    <xf numFmtId="0" fontId="2" fillId="0" borderId="0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9" fontId="2" fillId="0" borderId="0" xfId="0" applyNumberFormat="1" applyFont="1"/>
    <xf numFmtId="0" fontId="2" fillId="0" borderId="0" xfId="0" applyFont="1" applyFill="1" applyBorder="1"/>
    <xf numFmtId="0" fontId="0" fillId="8" borderId="0" xfId="0" applyFill="1" applyAlignment="1">
      <alignment horizontal="right"/>
    </xf>
    <xf numFmtId="167" fontId="4" fillId="8" borderId="0" xfId="1" applyNumberFormat="1" applyFont="1" applyFill="1"/>
    <xf numFmtId="168" fontId="4" fillId="4" borderId="0" xfId="0" quotePrefix="1" applyNumberFormat="1" applyFont="1" applyFill="1" applyAlignment="1">
      <alignment horizontal="right"/>
    </xf>
    <xf numFmtId="168" fontId="3" fillId="4" borderId="0" xfId="0" applyNumberFormat="1" applyFont="1" applyFill="1"/>
    <xf numFmtId="164" fontId="0" fillId="0" borderId="0" xfId="0" applyNumberFormat="1"/>
    <xf numFmtId="164" fontId="3" fillId="0" borderId="0" xfId="0" applyNumberFormat="1" applyFont="1" applyBorder="1"/>
    <xf numFmtId="0" fontId="2" fillId="8" borderId="0" xfId="0" applyFont="1" applyFill="1"/>
    <xf numFmtId="0" fontId="8" fillId="2" borderId="13" xfId="0" applyFont="1" applyFill="1" applyBorder="1" applyAlignment="1">
      <alignment horizontal="left" wrapText="1" readingOrder="1"/>
    </xf>
    <xf numFmtId="0" fontId="6" fillId="2" borderId="15" xfId="0" applyFont="1" applyFill="1" applyBorder="1" applyAlignment="1">
      <alignment horizontal="left" wrapText="1" readingOrder="1"/>
    </xf>
    <xf numFmtId="0" fontId="6" fillId="2" borderId="16" xfId="0" applyFont="1" applyFill="1" applyBorder="1" applyAlignment="1">
      <alignment horizontal="left" wrapText="1" readingOrder="1"/>
    </xf>
    <xf numFmtId="0" fontId="8" fillId="2" borderId="13" xfId="0" applyFont="1" applyFill="1" applyBorder="1" applyAlignment="1">
      <alignment horizontal="center" wrapText="1" readingOrder="1"/>
    </xf>
    <xf numFmtId="0" fontId="5" fillId="2" borderId="15" xfId="0" applyFont="1" applyFill="1" applyBorder="1" applyAlignment="1">
      <alignment wrapText="1"/>
    </xf>
    <xf numFmtId="0" fontId="5" fillId="2" borderId="16" xfId="0" applyFont="1" applyFill="1" applyBorder="1" applyAlignment="1">
      <alignment wrapText="1"/>
    </xf>
    <xf numFmtId="0" fontId="8" fillId="3" borderId="13" xfId="0" applyFont="1" applyFill="1" applyBorder="1" applyAlignment="1">
      <alignment horizontal="left" wrapText="1" readingOrder="1"/>
    </xf>
    <xf numFmtId="0" fontId="8" fillId="3" borderId="13" xfId="0" applyFont="1" applyFill="1" applyBorder="1" applyAlignment="1">
      <alignment horizontal="right" wrapText="1" readingOrder="1"/>
    </xf>
    <xf numFmtId="0" fontId="8" fillId="3" borderId="15" xfId="0" applyFont="1" applyFill="1" applyBorder="1" applyAlignment="1">
      <alignment horizontal="right" wrapText="1" readingOrder="1"/>
    </xf>
    <xf numFmtId="0" fontId="8" fillId="2" borderId="13" xfId="0" applyFont="1" applyFill="1" applyBorder="1" applyAlignment="1">
      <alignment horizontal="right" wrapText="1" readingOrder="1"/>
    </xf>
    <xf numFmtId="0" fontId="8" fillId="2" borderId="15" xfId="0" applyFont="1" applyFill="1" applyBorder="1" applyAlignment="1">
      <alignment horizontal="right" wrapText="1" readingOrder="1"/>
    </xf>
    <xf numFmtId="0" fontId="8" fillId="2" borderId="14" xfId="0" applyFont="1" applyFill="1" applyBorder="1" applyAlignment="1">
      <alignment horizontal="left" wrapText="1" readingOrder="1"/>
    </xf>
    <xf numFmtId="0" fontId="8" fillId="2" borderId="14" xfId="0" applyFont="1" applyFill="1" applyBorder="1" applyAlignment="1">
      <alignment horizontal="right" wrapText="1" readingOrder="1"/>
    </xf>
    <xf numFmtId="0" fontId="5" fillId="3" borderId="16" xfId="0" applyFont="1" applyFill="1" applyBorder="1" applyAlignment="1">
      <alignment wrapText="1"/>
    </xf>
    <xf numFmtId="0" fontId="8" fillId="2" borderId="16" xfId="0" applyFont="1" applyFill="1" applyBorder="1" applyAlignment="1">
      <alignment horizontal="center" wrapText="1" readingOrder="1"/>
    </xf>
    <xf numFmtId="167" fontId="3" fillId="0" borderId="0" xfId="1" applyNumberFormat="1" applyFont="1"/>
    <xf numFmtId="0" fontId="2" fillId="0" borderId="0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17" fillId="0" borderId="0" xfId="0" applyFont="1"/>
    <xf numFmtId="0" fontId="18" fillId="6" borderId="31" xfId="0" applyFont="1" applyFill="1" applyBorder="1" applyAlignment="1">
      <alignment horizontal="center" vertical="center" wrapText="1" readingOrder="1"/>
    </xf>
    <xf numFmtId="0" fontId="18" fillId="6" borderId="24" xfId="0" applyFont="1" applyFill="1" applyBorder="1" applyAlignment="1">
      <alignment horizontal="center" vertical="center" wrapText="1" readingOrder="1"/>
    </xf>
    <xf numFmtId="0" fontId="19" fillId="9" borderId="24" xfId="0" applyFont="1" applyFill="1" applyBorder="1" applyAlignment="1">
      <alignment horizontal="right" vertical="center" wrapText="1" readingOrder="1"/>
    </xf>
    <xf numFmtId="0" fontId="19" fillId="10" borderId="24" xfId="0" applyFont="1" applyFill="1" applyBorder="1" applyAlignment="1">
      <alignment horizontal="right" vertical="center" wrapText="1" readingOrder="1"/>
    </xf>
    <xf numFmtId="0" fontId="18" fillId="6" borderId="16" xfId="0" applyFont="1" applyFill="1" applyBorder="1" applyAlignment="1">
      <alignment horizontal="center" vertical="center" wrapText="1" readingOrder="1"/>
    </xf>
    <xf numFmtId="0" fontId="19" fillId="2" borderId="16" xfId="0" applyFont="1" applyFill="1" applyBorder="1" applyAlignment="1">
      <alignment horizontal="right" vertical="center" wrapText="1" readingOrder="1"/>
    </xf>
    <xf numFmtId="0" fontId="19" fillId="10" borderId="16" xfId="0" applyFont="1" applyFill="1" applyBorder="1" applyAlignment="1">
      <alignment horizontal="right" vertical="center" wrapText="1" readingOrder="1"/>
    </xf>
    <xf numFmtId="0" fontId="19" fillId="9" borderId="16" xfId="0" applyFont="1" applyFill="1" applyBorder="1" applyAlignment="1">
      <alignment horizontal="left" vertical="center" wrapText="1" readingOrder="1"/>
    </xf>
    <xf numFmtId="0" fontId="20" fillId="9" borderId="16" xfId="0" applyFont="1" applyFill="1" applyBorder="1" applyAlignment="1">
      <alignment wrapText="1"/>
    </xf>
    <xf numFmtId="0" fontId="19" fillId="9" borderId="16" xfId="0" applyFont="1" applyFill="1" applyBorder="1" applyAlignment="1">
      <alignment horizontal="right" vertical="center" wrapText="1" readingOrder="1"/>
    </xf>
    <xf numFmtId="0" fontId="21" fillId="9" borderId="24" xfId="0" applyFont="1" applyFill="1" applyBorder="1" applyAlignment="1">
      <alignment horizontal="right" vertical="center" wrapText="1" readingOrder="1"/>
    </xf>
    <xf numFmtId="0" fontId="21" fillId="2" borderId="16" xfId="0" applyFont="1" applyFill="1" applyBorder="1" applyAlignment="1">
      <alignment horizontal="right" vertical="center" wrapText="1" readingOrder="1"/>
    </xf>
    <xf numFmtId="0" fontId="21" fillId="9" borderId="16" xfId="0" applyFont="1" applyFill="1" applyBorder="1" applyAlignment="1">
      <alignment horizontal="right" vertical="center" wrapText="1" readingOrder="1"/>
    </xf>
    <xf numFmtId="169" fontId="17" fillId="0" borderId="0" xfId="0" applyNumberFormat="1" applyFont="1"/>
    <xf numFmtId="0" fontId="22" fillId="0" borderId="0" xfId="0" applyFont="1"/>
    <xf numFmtId="9" fontId="21" fillId="9" borderId="16" xfId="1" applyFont="1" applyFill="1" applyBorder="1" applyAlignment="1">
      <alignment wrapText="1"/>
    </xf>
    <xf numFmtId="167" fontId="21" fillId="10" borderId="24" xfId="0" applyNumberFormat="1" applyFont="1" applyFill="1" applyBorder="1" applyAlignment="1">
      <alignment horizontal="right" vertical="center" wrapText="1" readingOrder="1"/>
    </xf>
    <xf numFmtId="167" fontId="21" fillId="9" borderId="16" xfId="1" applyNumberFormat="1" applyFont="1" applyFill="1" applyBorder="1" applyAlignment="1">
      <alignment wrapText="1"/>
    </xf>
    <xf numFmtId="0" fontId="6" fillId="2" borderId="25" xfId="0" applyFont="1" applyFill="1" applyBorder="1" applyAlignment="1">
      <alignment horizontal="center" wrapText="1" readingOrder="1"/>
    </xf>
    <xf numFmtId="0" fontId="6" fillId="2" borderId="26" xfId="0" applyFont="1" applyFill="1" applyBorder="1" applyAlignment="1">
      <alignment horizontal="center" wrapText="1" readingOrder="1"/>
    </xf>
    <xf numFmtId="0" fontId="6" fillId="2" borderId="27" xfId="0" applyFont="1" applyFill="1" applyBorder="1" applyAlignment="1">
      <alignment horizontal="center" wrapText="1" readingOrder="1"/>
    </xf>
    <xf numFmtId="0" fontId="6" fillId="2" borderId="28" xfId="0" applyFont="1" applyFill="1" applyBorder="1" applyAlignment="1">
      <alignment horizontal="center" wrapText="1" readingOrder="1"/>
    </xf>
    <xf numFmtId="0" fontId="6" fillId="2" borderId="29" xfId="0" applyFont="1" applyFill="1" applyBorder="1" applyAlignment="1">
      <alignment horizontal="center" wrapText="1" readingOrder="1"/>
    </xf>
    <xf numFmtId="0" fontId="6" fillId="2" borderId="30" xfId="0" applyFont="1" applyFill="1" applyBorder="1" applyAlignment="1">
      <alignment horizontal="center" wrapText="1" readingOrder="1"/>
    </xf>
    <xf numFmtId="0" fontId="6" fillId="2" borderId="3" xfId="0" applyNumberFormat="1" applyFont="1" applyFill="1" applyBorder="1" applyAlignment="1">
      <alignment horizontal="center" vertical="top"/>
    </xf>
    <xf numFmtId="0" fontId="6" fillId="2" borderId="4" xfId="0" applyNumberFormat="1" applyFont="1" applyFill="1" applyBorder="1" applyAlignment="1">
      <alignment horizontal="center" vertical="top"/>
    </xf>
    <xf numFmtId="0" fontId="6" fillId="2" borderId="5" xfId="0" applyNumberFormat="1" applyFont="1" applyFill="1" applyBorder="1" applyAlignment="1">
      <alignment horizontal="center" vertical="top"/>
    </xf>
    <xf numFmtId="0" fontId="6" fillId="2" borderId="7" xfId="0" applyNumberFormat="1" applyFont="1" applyFill="1" applyBorder="1" applyAlignment="1">
      <alignment horizontal="center" vertical="center"/>
    </xf>
    <xf numFmtId="0" fontId="6" fillId="2" borderId="8" xfId="0" applyNumberFormat="1" applyFont="1" applyFill="1" applyBorder="1" applyAlignment="1">
      <alignment horizontal="center" vertical="center"/>
    </xf>
    <xf numFmtId="0" fontId="6" fillId="2" borderId="10" xfId="0" applyNumberFormat="1" applyFont="1" applyFill="1" applyBorder="1" applyAlignment="1">
      <alignment horizontal="center" vertical="center"/>
    </xf>
    <xf numFmtId="0" fontId="6" fillId="2" borderId="11" xfId="0" applyNumberFormat="1" applyFont="1" applyFill="1" applyBorder="1" applyAlignment="1">
      <alignment horizontal="center" vertical="center"/>
    </xf>
    <xf numFmtId="0" fontId="6" fillId="2" borderId="17" xfId="0" applyNumberFormat="1" applyFont="1" applyFill="1" applyBorder="1" applyAlignment="1">
      <alignment horizontal="center" vertical="top"/>
    </xf>
    <xf numFmtId="0" fontId="6" fillId="2" borderId="18" xfId="0" applyNumberFormat="1" applyFont="1" applyFill="1" applyBorder="1" applyAlignment="1">
      <alignment horizontal="center" vertical="top"/>
    </xf>
    <xf numFmtId="0" fontId="6" fillId="2" borderId="19" xfId="0" applyNumberFormat="1" applyFont="1" applyFill="1" applyBorder="1" applyAlignment="1">
      <alignment horizontal="center" vertical="top"/>
    </xf>
    <xf numFmtId="0" fontId="12" fillId="6" borderId="21" xfId="0" applyFont="1" applyFill="1" applyBorder="1" applyAlignment="1">
      <alignment horizontal="center" vertical="top" wrapText="1" readingOrder="1"/>
    </xf>
    <xf numFmtId="0" fontId="12" fillId="6" borderId="22" xfId="0" applyFont="1" applyFill="1" applyBorder="1" applyAlignment="1">
      <alignment horizontal="center" vertical="top" wrapText="1" readingOrder="1"/>
    </xf>
    <xf numFmtId="0" fontId="12" fillId="6" borderId="23" xfId="0" applyFont="1" applyFill="1" applyBorder="1" applyAlignment="1">
      <alignment horizontal="center" vertical="top" wrapText="1" readingOrder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B2:N6"/>
  <sheetViews>
    <sheetView showGridLines="0" workbookViewId="0">
      <selection activeCell="H27" sqref="H27"/>
    </sheetView>
  </sheetViews>
  <sheetFormatPr defaultColWidth="8.77734375" defaultRowHeight="14.4" x14ac:dyDescent="0.3"/>
  <cols>
    <col min="1" max="1" width="3.109375" customWidth="1"/>
    <col min="2" max="2" width="7.109375" bestFit="1" customWidth="1"/>
    <col min="3" max="6" width="5.77734375" customWidth="1"/>
    <col min="7" max="11" width="5.109375" customWidth="1"/>
    <col min="12" max="12" width="7.109375" bestFit="1" customWidth="1"/>
    <col min="13" max="13" width="6.109375" customWidth="1"/>
    <col min="14" max="14" width="9" bestFit="1" customWidth="1"/>
    <col min="15" max="15" width="2.109375" customWidth="1"/>
  </cols>
  <sheetData>
    <row r="2" spans="2:14" s="2" customFormat="1" x14ac:dyDescent="0.3">
      <c r="C2" s="3" t="s">
        <v>5</v>
      </c>
      <c r="D2" s="3"/>
      <c r="E2" s="3"/>
      <c r="F2" s="3"/>
      <c r="L2" s="2" t="s">
        <v>11</v>
      </c>
    </row>
    <row r="3" spans="2:14" s="2" customFormat="1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7</v>
      </c>
      <c r="I3" s="3" t="s">
        <v>8</v>
      </c>
      <c r="J3" s="3"/>
      <c r="K3" s="3" t="s">
        <v>10</v>
      </c>
      <c r="L3" s="3" t="s">
        <v>12</v>
      </c>
      <c r="M3" s="3" t="s">
        <v>14</v>
      </c>
      <c r="N3" s="3" t="s">
        <v>13</v>
      </c>
    </row>
    <row r="4" spans="2:14" x14ac:dyDescent="0.3">
      <c r="B4">
        <v>1</v>
      </c>
      <c r="C4">
        <v>40</v>
      </c>
      <c r="D4">
        <v>25</v>
      </c>
      <c r="E4">
        <v>10</v>
      </c>
      <c r="F4" s="5">
        <f>SUM(C4:E4)</f>
        <v>75</v>
      </c>
      <c r="G4" s="4">
        <f>E4/D4</f>
        <v>0.4</v>
      </c>
      <c r="H4" s="4">
        <f>C4/D4</f>
        <v>1.6</v>
      </c>
      <c r="I4" s="7">
        <f>G4/(H4+1)*100</f>
        <v>15.384615384615385</v>
      </c>
      <c r="J4" s="7" t="str">
        <f>IF(I4&lt;$I$6,"Def.","Surp.")</f>
        <v>Surp.</v>
      </c>
      <c r="K4" s="7">
        <f>$I$6</f>
        <v>13.333333333333334</v>
      </c>
      <c r="L4" s="7">
        <f>(1+K4/100)*(C4+D4)</f>
        <v>73.666666666666671</v>
      </c>
      <c r="M4" s="7">
        <f>L4-C4-D4</f>
        <v>8.6666666666666714</v>
      </c>
      <c r="N4" s="7">
        <f>M4-E4</f>
        <v>-1.3333333333333286</v>
      </c>
    </row>
    <row r="5" spans="2:14" x14ac:dyDescent="0.3">
      <c r="B5">
        <v>2</v>
      </c>
      <c r="C5">
        <v>50</v>
      </c>
      <c r="D5" s="4">
        <f>E5/(E4/D4)</f>
        <v>20</v>
      </c>
      <c r="E5">
        <v>8</v>
      </c>
      <c r="F5" s="5">
        <f>SUM(C5:E5)</f>
        <v>78</v>
      </c>
      <c r="G5" s="4">
        <f>E5/D5</f>
        <v>0.4</v>
      </c>
      <c r="H5" s="4">
        <f>C5/D5</f>
        <v>2.5</v>
      </c>
      <c r="I5" s="7">
        <f>G5/(H5+1)*100</f>
        <v>11.428571428571429</v>
      </c>
      <c r="J5" s="7" t="str">
        <f>IF(I5&lt;$I$6,"Def.","Surp.")</f>
        <v>Def.</v>
      </c>
      <c r="K5" s="7">
        <f t="shared" ref="K5:K6" si="0">$I$6</f>
        <v>13.333333333333334</v>
      </c>
      <c r="L5" s="7">
        <f>(1+K5/100)*(C5+D5)</f>
        <v>79.333333333333329</v>
      </c>
      <c r="M5" s="7">
        <f>L5-C5-D5</f>
        <v>9.3333333333333286</v>
      </c>
      <c r="N5" s="7">
        <f>M5-E5</f>
        <v>1.3333333333333286</v>
      </c>
    </row>
    <row r="6" spans="2:14" x14ac:dyDescent="0.3">
      <c r="B6" s="3" t="s">
        <v>9</v>
      </c>
      <c r="C6" s="8">
        <f>SUM(C4:C5)</f>
        <v>90</v>
      </c>
      <c r="D6" s="8">
        <f t="shared" ref="D6:F6" si="1">SUM(D4:D5)</f>
        <v>45</v>
      </c>
      <c r="E6" s="8">
        <f t="shared" si="1"/>
        <v>18</v>
      </c>
      <c r="F6" s="8">
        <f t="shared" si="1"/>
        <v>153</v>
      </c>
      <c r="G6" s="8">
        <f>E6/D6</f>
        <v>0.4</v>
      </c>
      <c r="H6" s="8">
        <f>C6/D6</f>
        <v>2</v>
      </c>
      <c r="I6" s="9">
        <f>G6/(H6+1)*100</f>
        <v>13.333333333333334</v>
      </c>
      <c r="J6" s="9"/>
      <c r="K6" s="9">
        <f t="shared" si="0"/>
        <v>13.333333333333334</v>
      </c>
      <c r="L6" s="8">
        <f>(1+K6/100)*(C6+D6)</f>
        <v>153</v>
      </c>
      <c r="M6" s="8">
        <f t="shared" ref="M6:N6" si="2">SUM(M4:M5)</f>
        <v>18</v>
      </c>
      <c r="N6" s="8">
        <f t="shared" si="2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L10"/>
  <sheetViews>
    <sheetView showGridLines="0" workbookViewId="0">
      <selection activeCell="A2" sqref="A2"/>
    </sheetView>
  </sheetViews>
  <sheetFormatPr defaultColWidth="8.77734375" defaultRowHeight="14.4" x14ac:dyDescent="0.3"/>
  <cols>
    <col min="1" max="1" width="3.109375" style="99" customWidth="1"/>
    <col min="2" max="10" width="8.77734375" style="99"/>
    <col min="11" max="11" width="1.6640625" style="99" customWidth="1"/>
    <col min="12" max="16384" width="8.77734375" style="99"/>
  </cols>
  <sheetData>
    <row r="1" spans="1:12" ht="15" thickBot="1" x14ac:dyDescent="0.35"/>
    <row r="2" spans="1:12" ht="15" thickBot="1" x14ac:dyDescent="0.35">
      <c r="A2" s="99" t="s">
        <v>93</v>
      </c>
      <c r="B2" s="100" t="s">
        <v>79</v>
      </c>
      <c r="C2" s="100" t="s">
        <v>80</v>
      </c>
      <c r="D2" s="100" t="s">
        <v>81</v>
      </c>
      <c r="E2" s="100" t="s">
        <v>82</v>
      </c>
      <c r="F2" s="100" t="s">
        <v>83</v>
      </c>
      <c r="G2" s="100" t="s">
        <v>84</v>
      </c>
      <c r="H2" s="100" t="s">
        <v>85</v>
      </c>
      <c r="I2" s="100" t="s">
        <v>86</v>
      </c>
      <c r="J2" s="100" t="s">
        <v>87</v>
      </c>
    </row>
    <row r="3" spans="1:12" ht="15.6" thickTop="1" thickBot="1" x14ac:dyDescent="0.35">
      <c r="B3" s="101" t="s">
        <v>88</v>
      </c>
      <c r="C3" s="102">
        <v>200</v>
      </c>
      <c r="D3" s="103">
        <v>10</v>
      </c>
      <c r="E3" s="102">
        <v>6</v>
      </c>
      <c r="F3" s="110">
        <f>D3*E3</f>
        <v>60</v>
      </c>
      <c r="G3" s="116">
        <f>(I3-(F3+C3))/(F3+C3)</f>
        <v>0</v>
      </c>
      <c r="H3" s="110">
        <f>I3-(C3+F3)</f>
        <v>0</v>
      </c>
      <c r="I3" s="103">
        <v>260</v>
      </c>
      <c r="J3" s="110">
        <f>E3/C3</f>
        <v>0.03</v>
      </c>
    </row>
    <row r="4" spans="1:12" ht="15.6" thickTop="1" thickBot="1" x14ac:dyDescent="0.35">
      <c r="B4" s="104" t="s">
        <v>89</v>
      </c>
      <c r="C4" s="105">
        <v>400</v>
      </c>
      <c r="D4" s="106">
        <v>10</v>
      </c>
      <c r="E4" s="105">
        <v>8</v>
      </c>
      <c r="F4" s="111">
        <f>D4*E4</f>
        <v>80</v>
      </c>
      <c r="G4" s="116">
        <f>(I4-(F4+C4))/(F4+C4)</f>
        <v>0</v>
      </c>
      <c r="H4" s="111">
        <f>I4-(C4+F4)</f>
        <v>0</v>
      </c>
      <c r="I4" s="106">
        <v>480</v>
      </c>
      <c r="J4" s="111">
        <f>E4/C4</f>
        <v>0.02</v>
      </c>
    </row>
    <row r="5" spans="1:12" ht="15" thickBot="1" x14ac:dyDescent="0.35">
      <c r="B5" s="104"/>
      <c r="C5" s="107"/>
      <c r="D5" s="108"/>
      <c r="E5" s="108"/>
      <c r="F5" s="108"/>
      <c r="G5" s="108"/>
      <c r="H5" s="108"/>
      <c r="I5" s="108"/>
      <c r="J5" s="107"/>
    </row>
    <row r="6" spans="1:12" ht="15" thickBot="1" x14ac:dyDescent="0.35">
      <c r="A6" s="99" t="s">
        <v>94</v>
      </c>
      <c r="B6" s="100" t="s">
        <v>79</v>
      </c>
      <c r="C6" s="100" t="s">
        <v>80</v>
      </c>
      <c r="D6" s="100" t="s">
        <v>81</v>
      </c>
      <c r="E6" s="100" t="s">
        <v>82</v>
      </c>
      <c r="F6" s="100" t="s">
        <v>83</v>
      </c>
      <c r="G6" s="100" t="s">
        <v>84</v>
      </c>
      <c r="H6" s="100" t="s">
        <v>85</v>
      </c>
      <c r="I6" s="100" t="s">
        <v>86</v>
      </c>
      <c r="J6" s="100" t="s">
        <v>87</v>
      </c>
    </row>
    <row r="7" spans="1:12" ht="15.6" thickTop="1" thickBot="1" x14ac:dyDescent="0.35">
      <c r="B7" s="104" t="s">
        <v>88</v>
      </c>
      <c r="C7" s="109">
        <v>200</v>
      </c>
      <c r="D7" s="106">
        <v>6</v>
      </c>
      <c r="E7" s="109">
        <v>6</v>
      </c>
      <c r="F7" s="110">
        <f>D7*E7</f>
        <v>36</v>
      </c>
      <c r="G7" s="116">
        <f>(I7-(F7+C7))/I7</f>
        <v>7.0866141732283464E-2</v>
      </c>
      <c r="H7" s="110">
        <f>I7-(C7+F7)</f>
        <v>18</v>
      </c>
      <c r="I7" s="106">
        <v>254</v>
      </c>
      <c r="J7" s="112">
        <f t="shared" ref="J7:J8" si="0">E7/C7</f>
        <v>0.03</v>
      </c>
      <c r="L7" s="114" t="s">
        <v>90</v>
      </c>
    </row>
    <row r="8" spans="1:12" ht="15.6" thickTop="1" thickBot="1" x14ac:dyDescent="0.35">
      <c r="B8" s="104" t="s">
        <v>89</v>
      </c>
      <c r="C8" s="105">
        <v>400</v>
      </c>
      <c r="D8" s="106">
        <v>6</v>
      </c>
      <c r="E8" s="105">
        <v>8</v>
      </c>
      <c r="F8" s="111">
        <f>D8*E8</f>
        <v>48</v>
      </c>
      <c r="G8" s="116">
        <f>(I8-(F8+C8))/(F8+C8)</f>
        <v>7.1428571428571425E-2</v>
      </c>
      <c r="H8" s="111">
        <f>I8-(C8+F8)</f>
        <v>32</v>
      </c>
      <c r="I8" s="106">
        <v>480</v>
      </c>
      <c r="J8" s="111">
        <f t="shared" si="0"/>
        <v>0.02</v>
      </c>
      <c r="L8" s="114" t="s">
        <v>91</v>
      </c>
    </row>
    <row r="9" spans="1:12" ht="15" thickBot="1" x14ac:dyDescent="0.35">
      <c r="G9" s="113">
        <f>G7-G8</f>
        <v>-5.6242969628796102E-4</v>
      </c>
    </row>
    <row r="10" spans="1:12" ht="15" thickBot="1" x14ac:dyDescent="0.35">
      <c r="B10" s="104" t="s">
        <v>92</v>
      </c>
      <c r="C10" s="107"/>
      <c r="D10" s="115">
        <f>D7/D3-1</f>
        <v>-0.4</v>
      </c>
      <c r="E10" s="108"/>
      <c r="F10" s="108"/>
      <c r="G10" s="117">
        <f>G7-G3</f>
        <v>7.0866141732283464E-2</v>
      </c>
      <c r="H10" s="108"/>
      <c r="I10" s="117">
        <f>I7/I3-1</f>
        <v>-2.3076923076923106E-2</v>
      </c>
      <c r="J10" s="10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92D050"/>
  </sheetPr>
  <dimension ref="B2:Z51"/>
  <sheetViews>
    <sheetView showGridLines="0" tabSelected="1" workbookViewId="0">
      <pane xSplit="6" ySplit="11" topLeftCell="G31" activePane="bottomRight" state="frozen"/>
      <selection pane="topRight" activeCell="G1" sqref="G1"/>
      <selection pane="bottomLeft" activeCell="A11" sqref="A11"/>
      <selection pane="bottomRight" activeCell="C12" sqref="C12"/>
    </sheetView>
  </sheetViews>
  <sheetFormatPr defaultColWidth="8.77734375" defaultRowHeight="14.4" x14ac:dyDescent="0.3"/>
  <cols>
    <col min="1" max="1" width="2.77734375" customWidth="1"/>
    <col min="2" max="2" width="13.77734375" customWidth="1"/>
    <col min="10" max="10" width="2.33203125" customWidth="1"/>
    <col min="14" max="14" width="2.33203125" customWidth="1"/>
    <col min="18" max="18" width="2.33203125" customWidth="1"/>
  </cols>
  <sheetData>
    <row r="2" spans="2:26" x14ac:dyDescent="0.3">
      <c r="C2" s="71" t="s">
        <v>15</v>
      </c>
      <c r="D2" s="68"/>
      <c r="E2" s="68"/>
      <c r="F2" s="56"/>
      <c r="G2" s="68" t="s">
        <v>60</v>
      </c>
      <c r="H2" s="56"/>
    </row>
    <row r="3" spans="2:26" ht="15" customHeight="1" x14ac:dyDescent="0.3">
      <c r="B3" s="10"/>
      <c r="F3" s="68" t="s">
        <v>9</v>
      </c>
      <c r="G3" s="69" t="s">
        <v>61</v>
      </c>
      <c r="H3" s="68" t="s">
        <v>22</v>
      </c>
      <c r="I3" s="97" t="s">
        <v>77</v>
      </c>
    </row>
    <row r="4" spans="2:26" x14ac:dyDescent="0.3">
      <c r="B4" s="3"/>
      <c r="C4" s="70" t="s">
        <v>17</v>
      </c>
      <c r="D4" s="70" t="s">
        <v>18</v>
      </c>
      <c r="E4" s="70" t="s">
        <v>19</v>
      </c>
      <c r="F4" s="70" t="s">
        <v>21</v>
      </c>
      <c r="G4" s="70" t="s">
        <v>62</v>
      </c>
      <c r="H4" s="70" t="s">
        <v>23</v>
      </c>
      <c r="I4" s="98" t="s">
        <v>78</v>
      </c>
    </row>
    <row r="5" spans="2:26" x14ac:dyDescent="0.3">
      <c r="B5" t="s">
        <v>17</v>
      </c>
      <c r="C5">
        <v>90</v>
      </c>
      <c r="D5">
        <v>50</v>
      </c>
      <c r="E5">
        <v>40</v>
      </c>
      <c r="F5" s="4">
        <f>SUM(C5:E5)</f>
        <v>180</v>
      </c>
      <c r="G5" s="4">
        <f>H5-F5</f>
        <v>20</v>
      </c>
      <c r="H5">
        <v>200</v>
      </c>
      <c r="I5" s="96">
        <f>G5/F5</f>
        <v>0.1111111111111111</v>
      </c>
    </row>
    <row r="6" spans="2:26" x14ac:dyDescent="0.3">
      <c r="B6" t="s">
        <v>18</v>
      </c>
      <c r="C6">
        <v>120</v>
      </c>
      <c r="D6">
        <v>125</v>
      </c>
      <c r="E6">
        <v>40</v>
      </c>
      <c r="F6" s="4">
        <f t="shared" ref="F6:F8" si="0">SUM(C6:E6)</f>
        <v>285</v>
      </c>
      <c r="G6" s="4">
        <f t="shared" ref="G6:G7" si="1">H6-F6</f>
        <v>215</v>
      </c>
      <c r="H6">
        <v>500</v>
      </c>
      <c r="I6" s="96">
        <f>G6/F6</f>
        <v>0.75438596491228072</v>
      </c>
    </row>
    <row r="7" spans="2:26" x14ac:dyDescent="0.3">
      <c r="B7" t="s">
        <v>19</v>
      </c>
      <c r="C7">
        <v>60</v>
      </c>
      <c r="D7">
        <v>150</v>
      </c>
      <c r="E7">
        <v>200</v>
      </c>
      <c r="F7" s="4">
        <f t="shared" si="0"/>
        <v>410</v>
      </c>
      <c r="G7" s="4">
        <f t="shared" si="1"/>
        <v>140</v>
      </c>
      <c r="H7">
        <v>550</v>
      </c>
      <c r="I7" s="96">
        <f>G7/F7</f>
        <v>0.34146341463414637</v>
      </c>
    </row>
    <row r="8" spans="2:26" x14ac:dyDescent="0.3">
      <c r="B8" s="1" t="s">
        <v>20</v>
      </c>
      <c r="C8" s="1">
        <v>11</v>
      </c>
      <c r="D8" s="1">
        <v>19</v>
      </c>
      <c r="E8" s="1">
        <v>30</v>
      </c>
      <c r="F8" s="11">
        <f t="shared" si="0"/>
        <v>60</v>
      </c>
      <c r="G8" s="11"/>
      <c r="H8" s="1"/>
      <c r="I8" s="1"/>
    </row>
    <row r="9" spans="2:26" ht="5.55" customHeight="1" x14ac:dyDescent="0.3"/>
    <row r="10" spans="2:26" s="2" customFormat="1" x14ac:dyDescent="0.3">
      <c r="B10" s="80" t="s">
        <v>70</v>
      </c>
      <c r="C10" s="80"/>
      <c r="D10" s="80"/>
      <c r="E10" s="80"/>
      <c r="G10" s="80" t="s">
        <v>71</v>
      </c>
      <c r="H10" s="80"/>
      <c r="I10" s="80"/>
      <c r="J10" s="80"/>
      <c r="K10" s="80"/>
      <c r="L10" s="80"/>
      <c r="M10" s="80"/>
      <c r="N10" s="80"/>
      <c r="O10" s="80" t="s">
        <v>71</v>
      </c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spans="2:26" ht="6" customHeight="1" x14ac:dyDescent="0.3"/>
    <row r="12" spans="2:26" x14ac:dyDescent="0.3">
      <c r="B12" s="10"/>
      <c r="C12" s="10" t="s">
        <v>26</v>
      </c>
      <c r="D12" s="10"/>
      <c r="E12" s="10"/>
    </row>
    <row r="13" spans="2:26" x14ac:dyDescent="0.3">
      <c r="B13" s="3"/>
      <c r="C13" s="3" t="s">
        <v>17</v>
      </c>
      <c r="D13" s="3" t="s">
        <v>18</v>
      </c>
      <c r="E13" s="3" t="s">
        <v>19</v>
      </c>
    </row>
    <row r="14" spans="2:26" x14ac:dyDescent="0.3">
      <c r="B14" t="s">
        <v>17</v>
      </c>
      <c r="C14" s="6">
        <f>C5/$H$5</f>
        <v>0.45</v>
      </c>
      <c r="D14" s="6">
        <f>D5/$H$6</f>
        <v>0.1</v>
      </c>
      <c r="E14" s="6">
        <f>E5/$H$7</f>
        <v>7.2727272727272724E-2</v>
      </c>
    </row>
    <row r="15" spans="2:26" x14ac:dyDescent="0.3">
      <c r="B15" t="s">
        <v>18</v>
      </c>
      <c r="C15" s="6">
        <f>C6/$H$5</f>
        <v>0.6</v>
      </c>
      <c r="D15" s="6">
        <f>D6/$H$6</f>
        <v>0.25</v>
      </c>
      <c r="E15" s="6">
        <f>E6/$H$7</f>
        <v>7.2727272727272724E-2</v>
      </c>
    </row>
    <row r="16" spans="2:26" x14ac:dyDescent="0.3">
      <c r="B16" t="s">
        <v>19</v>
      </c>
      <c r="C16" s="6">
        <f>C7/$H$5</f>
        <v>0.3</v>
      </c>
      <c r="D16" s="6">
        <f>D7/$H$6</f>
        <v>0.3</v>
      </c>
      <c r="E16" s="6">
        <f>E7/$H$7</f>
        <v>0.36363636363636365</v>
      </c>
    </row>
    <row r="17" spans="2:23" x14ac:dyDescent="0.3">
      <c r="B17" s="1" t="s">
        <v>20</v>
      </c>
      <c r="C17" s="12">
        <f>C8/$H$5</f>
        <v>5.5E-2</v>
      </c>
      <c r="D17" s="12">
        <f>D8/$H$6</f>
        <v>3.7999999999999999E-2</v>
      </c>
      <c r="E17" s="12">
        <f>E8/$H$7</f>
        <v>5.4545454545454543E-2</v>
      </c>
    </row>
    <row r="18" spans="2:23" x14ac:dyDescent="0.3">
      <c r="B18" s="20"/>
      <c r="C18" s="79"/>
      <c r="D18" s="79"/>
      <c r="E18" s="79"/>
    </row>
    <row r="19" spans="2:23" x14ac:dyDescent="0.3">
      <c r="B19" t="s">
        <v>27</v>
      </c>
    </row>
    <row r="20" spans="2:23" x14ac:dyDescent="0.3">
      <c r="B20" s="13"/>
      <c r="C20" s="13" t="s">
        <v>17</v>
      </c>
      <c r="D20" s="13" t="s">
        <v>18</v>
      </c>
      <c r="E20" s="13" t="s">
        <v>19</v>
      </c>
      <c r="G20" s="14" t="s">
        <v>31</v>
      </c>
      <c r="H20" s="14"/>
      <c r="I20" s="14"/>
      <c r="K20" s="14" t="s">
        <v>32</v>
      </c>
      <c r="L20" s="14"/>
      <c r="M20" s="14"/>
      <c r="O20" s="14" t="s">
        <v>33</v>
      </c>
      <c r="P20" s="14"/>
      <c r="Q20" s="14"/>
      <c r="S20" s="14" t="s">
        <v>34</v>
      </c>
      <c r="T20" s="14"/>
      <c r="U20" s="14"/>
    </row>
    <row r="21" spans="2:23" x14ac:dyDescent="0.3">
      <c r="B21" s="14" t="s">
        <v>17</v>
      </c>
      <c r="C21" s="18">
        <f t="shared" ref="C21:E23" si="2">C14</f>
        <v>0.45</v>
      </c>
      <c r="D21" s="18">
        <f t="shared" si="2"/>
        <v>0.1</v>
      </c>
      <c r="E21" s="18">
        <f t="shared" si="2"/>
        <v>7.2727272727272724E-2</v>
      </c>
      <c r="G21" s="14">
        <v>1</v>
      </c>
      <c r="H21" s="14">
        <v>0</v>
      </c>
      <c r="I21" s="14">
        <v>0</v>
      </c>
      <c r="K21" s="42">
        <f t="array" ref="K21:M23">I-A</f>
        <v>0.55000000000000004</v>
      </c>
      <c r="L21" s="42">
        <v>-0.1</v>
      </c>
      <c r="M21" s="42">
        <v>-7.2727272727272724E-2</v>
      </c>
      <c r="O21" s="42">
        <f>MDETERM(L22:M23)</f>
        <v>0.45545454545454545</v>
      </c>
      <c r="P21" s="42">
        <f>-1*(K22*M23-M22*K23)</f>
        <v>0.40363636363636357</v>
      </c>
      <c r="Q21" s="42">
        <f>MDETERM(K22:L23)</f>
        <v>0.40500000000000003</v>
      </c>
      <c r="S21" s="42">
        <f>O21</f>
        <v>0.45545454545454545</v>
      </c>
      <c r="T21" s="42">
        <f>O22</f>
        <v>8.5454545454545464E-2</v>
      </c>
      <c r="U21" s="42">
        <f>O23</f>
        <v>6.1818181818181821E-2</v>
      </c>
      <c r="W21" s="78">
        <f>SUM(C21:E21)</f>
        <v>0.6227272727272728</v>
      </c>
    </row>
    <row r="22" spans="2:23" x14ac:dyDescent="0.3">
      <c r="B22" s="14" t="s">
        <v>18</v>
      </c>
      <c r="C22" s="18">
        <f t="shared" si="2"/>
        <v>0.6</v>
      </c>
      <c r="D22" s="18">
        <f t="shared" si="2"/>
        <v>0.25</v>
      </c>
      <c r="E22" s="18">
        <f t="shared" si="2"/>
        <v>7.2727272727272724E-2</v>
      </c>
      <c r="G22" s="14">
        <v>0</v>
      </c>
      <c r="H22" s="14">
        <v>1</v>
      </c>
      <c r="I22" s="14">
        <v>0</v>
      </c>
      <c r="K22" s="42">
        <v>-0.6</v>
      </c>
      <c r="L22" s="42">
        <v>0.75</v>
      </c>
      <c r="M22" s="42">
        <v>-7.2727272727272724E-2</v>
      </c>
      <c r="O22" s="42">
        <f>-1*(L21*M23-M21*L23)</f>
        <v>8.5454545454545464E-2</v>
      </c>
      <c r="P22" s="42">
        <f>K21*M23-M21*K23</f>
        <v>0.32818181818181824</v>
      </c>
      <c r="Q22" s="42">
        <f>-1*(K21*L23-L21*K23)</f>
        <v>0.19500000000000001</v>
      </c>
      <c r="S22" s="42">
        <f>P21</f>
        <v>0.40363636363636357</v>
      </c>
      <c r="T22" s="42">
        <f>P22</f>
        <v>0.32818181818181824</v>
      </c>
      <c r="U22" s="42">
        <f>P23</f>
        <v>8.3636363636363634E-2</v>
      </c>
      <c r="W22" s="78">
        <f t="shared" ref="W22:W23" si="3">SUM(C22:E22)</f>
        <v>0.92272727272727273</v>
      </c>
    </row>
    <row r="23" spans="2:23" x14ac:dyDescent="0.3">
      <c r="B23" s="16" t="s">
        <v>19</v>
      </c>
      <c r="C23" s="19">
        <f t="shared" si="2"/>
        <v>0.3</v>
      </c>
      <c r="D23" s="19">
        <f t="shared" si="2"/>
        <v>0.3</v>
      </c>
      <c r="E23" s="19">
        <f t="shared" si="2"/>
        <v>0.36363636363636365</v>
      </c>
      <c r="G23" s="14">
        <v>0</v>
      </c>
      <c r="H23" s="14">
        <v>0</v>
      </c>
      <c r="I23" s="14">
        <v>1</v>
      </c>
      <c r="K23" s="42">
        <v>-0.3</v>
      </c>
      <c r="L23" s="42">
        <v>-0.3</v>
      </c>
      <c r="M23" s="42">
        <v>0.63636363636363635</v>
      </c>
      <c r="O23" s="42">
        <f>MDETERM(L21:M22)</f>
        <v>6.1818181818181821E-2</v>
      </c>
      <c r="P23" s="42">
        <f>-1*(K21*M22-M21*K22)</f>
        <v>8.3636363636363634E-2</v>
      </c>
      <c r="Q23" s="42">
        <f>MDETERM(K21:L22)</f>
        <v>0.35249999999999998</v>
      </c>
      <c r="S23" s="42">
        <f>Q21</f>
        <v>0.40500000000000003</v>
      </c>
      <c r="T23" s="42">
        <f>Q22</f>
        <v>0.19500000000000001</v>
      </c>
      <c r="U23" s="42">
        <f>Q23</f>
        <v>0.35249999999999998</v>
      </c>
      <c r="W23" s="78">
        <f t="shared" si="3"/>
        <v>0.96363636363636362</v>
      </c>
    </row>
    <row r="25" spans="2:23" x14ac:dyDescent="0.3">
      <c r="B25" s="17" t="s">
        <v>28</v>
      </c>
      <c r="C25" s="20"/>
      <c r="D25" s="20"/>
      <c r="E25" s="20"/>
    </row>
    <row r="26" spans="2:23" x14ac:dyDescent="0.3">
      <c r="B26" s="13"/>
      <c r="C26" s="13" t="s">
        <v>17</v>
      </c>
      <c r="D26" s="13" t="s">
        <v>18</v>
      </c>
      <c r="E26" s="13" t="s">
        <v>19</v>
      </c>
      <c r="G26" s="14" t="s">
        <v>68</v>
      </c>
      <c r="H26" s="14"/>
      <c r="I26" s="14"/>
      <c r="K26" s="14" t="s">
        <v>42</v>
      </c>
      <c r="L26" s="14"/>
      <c r="M26" s="54"/>
      <c r="O26" s="57" t="s">
        <v>43</v>
      </c>
      <c r="P26" s="14"/>
      <c r="Q26" s="14"/>
      <c r="R26" s="14"/>
      <c r="S26" s="58">
        <f>Q27*P28</f>
        <v>2.1818181818181816E-2</v>
      </c>
      <c r="T26" s="14"/>
      <c r="U26" s="14"/>
      <c r="V26" s="14"/>
    </row>
    <row r="27" spans="2:23" x14ac:dyDescent="0.3">
      <c r="B27" s="16" t="s">
        <v>20</v>
      </c>
      <c r="C27" s="19">
        <f>C17</f>
        <v>5.5E-2</v>
      </c>
      <c r="D27" s="19">
        <f>D17</f>
        <v>3.7999999999999999E-2</v>
      </c>
      <c r="E27" s="19">
        <f>E17</f>
        <v>5.4545454545454543E-2</v>
      </c>
      <c r="G27" s="43">
        <f>MDETERM(K21:M23)</f>
        <v>0.18068181818181819</v>
      </c>
      <c r="H27" s="14"/>
      <c r="I27" s="14"/>
      <c r="K27" s="76" t="s">
        <v>39</v>
      </c>
      <c r="L27" s="77">
        <f t="shared" ref="L27" si="4">D21</f>
        <v>0.1</v>
      </c>
      <c r="M27" s="77">
        <f t="shared" ref="M27" si="5">E21</f>
        <v>7.2727272727272724E-2</v>
      </c>
      <c r="O27" s="60" t="str">
        <f>K27</f>
        <v>=0.45-λ</v>
      </c>
      <c r="P27" s="61" t="str">
        <f>L28</f>
        <v>=0.25-λ</v>
      </c>
      <c r="Q27" s="61">
        <f>M28</f>
        <v>7.2727272727272724E-2</v>
      </c>
      <c r="R27" s="42"/>
      <c r="S27" s="55" t="str">
        <f>"(0.45-λ)*((0.25-λ)*(0.364-λ)-"&amp;TEXT(S26,"#.###")&amp;")"</f>
        <v>(0.45-λ)*((0.25-λ)*(0.364-λ)-.022)</v>
      </c>
      <c r="T27" s="42"/>
      <c r="U27" s="42"/>
      <c r="V27" s="14"/>
    </row>
    <row r="28" spans="2:23" x14ac:dyDescent="0.3">
      <c r="K28" s="77">
        <f>C22</f>
        <v>0.6</v>
      </c>
      <c r="L28" s="76" t="s">
        <v>40</v>
      </c>
      <c r="M28" s="77">
        <f t="shared" ref="M28" si="6">E22</f>
        <v>7.2727272727272724E-2</v>
      </c>
      <c r="O28" s="60"/>
      <c r="P28" s="61">
        <f>L29</f>
        <v>0.3</v>
      </c>
      <c r="Q28" s="61" t="str">
        <f>M29</f>
        <v>=0.364-λ</v>
      </c>
      <c r="R28" s="42"/>
      <c r="S28" s="42"/>
      <c r="T28" s="42"/>
      <c r="U28" s="42"/>
      <c r="V28" s="14"/>
    </row>
    <row r="29" spans="2:23" x14ac:dyDescent="0.3">
      <c r="B29" t="s">
        <v>30</v>
      </c>
      <c r="K29" s="77">
        <f>C23</f>
        <v>0.3</v>
      </c>
      <c r="L29" s="77">
        <f t="shared" ref="L29" si="7">D23</f>
        <v>0.3</v>
      </c>
      <c r="M29" s="76" t="s">
        <v>41</v>
      </c>
      <c r="O29" s="57" t="s">
        <v>44</v>
      </c>
      <c r="P29" s="14"/>
      <c r="Q29" s="14"/>
      <c r="R29" s="14"/>
      <c r="S29" s="58">
        <f>Q30*P31</f>
        <v>2.1818181818181816E-2</v>
      </c>
      <c r="T29" s="14"/>
      <c r="U29" s="14"/>
      <c r="V29" s="14"/>
    </row>
    <row r="30" spans="2:23" x14ac:dyDescent="0.3">
      <c r="B30" s="13"/>
      <c r="C30" s="13" t="s">
        <v>17</v>
      </c>
      <c r="D30" s="13" t="s">
        <v>18</v>
      </c>
      <c r="E30" s="13" t="s">
        <v>19</v>
      </c>
      <c r="O30" s="61">
        <f>L27</f>
        <v>0.1</v>
      </c>
      <c r="P30" s="61">
        <f>K28</f>
        <v>0.6</v>
      </c>
      <c r="Q30" s="61">
        <f>M28</f>
        <v>7.2727272727272724E-2</v>
      </c>
      <c r="R30" s="42"/>
      <c r="S30" s="42" t="str">
        <f>"0.1*(0.6*(0.364-λ)-"&amp;TEXT(S29,"#.###")&amp;")"</f>
        <v>0.1*(0.6*(0.364-λ)-.022)</v>
      </c>
      <c r="T30" s="42"/>
      <c r="U30" s="42"/>
      <c r="V30" s="14"/>
    </row>
    <row r="31" spans="2:23" x14ac:dyDescent="0.3">
      <c r="B31" s="14" t="s">
        <v>17</v>
      </c>
      <c r="C31" s="18">
        <f t="shared" ref="C31:E33" si="8">S21/$G$27</f>
        <v>2.520754716981132</v>
      </c>
      <c r="D31" s="18">
        <f t="shared" si="8"/>
        <v>0.4729559748427673</v>
      </c>
      <c r="E31" s="18">
        <f t="shared" si="8"/>
        <v>0.34213836477987419</v>
      </c>
      <c r="O31" s="59"/>
      <c r="P31" s="61">
        <f>K29</f>
        <v>0.3</v>
      </c>
      <c r="Q31" s="61" t="str">
        <f>M29</f>
        <v>=0.364-λ</v>
      </c>
      <c r="R31" s="42"/>
      <c r="S31" s="42"/>
      <c r="T31" s="42"/>
      <c r="U31" s="42"/>
      <c r="V31" s="14"/>
    </row>
    <row r="32" spans="2:23" x14ac:dyDescent="0.3">
      <c r="B32" s="14" t="s">
        <v>18</v>
      </c>
      <c r="C32" s="18">
        <f t="shared" si="8"/>
        <v>2.2339622641509429</v>
      </c>
      <c r="D32" s="18">
        <f t="shared" si="8"/>
        <v>1.8163522012578619</v>
      </c>
      <c r="E32" s="18">
        <f t="shared" si="8"/>
        <v>0.46289308176100624</v>
      </c>
      <c r="O32" s="57" t="s">
        <v>45</v>
      </c>
      <c r="P32" s="42"/>
      <c r="Q32" s="42"/>
      <c r="R32" s="42"/>
      <c r="S32" s="58">
        <f>Q34*P33</f>
        <v>0.18</v>
      </c>
      <c r="T32" s="42"/>
      <c r="U32" s="42"/>
      <c r="V32" s="14"/>
    </row>
    <row r="33" spans="2:26" x14ac:dyDescent="0.3">
      <c r="B33" s="16" t="s">
        <v>19</v>
      </c>
      <c r="C33" s="19">
        <f t="shared" si="8"/>
        <v>2.2415094339622641</v>
      </c>
      <c r="D33" s="19">
        <f t="shared" si="8"/>
        <v>1.0792452830188679</v>
      </c>
      <c r="E33" s="19">
        <f t="shared" si="8"/>
        <v>1.9509433962264149</v>
      </c>
      <c r="O33" s="61">
        <f>M27</f>
        <v>7.2727272727272724E-2</v>
      </c>
      <c r="P33" s="61">
        <f>K28</f>
        <v>0.6</v>
      </c>
      <c r="Q33" s="61" t="str">
        <f>L28</f>
        <v>=0.25-λ</v>
      </c>
      <c r="R33" s="42"/>
      <c r="S33" s="42" t="str">
        <f>"0.073*(0.18-0.3*(0.25-λ))"</f>
        <v>0.073*(0.18-0.3*(0.25-λ))</v>
      </c>
      <c r="T33" s="42"/>
      <c r="U33" s="42"/>
      <c r="V33" s="14"/>
    </row>
    <row r="34" spans="2:26" x14ac:dyDescent="0.3">
      <c r="O34" s="59"/>
      <c r="P34" s="61">
        <f>K29</f>
        <v>0.3</v>
      </c>
      <c r="Q34" s="61">
        <f>L29</f>
        <v>0.3</v>
      </c>
      <c r="R34" s="42"/>
      <c r="S34" s="42"/>
      <c r="T34" s="42"/>
      <c r="U34" s="42"/>
      <c r="V34" s="14"/>
    </row>
    <row r="35" spans="2:26" x14ac:dyDescent="0.3">
      <c r="B35" t="s">
        <v>59</v>
      </c>
      <c r="C35" s="78"/>
      <c r="D35" s="78"/>
      <c r="E35" s="78"/>
      <c r="O35" s="54" t="s">
        <v>46</v>
      </c>
      <c r="P35" s="57">
        <v>0.74413068699999996</v>
      </c>
      <c r="Q35" s="14"/>
      <c r="R35" s="14"/>
      <c r="S35" s="62" t="s">
        <v>54</v>
      </c>
      <c r="T35" s="63">
        <f>P35*P36*P37</f>
        <v>1.8890896578230107E-2</v>
      </c>
      <c r="U35" s="64" t="s">
        <v>49</v>
      </c>
      <c r="V35" s="64"/>
      <c r="W35" s="62" t="s">
        <v>55</v>
      </c>
      <c r="X35" s="63">
        <f>SUM(P35:P37)</f>
        <v>1.0636360009999999</v>
      </c>
      <c r="Y35" s="64" t="s">
        <v>56</v>
      </c>
      <c r="Z35" s="64"/>
    </row>
    <row r="36" spans="2:26" x14ac:dyDescent="0.3">
      <c r="B36" s="13"/>
      <c r="C36" s="13" t="s">
        <v>17</v>
      </c>
      <c r="D36" s="13" t="s">
        <v>18</v>
      </c>
      <c r="E36" s="13" t="s">
        <v>19</v>
      </c>
      <c r="O36" s="54" t="s">
        <v>47</v>
      </c>
      <c r="P36" s="57">
        <f>0.159752657+0.011592267</f>
        <v>0.17134492399999998</v>
      </c>
      <c r="Q36" s="14"/>
      <c r="R36" s="14"/>
      <c r="S36" s="64"/>
      <c r="T36" s="63">
        <f>MDETERM(A)</f>
        <v>1.9090909090909092E-2</v>
      </c>
      <c r="U36" s="64" t="s">
        <v>50</v>
      </c>
      <c r="V36" s="64"/>
      <c r="W36" s="64"/>
      <c r="X36" s="66">
        <f>C21+D22+E23</f>
        <v>1.0636363636363635</v>
      </c>
      <c r="Y36" s="64" t="s">
        <v>57</v>
      </c>
      <c r="Z36" s="64"/>
    </row>
    <row r="37" spans="2:26" x14ac:dyDescent="0.3">
      <c r="B37" s="16" t="s">
        <v>58</v>
      </c>
      <c r="C37" s="19">
        <f t="array" ref="C37:E37">MMULT(Units_of_labor,LeontiefInv)</f>
        <v>0.34579622641509428</v>
      </c>
      <c r="D37" s="19">
        <v>0.15390188679245284</v>
      </c>
      <c r="E37" s="19">
        <v>0.14282264150943394</v>
      </c>
      <c r="O37" s="54" t="s">
        <v>48</v>
      </c>
      <c r="P37" s="57">
        <f>0.159752657-0.011592267</f>
        <v>0.14816039</v>
      </c>
      <c r="Q37" s="74" t="s">
        <v>69</v>
      </c>
      <c r="R37" s="14"/>
      <c r="S37" s="64"/>
      <c r="T37" s="65">
        <f>T35-T36</f>
        <v>-2.0001251267898548E-4</v>
      </c>
      <c r="U37" s="64" t="s">
        <v>52</v>
      </c>
      <c r="V37" s="64"/>
      <c r="W37" s="64"/>
      <c r="X37" s="65">
        <f>X35-X36</f>
        <v>-3.6263636360445162E-7</v>
      </c>
      <c r="Y37" s="64" t="s">
        <v>52</v>
      </c>
      <c r="Z37" s="64"/>
    </row>
    <row r="38" spans="2:26" x14ac:dyDescent="0.3">
      <c r="O38" s="64" t="s">
        <v>51</v>
      </c>
      <c r="P38" s="63">
        <f>MAX(P35:P37)</f>
        <v>0.74413068699999996</v>
      </c>
      <c r="Q38" s="75">
        <f>1/P38-1</f>
        <v>0.34384996811722668</v>
      </c>
      <c r="R38" s="14"/>
      <c r="S38" s="64"/>
      <c r="T38" s="64"/>
      <c r="U38" s="64" t="s">
        <v>53</v>
      </c>
      <c r="V38" s="64"/>
      <c r="W38" s="64"/>
      <c r="X38" s="64"/>
      <c r="Y38" s="64" t="s">
        <v>53</v>
      </c>
      <c r="Z38" s="64"/>
    </row>
    <row r="39" spans="2:26" x14ac:dyDescent="0.3">
      <c r="B39" t="str">
        <f>"R="&amp;TEXT(E39,"#%")&amp;" [ I - A (1 + r) ]^(-1)"</f>
        <v>R=10% [ I - A (1 + r) ]^(-1)</v>
      </c>
      <c r="E39" s="72">
        <v>0.1</v>
      </c>
    </row>
    <row r="40" spans="2:26" x14ac:dyDescent="0.3">
      <c r="B40" s="13"/>
      <c r="C40" s="13" t="s">
        <v>17</v>
      </c>
      <c r="D40" s="13" t="s">
        <v>18</v>
      </c>
      <c r="E40" s="13" t="s">
        <v>19</v>
      </c>
      <c r="G40" s="14" t="s">
        <v>68</v>
      </c>
      <c r="H40" s="14"/>
      <c r="I40" s="14"/>
      <c r="K40" s="14" t="s">
        <v>63</v>
      </c>
      <c r="L40" s="14"/>
      <c r="M40" s="14"/>
      <c r="O40" s="14" t="s">
        <v>33</v>
      </c>
      <c r="P40" s="14"/>
      <c r="Q40" s="14"/>
      <c r="S40" s="14" t="s">
        <v>34</v>
      </c>
      <c r="T40" s="14"/>
      <c r="U40" s="14"/>
    </row>
    <row r="41" spans="2:26" x14ac:dyDescent="0.3">
      <c r="B41" s="14" t="s">
        <v>17</v>
      </c>
      <c r="C41" s="18">
        <f>S41/$G$41</f>
        <v>3.3134655151441437</v>
      </c>
      <c r="D41" s="18">
        <f t="shared" ref="D41:D43" si="9">T41/$G$41</f>
        <v>0.74930057170660536</v>
      </c>
      <c r="E41" s="18">
        <f t="shared" ref="E41:E43" si="10">U41/$G$41</f>
        <v>0.54170214491343316</v>
      </c>
      <c r="G41" s="43">
        <f>MDETERM(K41:M43)</f>
        <v>0.12331499999999997</v>
      </c>
      <c r="H41" s="14"/>
      <c r="I41" s="14"/>
      <c r="K41" s="42">
        <f t="array" ref="K41:M43">I-A*(1+$E$39)</f>
        <v>0.50499999999999989</v>
      </c>
      <c r="L41" s="42">
        <v>-0.11000000000000001</v>
      </c>
      <c r="M41" s="42">
        <v>-0.08</v>
      </c>
      <c r="O41" s="42">
        <f>MDETERM(L42:M43)</f>
        <v>0.40859999999999996</v>
      </c>
      <c r="P41" s="42">
        <f>-1*(K42*M43-M42*K43)</f>
        <v>0.4224</v>
      </c>
      <c r="Q41" s="42">
        <f>MDETERM(K42:L43)</f>
        <v>0.45705000000000001</v>
      </c>
      <c r="S41" s="42">
        <f>O41</f>
        <v>0.40859999999999996</v>
      </c>
      <c r="T41" s="42">
        <f>O42</f>
        <v>9.240000000000001E-2</v>
      </c>
      <c r="U41" s="42">
        <f>O43</f>
        <v>6.6799999999999998E-2</v>
      </c>
    </row>
    <row r="42" spans="2:26" x14ac:dyDescent="0.3">
      <c r="B42" s="14" t="s">
        <v>18</v>
      </c>
      <c r="C42" s="18">
        <f t="shared" ref="C42:C43" si="11">S42/$G$41</f>
        <v>3.4253740420873382</v>
      </c>
      <c r="D42" s="18">
        <f t="shared" si="9"/>
        <v>2.2430361269918504</v>
      </c>
      <c r="E42" s="18">
        <f t="shared" si="10"/>
        <v>0.75578802254389188</v>
      </c>
      <c r="K42" s="42">
        <v>-0.66</v>
      </c>
      <c r="L42" s="42">
        <v>0.72499999999999998</v>
      </c>
      <c r="M42" s="42">
        <v>-0.08</v>
      </c>
      <c r="O42" s="42">
        <f>-1*(L41*M43-M41*L43)</f>
        <v>9.240000000000001E-2</v>
      </c>
      <c r="P42" s="42">
        <f>K41*M43-M41*K43</f>
        <v>0.27659999999999996</v>
      </c>
      <c r="Q42" s="42">
        <f>-1*(K41*L43-L41*K43)</f>
        <v>0.20294999999999996</v>
      </c>
      <c r="S42" s="42">
        <f>P41</f>
        <v>0.4224</v>
      </c>
      <c r="T42" s="42">
        <f>P42</f>
        <v>0.27659999999999996</v>
      </c>
      <c r="U42" s="42">
        <f>P43</f>
        <v>9.3200000000000005E-2</v>
      </c>
    </row>
    <row r="43" spans="2:26" x14ac:dyDescent="0.3">
      <c r="B43" s="16" t="s">
        <v>19</v>
      </c>
      <c r="C43" s="19">
        <f t="shared" si="11"/>
        <v>3.7063617564773153</v>
      </c>
      <c r="D43" s="19">
        <f t="shared" si="9"/>
        <v>1.6457851842841504</v>
      </c>
      <c r="E43" s="19">
        <f t="shared" si="10"/>
        <v>2.3802862587681952</v>
      </c>
      <c r="K43" s="42">
        <v>-0.33</v>
      </c>
      <c r="L43" s="42">
        <v>-0.33</v>
      </c>
      <c r="M43" s="42">
        <v>0.6</v>
      </c>
      <c r="O43" s="42">
        <f>MDETERM(L41:M42)</f>
        <v>6.6799999999999998E-2</v>
      </c>
      <c r="P43" s="42">
        <f>-1*(K41*M42-M41*K42)</f>
        <v>9.3200000000000005E-2</v>
      </c>
      <c r="Q43" s="42">
        <f>MDETERM(K41:L42)</f>
        <v>0.29352499999999992</v>
      </c>
      <c r="S43" s="42">
        <f>Q41</f>
        <v>0.45705000000000001</v>
      </c>
      <c r="T43" s="42">
        <f>Q42</f>
        <v>0.20294999999999996</v>
      </c>
      <c r="U43" s="42">
        <f>Q43</f>
        <v>0.29352499999999992</v>
      </c>
    </row>
    <row r="45" spans="2:26" x14ac:dyDescent="0.3">
      <c r="B45" s="73" t="s">
        <v>64</v>
      </c>
    </row>
    <row r="46" spans="2:26" x14ac:dyDescent="0.3">
      <c r="B46" s="13"/>
      <c r="C46" s="13" t="s">
        <v>17</v>
      </c>
      <c r="D46" s="13" t="s">
        <v>18</v>
      </c>
      <c r="E46" s="13" t="s">
        <v>19</v>
      </c>
    </row>
    <row r="47" spans="2:26" x14ac:dyDescent="0.3">
      <c r="B47" s="14" t="s">
        <v>66</v>
      </c>
      <c r="C47" s="15">
        <f t="array" ref="C47:E47">MMULT(l,Table_R)</f>
        <v>0.51457000364919114</v>
      </c>
      <c r="D47" s="15">
        <v>0.21621700523050724</v>
      </c>
      <c r="E47" s="15">
        <v>0.18834735875971736</v>
      </c>
    </row>
    <row r="48" spans="2:26" x14ac:dyDescent="0.3">
      <c r="B48" s="14" t="s">
        <v>65</v>
      </c>
      <c r="C48" s="18">
        <f>1/MMULT(Result1,Net_product)</f>
        <v>1.2026937488545742E-2</v>
      </c>
      <c r="D48" s="14"/>
      <c r="E48" s="14"/>
    </row>
    <row r="49" spans="2:5" x14ac:dyDescent="0.3">
      <c r="B49" s="16" t="s">
        <v>67</v>
      </c>
      <c r="C49" s="19">
        <f t="array" ref="C49:E49">C48*MMULT(l,Table_R)</f>
        <v>6.1887012673695757E-3</v>
      </c>
      <c r="D49" s="19">
        <v>2.6004284058678785E-3</v>
      </c>
      <c r="E49" s="19">
        <v>2.2652419099358188E-3</v>
      </c>
    </row>
    <row r="51" spans="2:5" x14ac:dyDescent="0.3">
      <c r="B51" s="13" t="s">
        <v>72</v>
      </c>
      <c r="C51" s="19">
        <f>MMULT(Vector_p,Net_product)</f>
        <v>1</v>
      </c>
      <c r="D51" s="19"/>
      <c r="E51" s="1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T35"/>
  <sheetViews>
    <sheetView topLeftCell="A10" workbookViewId="0">
      <selection activeCell="B32" sqref="B32"/>
    </sheetView>
  </sheetViews>
  <sheetFormatPr defaultColWidth="8.77734375" defaultRowHeight="13.2" x14ac:dyDescent="0.25"/>
  <cols>
    <col min="1" max="3" width="9.109375" style="22" bestFit="1" customWidth="1"/>
    <col min="4" max="16384" width="8.77734375" style="22"/>
  </cols>
  <sheetData>
    <row r="1" spans="1:20" ht="42" customHeight="1" thickBot="1" x14ac:dyDescent="0.3">
      <c r="A1" s="21"/>
      <c r="B1" s="124" t="s">
        <v>15</v>
      </c>
      <c r="C1" s="125"/>
      <c r="D1" s="126"/>
      <c r="E1" s="127" t="s">
        <v>16</v>
      </c>
      <c r="F1" s="129" t="s">
        <v>24</v>
      </c>
    </row>
    <row r="2" spans="1:20" ht="13.8" thickBot="1" x14ac:dyDescent="0.3">
      <c r="A2" s="23"/>
      <c r="B2" s="24" t="s">
        <v>17</v>
      </c>
      <c r="C2" s="24" t="s">
        <v>18</v>
      </c>
      <c r="D2" s="25" t="s">
        <v>19</v>
      </c>
      <c r="E2" s="128"/>
      <c r="F2" s="130"/>
    </row>
    <row r="3" spans="1:20" ht="13.8" thickBot="1" x14ac:dyDescent="0.3">
      <c r="A3" s="26" t="s">
        <v>17</v>
      </c>
      <c r="B3" s="27">
        <v>90</v>
      </c>
      <c r="C3" s="27">
        <v>50</v>
      </c>
      <c r="D3" s="27">
        <v>40</v>
      </c>
      <c r="E3" s="28">
        <v>180</v>
      </c>
      <c r="F3" s="29">
        <v>0</v>
      </c>
    </row>
    <row r="4" spans="1:20" ht="13.8" thickBot="1" x14ac:dyDescent="0.3">
      <c r="A4" s="30" t="s">
        <v>18</v>
      </c>
      <c r="B4" s="31">
        <v>120</v>
      </c>
      <c r="C4" s="31">
        <v>125</v>
      </c>
      <c r="D4" s="31">
        <v>40</v>
      </c>
      <c r="E4" s="32">
        <v>450</v>
      </c>
      <c r="F4" s="33">
        <v>165</v>
      </c>
    </row>
    <row r="5" spans="1:20" ht="13.8" thickBot="1" x14ac:dyDescent="0.3">
      <c r="A5" s="26" t="s">
        <v>19</v>
      </c>
      <c r="B5" s="27">
        <v>60</v>
      </c>
      <c r="C5" s="27">
        <v>150</v>
      </c>
      <c r="D5" s="27">
        <v>200</v>
      </c>
      <c r="E5" s="34">
        <v>480</v>
      </c>
      <c r="F5" s="35">
        <v>70</v>
      </c>
    </row>
    <row r="6" spans="1:20" ht="13.8" thickBot="1" x14ac:dyDescent="0.3">
      <c r="A6" s="36" t="s">
        <v>25</v>
      </c>
      <c r="B6" s="37">
        <v>11</v>
      </c>
      <c r="C6" s="37">
        <v>19</v>
      </c>
      <c r="D6" s="37">
        <v>30</v>
      </c>
      <c r="E6" s="38"/>
      <c r="F6" s="38"/>
    </row>
    <row r="7" spans="1:20" ht="13.8" thickBot="1" x14ac:dyDescent="0.3"/>
    <row r="8" spans="1:20" ht="42" customHeight="1" thickBot="1" x14ac:dyDescent="0.3">
      <c r="A8" s="39"/>
      <c r="B8" s="131" t="s">
        <v>26</v>
      </c>
      <c r="C8" s="132"/>
      <c r="D8" s="133"/>
    </row>
    <row r="9" spans="1:20" ht="13.8" thickBot="1" x14ac:dyDescent="0.3">
      <c r="A9" s="40"/>
      <c r="B9" s="41" t="s">
        <v>17</v>
      </c>
      <c r="C9" s="41" t="s">
        <v>18</v>
      </c>
      <c r="D9" s="41" t="s">
        <v>19</v>
      </c>
      <c r="J9" s="50" t="s">
        <v>35</v>
      </c>
      <c r="K9" s="51"/>
      <c r="L9" s="51"/>
      <c r="M9" s="51"/>
      <c r="N9" s="51" t="s">
        <v>37</v>
      </c>
      <c r="O9" s="51"/>
      <c r="P9" s="51"/>
      <c r="Q9" s="51"/>
      <c r="R9" s="51" t="s">
        <v>38</v>
      </c>
      <c r="S9" s="51"/>
      <c r="T9" s="51"/>
    </row>
    <row r="10" spans="1:20" ht="13.8" thickBot="1" x14ac:dyDescent="0.3">
      <c r="A10" s="26" t="s">
        <v>17</v>
      </c>
      <c r="B10" s="27">
        <v>0.5</v>
      </c>
      <c r="C10" s="27">
        <v>0.111</v>
      </c>
      <c r="D10" s="27">
        <v>8.3000000000000004E-2</v>
      </c>
      <c r="F10" s="22">
        <f>B3/$E$3</f>
        <v>0.5</v>
      </c>
      <c r="G10" s="22">
        <f>C3/$E$4</f>
        <v>0.1111111111111111</v>
      </c>
      <c r="H10" s="22">
        <f>D3/$E$5</f>
        <v>8.3333333333333329E-2</v>
      </c>
      <c r="J10" s="52">
        <f t="array" ref="J10:L12">I-_A2</f>
        <v>0.5</v>
      </c>
      <c r="K10" s="52">
        <v>-0.111</v>
      </c>
      <c r="L10" s="52">
        <v>-8.3000000000000004E-2</v>
      </c>
      <c r="M10" s="51"/>
      <c r="N10" s="52">
        <f>MDETERM(K11:L12)</f>
        <v>0.39328699999999994</v>
      </c>
      <c r="O10" s="52">
        <f>-1*(J11*L12-L11*J12)</f>
        <v>0.41650000000000004</v>
      </c>
      <c r="P10" s="52">
        <f>MDETERM(J11:K12)</f>
        <v>0.46253700000000003</v>
      </c>
      <c r="Q10" s="51"/>
      <c r="R10" s="52">
        <f>N10</f>
        <v>0.39328699999999994</v>
      </c>
      <c r="S10" s="52">
        <f>N11</f>
        <v>9.235199999999999E-2</v>
      </c>
      <c r="T10" s="52">
        <f>N12</f>
        <v>6.9139000000000006E-2</v>
      </c>
    </row>
    <row r="11" spans="1:20" ht="13.8" thickBot="1" x14ac:dyDescent="0.3">
      <c r="A11" s="30" t="s">
        <v>18</v>
      </c>
      <c r="B11" s="31">
        <v>0.66700000000000004</v>
      </c>
      <c r="C11" s="31">
        <v>0.27800000000000002</v>
      </c>
      <c r="D11" s="31">
        <v>8.3000000000000004E-2</v>
      </c>
      <c r="F11" s="22">
        <f>B4/$E$3</f>
        <v>0.66666666666666663</v>
      </c>
      <c r="G11" s="22">
        <f t="shared" ref="G11:G13" si="0">C4/$E$4</f>
        <v>0.27777777777777779</v>
      </c>
      <c r="H11" s="22">
        <f t="shared" ref="H11:H13" si="1">D4/$E$5</f>
        <v>8.3333333333333329E-2</v>
      </c>
      <c r="J11" s="52">
        <v>-0.66700000000000004</v>
      </c>
      <c r="K11" s="52">
        <v>0.72199999999999998</v>
      </c>
      <c r="L11" s="52">
        <v>-8.3000000000000004E-2</v>
      </c>
      <c r="M11" s="51"/>
      <c r="N11" s="52">
        <f>-1*(K10*L12-L10*K12)</f>
        <v>9.235199999999999E-2</v>
      </c>
      <c r="O11" s="52">
        <f>J10*L12-L10*J12</f>
        <v>0.26386099999999996</v>
      </c>
      <c r="P11" s="52">
        <f>-1*(J10*K12-K10*J12)</f>
        <v>0.203463</v>
      </c>
      <c r="Q11" s="51"/>
      <c r="R11" s="52">
        <f>O10</f>
        <v>0.41650000000000004</v>
      </c>
      <c r="S11" s="52">
        <f>O11</f>
        <v>0.26386099999999996</v>
      </c>
      <c r="T11" s="52">
        <f>O12</f>
        <v>9.6861000000000003E-2</v>
      </c>
    </row>
    <row r="12" spans="1:20" ht="13.8" thickBot="1" x14ac:dyDescent="0.3">
      <c r="A12" s="26" t="s">
        <v>19</v>
      </c>
      <c r="B12" s="27">
        <v>0.33300000000000002</v>
      </c>
      <c r="C12" s="27">
        <v>0.33300000000000002</v>
      </c>
      <c r="D12" s="27">
        <v>0.41699999999999998</v>
      </c>
      <c r="F12" s="22">
        <f>B5/$E$3</f>
        <v>0.33333333333333331</v>
      </c>
      <c r="G12" s="22">
        <f t="shared" si="0"/>
        <v>0.33333333333333331</v>
      </c>
      <c r="H12" s="22">
        <f t="shared" si="1"/>
        <v>0.41666666666666669</v>
      </c>
      <c r="J12" s="52">
        <v>-0.33300000000000002</v>
      </c>
      <c r="K12" s="52">
        <v>-0.33300000000000002</v>
      </c>
      <c r="L12" s="52">
        <v>0.58299999999999996</v>
      </c>
      <c r="M12" s="51"/>
      <c r="N12" s="52">
        <f>MDETERM(K10:L11)</f>
        <v>6.9139000000000006E-2</v>
      </c>
      <c r="O12" s="52">
        <f>-1*(J10*L11-L10*J11)</f>
        <v>9.6861000000000003E-2</v>
      </c>
      <c r="P12" s="52">
        <f>MDETERM(J10:K11)</f>
        <v>0.28696300000000002</v>
      </c>
      <c r="Q12" s="51"/>
      <c r="R12" s="52">
        <f>P10</f>
        <v>0.46253700000000003</v>
      </c>
      <c r="S12" s="52">
        <f>P11</f>
        <v>0.203463</v>
      </c>
      <c r="T12" s="52">
        <f>P12</f>
        <v>0.28696300000000002</v>
      </c>
    </row>
    <row r="13" spans="1:20" ht="13.8" thickBot="1" x14ac:dyDescent="0.3">
      <c r="A13" s="36" t="s">
        <v>25</v>
      </c>
      <c r="B13" s="37">
        <v>6.25E-2</v>
      </c>
      <c r="C13" s="37">
        <v>4.1700000000000001E-2</v>
      </c>
      <c r="D13" s="37">
        <v>6.25E-2</v>
      </c>
      <c r="F13" s="22">
        <f>B6/$E$3</f>
        <v>6.1111111111111109E-2</v>
      </c>
      <c r="G13" s="22">
        <f t="shared" si="0"/>
        <v>4.2222222222222223E-2</v>
      </c>
      <c r="H13" s="22">
        <f t="shared" si="1"/>
        <v>6.25E-2</v>
      </c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</row>
    <row r="14" spans="1:20" x14ac:dyDescent="0.25">
      <c r="J14" s="50" t="s">
        <v>36</v>
      </c>
      <c r="K14" s="51"/>
      <c r="L14" s="51"/>
      <c r="M14" s="51"/>
      <c r="N14" s="51"/>
      <c r="O14" s="51"/>
      <c r="P14" s="51"/>
      <c r="Q14" s="51"/>
      <c r="R14" s="51"/>
      <c r="S14" s="51"/>
      <c r="T14" s="51"/>
    </row>
    <row r="15" spans="1:20" ht="13.8" thickBot="1" x14ac:dyDescent="0.3">
      <c r="J15" s="52">
        <f>MDETERM(J10:L12)</f>
        <v>0.11202142900000002</v>
      </c>
      <c r="K15" s="51"/>
      <c r="L15" s="51"/>
      <c r="M15" s="51"/>
      <c r="N15" s="51"/>
      <c r="O15" s="51"/>
      <c r="P15" s="51"/>
      <c r="Q15" s="51"/>
      <c r="R15" s="51"/>
      <c r="S15" s="51"/>
      <c r="T15" s="51"/>
    </row>
    <row r="16" spans="1:20" ht="13.8" thickBot="1" x14ac:dyDescent="0.3">
      <c r="A16" s="134" t="s">
        <v>29</v>
      </c>
      <c r="B16" s="135"/>
      <c r="C16" s="135"/>
      <c r="D16" s="136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</row>
    <row r="17" spans="1:20" ht="14.4" thickTop="1" thickBot="1" x14ac:dyDescent="0.3">
      <c r="A17" s="44"/>
      <c r="B17" s="45" t="s">
        <v>17</v>
      </c>
      <c r="C17" s="45" t="s">
        <v>18</v>
      </c>
      <c r="D17" s="45" t="s">
        <v>19</v>
      </c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</row>
    <row r="18" spans="1:20" ht="13.8" thickBot="1" x14ac:dyDescent="0.3">
      <c r="A18" s="46" t="s">
        <v>17</v>
      </c>
      <c r="B18" s="47">
        <v>3.5169999999999999</v>
      </c>
      <c r="C18" s="47">
        <v>0.82799999999999996</v>
      </c>
      <c r="D18" s="47">
        <v>0.621</v>
      </c>
      <c r="J18" s="51"/>
      <c r="K18" s="50" t="s">
        <v>17</v>
      </c>
      <c r="L18" s="50" t="s">
        <v>18</v>
      </c>
      <c r="M18" s="50" t="s">
        <v>19</v>
      </c>
      <c r="N18" s="51"/>
      <c r="O18" s="51"/>
      <c r="P18" s="51"/>
      <c r="Q18" s="51"/>
      <c r="R18" s="51"/>
      <c r="S18" s="51"/>
      <c r="T18" s="51"/>
    </row>
    <row r="19" spans="1:20" ht="13.8" thickBot="1" x14ac:dyDescent="0.3">
      <c r="A19" s="48" t="s">
        <v>18</v>
      </c>
      <c r="B19" s="49">
        <v>3.7240000000000002</v>
      </c>
      <c r="C19" s="49">
        <v>2.359</v>
      </c>
      <c r="D19" s="49">
        <v>0.86899999999999999</v>
      </c>
      <c r="J19" s="50" t="s">
        <v>17</v>
      </c>
      <c r="K19" s="53">
        <f>R10/$J$15</f>
        <v>3.5108193451094065</v>
      </c>
      <c r="L19" s="53">
        <f t="shared" ref="L19:M19" si="2">S10/$J$15</f>
        <v>0.82441369320507396</v>
      </c>
      <c r="M19" s="53">
        <f t="shared" si="2"/>
        <v>0.61719441197273062</v>
      </c>
      <c r="N19" s="51"/>
      <c r="O19" s="51"/>
      <c r="P19" s="51"/>
      <c r="Q19" s="51"/>
      <c r="R19" s="51"/>
      <c r="S19" s="51"/>
      <c r="T19" s="51"/>
    </row>
    <row r="20" spans="1:20" ht="13.8" thickBot="1" x14ac:dyDescent="0.3">
      <c r="A20" s="46" t="s">
        <v>19</v>
      </c>
      <c r="B20" s="47">
        <v>4.1379999999999999</v>
      </c>
      <c r="C20" s="47">
        <v>1.821</v>
      </c>
      <c r="D20" s="47">
        <v>2.5659999999999998</v>
      </c>
      <c r="J20" s="50" t="s">
        <v>18</v>
      </c>
      <c r="K20" s="53">
        <f t="shared" ref="K20:M20" si="3">R11/$J$15</f>
        <v>3.7180386263417509</v>
      </c>
      <c r="L20" s="53">
        <f t="shared" si="3"/>
        <v>2.3554511164109493</v>
      </c>
      <c r="M20" s="53">
        <f t="shared" si="3"/>
        <v>0.86466492049480981</v>
      </c>
      <c r="N20" s="51"/>
      <c r="O20" s="51"/>
      <c r="P20" s="51"/>
      <c r="Q20" s="51"/>
      <c r="R20" s="51"/>
      <c r="S20" s="51"/>
      <c r="T20" s="51"/>
    </row>
    <row r="21" spans="1:20" ht="13.8" thickBot="1" x14ac:dyDescent="0.3">
      <c r="J21" s="50" t="s">
        <v>19</v>
      </c>
      <c r="K21" s="53">
        <f t="shared" ref="K21:M21" si="4">R12/$J$15</f>
        <v>4.1290046389249326</v>
      </c>
      <c r="L21" s="53">
        <f t="shared" si="4"/>
        <v>1.8162864178424287</v>
      </c>
      <c r="M21" s="53">
        <f t="shared" si="4"/>
        <v>2.561679515800499</v>
      </c>
      <c r="N21" s="51"/>
      <c r="O21" s="51"/>
      <c r="P21" s="51"/>
      <c r="Q21" s="51"/>
      <c r="R21" s="51"/>
      <c r="S21" s="51"/>
      <c r="T21" s="51"/>
    </row>
    <row r="22" spans="1:20" ht="13.8" thickBot="1" x14ac:dyDescent="0.3">
      <c r="A22" s="121" t="s">
        <v>76</v>
      </c>
      <c r="B22" s="122"/>
      <c r="C22" s="123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</row>
    <row r="23" spans="1:20" ht="13.8" thickBot="1" x14ac:dyDescent="0.3">
      <c r="A23" s="95" t="s">
        <v>17</v>
      </c>
      <c r="B23" s="95" t="s">
        <v>18</v>
      </c>
      <c r="C23" s="95" t="s">
        <v>19</v>
      </c>
      <c r="J23" s="51"/>
      <c r="K23" s="67">
        <f>K19-B18</f>
        <v>-6.1806548905933845E-3</v>
      </c>
      <c r="L23" s="67">
        <f t="shared" ref="L23:M23" si="5">L19-C18</f>
        <v>-3.5863067949259975E-3</v>
      </c>
      <c r="M23" s="67">
        <f t="shared" si="5"/>
        <v>-3.8055880272693798E-3</v>
      </c>
      <c r="N23" s="51"/>
      <c r="O23" s="51"/>
      <c r="P23" s="51"/>
      <c r="Q23" s="51"/>
      <c r="R23" s="51"/>
      <c r="S23" s="51"/>
      <c r="T23" s="51"/>
    </row>
    <row r="24" spans="1:20" ht="13.8" thickBot="1" x14ac:dyDescent="0.3">
      <c r="A24" s="47">
        <v>1.26E-2</v>
      </c>
      <c r="B24" s="47">
        <v>4.5999999999999999E-3</v>
      </c>
      <c r="C24" s="47">
        <v>3.3999999999999998E-3</v>
      </c>
      <c r="J24" s="51"/>
      <c r="K24" s="67">
        <f t="shared" ref="K24:K25" si="6">K20-B19</f>
        <v>-5.961373658249336E-3</v>
      </c>
      <c r="L24" s="67">
        <f t="shared" ref="L24:L25" si="7">L20-C19</f>
        <v>-3.5488835890506998E-3</v>
      </c>
      <c r="M24" s="67">
        <f t="shared" ref="M24:M25" si="8">M20-D19</f>
        <v>-4.3350795051901869E-3</v>
      </c>
      <c r="N24" s="51"/>
      <c r="O24" s="51"/>
      <c r="P24" s="51"/>
      <c r="Q24" s="51"/>
      <c r="R24" s="51"/>
      <c r="S24" s="51"/>
      <c r="T24" s="51"/>
    </row>
    <row r="25" spans="1:20" ht="13.8" thickBot="1" x14ac:dyDescent="0.3">
      <c r="A25" s="22">
        <f>A24/H27</f>
        <v>1.2637913741223672E-2</v>
      </c>
      <c r="B25" s="22">
        <f>B24/$H$27</f>
        <v>4.6138415245737209E-3</v>
      </c>
      <c r="C25" s="22">
        <f>C24/$H$27</f>
        <v>3.4102306920762286E-3</v>
      </c>
      <c r="J25" s="51"/>
      <c r="K25" s="67">
        <f t="shared" si="6"/>
        <v>-8.9953610750672652E-3</v>
      </c>
      <c r="L25" s="67">
        <f t="shared" si="7"/>
        <v>-4.7135821575712278E-3</v>
      </c>
      <c r="M25" s="67">
        <f t="shared" si="8"/>
        <v>-4.3204841995008181E-3</v>
      </c>
      <c r="N25" s="51"/>
      <c r="O25" s="51"/>
      <c r="P25" s="51"/>
      <c r="Q25" s="51"/>
      <c r="R25" s="51"/>
      <c r="S25" s="51"/>
      <c r="T25" s="51"/>
    </row>
    <row r="26" spans="1:20" ht="27" thickBot="1" x14ac:dyDescent="0.3">
      <c r="A26" s="81"/>
      <c r="B26" s="118" t="s">
        <v>15</v>
      </c>
      <c r="C26" s="119"/>
      <c r="D26" s="120"/>
      <c r="E26" s="82" t="s">
        <v>16</v>
      </c>
      <c r="F26" s="83" t="s">
        <v>24</v>
      </c>
    </row>
    <row r="27" spans="1:20" ht="13.8" thickBot="1" x14ac:dyDescent="0.3">
      <c r="A27" s="81"/>
      <c r="B27" s="84" t="s">
        <v>17</v>
      </c>
      <c r="C27" s="84" t="s">
        <v>18</v>
      </c>
      <c r="D27" s="84" t="s">
        <v>19</v>
      </c>
      <c r="E27" s="85"/>
      <c r="F27" s="86"/>
      <c r="H27" s="22">
        <f>MMULT(A24:C24,F3:F5)</f>
        <v>0.997</v>
      </c>
    </row>
    <row r="28" spans="1:20" ht="13.8" thickBot="1" x14ac:dyDescent="0.3">
      <c r="A28" s="87" t="s">
        <v>17</v>
      </c>
      <c r="B28" s="88">
        <v>1.1399999999999999</v>
      </c>
      <c r="C28" s="88">
        <v>0.63</v>
      </c>
      <c r="D28" s="88">
        <v>0.51</v>
      </c>
      <c r="E28" s="89">
        <v>2.2799999999999998</v>
      </c>
      <c r="F28" s="47">
        <v>0</v>
      </c>
    </row>
    <row r="29" spans="1:20" ht="13.8" thickBot="1" x14ac:dyDescent="0.3">
      <c r="A29" s="81" t="s">
        <v>18</v>
      </c>
      <c r="B29" s="90">
        <v>0.55000000000000004</v>
      </c>
      <c r="C29" s="90">
        <v>0.56999999999999995</v>
      </c>
      <c r="D29" s="90">
        <v>0.18</v>
      </c>
      <c r="E29" s="91">
        <v>2.0699999999999998</v>
      </c>
      <c r="F29" s="49">
        <v>0.76</v>
      </c>
    </row>
    <row r="30" spans="1:20" ht="13.8" thickBot="1" x14ac:dyDescent="0.3">
      <c r="A30" s="87" t="s">
        <v>19</v>
      </c>
      <c r="B30" s="88">
        <v>0.21</v>
      </c>
      <c r="C30" s="88">
        <v>0.52</v>
      </c>
      <c r="D30" s="88">
        <v>0.69</v>
      </c>
      <c r="E30" s="89">
        <v>1.66</v>
      </c>
      <c r="F30" s="47">
        <v>0.24</v>
      </c>
    </row>
    <row r="31" spans="1:20" ht="27" thickBot="1" x14ac:dyDescent="0.3">
      <c r="A31" s="92" t="s">
        <v>73</v>
      </c>
      <c r="B31" s="93">
        <v>1.9</v>
      </c>
      <c r="C31" s="93">
        <v>1.72</v>
      </c>
      <c r="D31" s="93">
        <v>1.38</v>
      </c>
      <c r="E31" s="86"/>
      <c r="F31" s="86"/>
    </row>
    <row r="32" spans="1:20" ht="13.8" thickBot="1" x14ac:dyDescent="0.3">
      <c r="A32" s="46" t="s">
        <v>74</v>
      </c>
      <c r="B32" s="47">
        <v>0</v>
      </c>
      <c r="C32" s="47">
        <v>0</v>
      </c>
      <c r="D32" s="47">
        <v>0</v>
      </c>
      <c r="E32" s="94"/>
      <c r="F32" s="94"/>
    </row>
    <row r="33" spans="1:6" ht="13.8" thickBot="1" x14ac:dyDescent="0.3">
      <c r="A33" s="48" t="s">
        <v>14</v>
      </c>
      <c r="B33" s="49">
        <v>0.38</v>
      </c>
      <c r="C33" s="49">
        <v>0.34</v>
      </c>
      <c r="D33" s="49">
        <v>0.28000000000000003</v>
      </c>
      <c r="E33" s="86"/>
      <c r="F33" s="86"/>
    </row>
    <row r="34" spans="1:6" ht="27" thickBot="1" x14ac:dyDescent="0.3">
      <c r="A34" s="46" t="s">
        <v>75</v>
      </c>
      <c r="B34" s="47">
        <v>0.38</v>
      </c>
      <c r="C34" s="47">
        <v>0.34</v>
      </c>
      <c r="D34" s="47">
        <v>0.28000000000000003</v>
      </c>
      <c r="E34" s="94"/>
      <c r="F34" s="47">
        <v>1</v>
      </c>
    </row>
    <row r="35" spans="1:6" ht="13.8" thickBot="1" x14ac:dyDescent="0.3">
      <c r="A35" s="48" t="s">
        <v>9</v>
      </c>
      <c r="B35" s="49">
        <v>2.2799999999999998</v>
      </c>
      <c r="C35" s="49">
        <v>2.0699999999999998</v>
      </c>
      <c r="D35" s="49">
        <v>1.66</v>
      </c>
      <c r="E35" s="49">
        <v>6</v>
      </c>
      <c r="F35" s="86"/>
    </row>
  </sheetData>
  <mergeCells count="7">
    <mergeCell ref="B26:D26"/>
    <mergeCell ref="A22:C22"/>
    <mergeCell ref="B1:D1"/>
    <mergeCell ref="E1:E2"/>
    <mergeCell ref="F1:F2"/>
    <mergeCell ref="B8:D8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Marx</vt:lpstr>
      <vt:lpstr>Sraffa w-r</vt:lpstr>
      <vt:lpstr>Sraffa</vt:lpstr>
      <vt:lpstr>Sraffa check</vt:lpstr>
      <vt:lpstr>_a12</vt:lpstr>
      <vt:lpstr>_A2</vt:lpstr>
      <vt:lpstr>A</vt:lpstr>
      <vt:lpstr>I</vt:lpstr>
      <vt:lpstr>l</vt:lpstr>
      <vt:lpstr>LeontiefInv</vt:lpstr>
      <vt:lpstr>Net_product</vt:lpstr>
      <vt:lpstr>Result1</vt:lpstr>
      <vt:lpstr>Table_R</vt:lpstr>
      <vt:lpstr>Units_of_labor</vt:lpstr>
      <vt:lpstr>Vector_p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</dc:creator>
  <cp:lastModifiedBy>Debra Ray</cp:lastModifiedBy>
  <cp:lastPrinted>2017-10-23T23:16:30Z</cp:lastPrinted>
  <dcterms:created xsi:type="dcterms:W3CDTF">2017-10-19T21:42:37Z</dcterms:created>
  <dcterms:modified xsi:type="dcterms:W3CDTF">2019-12-21T22:10:42Z</dcterms:modified>
</cp:coreProperties>
</file>