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media/image49.png" ContentType="image/png"/>
  <Override PartName="/xl/media/image54.png" ContentType="image/png"/>
  <Override PartName="/xl/media/image50.jpeg" ContentType="image/jpeg"/>
  <Override PartName="/xl/media/image52.png" ContentType="image/png"/>
  <Override PartName="/xl/media/image51.png" ContentType="image/png"/>
  <Override PartName="/xl/media/image53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uides" sheetId="1" state="visible" r:id="rId2"/>
    <sheet name="Jan" sheetId="2" state="visible" r:id="rId3"/>
    <sheet name="Feb" sheetId="3" state="visible" r:id="rId4"/>
    <sheet name="Mar" sheetId="4" state="visible" r:id="rId5"/>
    <sheet name="Apr" sheetId="5" state="visible" r:id="rId6"/>
    <sheet name="May" sheetId="6" state="visible" r:id="rId7"/>
    <sheet name="Jun" sheetId="7" state="visible" r:id="rId8"/>
    <sheet name="Jul" sheetId="8" state="visible" r:id="rId9"/>
    <sheet name="Aug" sheetId="9" state="visible" r:id="rId10"/>
    <sheet name="Oct" sheetId="10" state="visible" r:id="rId11"/>
    <sheet name="Sept" sheetId="11" state="visible" r:id="rId12"/>
    <sheet name="Nov" sheetId="12" state="visible" r:id="rId13"/>
    <sheet name="Dec" sheetId="13" state="visible" r:id="rId14"/>
    <sheet name="EofY BS" sheetId="14" state="visible" r:id="rId15"/>
    <sheet name="Annual Plan" sheetId="15" state="visible" r:id="rId16"/>
    <sheet name="Annual Total History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T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Trinity Study says that if you have 25x your annual expenses you can withdraw 4% forever. Thus perpetual funds without hitting the principal.
Used $50k as annual expense and calculated annual goal based off additional 5% annual gains</t>
        </r>
      </text>
    </comment>
    <comment ref="BH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ETFs included in calc for a total allocation</t>
        </r>
      </text>
    </comment>
  </commentList>
</comments>
</file>

<file path=xl/sharedStrings.xml><?xml version="1.0" encoding="utf-8"?>
<sst xmlns="http://schemas.openxmlformats.org/spreadsheetml/2006/main" count="2993" uniqueCount="205">
  <si>
    <t xml:space="preserve">http://www.madfientist.com/after-tax-contributions/</t>
  </si>
  <si>
    <t xml:space="preserve">Mr Money Mustache Forum</t>
  </si>
  <si>
    <t xml:space="preserve">Income</t>
  </si>
  <si>
    <t xml:space="preserve">Investments</t>
  </si>
  <si>
    <t xml:space="preserve">Month Overview</t>
  </si>
  <si>
    <t xml:space="preserve">Remaining Budget</t>
  </si>
  <si>
    <t xml:space="preserve">Expense Category</t>
  </si>
  <si>
    <t xml:space="preserve">Amount Spent</t>
  </si>
  <si>
    <t xml:space="preserve">Cash Highlights/Ratios</t>
  </si>
  <si>
    <t xml:space="preserve">Balance Sheet - As of 1st of Month</t>
  </si>
  <si>
    <t xml:space="preserve">Trinity Study Goal (As of 1st of Mo)</t>
  </si>
  <si>
    <t xml:space="preserve">Mutual Fund - As of 1st of Month</t>
  </si>
  <si>
    <t xml:space="preserve">Ticker</t>
  </si>
  <si>
    <t xml:space="preserve">Price</t>
  </si>
  <si>
    <t xml:space="preserve">Shares</t>
  </si>
  <si>
    <t xml:space="preserve">Book Value</t>
  </si>
  <si>
    <t xml:space="preserve">Market Value</t>
  </si>
  <si>
    <t xml:space="preserve">Allocation</t>
  </si>
  <si>
    <t xml:space="preserve">Life Return</t>
  </si>
  <si>
    <t xml:space="preserve">Date</t>
  </si>
  <si>
    <t xml:space="preserve">Description</t>
  </si>
  <si>
    <t xml:space="preserve">Amount</t>
  </si>
  <si>
    <t xml:space="preserve">Income (Includes 401k)</t>
  </si>
  <si>
    <t xml:space="preserve">Cash Income/Day</t>
  </si>
  <si>
    <t xml:space="preserve">                          Assets</t>
  </si>
  <si>
    <t xml:space="preserve">                      Liabilities</t>
  </si>
  <si>
    <t xml:space="preserve">Net Worth Needed to Retire</t>
  </si>
  <si>
    <t xml:space="preserve">Vanguard 500 Index Fund Admiral Shares </t>
  </si>
  <si>
    <t xml:space="preserve">VFIAX</t>
  </si>
  <si>
    <t xml:space="preserve">Paycheck #1</t>
  </si>
  <si>
    <t xml:space="preserve">401k - Personal Contribution #1</t>
  </si>
  <si>
    <t xml:space="preserve">Income - Non-401k Cash Flow (Job)</t>
  </si>
  <si>
    <t xml:space="preserve">Cash Expense Recurring/Day</t>
  </si>
  <si>
    <t xml:space="preserve">Checking</t>
  </si>
  <si>
    <t xml:space="preserve">Capital One</t>
  </si>
  <si>
    <t xml:space="preserve">Current Net Worth</t>
  </si>
  <si>
    <t xml:space="preserve">Vanguard Developed Markets Index Fund Admiral Shares </t>
  </si>
  <si>
    <t xml:space="preserve">VTMGX</t>
  </si>
  <si>
    <t xml:space="preserve">Paycheck #2</t>
  </si>
  <si>
    <t xml:space="preserve">401k - Personal Contribution #2</t>
  </si>
  <si>
    <t xml:space="preserve">Income - Interest/Dividends</t>
  </si>
  <si>
    <t xml:space="preserve">Cash Expense Non-Recurring/Day</t>
  </si>
  <si>
    <t xml:space="preserve">Savings</t>
  </si>
  <si>
    <t xml:space="preserve">Bank Americard</t>
  </si>
  <si>
    <t xml:space="preserve">Total Increase in Assets Needed</t>
  </si>
  <si>
    <t xml:space="preserve">Vanguard Emerging Markets Stock Index Fund Admiral Shares </t>
  </si>
  <si>
    <t xml:space="preserve">VEMAX</t>
  </si>
  <si>
    <t xml:space="preserve">Paycheck #3</t>
  </si>
  <si>
    <t xml:space="preserve">401k - Personal Contribution #3</t>
  </si>
  <si>
    <t xml:space="preserve">Income - Side Hustle/Random</t>
  </si>
  <si>
    <t xml:space="preserve">Cash Expense Total/Day</t>
  </si>
  <si>
    <t xml:space="preserve">Cash</t>
  </si>
  <si>
    <t xml:space="preserve">Chase</t>
  </si>
  <si>
    <t xml:space="preserve">Month Savings/Addition to Goal</t>
  </si>
  <si>
    <t xml:space="preserve">Vanguard Mid-Cap Index Fund Admiral Shares </t>
  </si>
  <si>
    <t xml:space="preserve">VIMAX</t>
  </si>
  <si>
    <t xml:space="preserve">Vanguard Dividends</t>
  </si>
  <si>
    <t xml:space="preserve">401k - Employer Contribution #1</t>
  </si>
  <si>
    <t xml:space="preserve">Expenses</t>
  </si>
  <si>
    <t xml:space="preserve">Cash Over/Under /Day</t>
  </si>
  <si>
    <t xml:space="preserve">Vanguard Brokerage</t>
  </si>
  <si>
    <t xml:space="preserve">Amazon</t>
  </si>
  <si>
    <t xml:space="preserve">Month Savings 15 years Future Value</t>
  </si>
  <si>
    <t xml:space="preserve">Vanguard Real Estate Index Fund Admiral Shares  </t>
  </si>
  <si>
    <t xml:space="preserve">VGSLX</t>
  </si>
  <si>
    <t xml:space="preserve">Checking Interest</t>
  </si>
  <si>
    <t xml:space="preserve">401k - Employer Contribution #2</t>
  </si>
  <si>
    <t xml:space="preserve">Cash Savings (Excludes 401k)</t>
  </si>
  <si>
    <t xml:space="preserve">Cash Income/Week</t>
  </si>
  <si>
    <t xml:space="preserve">401k</t>
  </si>
  <si>
    <t xml:space="preserve">Percent Closer to Goal</t>
  </si>
  <si>
    <t xml:space="preserve">Vanguard Small-Cap Index Fund Admiral Shares </t>
  </si>
  <si>
    <t xml:space="preserve">VSMAX</t>
  </si>
  <si>
    <t xml:space="preserve">Random #1</t>
  </si>
  <si>
    <t xml:space="preserve">401k - Employer Contribution #3</t>
  </si>
  <si>
    <t xml:space="preserve">Net Worth: Start of Month</t>
  </si>
  <si>
    <t xml:space="preserve">Cash Expense Recurring/Week</t>
  </si>
  <si>
    <t xml:space="preserve">Roth IRA</t>
  </si>
  <si>
    <t xml:space="preserve">Value in 15 Years(w/5% compound)</t>
  </si>
  <si>
    <t xml:space="preserve">Vanguard Total Bond Market Index Fund Admiral Shares </t>
  </si>
  <si>
    <t xml:space="preserve">VBTLX</t>
  </si>
  <si>
    <t xml:space="preserve">Random #2</t>
  </si>
  <si>
    <t xml:space="preserve">Vanguard Roth IRA Contribution</t>
  </si>
  <si>
    <t xml:space="preserve">Net Worth: End of Month</t>
  </si>
  <si>
    <t xml:space="preserve">Total Non-Recurring</t>
  </si>
  <si>
    <t xml:space="preserve">Cash Expense Non-Recurring/Week</t>
  </si>
  <si>
    <t xml:space="preserve">Apartment Security Deposit</t>
  </si>
  <si>
    <t xml:space="preserve">Months Left to Reach Goal at This Rate</t>
  </si>
  <si>
    <t xml:space="preserve">Vanguard Total International Bond Index Fund Admiral Shares </t>
  </si>
  <si>
    <t xml:space="preserve">VTABX</t>
  </si>
  <si>
    <t xml:space="preserve">Side Hustle #1</t>
  </si>
  <si>
    <t xml:space="preserve">Δ Net Worth (Month)</t>
  </si>
  <si>
    <t xml:space="preserve">Cash Expense Total/Week</t>
  </si>
  <si>
    <t xml:space="preserve">Years Left to Reach Goal at This Rate</t>
  </si>
  <si>
    <t xml:space="preserve">ETF - As of 1st of Month</t>
  </si>
  <si>
    <t xml:space="preserve">LTCG</t>
  </si>
  <si>
    <t xml:space="preserve">Side Hustle #2</t>
  </si>
  <si>
    <t xml:space="preserve">%Δ Net Worth (Month)</t>
  </si>
  <si>
    <t xml:space="preserve">Cumulative Brokerage Dividends</t>
  </si>
  <si>
    <t xml:space="preserve">Cash Over/Under /Week</t>
  </si>
  <si>
    <t xml:space="preserve">Current Age</t>
  </si>
  <si>
    <t xml:space="preserve">Vanguard FTSE Developed Markets ETF </t>
  </si>
  <si>
    <t xml:space="preserve">VEA</t>
  </si>
  <si>
    <t xml:space="preserve">Side Hustle #3</t>
  </si>
  <si>
    <t xml:space="preserve">Δ Net Worth (Year to End of Mo)</t>
  </si>
  <si>
    <t xml:space="preserve">Annual +/- Cash Flow (Through End of Mo)</t>
  </si>
  <si>
    <t xml:space="preserve">Cumulative Cash Savings</t>
  </si>
  <si>
    <t xml:space="preserve">Retirement Age Goal</t>
  </si>
  <si>
    <t xml:space="preserve">Vanguard FTSE Emerging Markets ETF </t>
  </si>
  <si>
    <t xml:space="preserve">VWO</t>
  </si>
  <si>
    <t xml:space="preserve">Total</t>
  </si>
  <si>
    <t xml:space="preserve">%Δ Net Worth (Year to End of Mo)</t>
  </si>
  <si>
    <t xml:space="preserve">Annual +/- CF with Investments (Through End of Mo)</t>
  </si>
  <si>
    <t xml:space="preserve">Cumulative Cash + 401k Savings</t>
  </si>
  <si>
    <t xml:space="preserve">How Old I'll Be</t>
  </si>
  <si>
    <t xml:space="preserve">Vanguard Real Estate Index ETF </t>
  </si>
  <si>
    <t xml:space="preserve">VNQ</t>
  </si>
  <si>
    <t xml:space="preserve">Vanguard S&amp;P 500 Index ETF </t>
  </si>
  <si>
    <t xml:space="preserve">VOO</t>
  </si>
  <si>
    <t xml:space="preserve">Credit</t>
  </si>
  <si>
    <t xml:space="preserve">Vanguard Total Stock Market ETF </t>
  </si>
  <si>
    <t xml:space="preserve">VTI</t>
  </si>
  <si>
    <t xml:space="preserve">Discretionary</t>
  </si>
  <si>
    <t xml:space="preserve">Groceries</t>
  </si>
  <si>
    <t xml:space="preserve">Transportation</t>
  </si>
  <si>
    <t xml:space="preserve">Restaurant/Bar</t>
  </si>
  <si>
    <t xml:space="preserve">Alcohol</t>
  </si>
  <si>
    <t xml:space="preserve">Pet</t>
  </si>
  <si>
    <t xml:space="preserve">Travel</t>
  </si>
  <si>
    <t xml:space="preserve">Recurring</t>
  </si>
  <si>
    <t xml:space="preserve">a</t>
  </si>
  <si>
    <t xml:space="preserve">Amazon – Bluetooth Headphones</t>
  </si>
  <si>
    <t xml:space="preserve">Giant</t>
  </si>
  <si>
    <t xml:space="preserve">BP – Gas</t>
  </si>
  <si>
    <t xml:space="preserve">McDonalds</t>
  </si>
  <si>
    <t xml:space="preserve">ABC</t>
  </si>
  <si>
    <t xml:space="preserve">Chewy – Dog Food</t>
  </si>
  <si>
    <t xml:space="preserve">Rent</t>
  </si>
  <si>
    <t xml:space="preserve">VA Auto Property Tax</t>
  </si>
  <si>
    <t xml:space="preserve">WalMart</t>
  </si>
  <si>
    <t xml:space="preserve">Midas – Oil Change</t>
  </si>
  <si>
    <t xml:space="preserve">Pho #1</t>
  </si>
  <si>
    <t xml:space="preserve">Cell Phone</t>
  </si>
  <si>
    <t xml:space="preserve">Home Depot – 3 in 1 Oil, Metal Brush</t>
  </si>
  <si>
    <t xml:space="preserve">Internet</t>
  </si>
  <si>
    <t xml:space="preserve">Netflix</t>
  </si>
  <si>
    <t xml:space="preserve">Spotify</t>
  </si>
  <si>
    <t xml:space="preserve">Month Budget</t>
  </si>
  <si>
    <t xml:space="preserve">Month Budget Remaining</t>
  </si>
  <si>
    <t xml:space="preserve">Year-to-Date Budget</t>
  </si>
  <si>
    <t xml:space="preserve">Year-to-Date Budget Expenses</t>
  </si>
  <si>
    <t xml:space="preserve">Year-to-Date Budget +/-</t>
  </si>
  <si>
    <t xml:space="preserve">Side Hustle #1 - C1 Cash Back</t>
  </si>
  <si>
    <t xml:space="preserve">PennFed Checking &amp; Savings</t>
  </si>
  <si>
    <t xml:space="preserve">Feeds into December Balance Sheet for calculating net worth change and final snapshot</t>
  </si>
  <si>
    <t xml:space="preserve">Balance Sheet - 31st of December</t>
  </si>
  <si>
    <t xml:space="preserve">Assets</t>
  </si>
  <si>
    <t xml:space="preserve">Liabilities</t>
  </si>
  <si>
    <t xml:space="preserve">Annual Estimate</t>
  </si>
  <si>
    <t xml:space="preserve">Monthly Budget</t>
  </si>
  <si>
    <t xml:space="preserve">Annual Cash Work Cash Income</t>
  </si>
  <si>
    <t xml:space="preserve">Annual Recurring</t>
  </si>
  <si>
    <t xml:space="preserve">Bernie</t>
  </si>
  <si>
    <t xml:space="preserve">Cash Savings</t>
  </si>
  <si>
    <t xml:space="preserve">2019 Monthly Average</t>
  </si>
  <si>
    <t xml:space="preserve">2020 Monthly Average</t>
  </si>
  <si>
    <t xml:space="preserve">Savings Breakdown</t>
  </si>
  <si>
    <t xml:space="preserve">Annual Income</t>
  </si>
  <si>
    <t xml:space="preserve">Annual Income - Dividends/Interest</t>
  </si>
  <si>
    <t xml:space="preserve">401k Contributions</t>
  </si>
  <si>
    <t xml:space="preserve">Roth Contribution</t>
  </si>
  <si>
    <t xml:space="preserve">Brokerage Investments</t>
  </si>
  <si>
    <t xml:space="preserve">Annual Expenses</t>
  </si>
  <si>
    <t xml:space="preserve">Annual Savings</t>
  </si>
  <si>
    <t xml:space="preserve">Annual Savings Rate</t>
  </si>
  <si>
    <t xml:space="preserve">Expense Breakdown</t>
  </si>
  <si>
    <t xml:space="preserve">Rent/Mortgage</t>
  </si>
  <si>
    <t xml:space="preserve">Dining </t>
  </si>
  <si>
    <t xml:space="preserve">          -Alcohol</t>
  </si>
  <si>
    <t xml:space="preserve">          -Alcohol/Bars/Restaurants</t>
  </si>
  <si>
    <t xml:space="preserve">          -Faster Food</t>
  </si>
  <si>
    <t xml:space="preserve">Grocery</t>
  </si>
  <si>
    <t xml:space="preserve">Utilities</t>
  </si>
  <si>
    <t xml:space="preserve">          -Power</t>
  </si>
  <si>
    <t xml:space="preserve">          -Internet</t>
  </si>
  <si>
    <t xml:space="preserve">          -Cell Phone</t>
  </si>
  <si>
    <t xml:space="preserve">          -Netflix/Spotify/Amazon Prime Member</t>
  </si>
  <si>
    <t xml:space="preserve">Transportation Expenses</t>
  </si>
  <si>
    <t xml:space="preserve">          -Gas </t>
  </si>
  <si>
    <t xml:space="preserve">          -Car Insurance</t>
  </si>
  <si>
    <t xml:space="preserve">          -Miscellaneous (Repairs/Taxes/Parking)</t>
  </si>
  <si>
    <t xml:space="preserve">          -Uber/Lyft/Metro</t>
  </si>
  <si>
    <t xml:space="preserve">Education/Certifications/School/Tuition</t>
  </si>
  <si>
    <t xml:space="preserve">Home Purchase</t>
  </si>
  <si>
    <t xml:space="preserve">Home Repair</t>
  </si>
  <si>
    <t xml:space="preserve">Other Home Purchase - Furniture, moving,etc</t>
  </si>
  <si>
    <t xml:space="preserve">Home Depot - DIY</t>
  </si>
  <si>
    <t xml:space="preserve">Other Discretionary</t>
  </si>
  <si>
    <t xml:space="preserve">Vacation</t>
  </si>
  <si>
    <t xml:space="preserve">Asset Breakdown</t>
  </si>
  <si>
    <t xml:space="preserve">January 1 Assets</t>
  </si>
  <si>
    <t xml:space="preserve">January 1 Liabilities</t>
  </si>
  <si>
    <t xml:space="preserve">Jan 1 Net Assets</t>
  </si>
  <si>
    <t xml:space="preserve">Change in Net Assets ($)</t>
  </si>
  <si>
    <t xml:space="preserve">Change in Net Assets (%)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</si>
</sst>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(* #,##0.00_);_(* \(#,##0.00\);_(* \-??_);_(@_)"/>
    <numFmt numFmtId="166" formatCode="0%"/>
    <numFmt numFmtId="167" formatCode="_(\$* #,##0.00_);_(\$* \(#,##0.00\);_(\$* \-??_);_(@_)"/>
    <numFmt numFmtId="168" formatCode="General"/>
    <numFmt numFmtId="169" formatCode="_(\$* #,##0_);_(\$* \(#,##0\);_(\$* \-??_);_(@_)"/>
    <numFmt numFmtId="170" formatCode="_(* #,##0.000_);_(* \(#,##0.000\);_(* \-??_);_(@_)"/>
    <numFmt numFmtId="171" formatCode="0.0%"/>
    <numFmt numFmtId="172" formatCode="0.00%"/>
    <numFmt numFmtId="173" formatCode="m/d/yyyy"/>
    <numFmt numFmtId="174" formatCode="_(* #,##0_);_(* \(#,##0\);_(* \-??_);_(@_)"/>
    <numFmt numFmtId="175" formatCode="0.00"/>
    <numFmt numFmtId="176" formatCode="[$$-409]#,##0.00;[RED]\-[$$-409]#,##0.00"/>
  </numFmts>
  <fonts count="3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u val="single"/>
      <sz val="7"/>
      <color rgb="FF44546A"/>
      <name val="Webdings"/>
      <family val="1"/>
      <charset val="2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4"/>
      <color rgb="FF44546A"/>
      <name val="Webdings"/>
      <family val="1"/>
      <charset val="2"/>
    </font>
    <font>
      <b val="true"/>
      <sz val="14"/>
      <color rgb="FFFFFFFF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0"/>
      <color rgb="FF70AD47"/>
      <name val="Calibri"/>
      <family val="2"/>
      <charset val="1"/>
    </font>
    <font>
      <b val="true"/>
      <u val="single"/>
      <sz val="10"/>
      <color rgb="FFFFFFDD"/>
      <name val="Calibri"/>
      <family val="2"/>
      <charset val="1"/>
    </font>
    <font>
      <sz val="8.5"/>
      <color rgb="FF40404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7"/>
      <color rgb="FF000000"/>
      <name val="Webdings"/>
      <family val="1"/>
      <charset val="2"/>
    </font>
    <font>
      <sz val="7.5"/>
      <color rgb="FF000000"/>
      <name val="Calibri"/>
      <family val="2"/>
      <charset val="1"/>
    </font>
    <font>
      <sz val="8.5"/>
      <color rgb="FF00B050"/>
      <name val="Calibri"/>
      <family val="2"/>
      <charset val="1"/>
    </font>
    <font>
      <sz val="10"/>
      <color rgb="FF00B05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8"/>
      <color rgb="FFFFFFDD"/>
      <name val="Calibri"/>
      <family val="2"/>
      <charset val="1"/>
    </font>
    <font>
      <sz val="11"/>
      <color rgb="FFFFFFDD"/>
      <name val="Calibri"/>
      <family val="2"/>
      <charset val="1"/>
    </font>
    <font>
      <b val="true"/>
      <sz val="11"/>
      <color rgb="FFFFFFDD"/>
      <name val="Calibri"/>
      <family val="2"/>
      <charset val="1"/>
    </font>
    <font>
      <sz val="7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FF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DF7"/>
      </patternFill>
    </fill>
    <fill>
      <patternFill patternType="solid">
        <fgColor rgb="FFFDF0E9"/>
        <bgColor rgb="FFF2F2F2"/>
      </patternFill>
    </fill>
    <fill>
      <patternFill patternType="solid">
        <fgColor rgb="FF44546A"/>
        <bgColor rgb="FF2F5597"/>
      </patternFill>
    </fill>
    <fill>
      <patternFill patternType="solid">
        <fgColor rgb="FFFFD5D6"/>
        <bgColor rgb="FFFFCCCC"/>
      </patternFill>
    </fill>
    <fill>
      <patternFill patternType="solid">
        <fgColor rgb="FFC7E0B6"/>
        <bgColor rgb="FFD9D9D9"/>
      </patternFill>
    </fill>
    <fill>
      <patternFill patternType="solid">
        <fgColor rgb="FF2F5597"/>
        <bgColor rgb="FF44546A"/>
      </patternFill>
    </fill>
    <fill>
      <patternFill patternType="solid">
        <fgColor rgb="FFD6FDCB"/>
        <bgColor rgb="FFE0F7FA"/>
      </patternFill>
    </fill>
    <fill>
      <patternFill patternType="solid">
        <fgColor rgb="FFEDEDED"/>
        <bgColor rgb="FFF2F2F2"/>
      </patternFill>
    </fill>
    <fill>
      <patternFill patternType="solid">
        <fgColor rgb="FFD9D9D9"/>
        <bgColor rgb="FFC7E0B6"/>
      </patternFill>
    </fill>
    <fill>
      <patternFill patternType="solid">
        <fgColor rgb="FF7F7F7F"/>
        <bgColor rgb="FF70AD47"/>
      </patternFill>
    </fill>
    <fill>
      <patternFill patternType="solid">
        <fgColor rgb="FFF2F2F2"/>
        <bgColor rgb="FFEDEDED"/>
      </patternFill>
    </fill>
    <fill>
      <patternFill patternType="solid">
        <fgColor rgb="FFCCFFFF"/>
        <bgColor rgb="FFE0F7FA"/>
      </patternFill>
    </fill>
    <fill>
      <patternFill patternType="solid">
        <fgColor rgb="FFFFC000"/>
        <bgColor rgb="FFFF9900"/>
      </patternFill>
    </fill>
    <fill>
      <patternFill patternType="solid">
        <fgColor rgb="FF333F50"/>
        <bgColor rgb="FF404040"/>
      </patternFill>
    </fill>
    <fill>
      <patternFill patternType="solid">
        <fgColor rgb="FFFFFF00"/>
        <bgColor rgb="FFFFD966"/>
      </patternFill>
    </fill>
    <fill>
      <patternFill patternType="solid">
        <fgColor rgb="FFFFFDF7"/>
        <bgColor rgb="FFFFFFFF"/>
      </patternFill>
    </fill>
    <fill>
      <patternFill patternType="solid">
        <fgColor rgb="FFFF0000"/>
        <bgColor rgb="FF993300"/>
      </patternFill>
    </fill>
    <fill>
      <patternFill patternType="solid">
        <fgColor rgb="FFFFD966"/>
        <bgColor rgb="FFFFCCCC"/>
      </patternFill>
    </fill>
    <fill>
      <patternFill patternType="solid">
        <fgColor rgb="FFFFCCCC"/>
        <bgColor rgb="FFFFD5D6"/>
      </patternFill>
    </fill>
    <fill>
      <patternFill patternType="solid">
        <fgColor rgb="FFE0F7FA"/>
        <bgColor rgb="FFF2F2F2"/>
      </patternFill>
    </fill>
  </fills>
  <borders count="4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15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1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8" fillId="13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10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14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14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7" fillId="10" borderId="2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7" fillId="1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1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8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12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12" borderId="2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8" fillId="13" borderId="2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2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7" fillId="2" borderId="2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2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2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2" borderId="2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1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6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8" fillId="13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8" fillId="13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5" fillId="17" borderId="1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9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19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16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20" borderId="2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17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17" fillId="2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1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8" fillId="1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3" fillId="1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15" fillId="17" borderId="3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9" borderId="3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7" fillId="19" borderId="3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7" fillId="21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1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12" borderId="4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12" borderId="4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8" fillId="13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1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24" fillId="7" borderId="4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25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7" fillId="1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1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7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7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9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3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1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0" borderId="4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3" fillId="1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19" borderId="3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1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11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2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2" borderId="4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2" borderId="4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20" xfId="19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2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20" xfId="0" applyFont="fals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4"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  <dxf>
      <font>
        <color rgb="FFFF0000"/>
      </font>
    </dxf>
    <dxf>
      <font>
        <color rgb="FF00823B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23B"/>
      <rgbColor rgb="FF000080"/>
      <rgbColor rgb="FF808000"/>
      <rgbColor rgb="FF800080"/>
      <rgbColor rgb="FF008080"/>
      <rgbColor rgb="FFC7E0B6"/>
      <rgbColor rgb="FF7F7F7F"/>
      <rgbColor rgb="FFFFFDF7"/>
      <rgbColor rgb="FF993366"/>
      <rgbColor rgb="FFFFFFDD"/>
      <rgbColor rgb="FFCCFFFF"/>
      <rgbColor rgb="FF660066"/>
      <rgbColor rgb="FFFF8080"/>
      <rgbColor rgb="FF0563C1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E0F7FA"/>
      <rgbColor rgb="FFD6FDCB"/>
      <rgbColor rgb="FFFDF0E9"/>
      <rgbColor rgb="FFEDEDED"/>
      <rgbColor rgb="FFFFD5D6"/>
      <rgbColor rgb="FFF2F2F2"/>
      <rgbColor rgb="FFFFCCCC"/>
      <rgbColor rgb="FF2F5597"/>
      <rgbColor rgb="FF33CCCC"/>
      <rgbColor rgb="FF99CC00"/>
      <rgbColor rgb="FFFFC000"/>
      <rgbColor rgb="FFFF9900"/>
      <rgbColor rgb="FFFF6600"/>
      <rgbColor rgb="FF44546A"/>
      <rgbColor rgb="FF70AD47"/>
      <rgbColor rgb="FF003366"/>
      <rgbColor rgb="FF00B050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9.png"/><Relationship Id="rId2" Type="http://schemas.openxmlformats.org/officeDocument/2006/relationships/image" Target="../media/image50.jpeg"/><Relationship Id="rId3" Type="http://schemas.openxmlformats.org/officeDocument/2006/relationships/image" Target="../media/image51.png"/><Relationship Id="rId4" Type="http://schemas.openxmlformats.org/officeDocument/2006/relationships/image" Target="../media/image52.png"/><Relationship Id="rId5" Type="http://schemas.openxmlformats.org/officeDocument/2006/relationships/image" Target="../media/image53.png"/><Relationship Id="rId6" Type="http://schemas.openxmlformats.org/officeDocument/2006/relationships/image" Target="../media/image5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62280</xdr:colOff>
      <xdr:row>1</xdr:row>
      <xdr:rowOff>29520</xdr:rowOff>
    </xdr:from>
    <xdr:to>
      <xdr:col>22</xdr:col>
      <xdr:colOff>539640</xdr:colOff>
      <xdr:row>18</xdr:row>
      <xdr:rowOff>28080</xdr:rowOff>
    </xdr:to>
    <xdr:sp>
      <xdr:nvSpPr>
        <xdr:cNvPr id="0" name="CustomShape 1"/>
        <xdr:cNvSpPr/>
      </xdr:nvSpPr>
      <xdr:spPr>
        <a:xfrm>
          <a:off x="9897120" y="219960"/>
          <a:ext cx="4165200" cy="3115080"/>
        </a:xfrm>
        <a:prstGeom prst="roundRect">
          <a:avLst>
            <a:gd name="adj" fmla="val 4167"/>
          </a:avLst>
        </a:prstGeom>
        <a:blipFill rotWithShape="0">
          <a:blip r:embed="rId1"/>
          <a:stretch>
            <a:fillRect/>
          </a:stretch>
        </a:blipFill>
        <a:ln cap="sq" w="76320">
          <a:solidFill>
            <a:srgbClr val="292929"/>
          </a:solidFill>
          <a:miter/>
        </a:ln>
        <a:effectLst>
          <a:reflection algn="bl" blurRad="12700" dir="5400000" dist="5000" endPos="28000" rotWithShape="0" stA="28000" sy="-100000"/>
        </a:effectLst>
        <a:scene3d>
          <a:camera prst="perspectiveLeft"/>
          <a:lightRig dir="t" rig="threePt">
            <a:rot lat="0" lon="0" rev="2700000"/>
          </a:lightRig>
        </a:scene3d>
        <a:sp3d>
          <a:bevelT h="38100"/>
          <a:contourClr>
            <a:srgbClr val="c0c0c0"/>
          </a:contourClr>
        </a:sp3d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196920</xdr:colOff>
      <xdr:row>1</xdr:row>
      <xdr:rowOff>50760</xdr:rowOff>
    </xdr:from>
    <xdr:to>
      <xdr:col>14</xdr:col>
      <xdr:colOff>546120</xdr:colOff>
      <xdr:row>77</xdr:row>
      <xdr:rowOff>3600</xdr:rowOff>
    </xdr:to>
    <xdr:sp>
      <xdr:nvSpPr>
        <xdr:cNvPr id="1" name="CustomShape 1"/>
        <xdr:cNvSpPr/>
      </xdr:nvSpPr>
      <xdr:spPr>
        <a:xfrm>
          <a:off x="196920" y="241200"/>
          <a:ext cx="8954640" cy="14202000"/>
        </a:xfrm>
        <a:prstGeom prst="roundRect">
          <a:avLst>
            <a:gd name="adj" fmla="val 4167"/>
          </a:avLst>
        </a:prstGeom>
        <a:blipFill rotWithShape="0">
          <a:blip r:embed="rId2"/>
          <a:stretch>
            <a:fillRect/>
          </a:stretch>
        </a:blipFill>
        <a:ln cap="sq" w="76320">
          <a:solidFill>
            <a:srgbClr val="292929"/>
          </a:solidFill>
          <a:miter/>
        </a:ln>
        <a:effectLst>
          <a:reflection algn="bl" blurRad="12700" dir="5400000" dist="5000" endPos="28000" rotWithShape="0" stA="28000" sy="-100000"/>
        </a:effectLst>
        <a:scene3d>
          <a:camera prst="orthographicFront"/>
          <a:lightRig dir="t" rig="threePt">
            <a:rot lat="0" lon="0" rev="2700000"/>
          </a:lightRig>
        </a:scene3d>
        <a:sp3d>
          <a:bevelT h="38100"/>
          <a:contourClr>
            <a:srgbClr val="c0c0c0"/>
          </a:contourClr>
        </a:sp3d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579600</xdr:colOff>
      <xdr:row>24</xdr:row>
      <xdr:rowOff>73800</xdr:rowOff>
    </xdr:from>
    <xdr:to>
      <xdr:col>24</xdr:col>
      <xdr:colOff>596160</xdr:colOff>
      <xdr:row>33</xdr:row>
      <xdr:rowOff>171360</xdr:rowOff>
    </xdr:to>
    <xdr:pic>
      <xdr:nvPicPr>
        <xdr:cNvPr id="2" name="Picture 3_0" descr=""/>
        <xdr:cNvPicPr/>
      </xdr:nvPicPr>
      <xdr:blipFill>
        <a:blip r:embed="rId3"/>
        <a:stretch/>
      </xdr:blipFill>
      <xdr:spPr>
        <a:xfrm>
          <a:off x="9799560" y="4493160"/>
          <a:ext cx="5548680" cy="179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601200</xdr:colOff>
      <xdr:row>34</xdr:row>
      <xdr:rowOff>166680</xdr:rowOff>
    </xdr:from>
    <xdr:to>
      <xdr:col>25</xdr:col>
      <xdr:colOff>205920</xdr:colOff>
      <xdr:row>63</xdr:row>
      <xdr:rowOff>135720</xdr:rowOff>
    </xdr:to>
    <xdr:pic>
      <xdr:nvPicPr>
        <xdr:cNvPr id="3" name="Picture 4_0" descr=""/>
        <xdr:cNvPicPr/>
      </xdr:nvPicPr>
      <xdr:blipFill>
        <a:blip r:embed="rId4"/>
        <a:stretch/>
      </xdr:blipFill>
      <xdr:spPr>
        <a:xfrm>
          <a:off x="9821160" y="6460560"/>
          <a:ext cx="5751720" cy="544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590400</xdr:colOff>
      <xdr:row>64</xdr:row>
      <xdr:rowOff>106200</xdr:rowOff>
    </xdr:from>
    <xdr:to>
      <xdr:col>30</xdr:col>
      <xdr:colOff>309960</xdr:colOff>
      <xdr:row>102</xdr:row>
      <xdr:rowOff>113400</xdr:rowOff>
    </xdr:to>
    <xdr:pic>
      <xdr:nvPicPr>
        <xdr:cNvPr id="4" name="Picture 5_0" descr=""/>
        <xdr:cNvPicPr/>
      </xdr:nvPicPr>
      <xdr:blipFill>
        <a:blip r:embed="rId5"/>
        <a:stretch/>
      </xdr:blipFill>
      <xdr:spPr>
        <a:xfrm>
          <a:off x="9810360" y="12069360"/>
          <a:ext cx="11008800" cy="724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30</xdr:col>
      <xdr:colOff>0</xdr:colOff>
      <xdr:row>69</xdr:row>
      <xdr:rowOff>360</xdr:rowOff>
    </xdr:from>
    <xdr:to>
      <xdr:col>46</xdr:col>
      <xdr:colOff>54360</xdr:colOff>
      <xdr:row>83</xdr:row>
      <xdr:rowOff>55440</xdr:rowOff>
    </xdr:to>
    <xdr:pic>
      <xdr:nvPicPr>
        <xdr:cNvPr id="5" name="Picture 6_0" descr=""/>
        <xdr:cNvPicPr/>
      </xdr:nvPicPr>
      <xdr:blipFill>
        <a:blip r:embed="rId6"/>
        <a:stretch/>
      </xdr:blipFill>
      <xdr:spPr>
        <a:xfrm>
          <a:off x="20509200" y="12916080"/>
          <a:ext cx="11097000" cy="2721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adfientist.com/after-tax-contributions/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Q3:AM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A62" activeCellId="0" sqref="AA62"/>
    </sheetView>
  </sheetViews>
  <sheetFormatPr defaultColWidth="8.72265625" defaultRowHeight="15" zeroHeight="false" outlineLevelRow="0" outlineLevelCol="0"/>
  <cols>
    <col collapsed="false" customWidth="true" hidden="false" outlineLevel="0" max="27" min="27" style="0" width="30.43"/>
    <col collapsed="false" customWidth="true" hidden="false" outlineLevel="0" max="28" min="28" style="0" width="12.57"/>
    <col collapsed="false" customWidth="true" hidden="false" outlineLevel="0" max="38" min="29" style="0" width="10.58"/>
    <col collapsed="false" customWidth="true" hidden="false" outlineLevel="0" max="39" min="39" style="0" width="10.85"/>
  </cols>
  <sheetData>
    <row r="3" customFormat="false" ht="13.8" hidden="false" customHeight="false" outlineLevel="0" collapsed="false"/>
    <row r="4" customFormat="false" ht="13.8" hidden="false" customHeight="false" outlineLevel="0" collapsed="false"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customFormat="false" ht="13.8" hidden="false" customHeight="false" outlineLevel="0" collapsed="false"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customFormat="false" ht="13.8" hidden="false" customHeight="false" outlineLevel="0" collapsed="false"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customFormat="false" ht="13.8" hidden="false" customHeight="false" outlineLevel="0" collapsed="false"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customFormat="false" ht="13.8" hidden="false" customHeight="false" outlineLevel="0" collapsed="false"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customFormat="false" ht="13.8" hidden="false" customHeight="false" outlineLevel="0" collapsed="false"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customFormat="false" ht="13.8" hidden="false" customHeight="false" outlineLevel="0" collapsed="false"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22" customFormat="false" ht="13.8" hidden="false" customHeight="false" outlineLevel="0" collapsed="false">
      <c r="Q22" s="3" t="s">
        <v>0</v>
      </c>
    </row>
    <row r="24" customFormat="false" ht="13.8" hidden="false" customHeight="false" outlineLevel="0" collapsed="false">
      <c r="Q24" s="0" t="s">
        <v>1</v>
      </c>
    </row>
    <row r="33" customFormat="false" ht="13.8" hidden="false" customHeight="false" outlineLevel="0" collapsed="false">
      <c r="X33" s="4"/>
    </row>
    <row r="34" customFormat="false" ht="13.8" hidden="false" customHeight="false" outlineLevel="0" collapsed="false">
      <c r="X34" s="4"/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hyperlinks>
    <hyperlink ref="Q22" r:id="rId1" display="http://www.madfientist.com/after-tax-contribution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41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77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12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0.99"/>
    <col collapsed="false" customWidth="true" hidden="false" outlineLevel="0" max="60" min="60" style="0" width="11.71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505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f aca="false">(BG4-BF4)/BF4</f>
        <v>0.0953846153846154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1249495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f aca="false">(BG5-BF5)/BF5</f>
        <v>-0.0105263157894737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f aca="false">(BG6-BF6)/BF6</f>
        <v>0.10715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f aca="false">(BG7-BF7)/BF7</f>
        <v>0.127739130434783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n">
        <f aca="false">(AT9-(AT9-AT6))/(AT9-AT6)</f>
        <v>0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f aca="false">(BG8-BF8)/BF8</f>
        <v>0.135285714285714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505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644.5221890625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f aca="false">(BG9-BF9)/BF9</f>
        <v>0.0653846153846154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Nov!P9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f aca="false">(BG10-BF10)/BF10</f>
        <v>0.079047619047619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-505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/>
      <c r="BF11" s="22"/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n">
        <f aca="false">IFERROR((P10-P9)/P9,"TBD")</f>
        <v>-1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F7+Sept!X12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f aca="false">(BG12-BF12)/BF12</f>
        <v>0.0576190476190477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Sept!X13+P8</f>
        <v>3442.06</v>
      </c>
      <c r="Y13" s="5"/>
      <c r="Z13" s="5"/>
      <c r="AA13" s="5"/>
      <c r="AB13" s="98" t="n">
        <f aca="false">P8+Sept!AB13</f>
        <v>3442.06</v>
      </c>
      <c r="AC13" s="99" t="s">
        <v>106</v>
      </c>
      <c r="AD13" s="5"/>
      <c r="AE13" s="5"/>
      <c r="AF13" s="5"/>
      <c r="AG13" s="5"/>
      <c r="AH13" s="5"/>
      <c r="AI13" s="74" t="s">
        <v>153</v>
      </c>
      <c r="AJ13" s="75" t="n">
        <v>505</v>
      </c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f aca="false">(BG13-BF13)/BF13</f>
        <v>-0.0102173913043478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55" t="n">
        <f aca="false">Sept!X14+P8+L14</f>
        <v>4242.06</v>
      </c>
      <c r="Y14" s="5"/>
      <c r="Z14" s="5"/>
      <c r="AA14" s="5"/>
      <c r="AB14" s="111" t="n">
        <f aca="false">Sept!AB14+P8+SUM(L4:L9)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505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f aca="false">(BG14-BF14)/BF14</f>
        <v>0.0788235294117647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f aca="false">(BG15-BF15)/BF15</f>
        <v>0.19368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f aca="false">(BG16-BF16)/BF16</f>
        <v>0.178428571428571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/>
      <c r="AS22" s="140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F68+Sept!F70</f>
        <v>3000</v>
      </c>
      <c r="G70" s="5"/>
      <c r="H70" s="139"/>
      <c r="I70" s="140"/>
      <c r="J70" s="67"/>
      <c r="K70" s="144" t="s">
        <v>149</v>
      </c>
      <c r="L70" s="145" t="n">
        <f aca="false">L68+Sept!L70</f>
        <v>2500</v>
      </c>
      <c r="M70" s="5"/>
      <c r="N70" s="139"/>
      <c r="O70" s="140"/>
      <c r="P70" s="67"/>
      <c r="Q70" s="144" t="s">
        <v>149</v>
      </c>
      <c r="R70" s="145" t="n">
        <f aca="false">R68+Sept!R70</f>
        <v>4000</v>
      </c>
      <c r="S70" s="5"/>
      <c r="T70" s="139"/>
      <c r="U70" s="140"/>
      <c r="V70" s="67"/>
      <c r="W70" s="144" t="s">
        <v>149</v>
      </c>
      <c r="X70" s="145" t="n">
        <f aca="false">X68+Sept!X70</f>
        <v>1500</v>
      </c>
      <c r="Y70" s="5"/>
      <c r="Z70" s="139"/>
      <c r="AA70" s="140"/>
      <c r="AB70" s="67"/>
      <c r="AC70" s="144" t="s">
        <v>149</v>
      </c>
      <c r="AD70" s="145" t="n">
        <f aca="false">AD68+Sept!AD70</f>
        <v>0</v>
      </c>
      <c r="AE70" s="5"/>
      <c r="AF70" s="139"/>
      <c r="AG70" s="140"/>
      <c r="AH70" s="67"/>
      <c r="AI70" s="144" t="s">
        <v>149</v>
      </c>
      <c r="AJ70" s="145" t="n">
        <f aca="false">AJ68+Sept!AJ70</f>
        <v>850</v>
      </c>
      <c r="AK70" s="5"/>
      <c r="AL70" s="139"/>
      <c r="AM70" s="140"/>
      <c r="AN70" s="67"/>
      <c r="AO70" s="144" t="s">
        <v>149</v>
      </c>
      <c r="AP70" s="145" t="n">
        <f aca="false">AP68+Sept!AP70</f>
        <v>0</v>
      </c>
      <c r="AQ70" s="5"/>
      <c r="AR70" s="139"/>
      <c r="AS70" s="140"/>
      <c r="AT70" s="67"/>
      <c r="AU70" s="144" t="s">
        <v>149</v>
      </c>
      <c r="AV70" s="145" t="n">
        <f aca="false">AV68+Sept!AV70</f>
        <v>13700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Sept!F71+F73</f>
        <v>84.56</v>
      </c>
      <c r="G71" s="5"/>
      <c r="H71" s="135"/>
      <c r="I71" s="136"/>
      <c r="J71" s="42"/>
      <c r="K71" s="104" t="s">
        <v>150</v>
      </c>
      <c r="L71" s="146" t="n">
        <f aca="false">Sept!L71+L73</f>
        <v>121.19</v>
      </c>
      <c r="M71" s="5"/>
      <c r="N71" s="135"/>
      <c r="O71" s="136"/>
      <c r="P71" s="42"/>
      <c r="Q71" s="104" t="s">
        <v>150</v>
      </c>
      <c r="R71" s="146" t="n">
        <f aca="false">Sept!R71+R73</f>
        <v>55.56</v>
      </c>
      <c r="S71" s="5"/>
      <c r="T71" s="135"/>
      <c r="U71" s="136"/>
      <c r="V71" s="42"/>
      <c r="W71" s="104" t="s">
        <v>150</v>
      </c>
      <c r="X71" s="146" t="n">
        <f aca="false">Sept!X71+X73</f>
        <v>21.4</v>
      </c>
      <c r="Y71" s="5"/>
      <c r="Z71" s="135"/>
      <c r="AA71" s="136"/>
      <c r="AB71" s="42"/>
      <c r="AC71" s="104" t="s">
        <v>150</v>
      </c>
      <c r="AD71" s="146" t="n">
        <f aca="false">Sept!AD71+AD73</f>
        <v>20.21</v>
      </c>
      <c r="AE71" s="5"/>
      <c r="AF71" s="135"/>
      <c r="AG71" s="136"/>
      <c r="AH71" s="42"/>
      <c r="AI71" s="104" t="s">
        <v>150</v>
      </c>
      <c r="AJ71" s="146" t="n">
        <f aca="false">Sept!AJ71+AJ73</f>
        <v>60.56</v>
      </c>
      <c r="AK71" s="5"/>
      <c r="AL71" s="135"/>
      <c r="AM71" s="136"/>
      <c r="AN71" s="42"/>
      <c r="AO71" s="104" t="s">
        <v>150</v>
      </c>
      <c r="AP71" s="146" t="n">
        <f aca="false">Sept!AP71+AP73</f>
        <v>0</v>
      </c>
      <c r="AQ71" s="5"/>
      <c r="AR71" s="135"/>
      <c r="AS71" s="136"/>
      <c r="AT71" s="42"/>
      <c r="AU71" s="104" t="s">
        <v>150</v>
      </c>
      <c r="AV71" s="146" t="n">
        <f aca="false">Sept!AV71+AV73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2915.44</v>
      </c>
      <c r="G72" s="5"/>
      <c r="H72" s="139"/>
      <c r="I72" s="140"/>
      <c r="J72" s="67"/>
      <c r="K72" s="144" t="s">
        <v>151</v>
      </c>
      <c r="L72" s="145" t="n">
        <f aca="false">L70-L71</f>
        <v>2378.81</v>
      </c>
      <c r="M72" s="5"/>
      <c r="N72" s="139"/>
      <c r="O72" s="140"/>
      <c r="P72" s="67"/>
      <c r="Q72" s="144" t="s">
        <v>151</v>
      </c>
      <c r="R72" s="145" t="n">
        <f aca="false">R70-R71</f>
        <v>3944.44</v>
      </c>
      <c r="S72" s="5"/>
      <c r="T72" s="139"/>
      <c r="U72" s="140"/>
      <c r="V72" s="67"/>
      <c r="W72" s="144" t="s">
        <v>151</v>
      </c>
      <c r="X72" s="145" t="n">
        <f aca="false">X70-X71</f>
        <v>1478.6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789.44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11500.04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16">
      <formula>0</formula>
    </cfRule>
    <cfRule type="cellIs" priority="3" operator="greater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V3" activeCellId="0" sqref="V3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12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0.99"/>
    <col collapsed="false" customWidth="true" hidden="false" outlineLevel="0" max="60" min="60" style="0" width="11.71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0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f aca="false">(BG4-BF4)/BF4</f>
        <v>0.0953846153846154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1250000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f aca="false">(BG5-BF5)/BF5</f>
        <v>-0.0105263157894737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f aca="false">(BG6-BF6)/BF6</f>
        <v>0.10715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f aca="false">(BG7-BF7)/BF7</f>
        <v>0.127739130434783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e">
        <f aca="false">(AT9-(AT9-AT6))/(AT9-AT6)</f>
        <v>#DIV/0!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f aca="false">(BG8-BF8)/BF8</f>
        <v>0.135285714285714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0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0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f aca="false">(BG9-BF9)/BF9</f>
        <v>0.0653846153846154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Oct!P9</f>
        <v>505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f aca="false">(BG10-BF10)/BF10</f>
        <v>0.079047619047619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505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/>
      <c r="BF11" s="22"/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str">
        <f aca="false">IFERROR((P10-P9)/P9,"TBD")</f>
        <v>TBD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F7+Aug!X12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f aca="false">(BG12-BF12)/BF12</f>
        <v>0.0576190476190477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-45690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Aug!X13+P8</f>
        <v>3442.06</v>
      </c>
      <c r="Y13" s="5"/>
      <c r="Z13" s="5"/>
      <c r="AA13" s="5"/>
      <c r="AB13" s="98" t="n">
        <f aca="false">P8+Aug!AB13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f aca="false">(BG13-BF13)/BF13</f>
        <v>-0.0102173913043478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-0.989068080961143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Aug!X14+P8+L14</f>
        <v>4242.06</v>
      </c>
      <c r="Y14" s="5"/>
      <c r="Z14" s="5"/>
      <c r="AA14" s="5"/>
      <c r="AB14" s="111" t="n">
        <f aca="false">Aug!AB14+P8+SUM(L4:L9)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0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f aca="false">(BG14-BF14)/BF14</f>
        <v>0.0788235294117647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f aca="false">(BG15-BF15)/BF15</f>
        <v>0.19368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f aca="false">(BG16-BF16)/BF16</f>
        <v>0.178428571428571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/>
      <c r="AS22" s="139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F68+Aug!F70</f>
        <v>2700</v>
      </c>
      <c r="G70" s="5"/>
      <c r="H70" s="139"/>
      <c r="I70" s="140"/>
      <c r="J70" s="67"/>
      <c r="K70" s="144" t="s">
        <v>149</v>
      </c>
      <c r="L70" s="145" t="n">
        <f aca="false">L68+Aug!L70</f>
        <v>2250</v>
      </c>
      <c r="M70" s="5"/>
      <c r="N70" s="139"/>
      <c r="O70" s="140"/>
      <c r="P70" s="67"/>
      <c r="Q70" s="144" t="s">
        <v>149</v>
      </c>
      <c r="R70" s="145" t="n">
        <f aca="false">R68+Aug!R70</f>
        <v>3600</v>
      </c>
      <c r="S70" s="5"/>
      <c r="T70" s="139"/>
      <c r="U70" s="140"/>
      <c r="V70" s="67"/>
      <c r="W70" s="144" t="s">
        <v>149</v>
      </c>
      <c r="X70" s="145" t="n">
        <f aca="false">X68+Aug!X70</f>
        <v>1350</v>
      </c>
      <c r="Y70" s="5"/>
      <c r="Z70" s="139"/>
      <c r="AA70" s="140"/>
      <c r="AB70" s="67"/>
      <c r="AC70" s="144" t="s">
        <v>149</v>
      </c>
      <c r="AD70" s="145" t="n">
        <f aca="false">AD68+Aug!AD70</f>
        <v>0</v>
      </c>
      <c r="AE70" s="5"/>
      <c r="AF70" s="139"/>
      <c r="AG70" s="140"/>
      <c r="AH70" s="67"/>
      <c r="AI70" s="144" t="s">
        <v>149</v>
      </c>
      <c r="AJ70" s="145" t="n">
        <f aca="false">AJ68+Aug!AJ70</f>
        <v>765</v>
      </c>
      <c r="AK70" s="5"/>
      <c r="AL70" s="139"/>
      <c r="AM70" s="140"/>
      <c r="AN70" s="67"/>
      <c r="AO70" s="144" t="s">
        <v>149</v>
      </c>
      <c r="AP70" s="145" t="n">
        <f aca="false">AP68+Aug!AP70</f>
        <v>0</v>
      </c>
      <c r="AQ70" s="5"/>
      <c r="AR70" s="139"/>
      <c r="AS70" s="140"/>
      <c r="AT70" s="67"/>
      <c r="AU70" s="144" t="s">
        <v>149</v>
      </c>
      <c r="AV70" s="145" t="n">
        <f aca="false">AV68+Aug!AV70</f>
        <v>12330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Aug!F71+F73</f>
        <v>84.56</v>
      </c>
      <c r="G71" s="5"/>
      <c r="H71" s="135"/>
      <c r="I71" s="136"/>
      <c r="J71" s="42"/>
      <c r="K71" s="104" t="s">
        <v>150</v>
      </c>
      <c r="L71" s="146" t="n">
        <f aca="false">Aug!L71+L73</f>
        <v>121.19</v>
      </c>
      <c r="M71" s="5"/>
      <c r="N71" s="135"/>
      <c r="O71" s="136"/>
      <c r="P71" s="42"/>
      <c r="Q71" s="104" t="s">
        <v>150</v>
      </c>
      <c r="R71" s="146" t="n">
        <f aca="false">Aug!R71+R73</f>
        <v>55.56</v>
      </c>
      <c r="S71" s="5"/>
      <c r="T71" s="135"/>
      <c r="U71" s="136"/>
      <c r="V71" s="42"/>
      <c r="W71" s="104" t="s">
        <v>150</v>
      </c>
      <c r="X71" s="146" t="n">
        <f aca="false">Aug!X71+X73</f>
        <v>21.4</v>
      </c>
      <c r="Y71" s="5"/>
      <c r="Z71" s="135"/>
      <c r="AA71" s="136"/>
      <c r="AB71" s="42"/>
      <c r="AC71" s="104" t="s">
        <v>150</v>
      </c>
      <c r="AD71" s="146" t="n">
        <f aca="false">Aug!AD71+AD73</f>
        <v>20.21</v>
      </c>
      <c r="AE71" s="5"/>
      <c r="AF71" s="135"/>
      <c r="AG71" s="136"/>
      <c r="AH71" s="42"/>
      <c r="AI71" s="104" t="s">
        <v>150</v>
      </c>
      <c r="AJ71" s="146" t="n">
        <f aca="false">Aug!AJ71+AJ73</f>
        <v>60.56</v>
      </c>
      <c r="AK71" s="5"/>
      <c r="AL71" s="135"/>
      <c r="AM71" s="136"/>
      <c r="AN71" s="42"/>
      <c r="AO71" s="104" t="s">
        <v>150</v>
      </c>
      <c r="AP71" s="146" t="n">
        <f aca="false">Aug!AP71+AP73</f>
        <v>0</v>
      </c>
      <c r="AQ71" s="5"/>
      <c r="AR71" s="135"/>
      <c r="AS71" s="136"/>
      <c r="AT71" s="42"/>
      <c r="AU71" s="104" t="s">
        <v>150</v>
      </c>
      <c r="AV71" s="146" t="n">
        <f aca="false">Aug!AV71+AV73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2615.44</v>
      </c>
      <c r="G72" s="5"/>
      <c r="H72" s="139"/>
      <c r="I72" s="140"/>
      <c r="J72" s="67"/>
      <c r="K72" s="144" t="s">
        <v>151</v>
      </c>
      <c r="L72" s="145" t="n">
        <f aca="false">L70-L71</f>
        <v>2128.81</v>
      </c>
      <c r="M72" s="5"/>
      <c r="N72" s="139"/>
      <c r="O72" s="140"/>
      <c r="P72" s="67"/>
      <c r="Q72" s="144" t="s">
        <v>151</v>
      </c>
      <c r="R72" s="145" t="n">
        <f aca="false">R70-R71</f>
        <v>3544.44</v>
      </c>
      <c r="S72" s="5"/>
      <c r="T72" s="139"/>
      <c r="U72" s="140"/>
      <c r="V72" s="67"/>
      <c r="W72" s="144" t="s">
        <v>151</v>
      </c>
      <c r="X72" s="145" t="n">
        <f aca="false">X70-X71</f>
        <v>1328.6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704.44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10130.04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18">
      <formula>0</formula>
    </cfRule>
    <cfRule type="cellIs" priority="3" operator="greaterThan" aboveAverage="0" equalAverage="0" bottom="0" percent="0" rank="0" text="" dxfId="1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F32" activeCellId="0" sqref="BF32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12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0.99"/>
    <col collapsed="false" customWidth="true" hidden="false" outlineLevel="0" max="60" min="60" style="0" width="11.71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0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f aca="false">(BG4-BF4)/BF4</f>
        <v>0.0953846153846154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1250000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f aca="false">(BG5-BF5)/BF5</f>
        <v>-0.0105263157894737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f aca="false">(BG6-BF6)/BF6</f>
        <v>0.10715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f aca="false">(BG7-BF7)/BF7</f>
        <v>0.127739130434783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e">
        <f aca="false">(AT9-(AT9-AT6))/(AT9-AT6)</f>
        <v>#DIV/0!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f aca="false">(BG8-BF8)/BF8</f>
        <v>0.135285714285714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0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0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f aca="false">(BG9-BF9)/BF9</f>
        <v>0.0653846153846154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Dec!P9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f aca="false">(BG10-BF10)/BF10</f>
        <v>0.079047619047619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0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 t="s">
        <v>14</v>
      </c>
      <c r="BF11" s="22" t="s">
        <v>15</v>
      </c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str">
        <f aca="false">IFERROR((P10-P9)/P9,"TBD")</f>
        <v>TBD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F7+Oct!X12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f aca="false">(BG12-BF12)/BF12</f>
        <v>0.0576190476190477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Oct!X13+P8</f>
        <v>3442.06</v>
      </c>
      <c r="Y13" s="5"/>
      <c r="Z13" s="5"/>
      <c r="AA13" s="5"/>
      <c r="AB13" s="98" t="n">
        <f aca="false">P8+Oct!AB13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f aca="false">(BG13-BF13)/BF13</f>
        <v>-0.0102173913043478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Oct!X14+P8+L14</f>
        <v>4242.06</v>
      </c>
      <c r="Y14" s="5"/>
      <c r="Z14" s="5"/>
      <c r="AA14" s="5"/>
      <c r="AB14" s="111" t="n">
        <f aca="false">Oct!AB14+P8+SUM(L4:L9)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0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f aca="false">(BG14-BF14)/BF14</f>
        <v>0.0788235294117647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f aca="false">(BG15-BF15)/BF15</f>
        <v>0.19368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f aca="false">(BG16-BF16)/BF16</f>
        <v>0.178428571428571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/>
      <c r="AS22" s="140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F68+Oct!F70</f>
        <v>3300</v>
      </c>
      <c r="G70" s="5"/>
      <c r="H70" s="139"/>
      <c r="I70" s="140"/>
      <c r="J70" s="67"/>
      <c r="K70" s="144" t="s">
        <v>149</v>
      </c>
      <c r="L70" s="145" t="n">
        <f aca="false">L68+Oct!L70</f>
        <v>2750</v>
      </c>
      <c r="M70" s="5"/>
      <c r="N70" s="139"/>
      <c r="O70" s="140"/>
      <c r="P70" s="67"/>
      <c r="Q70" s="144" t="s">
        <v>149</v>
      </c>
      <c r="R70" s="145" t="n">
        <f aca="false">R68+Oct!R70</f>
        <v>4400</v>
      </c>
      <c r="S70" s="5"/>
      <c r="T70" s="139"/>
      <c r="U70" s="140"/>
      <c r="V70" s="67"/>
      <c r="W70" s="144" t="s">
        <v>149</v>
      </c>
      <c r="X70" s="145" t="n">
        <f aca="false">X68+Oct!X70</f>
        <v>1650</v>
      </c>
      <c r="Y70" s="5"/>
      <c r="Z70" s="139"/>
      <c r="AA70" s="140"/>
      <c r="AB70" s="67"/>
      <c r="AC70" s="144" t="s">
        <v>149</v>
      </c>
      <c r="AD70" s="145" t="n">
        <f aca="false">AD68+Oct!AD70</f>
        <v>0</v>
      </c>
      <c r="AE70" s="5"/>
      <c r="AF70" s="139"/>
      <c r="AG70" s="140"/>
      <c r="AH70" s="67"/>
      <c r="AI70" s="144" t="s">
        <v>149</v>
      </c>
      <c r="AJ70" s="145" t="n">
        <f aca="false">AJ68+Oct!AJ70</f>
        <v>935</v>
      </c>
      <c r="AK70" s="5"/>
      <c r="AL70" s="139"/>
      <c r="AM70" s="140"/>
      <c r="AN70" s="67"/>
      <c r="AO70" s="144" t="s">
        <v>149</v>
      </c>
      <c r="AP70" s="145" t="n">
        <f aca="false">AP68+Oct!AP70</f>
        <v>0</v>
      </c>
      <c r="AQ70" s="5"/>
      <c r="AR70" s="139"/>
      <c r="AS70" s="140"/>
      <c r="AT70" s="67"/>
      <c r="AU70" s="144" t="s">
        <v>149</v>
      </c>
      <c r="AV70" s="145" t="n">
        <f aca="false">AV68+Oct!AV70</f>
        <v>15070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Oct!F71+F73</f>
        <v>84.56</v>
      </c>
      <c r="G71" s="5"/>
      <c r="H71" s="135"/>
      <c r="I71" s="136"/>
      <c r="J71" s="42"/>
      <c r="K71" s="104" t="s">
        <v>150</v>
      </c>
      <c r="L71" s="146" t="n">
        <f aca="false">Oct!L71+L73</f>
        <v>121.19</v>
      </c>
      <c r="M71" s="5"/>
      <c r="N71" s="135"/>
      <c r="O71" s="136"/>
      <c r="P71" s="42"/>
      <c r="Q71" s="104" t="s">
        <v>150</v>
      </c>
      <c r="R71" s="146" t="n">
        <f aca="false">Oct!R71+R73</f>
        <v>55.56</v>
      </c>
      <c r="S71" s="5"/>
      <c r="T71" s="135"/>
      <c r="U71" s="136"/>
      <c r="V71" s="42"/>
      <c r="W71" s="104" t="s">
        <v>150</v>
      </c>
      <c r="X71" s="146" t="n">
        <f aca="false">Oct!X71+X73</f>
        <v>21.4</v>
      </c>
      <c r="Y71" s="5"/>
      <c r="Z71" s="135"/>
      <c r="AA71" s="136"/>
      <c r="AB71" s="42"/>
      <c r="AC71" s="104" t="s">
        <v>150</v>
      </c>
      <c r="AD71" s="146" t="n">
        <f aca="false">Oct!AD71+AD73</f>
        <v>20.21</v>
      </c>
      <c r="AE71" s="5"/>
      <c r="AF71" s="135"/>
      <c r="AG71" s="136"/>
      <c r="AH71" s="42"/>
      <c r="AI71" s="104" t="s">
        <v>150</v>
      </c>
      <c r="AJ71" s="146" t="n">
        <f aca="false">Oct!AJ71+AJ73</f>
        <v>60.56</v>
      </c>
      <c r="AK71" s="5"/>
      <c r="AL71" s="135"/>
      <c r="AM71" s="136"/>
      <c r="AN71" s="42"/>
      <c r="AO71" s="104" t="s">
        <v>150</v>
      </c>
      <c r="AP71" s="146" t="n">
        <f aca="false">Oct!AP71+AP73</f>
        <v>0</v>
      </c>
      <c r="AQ71" s="5"/>
      <c r="AR71" s="135"/>
      <c r="AS71" s="136"/>
      <c r="AT71" s="42"/>
      <c r="AU71" s="104" t="s">
        <v>150</v>
      </c>
      <c r="AV71" s="146" t="n">
        <f aca="false">Oct!AV71+AV73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3215.44</v>
      </c>
      <c r="G72" s="5"/>
      <c r="H72" s="139"/>
      <c r="I72" s="140"/>
      <c r="J72" s="67"/>
      <c r="K72" s="144" t="s">
        <v>151</v>
      </c>
      <c r="L72" s="145" t="n">
        <f aca="false">L70-L71</f>
        <v>2628.81</v>
      </c>
      <c r="M72" s="5"/>
      <c r="N72" s="139"/>
      <c r="O72" s="140"/>
      <c r="P72" s="67"/>
      <c r="Q72" s="144" t="s">
        <v>151</v>
      </c>
      <c r="R72" s="145" t="n">
        <f aca="false">R70-R71</f>
        <v>4344.44</v>
      </c>
      <c r="S72" s="5"/>
      <c r="T72" s="139"/>
      <c r="U72" s="140"/>
      <c r="V72" s="67"/>
      <c r="W72" s="144" t="s">
        <v>151</v>
      </c>
      <c r="X72" s="145" t="n">
        <f aca="false">X70-X71</f>
        <v>1628.6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874.44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12870.04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20">
      <formula>0</formula>
    </cfRule>
    <cfRule type="cellIs" priority="3" operator="greaterThan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S1" colorId="64" zoomScale="80" zoomScaleNormal="80" zoomScalePageLayoutView="100" workbookViewId="0">
      <selection pane="topLeft" activeCell="AO4" activeCellId="0" sqref="AO4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12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0.99"/>
    <col collapsed="false" customWidth="true" hidden="false" outlineLevel="0" max="60" min="60" style="0" width="11.71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0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f aca="false">(BG4-BF4)/BF4</f>
        <v>0.0953846153846154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1250000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f aca="false">(BG5-BF5)/BF5</f>
        <v>-0.0105263157894737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f aca="false">(BG6-BF6)/BF6</f>
        <v>0.10715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f aca="false">(BG7-BF7)/BF7</f>
        <v>0.127739130434783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e">
        <f aca="false">(AT9-(AT9-AT6))/(AT9-AT6)</f>
        <v>#DIV/0!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f aca="false">(BG8-BF8)/BF8</f>
        <v>0.135285714285714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0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0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f aca="false">(BG9-BF9)/BF9</f>
        <v>0.0653846153846154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'EofY BS'!C15-'EofY BS'!I15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f aca="false">(BG10-BF10)/BF10</f>
        <v>0.079047619047619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0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 t="s">
        <v>14</v>
      </c>
      <c r="BF11" s="22" t="s">
        <v>15</v>
      </c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str">
        <f aca="false">IFERROR((P10-P9)/P9,"TBD")</f>
        <v>TBD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F7+Jan!X12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f aca="false">(BG12-BF12)/BF12</f>
        <v>0.0576190476190477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Nov!X13+P8</f>
        <v>3442.06</v>
      </c>
      <c r="Y13" s="5"/>
      <c r="Z13" s="5"/>
      <c r="AA13" s="5"/>
      <c r="AB13" s="98" t="n">
        <f aca="false">P8+Nov!AB13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f aca="false">(BG13-BF13)/BF13</f>
        <v>-0.0102173913043478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Nov!X14+P8+L14</f>
        <v>4242.06</v>
      </c>
      <c r="Y14" s="5"/>
      <c r="Z14" s="5"/>
      <c r="AA14" s="5"/>
      <c r="AB14" s="111" t="n">
        <f aca="false">Nov!AB14+P8+SUM(L4:L9)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0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f aca="false">(BG14-BF14)/BF14</f>
        <v>0.0788235294117647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f aca="false">(BG15-BF15)/BF15</f>
        <v>0.19368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f aca="false">(BG16-BF16)/BF16</f>
        <v>0.178428571428571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/>
      <c r="AS22" s="140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F68+Nov!F70</f>
        <v>3600</v>
      </c>
      <c r="G70" s="5"/>
      <c r="H70" s="139"/>
      <c r="I70" s="140"/>
      <c r="J70" s="67"/>
      <c r="K70" s="144" t="s">
        <v>149</v>
      </c>
      <c r="L70" s="145" t="n">
        <f aca="false">L68+Nov!L70</f>
        <v>3000</v>
      </c>
      <c r="M70" s="5"/>
      <c r="N70" s="139"/>
      <c r="O70" s="140"/>
      <c r="P70" s="67"/>
      <c r="Q70" s="144" t="s">
        <v>149</v>
      </c>
      <c r="R70" s="145" t="n">
        <f aca="false">R68+Nov!R70</f>
        <v>4800</v>
      </c>
      <c r="S70" s="5"/>
      <c r="T70" s="139"/>
      <c r="U70" s="140"/>
      <c r="V70" s="67"/>
      <c r="W70" s="144" t="s">
        <v>149</v>
      </c>
      <c r="X70" s="145" t="n">
        <f aca="false">X68+Nov!X70</f>
        <v>1800</v>
      </c>
      <c r="Y70" s="5"/>
      <c r="Z70" s="139"/>
      <c r="AA70" s="140"/>
      <c r="AB70" s="67"/>
      <c r="AC70" s="144" t="s">
        <v>149</v>
      </c>
      <c r="AD70" s="145" t="n">
        <f aca="false">AD68+Nov!AD70</f>
        <v>0</v>
      </c>
      <c r="AE70" s="5"/>
      <c r="AF70" s="139"/>
      <c r="AG70" s="140"/>
      <c r="AH70" s="67"/>
      <c r="AI70" s="144" t="s">
        <v>149</v>
      </c>
      <c r="AJ70" s="145" t="n">
        <f aca="false">AJ68+Nov!AJ70</f>
        <v>1020</v>
      </c>
      <c r="AK70" s="5"/>
      <c r="AL70" s="139"/>
      <c r="AM70" s="140"/>
      <c r="AN70" s="67"/>
      <c r="AO70" s="144" t="s">
        <v>149</v>
      </c>
      <c r="AP70" s="145" t="n">
        <f aca="false">AP68+Nov!AP70</f>
        <v>0</v>
      </c>
      <c r="AQ70" s="5"/>
      <c r="AR70" s="139"/>
      <c r="AS70" s="140"/>
      <c r="AT70" s="67"/>
      <c r="AU70" s="144" t="s">
        <v>149</v>
      </c>
      <c r="AV70" s="145" t="n">
        <f aca="false">AV68+Nov!AV70</f>
        <v>16440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Nov!F71+F73</f>
        <v>84.56</v>
      </c>
      <c r="G71" s="5"/>
      <c r="H71" s="135"/>
      <c r="I71" s="136"/>
      <c r="J71" s="42"/>
      <c r="K71" s="104" t="s">
        <v>150</v>
      </c>
      <c r="L71" s="146" t="n">
        <f aca="false">Nov!L71+L73</f>
        <v>121.19</v>
      </c>
      <c r="M71" s="5"/>
      <c r="N71" s="135"/>
      <c r="O71" s="136"/>
      <c r="P71" s="42"/>
      <c r="Q71" s="104" t="s">
        <v>150</v>
      </c>
      <c r="R71" s="146" t="n">
        <f aca="false">Nov!R71+R73</f>
        <v>55.56</v>
      </c>
      <c r="S71" s="5"/>
      <c r="T71" s="135"/>
      <c r="U71" s="136"/>
      <c r="V71" s="42"/>
      <c r="W71" s="104" t="s">
        <v>150</v>
      </c>
      <c r="X71" s="146" t="n">
        <f aca="false">Nov!X71+X73</f>
        <v>21.4</v>
      </c>
      <c r="Y71" s="5"/>
      <c r="Z71" s="135"/>
      <c r="AA71" s="136"/>
      <c r="AB71" s="42"/>
      <c r="AC71" s="104" t="s">
        <v>150</v>
      </c>
      <c r="AD71" s="146" t="n">
        <f aca="false">Nov!AD71+AD73</f>
        <v>20.21</v>
      </c>
      <c r="AE71" s="5"/>
      <c r="AF71" s="135"/>
      <c r="AG71" s="136"/>
      <c r="AH71" s="42"/>
      <c r="AI71" s="104" t="s">
        <v>150</v>
      </c>
      <c r="AJ71" s="146" t="n">
        <f aca="false">Nov!AJ71+AJ73</f>
        <v>60.56</v>
      </c>
      <c r="AK71" s="5"/>
      <c r="AL71" s="135"/>
      <c r="AM71" s="136"/>
      <c r="AN71" s="42"/>
      <c r="AO71" s="104" t="s">
        <v>150</v>
      </c>
      <c r="AP71" s="146" t="n">
        <f aca="false">Nov!AP71+AP73</f>
        <v>0</v>
      </c>
      <c r="AQ71" s="5"/>
      <c r="AR71" s="135"/>
      <c r="AS71" s="136"/>
      <c r="AT71" s="42"/>
      <c r="AU71" s="104" t="s">
        <v>150</v>
      </c>
      <c r="AV71" s="146" t="n">
        <f aca="false">Nov!AV71+AV73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3515.44</v>
      </c>
      <c r="G72" s="5"/>
      <c r="H72" s="139"/>
      <c r="I72" s="140"/>
      <c r="J72" s="67"/>
      <c r="K72" s="144" t="s">
        <v>151</v>
      </c>
      <c r="L72" s="145" t="n">
        <f aca="false">L70-L71</f>
        <v>2878.81</v>
      </c>
      <c r="M72" s="5"/>
      <c r="N72" s="139"/>
      <c r="O72" s="140"/>
      <c r="P72" s="67"/>
      <c r="Q72" s="144" t="s">
        <v>151</v>
      </c>
      <c r="R72" s="145" t="n">
        <f aca="false">R70-R71</f>
        <v>4744.44</v>
      </c>
      <c r="S72" s="5"/>
      <c r="T72" s="139"/>
      <c r="U72" s="140"/>
      <c r="V72" s="67"/>
      <c r="W72" s="144" t="s">
        <v>151</v>
      </c>
      <c r="X72" s="145" t="n">
        <f aca="false">X70-X71</f>
        <v>1778.6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959.44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14240.04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22">
      <formula>0</formula>
    </cfRule>
    <cfRule type="cellIs" priority="3" operator="greaterThan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9.7421875" defaultRowHeight="15" zeroHeight="false" outlineLevelRow="0" outlineLevelCol="0"/>
  <cols>
    <col collapsed="false" customWidth="true" hidden="false" outlineLevel="0" max="2" min="2" style="0" width="25.98"/>
    <col collapsed="false" customWidth="true" hidden="false" outlineLevel="0" max="3" min="3" style="0" width="12.42"/>
    <col collapsed="false" customWidth="true" hidden="false" outlineLevel="0" max="7" min="4" style="0" width="0.71"/>
    <col collapsed="false" customWidth="true" hidden="false" outlineLevel="0" max="8" min="8" style="0" width="15"/>
    <col collapsed="false" customWidth="true" hidden="false" outlineLevel="0" max="9" min="9" style="0" width="12.42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customFormat="false" ht="13.8" hidden="false" customHeight="false" outlineLevel="0" collapsed="false">
      <c r="A2" s="5"/>
      <c r="B2" s="156" t="s">
        <v>154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8.75" hidden="false" customHeight="false" outlineLevel="0" collapsed="false">
      <c r="A3" s="5"/>
      <c r="B3" s="157" t="s">
        <v>155</v>
      </c>
      <c r="C3" s="157"/>
      <c r="D3" s="157"/>
      <c r="E3" s="157"/>
      <c r="F3" s="157"/>
      <c r="G3" s="157"/>
      <c r="H3" s="157"/>
      <c r="I3" s="15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customFormat="false" ht="18.75" hidden="false" customHeight="false" outlineLevel="0" collapsed="false">
      <c r="A4" s="5"/>
      <c r="B4" s="158" t="s">
        <v>156</v>
      </c>
      <c r="C4" s="158"/>
      <c r="D4" s="37"/>
      <c r="E4" s="37"/>
      <c r="F4" s="37"/>
      <c r="G4" s="37"/>
      <c r="H4" s="159" t="s">
        <v>157</v>
      </c>
      <c r="I4" s="15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3.8" hidden="false" customHeight="false" outlineLevel="0" collapsed="false">
      <c r="A5" s="5"/>
      <c r="B5" s="160" t="s">
        <v>33</v>
      </c>
      <c r="C5" s="161" t="n">
        <v>0</v>
      </c>
      <c r="D5" s="37"/>
      <c r="E5" s="37"/>
      <c r="F5" s="37"/>
      <c r="G5" s="37"/>
      <c r="H5" s="162" t="s">
        <v>34</v>
      </c>
      <c r="I5" s="163" t="n">
        <v>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customFormat="false" ht="13.8" hidden="false" customHeight="false" outlineLevel="0" collapsed="false">
      <c r="A6" s="5"/>
      <c r="B6" s="164" t="s">
        <v>42</v>
      </c>
      <c r="C6" s="165" t="n">
        <v>0</v>
      </c>
      <c r="D6" s="37"/>
      <c r="E6" s="37"/>
      <c r="F6" s="37"/>
      <c r="G6" s="37"/>
      <c r="H6" s="166" t="s">
        <v>43</v>
      </c>
      <c r="I6" s="167" t="n">
        <v>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customFormat="false" ht="13.8" hidden="false" customHeight="false" outlineLevel="0" collapsed="false">
      <c r="A7" s="5"/>
      <c r="B7" s="160" t="s">
        <v>51</v>
      </c>
      <c r="C7" s="161" t="n">
        <v>0</v>
      </c>
      <c r="D7" s="37"/>
      <c r="E7" s="37"/>
      <c r="F7" s="37"/>
      <c r="G7" s="37"/>
      <c r="H7" s="162" t="s">
        <v>52</v>
      </c>
      <c r="I7" s="163" t="n">
        <v>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customFormat="false" ht="13.8" hidden="false" customHeight="false" outlineLevel="0" collapsed="false">
      <c r="A8" s="5"/>
      <c r="B8" s="164" t="s">
        <v>60</v>
      </c>
      <c r="C8" s="165" t="n">
        <v>0</v>
      </c>
      <c r="D8" s="37"/>
      <c r="E8" s="37"/>
      <c r="F8" s="37"/>
      <c r="G8" s="37"/>
      <c r="H8" s="166" t="s">
        <v>61</v>
      </c>
      <c r="I8" s="167" t="n">
        <v>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customFormat="false" ht="13.8" hidden="false" customHeight="false" outlineLevel="0" collapsed="false">
      <c r="A9" s="5"/>
      <c r="B9" s="160" t="s">
        <v>69</v>
      </c>
      <c r="C9" s="161" t="n">
        <v>0</v>
      </c>
      <c r="D9" s="37"/>
      <c r="E9" s="37"/>
      <c r="F9" s="37"/>
      <c r="G9" s="37"/>
      <c r="H9" s="162"/>
      <c r="I9" s="163" t="n">
        <v>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customFormat="false" ht="13.8" hidden="false" customHeight="false" outlineLevel="0" collapsed="false">
      <c r="A10" s="5"/>
      <c r="B10" s="164" t="s">
        <v>77</v>
      </c>
      <c r="C10" s="165" t="n">
        <v>0</v>
      </c>
      <c r="D10" s="37"/>
      <c r="E10" s="37"/>
      <c r="F10" s="37"/>
      <c r="G10" s="37"/>
      <c r="H10" s="166"/>
      <c r="I10" s="167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3.8" hidden="false" customHeight="false" outlineLevel="0" collapsed="false">
      <c r="A11" s="5"/>
      <c r="B11" s="160" t="s">
        <v>86</v>
      </c>
      <c r="C11" s="161" t="n">
        <v>0</v>
      </c>
      <c r="D11" s="37"/>
      <c r="E11" s="37"/>
      <c r="F11" s="37"/>
      <c r="G11" s="37"/>
      <c r="H11" s="162"/>
      <c r="I11" s="16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3.8" hidden="false" customHeight="false" outlineLevel="0" collapsed="false">
      <c r="A12" s="5"/>
      <c r="B12" s="164"/>
      <c r="C12" s="165"/>
      <c r="D12" s="37"/>
      <c r="E12" s="37"/>
      <c r="F12" s="37"/>
      <c r="G12" s="37"/>
      <c r="H12" s="166"/>
      <c r="I12" s="167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3.8" hidden="false" customHeight="false" outlineLevel="0" collapsed="false">
      <c r="A13" s="5"/>
      <c r="B13" s="160"/>
      <c r="C13" s="161"/>
      <c r="D13" s="37"/>
      <c r="E13" s="37"/>
      <c r="F13" s="37"/>
      <c r="G13" s="37"/>
      <c r="H13" s="162"/>
      <c r="I13" s="16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" hidden="false" customHeight="false" outlineLevel="0" collapsed="false">
      <c r="A14" s="5"/>
      <c r="B14" s="164"/>
      <c r="C14" s="165"/>
      <c r="D14" s="37"/>
      <c r="E14" s="37"/>
      <c r="F14" s="37"/>
      <c r="G14" s="37"/>
      <c r="H14" s="166"/>
      <c r="I14" s="167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" hidden="false" customHeight="false" outlineLevel="0" collapsed="false">
      <c r="A15" s="5"/>
      <c r="B15" s="113" t="s">
        <v>110</v>
      </c>
      <c r="C15" s="168" t="n">
        <f aca="false">SUM(C5:C14)</f>
        <v>0</v>
      </c>
      <c r="D15" s="115"/>
      <c r="E15" s="115"/>
      <c r="F15" s="115"/>
      <c r="G15" s="115"/>
      <c r="H15" s="116" t="s">
        <v>110</v>
      </c>
      <c r="I15" s="169" t="n">
        <f aca="false">SUM(I5:I14)</f>
        <v>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customFormat="false" ht="1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customFormat="false" ht="1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customFormat="false" ht="1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customFormat="false" ht="1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customFormat="false" ht="1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customFormat="false" ht="1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customFormat="false" ht="1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customFormat="false" ht="1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1048576" customFormat="false" ht="12.8" hidden="false" customHeight="false" outlineLevel="0" collapsed="false"/>
  </sheetData>
  <mergeCells count="3">
    <mergeCell ref="B3:I3"/>
    <mergeCell ref="B4:C4"/>
    <mergeCell ref="H4:I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9.7421875" defaultRowHeight="15" zeroHeight="false" outlineLevelRow="0" outlineLevelCol="0"/>
  <cols>
    <col collapsed="false" customWidth="true" hidden="false" outlineLevel="0" max="4" min="4" style="0" width="29.14"/>
    <col collapsed="false" customWidth="true" hidden="false" outlineLevel="0" max="5" min="5" style="0" width="15.18"/>
    <col collapsed="false" customWidth="true" hidden="false" outlineLevel="0" max="6" min="6" style="0" width="15.29"/>
  </cols>
  <sheetData>
    <row r="2" customFormat="false" ht="15" hidden="false" customHeight="false" outlineLevel="0" collapsed="false">
      <c r="E2" s="0" t="s">
        <v>158</v>
      </c>
      <c r="F2" s="0" t="s">
        <v>159</v>
      </c>
    </row>
    <row r="3" customFormat="false" ht="15" hidden="false" customHeight="false" outlineLevel="0" collapsed="false">
      <c r="D3" s="0" t="s">
        <v>160</v>
      </c>
      <c r="E3" s="170" t="n">
        <f aca="false">1500*26</f>
        <v>39000</v>
      </c>
      <c r="F3" s="170"/>
    </row>
    <row r="4" customFormat="false" ht="15" hidden="false" customHeight="false" outlineLevel="0" collapsed="false">
      <c r="D4" s="0" t="s">
        <v>161</v>
      </c>
      <c r="E4" s="170" t="n">
        <f aca="false">F4*12</f>
        <v>16428</v>
      </c>
      <c r="F4" s="170" t="n">
        <f aca="false">1369</f>
        <v>1369</v>
      </c>
    </row>
    <row r="5" customFormat="false" ht="15" hidden="false" customHeight="false" outlineLevel="0" collapsed="false">
      <c r="D5" s="0" t="s">
        <v>122</v>
      </c>
      <c r="E5" s="170" t="n">
        <f aca="false">F5*12</f>
        <v>4800</v>
      </c>
      <c r="F5" s="170" t="n">
        <v>400</v>
      </c>
    </row>
    <row r="6" customFormat="false" ht="15" hidden="false" customHeight="false" outlineLevel="0" collapsed="false">
      <c r="D6" s="0" t="s">
        <v>123</v>
      </c>
      <c r="E6" s="170" t="n">
        <f aca="false">F6*12</f>
        <v>3000</v>
      </c>
      <c r="F6" s="170" t="n">
        <v>250</v>
      </c>
    </row>
    <row r="7" customFormat="false" ht="15" hidden="false" customHeight="false" outlineLevel="0" collapsed="false">
      <c r="D7" s="0" t="s">
        <v>124</v>
      </c>
      <c r="E7" s="170" t="n">
        <f aca="false">F7*12</f>
        <v>3600</v>
      </c>
      <c r="F7" s="170" t="n">
        <v>300</v>
      </c>
    </row>
    <row r="8" customFormat="false" ht="15" hidden="false" customHeight="false" outlineLevel="0" collapsed="false">
      <c r="D8" s="0" t="s">
        <v>125</v>
      </c>
      <c r="E8" s="170" t="n">
        <f aca="false">F8*12</f>
        <v>900</v>
      </c>
      <c r="F8" s="170" t="n">
        <v>75</v>
      </c>
    </row>
    <row r="9" customFormat="false" ht="15" hidden="false" customHeight="false" outlineLevel="0" collapsed="false">
      <c r="D9" s="0" t="s">
        <v>126</v>
      </c>
      <c r="E9" s="170" t="n">
        <f aca="false">F9*12</f>
        <v>0</v>
      </c>
      <c r="F9" s="170" t="n">
        <v>0</v>
      </c>
    </row>
    <row r="10" customFormat="false" ht="15" hidden="false" customHeight="false" outlineLevel="0" collapsed="false">
      <c r="D10" s="0" t="s">
        <v>162</v>
      </c>
      <c r="E10" s="170" t="n">
        <f aca="false">F10*12</f>
        <v>1200</v>
      </c>
      <c r="F10" s="170" t="n">
        <v>100</v>
      </c>
    </row>
    <row r="11" customFormat="false" ht="15" hidden="false" customHeight="false" outlineLevel="0" collapsed="false">
      <c r="D11" s="0" t="s">
        <v>128</v>
      </c>
      <c r="E11" s="170" t="n">
        <f aca="false">F11*12</f>
        <v>0</v>
      </c>
      <c r="F11" s="170" t="n">
        <v>0</v>
      </c>
    </row>
    <row r="12" customFormat="false" ht="15" hidden="false" customHeight="false" outlineLevel="0" collapsed="false">
      <c r="E12" s="170"/>
      <c r="F12" s="170" t="n">
        <f aca="false">2000-SUM(F4:F10)</f>
        <v>-494</v>
      </c>
    </row>
    <row r="13" customFormat="false" ht="15" hidden="false" customHeight="false" outlineLevel="0" collapsed="false">
      <c r="E13" s="170"/>
      <c r="F13" s="170"/>
    </row>
    <row r="14" customFormat="false" ht="15" hidden="false" customHeight="false" outlineLevel="0" collapsed="false">
      <c r="D14" s="0" t="s">
        <v>163</v>
      </c>
      <c r="E14" s="170" t="n">
        <f aca="false">E3-SUM(E4:E11)</f>
        <v>9072</v>
      </c>
    </row>
    <row r="15" customFormat="false" ht="15" hidden="false" customHeight="false" outlineLevel="0" collapsed="false">
      <c r="E15" s="170"/>
    </row>
    <row r="16" customFormat="false" ht="15" hidden="false" customHeight="false" outlineLevel="0" collapsed="false">
      <c r="E16" s="170"/>
    </row>
    <row r="17" customFormat="false" ht="15" hidden="false" customHeight="false" outlineLevel="0" collapsed="false">
      <c r="E17" s="170"/>
    </row>
    <row r="18" customFormat="false" ht="15" hidden="false" customHeight="false" outlineLevel="0" collapsed="false">
      <c r="E18" s="17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3" activeCellId="0" sqref="I43"/>
    </sheetView>
  </sheetViews>
  <sheetFormatPr defaultColWidth="9.7421875" defaultRowHeight="13.8" zeroHeight="false" outlineLevelRow="0" outlineLevelCol="0"/>
  <cols>
    <col collapsed="false" customWidth="true" hidden="false" outlineLevel="0" max="1" min="1" style="0" width="52.58"/>
    <col collapsed="false" customWidth="true" hidden="false" outlineLevel="0" max="4" min="2" style="0" width="14.15"/>
    <col collapsed="false" customWidth="true" hidden="false" outlineLevel="0" max="5" min="5" style="0" width="17.88"/>
    <col collapsed="false" customWidth="true" hidden="false" outlineLevel="0" max="1024" min="978" style="0" width="11.52"/>
  </cols>
  <sheetData>
    <row r="1" customFormat="false" ht="24.25" hidden="false" customHeight="false" outlineLevel="0" collapsed="false">
      <c r="A1" s="171"/>
      <c r="B1" s="172" t="n">
        <v>2019</v>
      </c>
      <c r="C1" s="172" t="s">
        <v>164</v>
      </c>
      <c r="D1" s="172" t="n">
        <v>2020</v>
      </c>
      <c r="E1" s="172" t="s">
        <v>165</v>
      </c>
    </row>
    <row r="2" customFormat="false" ht="13.8" hidden="false" customHeight="false" outlineLevel="0" collapsed="false">
      <c r="A2" s="173" t="s">
        <v>166</v>
      </c>
      <c r="B2" s="174"/>
      <c r="C2" s="174"/>
      <c r="D2" s="174"/>
      <c r="E2" s="174"/>
    </row>
    <row r="3" customFormat="false" ht="13.8" hidden="false" customHeight="false" outlineLevel="0" collapsed="false">
      <c r="A3" s="171" t="s">
        <v>167</v>
      </c>
      <c r="B3" s="175" t="n">
        <v>50000</v>
      </c>
      <c r="C3" s="175" t="n">
        <f aca="false">B3/12</f>
        <v>4166.66666666667</v>
      </c>
      <c r="D3" s="175" t="n">
        <f aca="false">B3+1000</f>
        <v>51000</v>
      </c>
      <c r="E3" s="175" t="n">
        <f aca="false">D3/12</f>
        <v>4250</v>
      </c>
    </row>
    <row r="4" customFormat="false" ht="13.8" hidden="false" customHeight="false" outlineLevel="0" collapsed="false">
      <c r="A4" s="171" t="s">
        <v>168</v>
      </c>
      <c r="B4" s="175" t="n">
        <v>500</v>
      </c>
      <c r="C4" s="175" t="n">
        <f aca="false">B4/12</f>
        <v>41.6666666666667</v>
      </c>
      <c r="D4" s="175" t="n">
        <f aca="false">B4+1000</f>
        <v>1500</v>
      </c>
      <c r="E4" s="175" t="n">
        <f aca="false">D4/12</f>
        <v>125</v>
      </c>
    </row>
    <row r="5" customFormat="false" ht="13.8" hidden="false" customHeight="false" outlineLevel="0" collapsed="false">
      <c r="A5" s="171" t="s">
        <v>169</v>
      </c>
      <c r="B5" s="175" t="n">
        <v>12000</v>
      </c>
      <c r="C5" s="175" t="n">
        <f aca="false">B5/12</f>
        <v>1000</v>
      </c>
      <c r="D5" s="175" t="n">
        <f aca="false">B5+1000</f>
        <v>13000</v>
      </c>
      <c r="E5" s="175" t="n">
        <f aca="false">D5/12</f>
        <v>1083.33333333333</v>
      </c>
    </row>
    <row r="6" customFormat="false" ht="13.8" hidden="false" customHeight="false" outlineLevel="0" collapsed="false">
      <c r="A6" s="171" t="s">
        <v>170</v>
      </c>
      <c r="B6" s="175" t="n">
        <v>6000</v>
      </c>
      <c r="C6" s="175" t="n">
        <f aca="false">B6/12</f>
        <v>500</v>
      </c>
      <c r="D6" s="175" t="n">
        <f aca="false">B6+1000</f>
        <v>7000</v>
      </c>
      <c r="E6" s="175" t="n">
        <f aca="false">D6/12</f>
        <v>583.333333333333</v>
      </c>
    </row>
    <row r="7" customFormat="false" ht="13.8" hidden="false" customHeight="false" outlineLevel="0" collapsed="false">
      <c r="A7" s="171" t="s">
        <v>171</v>
      </c>
      <c r="B7" s="175" t="n">
        <v>4000</v>
      </c>
      <c r="C7" s="175" t="n">
        <f aca="false">B7/12</f>
        <v>333.333333333333</v>
      </c>
      <c r="D7" s="175" t="n">
        <f aca="false">B7+1000</f>
        <v>5000</v>
      </c>
      <c r="E7" s="175" t="n">
        <f aca="false">D7/12</f>
        <v>416.666666666667</v>
      </c>
    </row>
    <row r="8" customFormat="false" ht="13.8" hidden="false" customHeight="false" outlineLevel="0" collapsed="false">
      <c r="A8" s="171" t="s">
        <v>172</v>
      </c>
      <c r="B8" s="175" t="n">
        <v>15000</v>
      </c>
      <c r="C8" s="175" t="n">
        <f aca="false">B8/12</f>
        <v>1250</v>
      </c>
      <c r="D8" s="175" t="n">
        <f aca="false">B8-500</f>
        <v>14500</v>
      </c>
      <c r="E8" s="175" t="n">
        <f aca="false">D8/12</f>
        <v>1208.33333333333</v>
      </c>
    </row>
    <row r="9" customFormat="false" ht="13.8" hidden="false" customHeight="false" outlineLevel="0" collapsed="false">
      <c r="A9" s="171" t="s">
        <v>173</v>
      </c>
      <c r="B9" s="175" t="n">
        <v>6000</v>
      </c>
      <c r="C9" s="175" t="n">
        <f aca="false">B9/12</f>
        <v>500</v>
      </c>
      <c r="D9" s="175" t="n">
        <v>7000</v>
      </c>
      <c r="E9" s="175" t="n">
        <f aca="false">D9/12</f>
        <v>583.333333333333</v>
      </c>
    </row>
    <row r="10" customFormat="false" ht="13.8" hidden="false" customHeight="false" outlineLevel="0" collapsed="false">
      <c r="A10" s="171" t="s">
        <v>174</v>
      </c>
      <c r="B10" s="176" t="n">
        <f aca="false">(B9+B6+B5)/(B3+B4)</f>
        <v>0.475247524752475</v>
      </c>
      <c r="C10" s="176" t="n">
        <f aca="false">B10/12</f>
        <v>0.0396039603960396</v>
      </c>
      <c r="D10" s="176" t="n">
        <f aca="false">(D9+D6+D5)/(D3+D4)</f>
        <v>0.514285714285714</v>
      </c>
      <c r="E10" s="176" t="n">
        <f aca="false">D10/12</f>
        <v>0.0428571428571429</v>
      </c>
    </row>
    <row r="11" customFormat="false" ht="13.8" hidden="false" customHeight="false" outlineLevel="0" collapsed="false">
      <c r="A11" s="171"/>
      <c r="B11" s="174"/>
      <c r="C11" s="174"/>
      <c r="D11" s="174"/>
      <c r="E11" s="174"/>
    </row>
    <row r="12" customFormat="false" ht="13.8" hidden="false" customHeight="false" outlineLevel="0" collapsed="false">
      <c r="A12" s="173" t="s">
        <v>175</v>
      </c>
      <c r="B12" s="174"/>
      <c r="C12" s="174"/>
      <c r="D12" s="174"/>
      <c r="E12" s="174"/>
    </row>
    <row r="13" customFormat="false" ht="13.8" hidden="false" customHeight="false" outlineLevel="0" collapsed="false">
      <c r="A13" s="171" t="s">
        <v>176</v>
      </c>
      <c r="B13" s="174" t="n">
        <v>12000</v>
      </c>
      <c r="C13" s="175" t="n">
        <f aca="false">B13/12</f>
        <v>1000</v>
      </c>
      <c r="D13" s="174"/>
      <c r="E13" s="175" t="n">
        <f aca="false">D13/12</f>
        <v>0</v>
      </c>
    </row>
    <row r="14" customFormat="false" ht="13.8" hidden="false" customHeight="false" outlineLevel="0" collapsed="false">
      <c r="A14" s="171" t="s">
        <v>177</v>
      </c>
      <c r="B14" s="174"/>
      <c r="C14" s="174"/>
      <c r="D14" s="174"/>
      <c r="E14" s="174"/>
    </row>
    <row r="15" customFormat="false" ht="13.8" hidden="false" customHeight="false" outlineLevel="0" collapsed="false">
      <c r="A15" s="171" t="s">
        <v>178</v>
      </c>
      <c r="B15" s="175" t="n">
        <v>800</v>
      </c>
      <c r="C15" s="175" t="n">
        <f aca="false">B15/12</f>
        <v>66.6666666666667</v>
      </c>
      <c r="D15" s="175" t="n">
        <v>600</v>
      </c>
      <c r="E15" s="175" t="n">
        <f aca="false">D15/12</f>
        <v>50</v>
      </c>
    </row>
    <row r="16" customFormat="false" ht="13.8" hidden="false" customHeight="false" outlineLevel="0" collapsed="false">
      <c r="A16" s="171" t="s">
        <v>179</v>
      </c>
      <c r="B16" s="175" t="n">
        <v>1500</v>
      </c>
      <c r="C16" s="175" t="n">
        <f aca="false">B16/12</f>
        <v>125</v>
      </c>
      <c r="D16" s="175" t="n">
        <v>1200</v>
      </c>
      <c r="E16" s="175" t="n">
        <f aca="false">D16/12</f>
        <v>100</v>
      </c>
    </row>
    <row r="17" customFormat="false" ht="13.8" hidden="false" customHeight="false" outlineLevel="0" collapsed="false">
      <c r="A17" s="171" t="s">
        <v>180</v>
      </c>
      <c r="B17" s="175" t="n">
        <v>500</v>
      </c>
      <c r="C17" s="175" t="n">
        <f aca="false">B17/12</f>
        <v>41.6666666666667</v>
      </c>
      <c r="D17" s="175" t="n">
        <v>600</v>
      </c>
      <c r="E17" s="175" t="n">
        <f aca="false">D17/12</f>
        <v>50</v>
      </c>
    </row>
    <row r="18" customFormat="false" ht="13.8" hidden="false" customHeight="false" outlineLevel="0" collapsed="false">
      <c r="A18" s="171" t="s">
        <v>181</v>
      </c>
      <c r="B18" s="175" t="n">
        <v>3500</v>
      </c>
      <c r="C18" s="175" t="n">
        <f aca="false">B18/12</f>
        <v>291.666666666667</v>
      </c>
      <c r="D18" s="175" t="n">
        <v>4000</v>
      </c>
      <c r="E18" s="175" t="n">
        <f aca="false">D18/12</f>
        <v>333.333333333333</v>
      </c>
    </row>
    <row r="19" customFormat="false" ht="13.8" hidden="false" customHeight="false" outlineLevel="0" collapsed="false">
      <c r="A19" s="171" t="s">
        <v>182</v>
      </c>
      <c r="B19" s="174"/>
      <c r="C19" s="174"/>
      <c r="D19" s="174"/>
      <c r="E19" s="174"/>
    </row>
    <row r="20" customFormat="false" ht="13.8" hidden="false" customHeight="false" outlineLevel="0" collapsed="false">
      <c r="A20" s="171" t="s">
        <v>183</v>
      </c>
      <c r="B20" s="177" t="n">
        <v>600</v>
      </c>
      <c r="C20" s="175" t="n">
        <f aca="false">B20/12</f>
        <v>50</v>
      </c>
      <c r="D20" s="177" t="n">
        <v>660</v>
      </c>
      <c r="E20" s="175" t="n">
        <f aca="false">D20/12</f>
        <v>55</v>
      </c>
    </row>
    <row r="21" customFormat="false" ht="13.8" hidden="false" customHeight="false" outlineLevel="0" collapsed="false">
      <c r="A21" s="171" t="s">
        <v>184</v>
      </c>
      <c r="B21" s="177" t="n">
        <v>540</v>
      </c>
      <c r="C21" s="175" t="n">
        <f aca="false">B21/12</f>
        <v>45</v>
      </c>
      <c r="D21" s="177" t="n">
        <v>550</v>
      </c>
      <c r="E21" s="175" t="n">
        <f aca="false">D21/12</f>
        <v>45.8333333333333</v>
      </c>
    </row>
    <row r="22" customFormat="false" ht="13.8" hidden="false" customHeight="false" outlineLevel="0" collapsed="false">
      <c r="A22" s="171" t="s">
        <v>185</v>
      </c>
      <c r="B22" s="177" t="n">
        <v>420</v>
      </c>
      <c r="C22" s="175" t="n">
        <f aca="false">B22/12</f>
        <v>35</v>
      </c>
      <c r="D22" s="177" t="n">
        <v>420</v>
      </c>
      <c r="E22" s="175" t="n">
        <f aca="false">D22/12</f>
        <v>35</v>
      </c>
    </row>
    <row r="23" customFormat="false" ht="13.8" hidden="false" customHeight="false" outlineLevel="0" collapsed="false">
      <c r="A23" s="171" t="s">
        <v>186</v>
      </c>
      <c r="B23" s="175" t="n">
        <v>420.75</v>
      </c>
      <c r="C23" s="175" t="n">
        <f aca="false">B23/12</f>
        <v>35.0625</v>
      </c>
      <c r="D23" s="175" t="n">
        <v>420.75</v>
      </c>
      <c r="E23" s="175" t="n">
        <f aca="false">D23/12</f>
        <v>35.0625</v>
      </c>
    </row>
    <row r="24" customFormat="false" ht="13.8" hidden="false" customHeight="false" outlineLevel="0" collapsed="false">
      <c r="A24" s="171" t="s">
        <v>187</v>
      </c>
      <c r="B24" s="174"/>
      <c r="C24" s="174"/>
      <c r="D24" s="174"/>
      <c r="E24" s="174"/>
    </row>
    <row r="25" customFormat="false" ht="13.8" hidden="false" customHeight="false" outlineLevel="0" collapsed="false">
      <c r="A25" s="171" t="s">
        <v>188</v>
      </c>
      <c r="B25" s="175" t="n">
        <v>1100</v>
      </c>
      <c r="C25" s="175" t="n">
        <f aca="false">B25/12</f>
        <v>91.6666666666667</v>
      </c>
      <c r="D25" s="175" t="n">
        <v>1200</v>
      </c>
      <c r="E25" s="175" t="n">
        <f aca="false">D25/12</f>
        <v>100</v>
      </c>
    </row>
    <row r="26" customFormat="false" ht="13.8" hidden="false" customHeight="false" outlineLevel="0" collapsed="false">
      <c r="A26" s="171" t="s">
        <v>189</v>
      </c>
      <c r="B26" s="175" t="n">
        <v>500</v>
      </c>
      <c r="C26" s="175" t="n">
        <f aca="false">B26/12</f>
        <v>41.6666666666667</v>
      </c>
      <c r="D26" s="175" t="n">
        <v>450</v>
      </c>
      <c r="E26" s="175" t="n">
        <f aca="false">D26/12</f>
        <v>37.5</v>
      </c>
    </row>
    <row r="27" customFormat="false" ht="13.8" hidden="false" customHeight="false" outlineLevel="0" collapsed="false">
      <c r="A27" s="178" t="s">
        <v>190</v>
      </c>
      <c r="B27" s="175" t="n">
        <v>2100</v>
      </c>
      <c r="C27" s="175" t="n">
        <f aca="false">B27/12</f>
        <v>175</v>
      </c>
      <c r="D27" s="175" t="n">
        <v>1900</v>
      </c>
      <c r="E27" s="175" t="n">
        <f aca="false">D27/12</f>
        <v>158.333333333333</v>
      </c>
    </row>
    <row r="28" customFormat="false" ht="13.8" hidden="false" customHeight="false" outlineLevel="0" collapsed="false">
      <c r="A28" s="178" t="s">
        <v>191</v>
      </c>
      <c r="B28" s="175" t="n">
        <v>500</v>
      </c>
      <c r="C28" s="175" t="n">
        <f aca="false">B28/12</f>
        <v>41.6666666666667</v>
      </c>
      <c r="D28" s="175" t="n">
        <v>450</v>
      </c>
      <c r="E28" s="175" t="n">
        <f aca="false">D28/12</f>
        <v>37.5</v>
      </c>
    </row>
    <row r="29" customFormat="false" ht="13.8" hidden="false" customHeight="false" outlineLevel="0" collapsed="false">
      <c r="A29" s="171" t="s">
        <v>192</v>
      </c>
      <c r="B29" s="175" t="n">
        <v>500</v>
      </c>
      <c r="C29" s="175" t="n">
        <f aca="false">B29/12</f>
        <v>41.6666666666667</v>
      </c>
      <c r="D29" s="175" t="n">
        <v>200</v>
      </c>
      <c r="E29" s="175" t="n">
        <f aca="false">D29/12</f>
        <v>16.6666666666667</v>
      </c>
    </row>
    <row r="30" customFormat="false" ht="13.8" hidden="false" customHeight="false" outlineLevel="0" collapsed="false">
      <c r="A30" s="171" t="s">
        <v>193</v>
      </c>
      <c r="B30" s="179"/>
      <c r="C30" s="179"/>
      <c r="D30" s="179"/>
      <c r="E30" s="179"/>
    </row>
    <row r="31" customFormat="false" ht="13.8" hidden="false" customHeight="false" outlineLevel="0" collapsed="false">
      <c r="A31" s="171" t="s">
        <v>194</v>
      </c>
      <c r="B31" s="179"/>
      <c r="C31" s="179"/>
      <c r="D31" s="179"/>
      <c r="E31" s="179"/>
    </row>
    <row r="32" customFormat="false" ht="13.8" hidden="false" customHeight="false" outlineLevel="0" collapsed="false">
      <c r="A32" s="171" t="s">
        <v>195</v>
      </c>
      <c r="B32" s="179"/>
      <c r="C32" s="179"/>
      <c r="D32" s="179"/>
      <c r="E32" s="179"/>
    </row>
    <row r="33" customFormat="false" ht="13.8" hidden="false" customHeight="false" outlineLevel="0" collapsed="false">
      <c r="A33" s="171" t="s">
        <v>196</v>
      </c>
      <c r="B33" s="179"/>
      <c r="C33" s="179"/>
      <c r="D33" s="179"/>
      <c r="E33" s="179"/>
    </row>
    <row r="34" customFormat="false" ht="13.8" hidden="false" customHeight="false" outlineLevel="0" collapsed="false">
      <c r="A34" s="171" t="s">
        <v>197</v>
      </c>
      <c r="B34" s="175" t="n">
        <v>3000</v>
      </c>
      <c r="C34" s="175" t="n">
        <f aca="false">B34/12</f>
        <v>250</v>
      </c>
      <c r="D34" s="175" t="n">
        <v>3200</v>
      </c>
      <c r="E34" s="175" t="n">
        <f aca="false">D34/12</f>
        <v>266.666666666667</v>
      </c>
    </row>
    <row r="35" customFormat="false" ht="13.8" hidden="false" customHeight="false" outlineLevel="0" collapsed="false">
      <c r="A35" s="171" t="s">
        <v>127</v>
      </c>
      <c r="B35" s="175" t="n">
        <v>1000</v>
      </c>
      <c r="C35" s="175" t="n">
        <f aca="false">B35/12</f>
        <v>83.3333333333333</v>
      </c>
      <c r="D35" s="175" t="n">
        <v>950</v>
      </c>
      <c r="E35" s="175" t="n">
        <f aca="false">D35/12</f>
        <v>79.1666666666667</v>
      </c>
    </row>
    <row r="36" customFormat="false" ht="13.8" hidden="false" customHeight="false" outlineLevel="0" collapsed="false">
      <c r="A36" s="171" t="s">
        <v>198</v>
      </c>
      <c r="B36" s="177" t="n">
        <v>0</v>
      </c>
      <c r="C36" s="175" t="n">
        <f aca="false">B36/12</f>
        <v>0</v>
      </c>
      <c r="D36" s="177" t="n">
        <v>2000</v>
      </c>
      <c r="E36" s="175" t="n">
        <f aca="false">D36/12</f>
        <v>166.666666666667</v>
      </c>
    </row>
    <row r="37" customFormat="false" ht="13.8" hidden="false" customHeight="false" outlineLevel="0" collapsed="false">
      <c r="A37" s="171"/>
      <c r="B37" s="174"/>
      <c r="C37" s="174"/>
      <c r="D37" s="174"/>
      <c r="E37" s="174"/>
    </row>
    <row r="38" customFormat="false" ht="13.8" hidden="false" customHeight="false" outlineLevel="0" collapsed="false">
      <c r="A38" s="173" t="s">
        <v>199</v>
      </c>
      <c r="B38" s="174"/>
      <c r="C38" s="174"/>
      <c r="D38" s="174"/>
      <c r="E38" s="174"/>
    </row>
    <row r="39" customFormat="false" ht="13.8" hidden="false" customHeight="false" outlineLevel="0" collapsed="false">
      <c r="A39" s="171" t="s">
        <v>200</v>
      </c>
      <c r="B39" s="175" t="n">
        <v>47095</v>
      </c>
      <c r="C39" s="179"/>
      <c r="D39" s="175" t="n">
        <v>51000</v>
      </c>
      <c r="E39" s="179"/>
    </row>
    <row r="40" customFormat="false" ht="13.8" hidden="false" customHeight="false" outlineLevel="0" collapsed="false">
      <c r="A40" s="171" t="s">
        <v>201</v>
      </c>
      <c r="B40" s="175" t="n">
        <v>900</v>
      </c>
      <c r="C40" s="179"/>
      <c r="D40" s="175" t="n">
        <v>200</v>
      </c>
      <c r="E40" s="179"/>
    </row>
    <row r="41" customFormat="false" ht="13.8" hidden="false" customHeight="false" outlineLevel="0" collapsed="false">
      <c r="A41" s="171" t="s">
        <v>202</v>
      </c>
      <c r="B41" s="175" t="n">
        <f aca="false">B39-B40</f>
        <v>46195</v>
      </c>
      <c r="C41" s="179"/>
      <c r="D41" s="175" t="n">
        <f aca="false">D39-D40</f>
        <v>50800</v>
      </c>
      <c r="E41" s="179"/>
    </row>
    <row r="42" customFormat="false" ht="13.8" hidden="false" customHeight="false" outlineLevel="0" collapsed="false">
      <c r="A42" s="171" t="s">
        <v>203</v>
      </c>
      <c r="B42" s="175"/>
      <c r="C42" s="179"/>
      <c r="D42" s="175" t="n">
        <f aca="false">D41-B41</f>
        <v>4605</v>
      </c>
      <c r="E42" s="179"/>
    </row>
    <row r="43" customFormat="false" ht="13.8" hidden="false" customHeight="false" outlineLevel="0" collapsed="false">
      <c r="A43" s="171" t="s">
        <v>204</v>
      </c>
      <c r="B43" s="180"/>
      <c r="C43" s="179"/>
      <c r="D43" s="180" t="n">
        <f aca="false">D42/B41</f>
        <v>0.099686113215716</v>
      </c>
      <c r="E43" s="179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9" activeCellId="0" sqref="B19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85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41.29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3.57"/>
    <col collapsed="false" customWidth="true" hidden="false" outlineLevel="0" max="59" min="59" style="0" width="14.43"/>
    <col collapsed="false" customWidth="true" hidden="false" outlineLevel="0" max="60" min="60" style="0" width="12.14"/>
    <col collapsed="false" customWidth="true" hidden="false" outlineLevel="0" max="61" min="61" style="0" width="12.71"/>
    <col collapsed="false" customWidth="true" hidden="false" outlineLevel="0" max="62" min="62" style="0" width="9.85"/>
    <col collapsed="false" customWidth="true" hidden="false" outlineLevel="0" max="63" min="63" style="0" width="15.29"/>
    <col collapsed="false" customWidth="true" hidden="false" outlineLevel="0" max="64" min="64" style="0" width="17.29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4" t="s">
        <v>4</v>
      </c>
      <c r="Q2" s="14"/>
      <c r="R2" s="14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  <c r="BM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3800</v>
      </c>
      <c r="Q3" s="28" t="s">
        <v>22</v>
      </c>
      <c r="R3" s="29"/>
      <c r="S3" s="5"/>
      <c r="T3" s="5"/>
      <c r="U3" s="5"/>
      <c r="V3" s="30" t="n">
        <f aca="false">F68-X3</f>
        <v>215.44</v>
      </c>
      <c r="W3" s="31" t="str">
        <f aca="false">B18</f>
        <v>Discretionary</v>
      </c>
      <c r="X3" s="32" t="n">
        <f aca="false">F73</f>
        <v>84.56</v>
      </c>
      <c r="Y3" s="5"/>
      <c r="Z3" s="5"/>
      <c r="AA3" s="5"/>
      <c r="AB3" s="33" t="n">
        <f aca="false">F14/30</f>
        <v>100.183333333333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47"/>
      <c r="BK3" s="5"/>
      <c r="BL3" s="47"/>
      <c r="BM3" s="5"/>
    </row>
    <row r="4" customFormat="false" ht="13.8" hidden="false" customHeight="false" outlineLevel="0" collapsed="false">
      <c r="A4" s="5"/>
      <c r="B4" s="48"/>
      <c r="C4" s="49"/>
      <c r="D4" s="50" t="n">
        <v>43845</v>
      </c>
      <c r="E4" s="51" t="s">
        <v>29</v>
      </c>
      <c r="F4" s="52" t="n">
        <v>1500</v>
      </c>
      <c r="G4" s="26"/>
      <c r="H4" s="48"/>
      <c r="I4" s="49"/>
      <c r="J4" s="50" t="n">
        <v>43845</v>
      </c>
      <c r="K4" s="51" t="s">
        <v>30</v>
      </c>
      <c r="L4" s="53" t="n">
        <v>300</v>
      </c>
      <c r="M4" s="5"/>
      <c r="N4" s="5"/>
      <c r="O4" s="5"/>
      <c r="P4" s="27" t="n">
        <f aca="false">SUM(F4:F6)</f>
        <v>3000</v>
      </c>
      <c r="Q4" s="54" t="s">
        <v>31</v>
      </c>
      <c r="R4" s="29"/>
      <c r="S4" s="5"/>
      <c r="T4" s="5"/>
      <c r="U4" s="5"/>
      <c r="V4" s="55" t="n">
        <f aca="false">L68-X4</f>
        <v>128.81</v>
      </c>
      <c r="W4" s="56" t="str">
        <f aca="false">K18</f>
        <v>Groceries</v>
      </c>
      <c r="X4" s="57" t="n">
        <f aca="false">L73</f>
        <v>121.19</v>
      </c>
      <c r="Y4" s="5"/>
      <c r="Z4" s="5"/>
      <c r="AA4" s="5"/>
      <c r="AB4" s="58" t="n">
        <f aca="false">X11/30</f>
        <v>36.666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 t="n">
        <v>2000</v>
      </c>
      <c r="AK4" s="37"/>
      <c r="AL4" s="37"/>
      <c r="AM4" s="37"/>
      <c r="AN4" s="37"/>
      <c r="AO4" s="62" t="s">
        <v>34</v>
      </c>
      <c r="AP4" s="63" t="n">
        <v>500</v>
      </c>
      <c r="AQ4" s="5"/>
      <c r="AR4" s="5"/>
      <c r="AS4" s="5"/>
      <c r="AT4" s="64" t="n">
        <f aca="false">AJ14-AP14</f>
        <v>46195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f aca="false">(BG4-BF4)/BF4</f>
        <v>0.0953846153846154</v>
      </c>
      <c r="BJ4" s="47"/>
      <c r="BK4" s="5"/>
      <c r="BL4" s="47"/>
      <c r="BM4" s="5"/>
    </row>
    <row r="5" customFormat="false" ht="13.8" hidden="false" customHeight="false" outlineLevel="0" collapsed="false">
      <c r="A5" s="5"/>
      <c r="B5" s="70"/>
      <c r="C5" s="71"/>
      <c r="D5" s="72" t="n">
        <v>43860</v>
      </c>
      <c r="E5" s="67" t="s">
        <v>38</v>
      </c>
      <c r="F5" s="73" t="n">
        <v>1500</v>
      </c>
      <c r="G5" s="26"/>
      <c r="H5" s="70"/>
      <c r="I5" s="71"/>
      <c r="J5" s="72" t="n">
        <v>43860</v>
      </c>
      <c r="K5" s="67" t="s">
        <v>39</v>
      </c>
      <c r="L5" s="73" t="n">
        <v>300</v>
      </c>
      <c r="M5" s="5"/>
      <c r="N5" s="5"/>
      <c r="O5" s="5"/>
      <c r="P5" s="27" t="n">
        <f aca="false">SUM(F7:F8)</f>
        <v>5.5</v>
      </c>
      <c r="Q5" s="54" t="s">
        <v>40</v>
      </c>
      <c r="R5" s="29"/>
      <c r="S5" s="5"/>
      <c r="T5" s="5"/>
      <c r="U5" s="5"/>
      <c r="V5" s="30" t="n">
        <f aca="false">R68-X5</f>
        <v>344.44</v>
      </c>
      <c r="W5" s="31" t="str">
        <f aca="false">Q18</f>
        <v>Transportation</v>
      </c>
      <c r="X5" s="32" t="n">
        <f aca="false">R73</f>
        <v>55.56</v>
      </c>
      <c r="Y5" s="5"/>
      <c r="Z5" s="5"/>
      <c r="AA5" s="5"/>
      <c r="AB5" s="33" t="n">
        <f aca="false">X10/30</f>
        <v>12.116</v>
      </c>
      <c r="AC5" s="34" t="s">
        <v>41</v>
      </c>
      <c r="AD5" s="5"/>
      <c r="AE5" s="5"/>
      <c r="AF5" s="5"/>
      <c r="AG5" s="5"/>
      <c r="AH5" s="5"/>
      <c r="AI5" s="74" t="s">
        <v>42</v>
      </c>
      <c r="AJ5" s="75" t="n">
        <v>3000</v>
      </c>
      <c r="AK5" s="37"/>
      <c r="AL5" s="37"/>
      <c r="AM5" s="37"/>
      <c r="AN5" s="37"/>
      <c r="AO5" s="76" t="s">
        <v>43</v>
      </c>
      <c r="AP5" s="77" t="n">
        <v>100</v>
      </c>
      <c r="AQ5" s="5"/>
      <c r="AR5" s="5"/>
      <c r="AS5" s="5"/>
      <c r="AT5" s="64" t="n">
        <f aca="false">AT3-AT4</f>
        <v>1203805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f aca="false">(BG5-BF5)/BF5</f>
        <v>-0.0105263157894737</v>
      </c>
      <c r="BJ5" s="47"/>
      <c r="BK5" s="5"/>
      <c r="BL5" s="47"/>
      <c r="BM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128.6</v>
      </c>
      <c r="W6" s="56" t="str">
        <f aca="false">W18</f>
        <v>Restaurant/Bar</v>
      </c>
      <c r="X6" s="57" t="n">
        <f aca="false">X73</f>
        <v>21.4</v>
      </c>
      <c r="Y6" s="5"/>
      <c r="Z6" s="5"/>
      <c r="AA6" s="5"/>
      <c r="AB6" s="58" t="n">
        <f aca="false">AB4+AB5</f>
        <v>48.782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 t="n">
        <v>95</v>
      </c>
      <c r="AK6" s="37"/>
      <c r="AL6" s="37"/>
      <c r="AM6" s="37"/>
      <c r="AN6" s="37"/>
      <c r="AO6" s="62" t="s">
        <v>52</v>
      </c>
      <c r="AP6" s="63" t="n">
        <v>50</v>
      </c>
      <c r="AQ6" s="5"/>
      <c r="AR6" s="5"/>
      <c r="AS6" s="5"/>
      <c r="AT6" s="64" t="n">
        <f aca="false">P3-P7</f>
        <v>2336.54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f aca="false">(BG6-BF6)/BF6</f>
        <v>0.10715</v>
      </c>
      <c r="BJ6" s="47"/>
      <c r="BK6" s="5"/>
      <c r="BL6" s="47"/>
      <c r="BM6" s="5"/>
    </row>
    <row r="7" customFormat="false" ht="13.8" hidden="false" customHeight="false" outlineLevel="0" collapsed="false">
      <c r="A7" s="5"/>
      <c r="B7" s="70"/>
      <c r="C7" s="71"/>
      <c r="D7" s="72" t="n">
        <v>43860</v>
      </c>
      <c r="E7" s="67" t="s">
        <v>56</v>
      </c>
      <c r="F7" s="73" t="n">
        <v>5</v>
      </c>
      <c r="G7" s="26"/>
      <c r="H7" s="70"/>
      <c r="I7" s="71"/>
      <c r="J7" s="72" t="n">
        <v>43845</v>
      </c>
      <c r="K7" s="67" t="s">
        <v>57</v>
      </c>
      <c r="L7" s="73" t="n">
        <v>100</v>
      </c>
      <c r="M7" s="5"/>
      <c r="N7" s="5"/>
      <c r="O7" s="5"/>
      <c r="P7" s="27" t="n">
        <f aca="false">F73+L73+R73+X73+AD73+AJ73+AP73+AV73</f>
        <v>1463.46</v>
      </c>
      <c r="Q7" s="54" t="s">
        <v>58</v>
      </c>
      <c r="R7" s="29"/>
      <c r="S7" s="5"/>
      <c r="T7" s="5"/>
      <c r="U7" s="5"/>
      <c r="V7" s="30" t="n">
        <f aca="false">AD68-X7</f>
        <v>-20.21</v>
      </c>
      <c r="W7" s="31" t="str">
        <f aca="false">AC18</f>
        <v>Alcohol</v>
      </c>
      <c r="X7" s="32" t="n">
        <f aca="false">AD73</f>
        <v>20.21</v>
      </c>
      <c r="Y7" s="5"/>
      <c r="Z7" s="5"/>
      <c r="AA7" s="5"/>
      <c r="AB7" s="33" t="n">
        <f aca="false">AB3-AB6</f>
        <v>51.4013333333333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 t="n">
        <v>15000</v>
      </c>
      <c r="AK7" s="37"/>
      <c r="AL7" s="37"/>
      <c r="AM7" s="37"/>
      <c r="AN7" s="37"/>
      <c r="AO7" s="76" t="s">
        <v>61</v>
      </c>
      <c r="AP7" s="77" t="n">
        <v>250</v>
      </c>
      <c r="AQ7" s="5"/>
      <c r="AR7" s="5"/>
      <c r="AS7" s="5"/>
      <c r="AT7" s="64" t="n">
        <f aca="false">AT6*1.05^15</f>
        <v>4857.49884832184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f aca="false">(BG7-BF7)/BF7</f>
        <v>0.127739130434783</v>
      </c>
      <c r="BJ7" s="47"/>
      <c r="BK7" s="5"/>
      <c r="BL7" s="47"/>
      <c r="BM7" s="5"/>
    </row>
    <row r="8" customFormat="false" ht="13.8" hidden="false" customHeight="false" outlineLevel="0" collapsed="false">
      <c r="A8" s="5"/>
      <c r="B8" s="70"/>
      <c r="C8" s="71"/>
      <c r="D8" s="50" t="n">
        <v>43860</v>
      </c>
      <c r="E8" s="42" t="s">
        <v>65</v>
      </c>
      <c r="F8" s="52" t="n">
        <v>0.5</v>
      </c>
      <c r="G8" s="26"/>
      <c r="H8" s="70"/>
      <c r="I8" s="71"/>
      <c r="J8" s="50" t="n">
        <v>43860</v>
      </c>
      <c r="K8" s="51" t="s">
        <v>66</v>
      </c>
      <c r="L8" s="53" t="n">
        <v>100</v>
      </c>
      <c r="M8" s="5"/>
      <c r="N8" s="5"/>
      <c r="O8" s="5"/>
      <c r="P8" s="78" t="n">
        <f aca="false">P4+P5+P6-P7</f>
        <v>1542.04</v>
      </c>
      <c r="Q8" s="79" t="s">
        <v>67</v>
      </c>
      <c r="R8" s="80"/>
      <c r="S8" s="5"/>
      <c r="T8" s="5"/>
      <c r="U8" s="5"/>
      <c r="V8" s="55" t="n">
        <f aca="false">AJ68-X8</f>
        <v>24.44</v>
      </c>
      <c r="W8" s="56" t="str">
        <f aca="false">AI18</f>
        <v>Pet</v>
      </c>
      <c r="X8" s="57" t="n">
        <f aca="false">AJ73</f>
        <v>60.56</v>
      </c>
      <c r="Y8" s="5"/>
      <c r="Z8" s="5"/>
      <c r="AA8" s="5"/>
      <c r="AB8" s="58" t="n">
        <f aca="false">F14/(30/7)</f>
        <v>701.283333333333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 t="n">
        <v>20000</v>
      </c>
      <c r="AK8" s="37"/>
      <c r="AL8" s="37"/>
      <c r="AM8" s="37"/>
      <c r="AN8" s="37"/>
      <c r="AO8" s="62"/>
      <c r="AP8" s="63"/>
      <c r="AQ8" s="5"/>
      <c r="AR8" s="5"/>
      <c r="AS8" s="5"/>
      <c r="AT8" s="81" t="n">
        <f aca="false">(AT9-(AT9-AT6))/(AT9-AT6)</f>
        <v>0.0392014748778899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f aca="false">(BG8-BF8)/BF8</f>
        <v>0.135285714285714</v>
      </c>
      <c r="BJ8" s="47"/>
      <c r="BK8" s="5"/>
      <c r="BL8" s="47"/>
      <c r="BM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46195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256.662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 t="n">
        <v>6000</v>
      </c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61939.9097017313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f aca="false">(BG9-BF9)/BF9</f>
        <v>0.0653846153846154</v>
      </c>
      <c r="BJ9" s="47"/>
      <c r="BK9" s="5"/>
      <c r="BL9" s="47"/>
      <c r="BM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Feb!P9</f>
        <v>48595</v>
      </c>
      <c r="Q10" s="83" t="s">
        <v>83</v>
      </c>
      <c r="R10" s="84"/>
      <c r="S10" s="5"/>
      <c r="T10" s="5"/>
      <c r="U10" s="5"/>
      <c r="V10" s="55" t="n">
        <f aca="false">SUM(V3:V9)</f>
        <v>821.52</v>
      </c>
      <c r="W10" s="56" t="s">
        <v>84</v>
      </c>
      <c r="X10" s="57" t="n">
        <f aca="false">F73+L73+R73+X73+AD73+AJ73+AP73</f>
        <v>363.48</v>
      </c>
      <c r="Y10" s="5"/>
      <c r="Z10" s="5"/>
      <c r="AA10" s="5"/>
      <c r="AB10" s="58" t="n">
        <f aca="false">X10/(30/7)</f>
        <v>84.812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 t="n">
        <v>1000</v>
      </c>
      <c r="AK10" s="37"/>
      <c r="AL10" s="37"/>
      <c r="AM10" s="37"/>
      <c r="AN10" s="37"/>
      <c r="AO10" s="62"/>
      <c r="AP10" s="63"/>
      <c r="AQ10" s="5"/>
      <c r="AR10" s="5"/>
      <c r="AS10" s="5"/>
      <c r="AT10" s="85" t="n">
        <f aca="false">(AT3-AT9)/AT7</f>
        <v>244.582680798518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f aca="false">(BG10-BF10)/BF10</f>
        <v>0.079047619047619</v>
      </c>
      <c r="BJ10" s="47"/>
      <c r="BK10" s="5"/>
      <c r="BL10" s="47"/>
      <c r="BM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2400</v>
      </c>
      <c r="Q11" s="83" t="s">
        <v>91</v>
      </c>
      <c r="R11" s="84"/>
      <c r="S11" s="5"/>
      <c r="T11" s="5"/>
      <c r="U11" s="5"/>
      <c r="V11" s="86" t="n">
        <f aca="false">AV68-X11</f>
        <v>270.02</v>
      </c>
      <c r="W11" s="87" t="str">
        <f aca="false">AU18</f>
        <v>Recurring</v>
      </c>
      <c r="X11" s="88" t="n">
        <f aca="false">AV73</f>
        <v>1099.98</v>
      </c>
      <c r="Y11" s="5"/>
      <c r="Z11" s="5"/>
      <c r="AA11" s="5"/>
      <c r="AB11" s="33" t="n">
        <f aca="false">AB9+AB10</f>
        <v>341.474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n">
        <f aca="false">AT10/12</f>
        <v>20.3818900665432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 t="s">
        <v>14</v>
      </c>
      <c r="BF11" s="22" t="s">
        <v>15</v>
      </c>
      <c r="BG11" s="22" t="s">
        <v>16</v>
      </c>
      <c r="BH11" s="89" t="s">
        <v>95</v>
      </c>
      <c r="BI11" s="22" t="s">
        <v>18</v>
      </c>
      <c r="BJ11" s="47"/>
      <c r="BK11" s="5"/>
      <c r="BL11" s="47"/>
      <c r="BM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n">
        <f aca="false">IFERROR((P10-P9)/P9,"TBD")</f>
        <v>0.0519536746401126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</f>
        <v>5</v>
      </c>
      <c r="Y12" s="5"/>
      <c r="Z12" s="5"/>
      <c r="AA12" s="5"/>
      <c r="AB12" s="58" t="n">
        <f aca="false">AB8-AB11</f>
        <v>359.809333333333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f aca="false">(BG12-BF12)/BF12</f>
        <v>0.0576190476190477</v>
      </c>
      <c r="BJ12" s="95"/>
      <c r="BK12" s="5"/>
      <c r="BL12" s="96"/>
      <c r="BM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2400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P8</f>
        <v>1542.04</v>
      </c>
      <c r="Y13" s="5"/>
      <c r="Z13" s="5"/>
      <c r="AA13" s="5"/>
      <c r="AB13" s="98" t="n">
        <f aca="false">P8</f>
        <v>1542.04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f aca="false">(BG13-BF13)/BF13</f>
        <v>-0.0102173913043478</v>
      </c>
      <c r="BJ13" s="96"/>
      <c r="BK13" s="5"/>
      <c r="BL13" s="96"/>
      <c r="BM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3005.5</v>
      </c>
      <c r="G14" s="26"/>
      <c r="H14" s="101"/>
      <c r="I14" s="102"/>
      <c r="J14" s="103"/>
      <c r="K14" s="104" t="s">
        <v>110</v>
      </c>
      <c r="L14" s="105" t="n">
        <f aca="false">SUM(L4:L13)</f>
        <v>800</v>
      </c>
      <c r="M14" s="5"/>
      <c r="N14" s="5"/>
      <c r="O14" s="5"/>
      <c r="P14" s="106" t="n">
        <f aca="false">IF(P10=Jan!P9,"TBD",(P10-Jan!P9)/Jan!P9)</f>
        <v>0.0519536746401126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P8+L14</f>
        <v>2342.04</v>
      </c>
      <c r="Y14" s="5"/>
      <c r="Z14" s="5"/>
      <c r="AA14" s="5"/>
      <c r="AB14" s="111" t="n">
        <f aca="false">AB13+SUM(L4:L9)</f>
        <v>2342.04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47095</v>
      </c>
      <c r="AK14" s="115"/>
      <c r="AL14" s="115"/>
      <c r="AM14" s="115"/>
      <c r="AN14" s="115"/>
      <c r="AO14" s="116" t="s">
        <v>110</v>
      </c>
      <c r="AP14" s="117" t="n">
        <f aca="false">SUM(AP4:AP13)</f>
        <v>900</v>
      </c>
      <c r="AQ14" s="5"/>
      <c r="AR14" s="5"/>
      <c r="AS14" s="5"/>
      <c r="AT14" s="118" t="n">
        <f aca="false">AT12+AT11</f>
        <v>55.3818900665432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f aca="false">(BG14-BF14)/BF14</f>
        <v>0.0788235294117647</v>
      </c>
      <c r="BJ14" s="96"/>
      <c r="BK14" s="121"/>
      <c r="BL14" s="96"/>
      <c r="BM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f aca="false">(BG15-BF15)/BF15</f>
        <v>0.19368</v>
      </c>
      <c r="BJ15" s="96"/>
      <c r="BK15" s="121"/>
      <c r="BL15" s="96"/>
      <c r="BM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f aca="false">(BG16-BF16)/BF16</f>
        <v>0.178428571428571</v>
      </c>
      <c r="BJ16" s="96"/>
      <c r="BK16" s="121"/>
      <c r="BL16" s="96"/>
      <c r="BM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  <c r="BM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  <c r="BM18" s="5"/>
    </row>
    <row r="19" customFormat="false" ht="13.8" hidden="false" customHeight="false" outlineLevel="1" collapsed="false">
      <c r="A19" s="5"/>
      <c r="B19" s="135" t="s">
        <v>130</v>
      </c>
      <c r="C19" s="136"/>
      <c r="D19" s="137" t="n">
        <v>43835</v>
      </c>
      <c r="E19" s="42" t="s">
        <v>131</v>
      </c>
      <c r="F19" s="138" t="n">
        <v>50.33</v>
      </c>
      <c r="G19" s="5"/>
      <c r="H19" s="135" t="s">
        <v>130</v>
      </c>
      <c r="I19" s="136"/>
      <c r="J19" s="137" t="n">
        <v>43833</v>
      </c>
      <c r="K19" s="42" t="s">
        <v>132</v>
      </c>
      <c r="L19" s="138" t="n">
        <v>60.22</v>
      </c>
      <c r="M19" s="5"/>
      <c r="N19" s="135" t="s">
        <v>130</v>
      </c>
      <c r="O19" s="136"/>
      <c r="P19" s="137" t="n">
        <v>43835</v>
      </c>
      <c r="Q19" s="42" t="s">
        <v>133</v>
      </c>
      <c r="R19" s="138" t="n">
        <v>25.45</v>
      </c>
      <c r="S19" s="5"/>
      <c r="T19" s="135" t="s">
        <v>130</v>
      </c>
      <c r="U19" s="136"/>
      <c r="V19" s="137" t="n">
        <v>43849</v>
      </c>
      <c r="W19" s="42" t="s">
        <v>134</v>
      </c>
      <c r="X19" s="138" t="n">
        <v>5.16</v>
      </c>
      <c r="Y19" s="5"/>
      <c r="Z19" s="135" t="s">
        <v>130</v>
      </c>
      <c r="AA19" s="136"/>
      <c r="AB19" s="137" t="n">
        <v>43840</v>
      </c>
      <c r="AC19" s="42" t="s">
        <v>135</v>
      </c>
      <c r="AD19" s="138" t="n">
        <v>20.21</v>
      </c>
      <c r="AE19" s="5"/>
      <c r="AF19" s="135" t="s">
        <v>130</v>
      </c>
      <c r="AG19" s="136"/>
      <c r="AH19" s="137" t="n">
        <v>43853</v>
      </c>
      <c r="AI19" s="42" t="s">
        <v>136</v>
      </c>
      <c r="AJ19" s="138" t="n">
        <v>60.56</v>
      </c>
      <c r="AK19" s="5"/>
      <c r="AL19" s="135"/>
      <c r="AM19" s="136"/>
      <c r="AN19" s="137"/>
      <c r="AO19" s="42"/>
      <c r="AP19" s="138"/>
      <c r="AQ19" s="5"/>
      <c r="AR19" s="135"/>
      <c r="AS19" s="136" t="s">
        <v>130</v>
      </c>
      <c r="AT19" s="137" t="n">
        <v>43831</v>
      </c>
      <c r="AU19" s="42" t="s">
        <v>137</v>
      </c>
      <c r="AV19" s="138" t="n">
        <v>1000</v>
      </c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  <c r="BM19" s="5"/>
    </row>
    <row r="20" customFormat="false" ht="13.8" hidden="false" customHeight="false" outlineLevel="1" collapsed="false">
      <c r="A20" s="5"/>
      <c r="B20" s="139"/>
      <c r="C20" s="140" t="s">
        <v>130</v>
      </c>
      <c r="D20" s="141" t="n">
        <v>43845</v>
      </c>
      <c r="E20" s="67" t="s">
        <v>138</v>
      </c>
      <c r="F20" s="142" t="n">
        <v>25</v>
      </c>
      <c r="G20" s="5"/>
      <c r="H20" s="139" t="s">
        <v>130</v>
      </c>
      <c r="I20" s="140"/>
      <c r="J20" s="141" t="n">
        <v>43839</v>
      </c>
      <c r="K20" s="67" t="s">
        <v>139</v>
      </c>
      <c r="L20" s="142" t="n">
        <v>60.97</v>
      </c>
      <c r="M20" s="5"/>
      <c r="N20" s="139" t="s">
        <v>130</v>
      </c>
      <c r="O20" s="140"/>
      <c r="P20" s="141" t="n">
        <v>43847</v>
      </c>
      <c r="Q20" s="67" t="s">
        <v>140</v>
      </c>
      <c r="R20" s="142" t="n">
        <v>30.11</v>
      </c>
      <c r="S20" s="5"/>
      <c r="T20" s="139" t="s">
        <v>130</v>
      </c>
      <c r="U20" s="140"/>
      <c r="V20" s="141" t="n">
        <v>43842</v>
      </c>
      <c r="W20" s="67" t="s">
        <v>141</v>
      </c>
      <c r="X20" s="142" t="n">
        <v>16.24</v>
      </c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 t="s">
        <v>130</v>
      </c>
      <c r="AS20" s="140"/>
      <c r="AT20" s="141" t="n">
        <v>43840</v>
      </c>
      <c r="AU20" s="67" t="s">
        <v>142</v>
      </c>
      <c r="AV20" s="142" t="n">
        <v>35</v>
      </c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  <c r="BM20" s="5"/>
    </row>
    <row r="21" customFormat="false" ht="13.8" hidden="false" customHeight="false" outlineLevel="1" collapsed="false">
      <c r="A21" s="5"/>
      <c r="B21" s="135" t="s">
        <v>130</v>
      </c>
      <c r="C21" s="136"/>
      <c r="D21" s="137" t="n">
        <v>43850</v>
      </c>
      <c r="E21" s="42" t="s">
        <v>143</v>
      </c>
      <c r="F21" s="138" t="n">
        <v>9.23</v>
      </c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 t="s">
        <v>130</v>
      </c>
      <c r="AS21" s="136"/>
      <c r="AT21" s="137" t="n">
        <v>43855</v>
      </c>
      <c r="AU21" s="42" t="s">
        <v>144</v>
      </c>
      <c r="AV21" s="138" t="n">
        <v>45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 t="s">
        <v>130</v>
      </c>
      <c r="AS22" s="140"/>
      <c r="AT22" s="141" t="n">
        <v>43842</v>
      </c>
      <c r="AU22" s="67" t="s">
        <v>145</v>
      </c>
      <c r="AV22" s="142" t="n">
        <v>9.99</v>
      </c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 t="s">
        <v>130</v>
      </c>
      <c r="AS23" s="136"/>
      <c r="AT23" s="137" t="n">
        <v>43840</v>
      </c>
      <c r="AU23" s="42" t="s">
        <v>146</v>
      </c>
      <c r="AV23" s="138" t="n">
        <v>9.99</v>
      </c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5" t="n">
        <v>300</v>
      </c>
      <c r="G68" s="5"/>
      <c r="H68" s="139"/>
      <c r="I68" s="140"/>
      <c r="J68" s="67"/>
      <c r="K68" s="144" t="s">
        <v>147</v>
      </c>
      <c r="L68" s="145" t="n">
        <v>250</v>
      </c>
      <c r="M68" s="5"/>
      <c r="N68" s="139"/>
      <c r="O68" s="140"/>
      <c r="P68" s="67"/>
      <c r="Q68" s="144" t="s">
        <v>147</v>
      </c>
      <c r="R68" s="145" t="n">
        <v>400</v>
      </c>
      <c r="S68" s="5"/>
      <c r="T68" s="139"/>
      <c r="U68" s="140"/>
      <c r="V68" s="67"/>
      <c r="W68" s="144" t="s">
        <v>147</v>
      </c>
      <c r="X68" s="145" t="n">
        <v>150</v>
      </c>
      <c r="Y68" s="5"/>
      <c r="Z68" s="139"/>
      <c r="AA68" s="140"/>
      <c r="AB68" s="67"/>
      <c r="AC68" s="144" t="s">
        <v>147</v>
      </c>
      <c r="AD68" s="145" t="n">
        <v>0</v>
      </c>
      <c r="AE68" s="5"/>
      <c r="AF68" s="139"/>
      <c r="AG68" s="140"/>
      <c r="AH68" s="67"/>
      <c r="AI68" s="144" t="s">
        <v>147</v>
      </c>
      <c r="AJ68" s="145" t="n">
        <v>85</v>
      </c>
      <c r="AK68" s="5"/>
      <c r="AL68" s="139"/>
      <c r="AM68" s="140"/>
      <c r="AN68" s="67"/>
      <c r="AO68" s="144" t="s">
        <v>147</v>
      </c>
      <c r="AP68" s="145" t="n">
        <v>0</v>
      </c>
      <c r="AQ68" s="5"/>
      <c r="AR68" s="139"/>
      <c r="AS68" s="140"/>
      <c r="AT68" s="67"/>
      <c r="AU68" s="144" t="s">
        <v>147</v>
      </c>
      <c r="AV68" s="145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215.44</v>
      </c>
      <c r="G69" s="5"/>
      <c r="H69" s="135"/>
      <c r="I69" s="136"/>
      <c r="J69" s="42"/>
      <c r="K69" s="104" t="s">
        <v>148</v>
      </c>
      <c r="L69" s="146" t="n">
        <f aca="false">L68-L73</f>
        <v>128.81</v>
      </c>
      <c r="M69" s="5"/>
      <c r="N69" s="135"/>
      <c r="O69" s="136"/>
      <c r="P69" s="42"/>
      <c r="Q69" s="104" t="s">
        <v>148</v>
      </c>
      <c r="R69" s="146" t="n">
        <f aca="false">R68-R73</f>
        <v>344.44</v>
      </c>
      <c r="S69" s="5"/>
      <c r="T69" s="135"/>
      <c r="U69" s="136"/>
      <c r="V69" s="42"/>
      <c r="W69" s="104" t="s">
        <v>148</v>
      </c>
      <c r="X69" s="146" t="n">
        <f aca="false">X68-X73</f>
        <v>128.6</v>
      </c>
      <c r="Y69" s="5"/>
      <c r="Z69" s="135"/>
      <c r="AA69" s="136"/>
      <c r="AB69" s="42"/>
      <c r="AC69" s="104" t="s">
        <v>148</v>
      </c>
      <c r="AD69" s="146" t="n">
        <f aca="false">AD68-AD73</f>
        <v>-20.21</v>
      </c>
      <c r="AE69" s="5"/>
      <c r="AF69" s="135"/>
      <c r="AG69" s="136"/>
      <c r="AH69" s="42"/>
      <c r="AI69" s="104" t="s">
        <v>148</v>
      </c>
      <c r="AJ69" s="146" t="n">
        <f aca="false">AJ68-AJ73</f>
        <v>24.44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270.02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</f>
        <v>300</v>
      </c>
      <c r="G70" s="5"/>
      <c r="H70" s="139"/>
      <c r="I70" s="140"/>
      <c r="J70" s="67"/>
      <c r="K70" s="144" t="s">
        <v>149</v>
      </c>
      <c r="L70" s="145" t="n">
        <f aca="false">L68</f>
        <v>250</v>
      </c>
      <c r="M70" s="5"/>
      <c r="N70" s="139"/>
      <c r="O70" s="140"/>
      <c r="P70" s="67"/>
      <c r="Q70" s="144" t="s">
        <v>149</v>
      </c>
      <c r="R70" s="145" t="n">
        <f aca="false">R68</f>
        <v>400</v>
      </c>
      <c r="S70" s="5"/>
      <c r="T70" s="139"/>
      <c r="U70" s="140"/>
      <c r="V70" s="67"/>
      <c r="W70" s="144" t="s">
        <v>149</v>
      </c>
      <c r="X70" s="145" t="n">
        <f aca="false">X68</f>
        <v>150</v>
      </c>
      <c r="Y70" s="5"/>
      <c r="Z70" s="139"/>
      <c r="AA70" s="140"/>
      <c r="AB70" s="67"/>
      <c r="AC70" s="144" t="s">
        <v>149</v>
      </c>
      <c r="AD70" s="145" t="n">
        <f aca="false">AD68</f>
        <v>0</v>
      </c>
      <c r="AE70" s="5"/>
      <c r="AF70" s="139"/>
      <c r="AG70" s="140"/>
      <c r="AH70" s="67"/>
      <c r="AI70" s="144" t="s">
        <v>149</v>
      </c>
      <c r="AJ70" s="145" t="n">
        <f aca="false">AJ68</f>
        <v>85</v>
      </c>
      <c r="AK70" s="5"/>
      <c r="AL70" s="139"/>
      <c r="AM70" s="140"/>
      <c r="AN70" s="67"/>
      <c r="AO70" s="144" t="s">
        <v>149</v>
      </c>
      <c r="AP70" s="145" t="n">
        <f aca="false">AP68</f>
        <v>0</v>
      </c>
      <c r="AQ70" s="5"/>
      <c r="AR70" s="139"/>
      <c r="AS70" s="140"/>
      <c r="AT70" s="67"/>
      <c r="AU70" s="144" t="s">
        <v>149</v>
      </c>
      <c r="AV70" s="145" t="n">
        <f aca="false">AV68</f>
        <v>1370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F73</f>
        <v>84.56</v>
      </c>
      <c r="G71" s="5"/>
      <c r="H71" s="135"/>
      <c r="I71" s="136"/>
      <c r="J71" s="42"/>
      <c r="K71" s="104" t="s">
        <v>150</v>
      </c>
      <c r="L71" s="146" t="n">
        <f aca="false">L73</f>
        <v>121.19</v>
      </c>
      <c r="M71" s="5"/>
      <c r="N71" s="135"/>
      <c r="O71" s="136"/>
      <c r="P71" s="42"/>
      <c r="Q71" s="104" t="s">
        <v>150</v>
      </c>
      <c r="R71" s="146" t="n">
        <f aca="false">R73</f>
        <v>55.56</v>
      </c>
      <c r="S71" s="5"/>
      <c r="T71" s="135"/>
      <c r="U71" s="136"/>
      <c r="V71" s="42"/>
      <c r="W71" s="104" t="s">
        <v>150</v>
      </c>
      <c r="X71" s="146" t="n">
        <f aca="false">X73</f>
        <v>21.4</v>
      </c>
      <c r="Y71" s="5"/>
      <c r="Z71" s="135"/>
      <c r="AA71" s="136"/>
      <c r="AB71" s="42"/>
      <c r="AC71" s="104" t="s">
        <v>150</v>
      </c>
      <c r="AD71" s="146" t="n">
        <f aca="false">AD73</f>
        <v>20.21</v>
      </c>
      <c r="AE71" s="5"/>
      <c r="AF71" s="135"/>
      <c r="AG71" s="136"/>
      <c r="AH71" s="42"/>
      <c r="AI71" s="104" t="s">
        <v>150</v>
      </c>
      <c r="AJ71" s="146" t="n">
        <f aca="false">AJ73</f>
        <v>60.56</v>
      </c>
      <c r="AK71" s="5"/>
      <c r="AL71" s="135"/>
      <c r="AM71" s="136"/>
      <c r="AN71" s="42"/>
      <c r="AO71" s="104" t="s">
        <v>150</v>
      </c>
      <c r="AP71" s="146" t="n">
        <f aca="false">AP73</f>
        <v>0</v>
      </c>
      <c r="AQ71" s="5"/>
      <c r="AR71" s="135"/>
      <c r="AS71" s="136"/>
      <c r="AT71" s="42"/>
      <c r="AU71" s="104" t="s">
        <v>150</v>
      </c>
      <c r="AV71" s="146" t="n">
        <f aca="false">AV73</f>
        <v>1099.98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215.44</v>
      </c>
      <c r="G72" s="5"/>
      <c r="H72" s="139"/>
      <c r="I72" s="140"/>
      <c r="J72" s="67"/>
      <c r="K72" s="144" t="s">
        <v>151</v>
      </c>
      <c r="L72" s="145" t="n">
        <f aca="false">L70-L71</f>
        <v>128.81</v>
      </c>
      <c r="M72" s="5"/>
      <c r="N72" s="139"/>
      <c r="O72" s="140"/>
      <c r="P72" s="67"/>
      <c r="Q72" s="144" t="s">
        <v>151</v>
      </c>
      <c r="R72" s="145" t="n">
        <f aca="false">R70-R71</f>
        <v>344.44</v>
      </c>
      <c r="S72" s="5"/>
      <c r="T72" s="139"/>
      <c r="U72" s="140"/>
      <c r="V72" s="67"/>
      <c r="W72" s="144" t="s">
        <v>151</v>
      </c>
      <c r="X72" s="145" t="n">
        <f aca="false">X70-X71</f>
        <v>128.6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24.44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270.02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84.56</v>
      </c>
      <c r="G73" s="5"/>
      <c r="H73" s="147"/>
      <c r="I73" s="148"/>
      <c r="J73" s="149"/>
      <c r="K73" s="150" t="s">
        <v>110</v>
      </c>
      <c r="L73" s="151" t="n">
        <f aca="false">SUM(L19:L67)</f>
        <v>121.19</v>
      </c>
      <c r="M73" s="5"/>
      <c r="N73" s="147"/>
      <c r="O73" s="148"/>
      <c r="P73" s="149"/>
      <c r="Q73" s="150" t="s">
        <v>110</v>
      </c>
      <c r="R73" s="151" t="n">
        <f aca="false">SUM(R19:R67)</f>
        <v>55.56</v>
      </c>
      <c r="S73" s="5"/>
      <c r="T73" s="147"/>
      <c r="U73" s="148"/>
      <c r="V73" s="149"/>
      <c r="W73" s="150" t="s">
        <v>110</v>
      </c>
      <c r="X73" s="151" t="n">
        <f aca="false">SUM(X19:X67)</f>
        <v>21.4</v>
      </c>
      <c r="Y73" s="5"/>
      <c r="Z73" s="147"/>
      <c r="AA73" s="148"/>
      <c r="AB73" s="149"/>
      <c r="AC73" s="150" t="s">
        <v>110</v>
      </c>
      <c r="AD73" s="151" t="n">
        <f aca="false">SUM(AD19:AD67)</f>
        <v>20.21</v>
      </c>
      <c r="AE73" s="5"/>
      <c r="AF73" s="147"/>
      <c r="AG73" s="148"/>
      <c r="AH73" s="149"/>
      <c r="AI73" s="150" t="s">
        <v>110</v>
      </c>
      <c r="AJ73" s="151" t="n">
        <f aca="false">SUM(AJ19:AJ67)</f>
        <v>60.56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1099.98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J106" s="5"/>
      <c r="BK106" s="5"/>
      <c r="BL106" s="5"/>
      <c r="BM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J107" s="5"/>
      <c r="BK107" s="5"/>
      <c r="BL107" s="5"/>
      <c r="BM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J108" s="5"/>
      <c r="BK108" s="5"/>
      <c r="BL108" s="5"/>
      <c r="BM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J109" s="5"/>
      <c r="BK109" s="5"/>
      <c r="BL109" s="5"/>
      <c r="BM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J110" s="5"/>
      <c r="BK110" s="5"/>
      <c r="BL110" s="5"/>
      <c r="BM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J111" s="5"/>
      <c r="BK111" s="5"/>
      <c r="BL111" s="5"/>
      <c r="BM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J112" s="5"/>
      <c r="BK112" s="5"/>
      <c r="BL112" s="5"/>
      <c r="BM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AH25" activeCellId="0" sqref="AH25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86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12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3.14"/>
    <col collapsed="false" customWidth="true" hidden="false" outlineLevel="0" max="60" min="60" style="0" width="11.71"/>
    <col collapsed="false" customWidth="true" hidden="false" outlineLevel="0" max="61" min="61" style="0" width="10.85"/>
    <col collapsed="false" customWidth="true" hidden="false" outlineLevel="0" max="1024" min="1015" style="0" width="11.52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7.9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3000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100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 t="n">
        <v>43876</v>
      </c>
      <c r="E4" s="51" t="s">
        <v>29</v>
      </c>
      <c r="F4" s="52" t="n">
        <v>1500</v>
      </c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3000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36.666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 t="n">
        <v>2300</v>
      </c>
      <c r="AK4" s="37"/>
      <c r="AL4" s="37"/>
      <c r="AM4" s="37"/>
      <c r="AN4" s="37"/>
      <c r="AO4" s="62" t="s">
        <v>34</v>
      </c>
      <c r="AP4" s="63" t="n">
        <v>500</v>
      </c>
      <c r="AQ4" s="5"/>
      <c r="AR4" s="5"/>
      <c r="AS4" s="5"/>
      <c r="AT4" s="64" t="n">
        <f aca="false">AJ14-AP14</f>
        <v>48595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v>-0.0176625586854461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 t="n">
        <v>43889</v>
      </c>
      <c r="E5" s="67" t="s">
        <v>38</v>
      </c>
      <c r="F5" s="73" t="n">
        <v>1500</v>
      </c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 t="n">
        <v>3000</v>
      </c>
      <c r="AK5" s="37"/>
      <c r="AL5" s="37"/>
      <c r="AM5" s="37"/>
      <c r="AN5" s="37"/>
      <c r="AO5" s="76" t="s">
        <v>43</v>
      </c>
      <c r="AP5" s="77" t="n">
        <v>100</v>
      </c>
      <c r="AQ5" s="5"/>
      <c r="AR5" s="5"/>
      <c r="AS5" s="5"/>
      <c r="AT5" s="64" t="n">
        <f aca="false">AT3-AT4</f>
        <v>1201405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v>-0.0698368052615496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36.666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 t="n">
        <v>95</v>
      </c>
      <c r="AK6" s="37"/>
      <c r="AL6" s="37"/>
      <c r="AM6" s="37"/>
      <c r="AN6" s="37"/>
      <c r="AO6" s="62" t="s">
        <v>52</v>
      </c>
      <c r="AP6" s="63" t="n">
        <v>50</v>
      </c>
      <c r="AQ6" s="5"/>
      <c r="AR6" s="5"/>
      <c r="AS6" s="5"/>
      <c r="AT6" s="64" t="n">
        <f aca="false">P3-P7</f>
        <v>1900.02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v>0.135761889574121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1099.98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63.334</v>
      </c>
      <c r="AC7" s="34" t="s">
        <v>59</v>
      </c>
      <c r="AD7" s="153"/>
      <c r="AE7" s="5"/>
      <c r="AF7" s="5"/>
      <c r="AG7" s="5"/>
      <c r="AH7" s="5"/>
      <c r="AI7" s="74" t="s">
        <v>60</v>
      </c>
      <c r="AJ7" s="75" t="n">
        <v>15000</v>
      </c>
      <c r="AK7" s="37"/>
      <c r="AL7" s="37"/>
      <c r="AM7" s="37"/>
      <c r="AN7" s="37"/>
      <c r="AO7" s="76" t="s">
        <v>61</v>
      </c>
      <c r="AP7" s="77" t="n">
        <v>250</v>
      </c>
      <c r="AQ7" s="5"/>
      <c r="AR7" s="5"/>
      <c r="AS7" s="5"/>
      <c r="AT7" s="64" t="n">
        <f aca="false">AT6*1.05^15</f>
        <v>3950.00511944519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v>0.138729128396308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1900.02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700</v>
      </c>
      <c r="AC8" s="59" t="s">
        <v>68</v>
      </c>
      <c r="AD8" s="153"/>
      <c r="AE8" s="5"/>
      <c r="AF8" s="5"/>
      <c r="AG8" s="5"/>
      <c r="AH8" s="5"/>
      <c r="AI8" s="60" t="s">
        <v>69</v>
      </c>
      <c r="AJ8" s="61" t="n">
        <v>22100</v>
      </c>
      <c r="AK8" s="37"/>
      <c r="AL8" s="37"/>
      <c r="AM8" s="37"/>
      <c r="AN8" s="37"/>
      <c r="AO8" s="62"/>
      <c r="AP8" s="63"/>
      <c r="AQ8" s="5"/>
      <c r="AR8" s="5"/>
      <c r="AS8" s="5"/>
      <c r="AT8" s="81" t="n">
        <f aca="false">(AT9-(AT9-AT6))/(AT9-AT6)</f>
        <v>0.0303780380619194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v>0.082821064200771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48595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256.662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 t="n">
        <v>6000</v>
      </c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64445.8630240688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v>0.0616220467532467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Mar!P9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 t="n">
        <v>1000</v>
      </c>
      <c r="AK10" s="37"/>
      <c r="AL10" s="37"/>
      <c r="AM10" s="37"/>
      <c r="AN10" s="37"/>
      <c r="AO10" s="62"/>
      <c r="AP10" s="63"/>
      <c r="AQ10" s="5"/>
      <c r="AR10" s="5"/>
      <c r="AS10" s="5"/>
      <c r="AT10" s="85" t="n">
        <f aca="false">(AT3-AT9)/AT7</f>
        <v>300.139898842068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v>0.0624230263157896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-48595</v>
      </c>
      <c r="Q11" s="83" t="s">
        <v>91</v>
      </c>
      <c r="R11" s="84"/>
      <c r="S11" s="5"/>
      <c r="T11" s="5"/>
      <c r="U11" s="5"/>
      <c r="V11" s="86" t="n">
        <f aca="false">AV68-X11</f>
        <v>270.02</v>
      </c>
      <c r="W11" s="87" t="str">
        <f aca="false">AU18</f>
        <v>Recurring</v>
      </c>
      <c r="X11" s="88" t="n">
        <f aca="false">AV73</f>
        <v>1099.98</v>
      </c>
      <c r="Y11" s="5"/>
      <c r="Z11" s="5"/>
      <c r="AA11" s="5"/>
      <c r="AB11" s="33" t="n">
        <f aca="false">AB9+AB10</f>
        <v>256.662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n">
        <f aca="false">AT10/12</f>
        <v>25.011658236839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 t="s">
        <v>14</v>
      </c>
      <c r="BF11" s="22" t="s">
        <v>15</v>
      </c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n">
        <f aca="false">IFERROR((P10-P9)/P9,"TBD")</f>
        <v>-1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F7+Jan!X12</f>
        <v>5</v>
      </c>
      <c r="Y12" s="5"/>
      <c r="Z12" s="5"/>
      <c r="AA12" s="5"/>
      <c r="AB12" s="58" t="n">
        <f aca="false">AB8-AB11</f>
        <v>443.338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v>0.130433314575127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Jan!X13+P8</f>
        <v>3442.06</v>
      </c>
      <c r="Y13" s="5"/>
      <c r="Z13" s="5"/>
      <c r="AA13" s="5"/>
      <c r="AB13" s="98" t="n">
        <f aca="false">P8+Jan!AB13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v>0.149546426972255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3000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Jan!X14+P8+L14</f>
        <v>4242.06</v>
      </c>
      <c r="Y14" s="5"/>
      <c r="Z14" s="5"/>
      <c r="AA14" s="5"/>
      <c r="AB14" s="111" t="n">
        <f aca="false">Jan!AB14+P8+SUM(L4:L9)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49495</v>
      </c>
      <c r="AK14" s="115"/>
      <c r="AL14" s="115"/>
      <c r="AM14" s="115"/>
      <c r="AN14" s="115"/>
      <c r="AO14" s="116" t="s">
        <v>110</v>
      </c>
      <c r="AP14" s="117" t="n">
        <f aca="false">SUM(AP4:AP13)</f>
        <v>900</v>
      </c>
      <c r="AQ14" s="5"/>
      <c r="AR14" s="5"/>
      <c r="AS14" s="5"/>
      <c r="AT14" s="118" t="n">
        <f aca="false">AT12+AT11</f>
        <v>60.011658236839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v>0.23514809410029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v>0.448168174052551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v>0.531566743284157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 t="s">
        <v>130</v>
      </c>
      <c r="AT19" s="137" t="n">
        <v>43862</v>
      </c>
      <c r="AU19" s="42" t="s">
        <v>137</v>
      </c>
      <c r="AV19" s="138" t="n">
        <v>1000</v>
      </c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 t="s">
        <v>130</v>
      </c>
      <c r="AS20" s="140"/>
      <c r="AT20" s="141" t="n">
        <v>43871</v>
      </c>
      <c r="AU20" s="67" t="s">
        <v>142</v>
      </c>
      <c r="AV20" s="142" t="n">
        <v>35</v>
      </c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 t="s">
        <v>130</v>
      </c>
      <c r="AS21" s="136"/>
      <c r="AT21" s="137" t="n">
        <v>43886</v>
      </c>
      <c r="AU21" s="42" t="s">
        <v>144</v>
      </c>
      <c r="AV21" s="138" t="n">
        <v>45</v>
      </c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 t="s">
        <v>130</v>
      </c>
      <c r="AS22" s="140"/>
      <c r="AT22" s="141" t="n">
        <v>43873</v>
      </c>
      <c r="AU22" s="67" t="s">
        <v>145</v>
      </c>
      <c r="AV22" s="142" t="n">
        <v>9.99</v>
      </c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 t="s">
        <v>130</v>
      </c>
      <c r="AS23" s="136"/>
      <c r="AT23" s="137" t="n">
        <v>43871</v>
      </c>
      <c r="AU23" s="42" t="s">
        <v>146</v>
      </c>
      <c r="AV23" s="138" t="n">
        <v>9.99</v>
      </c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270.02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F68+Jan!F70</f>
        <v>600</v>
      </c>
      <c r="G70" s="5"/>
      <c r="H70" s="139"/>
      <c r="I70" s="140"/>
      <c r="J70" s="67"/>
      <c r="K70" s="144" t="s">
        <v>149</v>
      </c>
      <c r="L70" s="145" t="n">
        <f aca="false">L68+Jan!L70</f>
        <v>500</v>
      </c>
      <c r="M70" s="5"/>
      <c r="N70" s="139"/>
      <c r="O70" s="140"/>
      <c r="P70" s="67"/>
      <c r="Q70" s="144" t="s">
        <v>149</v>
      </c>
      <c r="R70" s="145" t="n">
        <f aca="false">R68+Jan!R70</f>
        <v>800</v>
      </c>
      <c r="S70" s="5"/>
      <c r="T70" s="139"/>
      <c r="U70" s="140"/>
      <c r="V70" s="67"/>
      <c r="W70" s="144" t="s">
        <v>149</v>
      </c>
      <c r="X70" s="145" t="n">
        <f aca="false">X68+Jan!X70</f>
        <v>300</v>
      </c>
      <c r="Y70" s="5"/>
      <c r="Z70" s="139"/>
      <c r="AA70" s="140"/>
      <c r="AB70" s="67"/>
      <c r="AC70" s="144" t="s">
        <v>149</v>
      </c>
      <c r="AD70" s="145" t="n">
        <f aca="false">AD68+Jan!AD70</f>
        <v>0</v>
      </c>
      <c r="AE70" s="5"/>
      <c r="AF70" s="139"/>
      <c r="AG70" s="140"/>
      <c r="AH70" s="67"/>
      <c r="AI70" s="144" t="s">
        <v>149</v>
      </c>
      <c r="AJ70" s="145" t="n">
        <f aca="false">AJ68+Jan!AJ70</f>
        <v>170</v>
      </c>
      <c r="AK70" s="5"/>
      <c r="AL70" s="139"/>
      <c r="AM70" s="140"/>
      <c r="AN70" s="67"/>
      <c r="AO70" s="144" t="s">
        <v>149</v>
      </c>
      <c r="AP70" s="145" t="n">
        <f aca="false">AP68+Jan!AP70</f>
        <v>0</v>
      </c>
      <c r="AQ70" s="5"/>
      <c r="AR70" s="139"/>
      <c r="AS70" s="140"/>
      <c r="AT70" s="67"/>
      <c r="AU70" s="144" t="s">
        <v>149</v>
      </c>
      <c r="AV70" s="145" t="n">
        <f aca="false">AV68+Jan!AV70</f>
        <v>2740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Jan!F71+F73</f>
        <v>84.56</v>
      </c>
      <c r="G71" s="5"/>
      <c r="H71" s="135"/>
      <c r="I71" s="136"/>
      <c r="J71" s="42"/>
      <c r="K71" s="104" t="s">
        <v>150</v>
      </c>
      <c r="L71" s="146" t="n">
        <f aca="false">Jan!L71+L73</f>
        <v>121.19</v>
      </c>
      <c r="M71" s="5"/>
      <c r="N71" s="135"/>
      <c r="O71" s="136"/>
      <c r="P71" s="42"/>
      <c r="Q71" s="104" t="s">
        <v>150</v>
      </c>
      <c r="R71" s="146" t="n">
        <f aca="false">Jan!R71+R73</f>
        <v>55.56</v>
      </c>
      <c r="S71" s="5"/>
      <c r="T71" s="135"/>
      <c r="U71" s="136"/>
      <c r="V71" s="42"/>
      <c r="W71" s="104" t="s">
        <v>150</v>
      </c>
      <c r="X71" s="146" t="n">
        <f aca="false">Jan!X71+X73</f>
        <v>21.4</v>
      </c>
      <c r="Y71" s="5"/>
      <c r="Z71" s="135"/>
      <c r="AA71" s="136"/>
      <c r="AB71" s="42"/>
      <c r="AC71" s="104" t="s">
        <v>150</v>
      </c>
      <c r="AD71" s="146" t="n">
        <f aca="false">Jan!AD71+AD73</f>
        <v>20.21</v>
      </c>
      <c r="AE71" s="5"/>
      <c r="AF71" s="135"/>
      <c r="AG71" s="136"/>
      <c r="AH71" s="42"/>
      <c r="AI71" s="104" t="s">
        <v>150</v>
      </c>
      <c r="AJ71" s="146" t="n">
        <f aca="false">Jan!AJ71+AJ73</f>
        <v>60.56</v>
      </c>
      <c r="AK71" s="5"/>
      <c r="AL71" s="135"/>
      <c r="AM71" s="136"/>
      <c r="AN71" s="42"/>
      <c r="AO71" s="104" t="s">
        <v>150</v>
      </c>
      <c r="AP71" s="146" t="n">
        <f aca="false">Jan!AP73+AP73</f>
        <v>0</v>
      </c>
      <c r="AQ71" s="5"/>
      <c r="AR71" s="135"/>
      <c r="AS71" s="136"/>
      <c r="AT71" s="42"/>
      <c r="AU71" s="104" t="s">
        <v>150</v>
      </c>
      <c r="AV71" s="146" t="n">
        <f aca="false">Jan!AV71+AV73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515.44</v>
      </c>
      <c r="G72" s="5"/>
      <c r="H72" s="139"/>
      <c r="I72" s="140"/>
      <c r="J72" s="67"/>
      <c r="K72" s="144" t="s">
        <v>151</v>
      </c>
      <c r="L72" s="145" t="n">
        <f aca="false">L70-L71</f>
        <v>378.81</v>
      </c>
      <c r="M72" s="5"/>
      <c r="N72" s="139"/>
      <c r="O72" s="140"/>
      <c r="P72" s="67"/>
      <c r="Q72" s="144" t="s">
        <v>151</v>
      </c>
      <c r="R72" s="145" t="n">
        <f aca="false">R70-R71</f>
        <v>744.44</v>
      </c>
      <c r="S72" s="5"/>
      <c r="T72" s="139"/>
      <c r="U72" s="140"/>
      <c r="V72" s="67"/>
      <c r="W72" s="144" t="s">
        <v>151</v>
      </c>
      <c r="X72" s="145" t="n">
        <f aca="false">X70-X71</f>
        <v>278.6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109.44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540.04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1099.98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2">
      <formula>0</formula>
    </cfRule>
    <cfRule type="cellIs" priority="3" operator="greaterThan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J10" activeCellId="0" sqref="AJ10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1.42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3.14"/>
    <col collapsed="false" customWidth="true" hidden="false" outlineLevel="0" max="60" min="60" style="0" width="11.71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0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v>-0.088836274764253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1250000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v>-0.0984400555836797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v>0.0285686518244552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v>0.0474364456588757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e">
        <f aca="false">(AT9-(AT9-AT6))/(AT9-AT6)</f>
        <v>#DIV/0!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v>-0.0160350792314058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0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0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v>0.0682503685393259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Apr!P9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v>0.0596617795454546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0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 t="s">
        <v>14</v>
      </c>
      <c r="BF11" s="22" t="s">
        <v>15</v>
      </c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str">
        <f aca="false">IFERROR((P10-P9)/P9,"TBD")</f>
        <v>TBD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F7+Feb!X12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v>0.0439448508722566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Feb!X13+P8</f>
        <v>3442.06</v>
      </c>
      <c r="Y13" s="5"/>
      <c r="Z13" s="5"/>
      <c r="AA13" s="5"/>
      <c r="AB13" s="98" t="n">
        <f aca="false">P8+Feb!AB13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v>0.108774606544056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Feb!X14+P8+L14</f>
        <v>4242.06</v>
      </c>
      <c r="Y14" s="5"/>
      <c r="Z14" s="5"/>
      <c r="AA14" s="5"/>
      <c r="AB14" s="111" t="n">
        <f aca="false">Feb!AB14+P8+SUM(L4:L9)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0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v>0.148360300838692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v>0.331186048362899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v>0.409056389797386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/>
      <c r="AS22" s="140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F68+Feb!F70</f>
        <v>900</v>
      </c>
      <c r="G70" s="5"/>
      <c r="H70" s="139"/>
      <c r="I70" s="140"/>
      <c r="J70" s="67"/>
      <c r="K70" s="144" t="s">
        <v>149</v>
      </c>
      <c r="L70" s="145" t="n">
        <f aca="false">L68+Feb!L70</f>
        <v>750</v>
      </c>
      <c r="M70" s="5"/>
      <c r="N70" s="139"/>
      <c r="O70" s="140"/>
      <c r="P70" s="67"/>
      <c r="Q70" s="144" t="s">
        <v>149</v>
      </c>
      <c r="R70" s="145" t="n">
        <f aca="false">R68+Feb!R70</f>
        <v>1200</v>
      </c>
      <c r="S70" s="5"/>
      <c r="T70" s="139"/>
      <c r="U70" s="140"/>
      <c r="V70" s="67"/>
      <c r="W70" s="144" t="s">
        <v>149</v>
      </c>
      <c r="X70" s="145" t="n">
        <f aca="false">X68+Feb!X70</f>
        <v>450</v>
      </c>
      <c r="Y70" s="5"/>
      <c r="Z70" s="139"/>
      <c r="AA70" s="140"/>
      <c r="AB70" s="67"/>
      <c r="AC70" s="144" t="s">
        <v>149</v>
      </c>
      <c r="AD70" s="145" t="n">
        <f aca="false">AD68+Feb!AD70</f>
        <v>0</v>
      </c>
      <c r="AE70" s="5"/>
      <c r="AF70" s="139"/>
      <c r="AG70" s="140"/>
      <c r="AH70" s="67"/>
      <c r="AI70" s="144" t="s">
        <v>149</v>
      </c>
      <c r="AJ70" s="145" t="n">
        <f aca="false">AJ68+Feb!AJ70</f>
        <v>255</v>
      </c>
      <c r="AK70" s="5"/>
      <c r="AL70" s="139"/>
      <c r="AM70" s="140"/>
      <c r="AN70" s="67"/>
      <c r="AO70" s="144" t="s">
        <v>149</v>
      </c>
      <c r="AP70" s="145" t="n">
        <f aca="false">AP68+Feb!AP70</f>
        <v>0</v>
      </c>
      <c r="AQ70" s="5"/>
      <c r="AR70" s="139"/>
      <c r="AS70" s="140"/>
      <c r="AT70" s="67"/>
      <c r="AU70" s="144" t="s">
        <v>149</v>
      </c>
      <c r="AV70" s="145" t="n">
        <f aca="false">AV68+Feb!AV70</f>
        <v>4110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Feb!F71+F73</f>
        <v>84.56</v>
      </c>
      <c r="G71" s="5"/>
      <c r="H71" s="135"/>
      <c r="I71" s="136"/>
      <c r="J71" s="42"/>
      <c r="K71" s="104" t="s">
        <v>150</v>
      </c>
      <c r="L71" s="146" t="n">
        <f aca="false">Feb!L71+L73</f>
        <v>121.19</v>
      </c>
      <c r="M71" s="5"/>
      <c r="N71" s="135"/>
      <c r="O71" s="136"/>
      <c r="P71" s="42"/>
      <c r="Q71" s="104" t="s">
        <v>150</v>
      </c>
      <c r="R71" s="146" t="n">
        <f aca="false">Feb!R71+R73</f>
        <v>55.56</v>
      </c>
      <c r="S71" s="5"/>
      <c r="T71" s="135"/>
      <c r="U71" s="136"/>
      <c r="V71" s="42"/>
      <c r="W71" s="104" t="s">
        <v>150</v>
      </c>
      <c r="X71" s="146" t="n">
        <f aca="false">Feb!X71+X73</f>
        <v>21.4</v>
      </c>
      <c r="Y71" s="5"/>
      <c r="Z71" s="135"/>
      <c r="AA71" s="136"/>
      <c r="AB71" s="42"/>
      <c r="AC71" s="104" t="s">
        <v>150</v>
      </c>
      <c r="AD71" s="146" t="n">
        <f aca="false">Feb!AD71+AD73</f>
        <v>20.21</v>
      </c>
      <c r="AE71" s="5"/>
      <c r="AF71" s="135"/>
      <c r="AG71" s="136"/>
      <c r="AH71" s="42"/>
      <c r="AI71" s="104" t="s">
        <v>150</v>
      </c>
      <c r="AJ71" s="146" t="n">
        <f aca="false">Feb!AJ71+AJ73</f>
        <v>60.56</v>
      </c>
      <c r="AK71" s="5"/>
      <c r="AL71" s="135"/>
      <c r="AM71" s="136"/>
      <c r="AN71" s="42"/>
      <c r="AO71" s="104" t="s">
        <v>150</v>
      </c>
      <c r="AP71" s="146" t="n">
        <f aca="false">Feb!AP71+AP73</f>
        <v>0</v>
      </c>
      <c r="AQ71" s="5"/>
      <c r="AR71" s="135"/>
      <c r="AS71" s="136"/>
      <c r="AT71" s="42"/>
      <c r="AU71" s="104" t="s">
        <v>150</v>
      </c>
      <c r="AV71" s="146" t="n">
        <f aca="false">Feb!AV71+AV73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815.44</v>
      </c>
      <c r="G72" s="5"/>
      <c r="H72" s="139"/>
      <c r="I72" s="140"/>
      <c r="J72" s="67"/>
      <c r="K72" s="144" t="s">
        <v>151</v>
      </c>
      <c r="L72" s="145" t="n">
        <f aca="false">L70-L71</f>
        <v>628.81</v>
      </c>
      <c r="M72" s="5"/>
      <c r="N72" s="139"/>
      <c r="O72" s="140"/>
      <c r="P72" s="67"/>
      <c r="Q72" s="144" t="s">
        <v>151</v>
      </c>
      <c r="R72" s="145" t="n">
        <f aca="false">R70-R71</f>
        <v>1144.44</v>
      </c>
      <c r="S72" s="5"/>
      <c r="T72" s="139"/>
      <c r="U72" s="140"/>
      <c r="V72" s="67"/>
      <c r="W72" s="144" t="s">
        <v>151</v>
      </c>
      <c r="X72" s="145" t="n">
        <f aca="false">X70-X71</f>
        <v>428.6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194.44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1910.04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4">
      <formula>0</formula>
    </cfRule>
    <cfRule type="cellIs" priority="3" operator="greaterThan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F38" activeCellId="0" sqref="BF38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12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2.42"/>
    <col collapsed="false" customWidth="true" hidden="false" outlineLevel="0" max="60" min="60" style="0" width="11.71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153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153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0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v>-0.235562863849765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1250000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v>-0.262284362793643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v>-0.158498062099566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v>-0.155411369952536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e">
        <f aca="false">(AT9-(AT9-AT6))/(AT9-AT6)</f>
        <v>#DIV/0!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v>-0.22979895754958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0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0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v>0.0691646545454545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May!P9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v>0.0416815789473685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152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0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 t="s">
        <v>14</v>
      </c>
      <c r="BF11" s="22" t="s">
        <v>15</v>
      </c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str">
        <f aca="false">IFERROR((P10-P9)/P9,"TBD")</f>
        <v>TBD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F7+Mar!X12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v>-0.140934158694429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Mar!X13+P8</f>
        <v>3442.06</v>
      </c>
      <c r="Y13" s="5"/>
      <c r="Z13" s="5"/>
      <c r="AA13" s="5"/>
      <c r="AB13" s="98" t="n">
        <f aca="false">P8+Mar!AB13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v>-0.0998512413141179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Mar!X14+P8+L14</f>
        <v>4242.06</v>
      </c>
      <c r="Y14" s="5"/>
      <c r="Z14" s="5"/>
      <c r="AA14" s="5"/>
      <c r="AB14" s="111" t="n">
        <f aca="false">Mar!AB14+P8+SUM(L4:L9)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0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v>-0.154870988951074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v>0.127493126442835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v>0.17227796960277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/>
      <c r="AS22" s="140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F68+Mar!F70</f>
        <v>1200</v>
      </c>
      <c r="G70" s="5"/>
      <c r="H70" s="139"/>
      <c r="I70" s="140"/>
      <c r="J70" s="67"/>
      <c r="K70" s="144" t="s">
        <v>149</v>
      </c>
      <c r="L70" s="145" t="n">
        <f aca="false">L68+Mar!L70</f>
        <v>1000</v>
      </c>
      <c r="M70" s="5"/>
      <c r="N70" s="139"/>
      <c r="O70" s="140"/>
      <c r="P70" s="67"/>
      <c r="Q70" s="144" t="s">
        <v>149</v>
      </c>
      <c r="R70" s="145" t="n">
        <f aca="false">R68+Mar!R70</f>
        <v>1600</v>
      </c>
      <c r="S70" s="5"/>
      <c r="T70" s="139"/>
      <c r="U70" s="140"/>
      <c r="V70" s="67"/>
      <c r="W70" s="144" t="s">
        <v>149</v>
      </c>
      <c r="X70" s="145" t="n">
        <f aca="false">X68+Mar!X70</f>
        <v>600</v>
      </c>
      <c r="Y70" s="5"/>
      <c r="Z70" s="139"/>
      <c r="AA70" s="140"/>
      <c r="AB70" s="67"/>
      <c r="AC70" s="144" t="s">
        <v>149</v>
      </c>
      <c r="AD70" s="145" t="n">
        <f aca="false">AD68+Mar!AD70</f>
        <v>0</v>
      </c>
      <c r="AE70" s="5"/>
      <c r="AF70" s="139"/>
      <c r="AG70" s="140"/>
      <c r="AH70" s="67"/>
      <c r="AI70" s="144" t="s">
        <v>149</v>
      </c>
      <c r="AJ70" s="145" t="n">
        <f aca="false">AJ68+Mar!AJ70</f>
        <v>340</v>
      </c>
      <c r="AK70" s="5"/>
      <c r="AL70" s="139"/>
      <c r="AM70" s="140"/>
      <c r="AN70" s="67"/>
      <c r="AO70" s="144" t="s">
        <v>149</v>
      </c>
      <c r="AP70" s="145" t="n">
        <f aca="false">AP68+Mar!AP70</f>
        <v>0</v>
      </c>
      <c r="AQ70" s="5"/>
      <c r="AR70" s="139"/>
      <c r="AS70" s="140"/>
      <c r="AT70" s="67"/>
      <c r="AU70" s="144" t="s">
        <v>149</v>
      </c>
      <c r="AV70" s="145" t="n">
        <f aca="false">AV68+Mar!AV70</f>
        <v>5480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Mar!F71+F73</f>
        <v>84.56</v>
      </c>
      <c r="G71" s="5"/>
      <c r="H71" s="135"/>
      <c r="I71" s="136"/>
      <c r="J71" s="42"/>
      <c r="K71" s="104" t="s">
        <v>150</v>
      </c>
      <c r="L71" s="146" t="n">
        <f aca="false">Mar!L71+L73</f>
        <v>121.19</v>
      </c>
      <c r="M71" s="5"/>
      <c r="N71" s="135"/>
      <c r="O71" s="136"/>
      <c r="P71" s="42"/>
      <c r="Q71" s="104" t="s">
        <v>150</v>
      </c>
      <c r="R71" s="146" t="n">
        <f aca="false">Mar!R71+R73</f>
        <v>55.56</v>
      </c>
      <c r="S71" s="5"/>
      <c r="T71" s="135"/>
      <c r="U71" s="136"/>
      <c r="V71" s="42"/>
      <c r="W71" s="104" t="s">
        <v>150</v>
      </c>
      <c r="X71" s="146" t="n">
        <f aca="false">Mar!X71+X73</f>
        <v>21.4</v>
      </c>
      <c r="Y71" s="5"/>
      <c r="Z71" s="135"/>
      <c r="AA71" s="136"/>
      <c r="AB71" s="42"/>
      <c r="AC71" s="104" t="s">
        <v>150</v>
      </c>
      <c r="AD71" s="146" t="n">
        <f aca="false">Mar!AD71+AD73</f>
        <v>20.21</v>
      </c>
      <c r="AE71" s="5"/>
      <c r="AF71" s="135"/>
      <c r="AG71" s="136"/>
      <c r="AH71" s="42"/>
      <c r="AI71" s="104" t="s">
        <v>150</v>
      </c>
      <c r="AJ71" s="146" t="n">
        <f aca="false">Mar!AJ71+AJ73</f>
        <v>60.56</v>
      </c>
      <c r="AK71" s="5"/>
      <c r="AL71" s="135"/>
      <c r="AM71" s="136"/>
      <c r="AN71" s="42"/>
      <c r="AO71" s="104" t="s">
        <v>150</v>
      </c>
      <c r="AP71" s="146" t="n">
        <f aca="false">Mar!AP71+AP73</f>
        <v>0</v>
      </c>
      <c r="AQ71" s="5"/>
      <c r="AR71" s="135"/>
      <c r="AS71" s="136"/>
      <c r="AT71" s="42"/>
      <c r="AU71" s="104" t="s">
        <v>150</v>
      </c>
      <c r="AV71" s="146" t="n">
        <f aca="false">Mar!AV71+AV73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1115.44</v>
      </c>
      <c r="G72" s="5"/>
      <c r="H72" s="139"/>
      <c r="I72" s="140"/>
      <c r="J72" s="67"/>
      <c r="K72" s="144" t="s">
        <v>151</v>
      </c>
      <c r="L72" s="145" t="n">
        <f aca="false">L70-L71</f>
        <v>878.81</v>
      </c>
      <c r="M72" s="5"/>
      <c r="N72" s="139"/>
      <c r="O72" s="140"/>
      <c r="P72" s="67"/>
      <c r="Q72" s="144" t="s">
        <v>151</v>
      </c>
      <c r="R72" s="145" t="n">
        <f aca="false">R70-R71</f>
        <v>1544.44</v>
      </c>
      <c r="S72" s="5"/>
      <c r="T72" s="139"/>
      <c r="U72" s="140"/>
      <c r="V72" s="67"/>
      <c r="W72" s="144" t="s">
        <v>151</v>
      </c>
      <c r="X72" s="145" t="n">
        <f aca="false">X70-X71</f>
        <v>578.6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279.44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3280.04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6">
      <formula>0</formula>
    </cfRule>
    <cfRule type="cellIs" priority="3" operator="greaterThan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AD2" activeCellId="0" sqref="AD2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3.02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85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3.14"/>
    <col collapsed="false" customWidth="true" hidden="false" outlineLevel="0" max="60" min="60" style="0" width="11.71"/>
    <col collapsed="false" customWidth="true" hidden="false" outlineLevel="0" max="61" min="61" style="0" width="11.42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7.3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153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0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f aca="false">(BG4-BF4)/BF4</f>
        <v>0.0953846153846154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153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1250000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f aca="false">(BG5-BF5)/BF5</f>
        <v>-0.0105263157894737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f aca="false">(BG6-BF6)/BF6</f>
        <v>0.10715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f aca="false">(BG7-BF7)/BF7</f>
        <v>0.127739130434783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e">
        <f aca="false">(AT9-(AT9-AT6))/(AT9-AT6)</f>
        <v>#DIV/0!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f aca="false">(BG8-BF8)/BF8</f>
        <v>0.135285714285714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0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0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f aca="false">(BG9-BF9)/BF9</f>
        <v>0.0653846153846154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Jun!P9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f aca="false">(BG10-BF10)/BF10</f>
        <v>0.079047619047619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0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 t="s">
        <v>14</v>
      </c>
      <c r="BF11" s="22" t="s">
        <v>15</v>
      </c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str">
        <f aca="false">IFERROR((P10-P9)/P9,"TBD")</f>
        <v>TBD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F7+Apr!X12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f aca="false">(BG12-BF12)/BF12</f>
        <v>0.0576190476190477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Apr!X13+P8</f>
        <v>3442.06</v>
      </c>
      <c r="Y13" s="5"/>
      <c r="Z13" s="5"/>
      <c r="AA13" s="5"/>
      <c r="AB13" s="98" t="n">
        <f aca="false">P8+Apr!AB13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f aca="false">(BG13-BF13)/BF13</f>
        <v>-0.0102173913043478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Apr!X14+P8+L14</f>
        <v>4242.06</v>
      </c>
      <c r="Y14" s="5"/>
      <c r="Z14" s="5"/>
      <c r="AA14" s="5"/>
      <c r="AB14" s="111" t="n">
        <f aca="false">Apr!AB14+P8+SUM(L4:L9)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0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f aca="false">(BG14-BF14)/BF14</f>
        <v>0.0788235294117647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f aca="false">(BG15-BF15)/BF15</f>
        <v>0.19368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f aca="false">(BG16-BF16)/BF16</f>
        <v>0.178428571428571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154"/>
      <c r="AJ22" s="142"/>
      <c r="AK22" s="5"/>
      <c r="AL22" s="139"/>
      <c r="AM22" s="140"/>
      <c r="AN22" s="141"/>
      <c r="AO22" s="67"/>
      <c r="AP22" s="142"/>
      <c r="AQ22" s="5"/>
      <c r="AR22" s="139"/>
      <c r="AS22" s="140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F68+Apr!F70</f>
        <v>1500</v>
      </c>
      <c r="G70" s="5"/>
      <c r="H70" s="139"/>
      <c r="I70" s="140"/>
      <c r="J70" s="67"/>
      <c r="K70" s="144" t="s">
        <v>149</v>
      </c>
      <c r="L70" s="145" t="n">
        <f aca="false">L68+Apr!L70</f>
        <v>1250</v>
      </c>
      <c r="M70" s="5"/>
      <c r="N70" s="139"/>
      <c r="O70" s="140"/>
      <c r="P70" s="67"/>
      <c r="Q70" s="144" t="s">
        <v>149</v>
      </c>
      <c r="R70" s="145" t="n">
        <f aca="false">R68+Apr!R70</f>
        <v>2000</v>
      </c>
      <c r="S70" s="5"/>
      <c r="T70" s="139"/>
      <c r="U70" s="140"/>
      <c r="V70" s="67"/>
      <c r="W70" s="144" t="s">
        <v>149</v>
      </c>
      <c r="X70" s="145" t="n">
        <f aca="false">X68+Apr!X70</f>
        <v>750</v>
      </c>
      <c r="Y70" s="5"/>
      <c r="Z70" s="139"/>
      <c r="AA70" s="140"/>
      <c r="AB70" s="67"/>
      <c r="AC70" s="144" t="s">
        <v>149</v>
      </c>
      <c r="AD70" s="145" t="n">
        <f aca="false">AD68+Apr!AD70</f>
        <v>0</v>
      </c>
      <c r="AE70" s="5"/>
      <c r="AF70" s="139"/>
      <c r="AG70" s="140"/>
      <c r="AH70" s="67"/>
      <c r="AI70" s="144" t="s">
        <v>149</v>
      </c>
      <c r="AJ70" s="145" t="n">
        <f aca="false">AJ68+Apr!AJ70</f>
        <v>425</v>
      </c>
      <c r="AK70" s="5"/>
      <c r="AL70" s="139"/>
      <c r="AM70" s="140"/>
      <c r="AN70" s="67"/>
      <c r="AO70" s="144" t="s">
        <v>149</v>
      </c>
      <c r="AP70" s="145" t="n">
        <f aca="false">AP68+Apr!AP70</f>
        <v>0</v>
      </c>
      <c r="AQ70" s="5"/>
      <c r="AR70" s="139"/>
      <c r="AS70" s="140"/>
      <c r="AT70" s="67"/>
      <c r="AU70" s="144" t="s">
        <v>149</v>
      </c>
      <c r="AV70" s="145" t="n">
        <f aca="false">AV68+Apr!AV70</f>
        <v>6850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Apr!F71+F73</f>
        <v>84.56</v>
      </c>
      <c r="G71" s="5"/>
      <c r="H71" s="135"/>
      <c r="I71" s="136"/>
      <c r="J71" s="42"/>
      <c r="K71" s="104" t="s">
        <v>150</v>
      </c>
      <c r="L71" s="146" t="n">
        <f aca="false">Apr!L71+L73</f>
        <v>121.19</v>
      </c>
      <c r="M71" s="5"/>
      <c r="N71" s="135"/>
      <c r="O71" s="136"/>
      <c r="P71" s="42"/>
      <c r="Q71" s="104" t="s">
        <v>150</v>
      </c>
      <c r="R71" s="146" t="n">
        <f aca="false">Apr!R71+R73</f>
        <v>55.56</v>
      </c>
      <c r="S71" s="5"/>
      <c r="T71" s="135"/>
      <c r="U71" s="136"/>
      <c r="V71" s="42"/>
      <c r="W71" s="104" t="s">
        <v>150</v>
      </c>
      <c r="X71" s="146" t="n">
        <f aca="false">Apr!X71+X73</f>
        <v>21.4</v>
      </c>
      <c r="Y71" s="5"/>
      <c r="Z71" s="135"/>
      <c r="AA71" s="136"/>
      <c r="AB71" s="42"/>
      <c r="AC71" s="104" t="s">
        <v>150</v>
      </c>
      <c r="AD71" s="146" t="n">
        <f aca="false">Apr!AD71+AD73</f>
        <v>20.21</v>
      </c>
      <c r="AE71" s="5"/>
      <c r="AF71" s="135"/>
      <c r="AG71" s="136"/>
      <c r="AH71" s="42"/>
      <c r="AI71" s="104" t="s">
        <v>150</v>
      </c>
      <c r="AJ71" s="146" t="n">
        <f aca="false">Apr!AJ71+AJ73</f>
        <v>60.56</v>
      </c>
      <c r="AK71" s="5"/>
      <c r="AL71" s="135"/>
      <c r="AM71" s="136"/>
      <c r="AN71" s="42"/>
      <c r="AO71" s="104" t="s">
        <v>150</v>
      </c>
      <c r="AP71" s="146" t="n">
        <f aca="false">Apr!AP71+AP73</f>
        <v>0</v>
      </c>
      <c r="AQ71" s="5"/>
      <c r="AR71" s="135"/>
      <c r="AS71" s="136"/>
      <c r="AT71" s="42"/>
      <c r="AU71" s="104" t="s">
        <v>150</v>
      </c>
      <c r="AV71" s="146" t="n">
        <f aca="false">Apr!AV71+AV73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1415.44</v>
      </c>
      <c r="G72" s="5"/>
      <c r="H72" s="139"/>
      <c r="I72" s="140"/>
      <c r="J72" s="67"/>
      <c r="K72" s="144" t="s">
        <v>151</v>
      </c>
      <c r="L72" s="145" t="n">
        <f aca="false">L70-L71</f>
        <v>1128.81</v>
      </c>
      <c r="M72" s="5"/>
      <c r="N72" s="139"/>
      <c r="O72" s="140"/>
      <c r="P72" s="67"/>
      <c r="Q72" s="144" t="s">
        <v>151</v>
      </c>
      <c r="R72" s="145" t="n">
        <f aca="false">R70-R71</f>
        <v>1944.44</v>
      </c>
      <c r="S72" s="5"/>
      <c r="T72" s="139"/>
      <c r="U72" s="140"/>
      <c r="V72" s="67"/>
      <c r="W72" s="144" t="s">
        <v>151</v>
      </c>
      <c r="X72" s="145" t="n">
        <f aca="false">X70-X71</f>
        <v>728.6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364.44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4650.04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8">
      <formula>0</formula>
    </cfRule>
    <cfRule type="cellIs" priority="3" operator="greaterThan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U23" activeCellId="0" sqref="AU23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1.71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3.14"/>
    <col collapsed="false" customWidth="true" hidden="false" outlineLevel="0" max="60" min="60" style="0" width="11.71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0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v>-0.128981962107449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1250000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v>-0.169657956518342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v>0.0236012055099433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v>-0.0661595388454529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e">
        <f aca="false">(AT9-(AT9-AT6))/(AT9-AT6)</f>
        <v>#DIV/0!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v>-0.0534429261206653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0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0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v>0.0794655955056182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Jul!P9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v>0.048695034090909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0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 t="s">
        <v>14</v>
      </c>
      <c r="BF11" s="22" t="s">
        <v>15</v>
      </c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str">
        <f aca="false">IFERROR((P10-P9)/P9,"TBD")</f>
        <v>TBD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F7+May!X12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v>-0.00366347777152504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May!X13+P8</f>
        <v>3442.06</v>
      </c>
      <c r="Y13" s="5"/>
      <c r="Z13" s="5"/>
      <c r="AA13" s="5"/>
      <c r="AB13" s="98" t="n">
        <f aca="false">P8+May!AB13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v>0.022305510870827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May!X14+P8+L14</f>
        <v>4242.06</v>
      </c>
      <c r="Y14" s="5"/>
      <c r="Z14" s="5"/>
      <c r="AA14" s="5"/>
      <c r="AB14" s="111" t="n">
        <f aca="false">May!AB14+P8+SUM(L4:L9)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0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v>0.0181786109462949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v>0.370425027708549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v>0.439683978169078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/>
      <c r="AS22" s="140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F68+May!F70</f>
        <v>1800</v>
      </c>
      <c r="G70" s="5"/>
      <c r="H70" s="139"/>
      <c r="I70" s="140"/>
      <c r="J70" s="67"/>
      <c r="K70" s="144" t="s">
        <v>149</v>
      </c>
      <c r="L70" s="145" t="n">
        <f aca="false">L68+May!L70</f>
        <v>1500</v>
      </c>
      <c r="M70" s="5"/>
      <c r="N70" s="139"/>
      <c r="O70" s="140"/>
      <c r="P70" s="67"/>
      <c r="Q70" s="144" t="s">
        <v>149</v>
      </c>
      <c r="R70" s="145" t="n">
        <f aca="false">R68+May!R70</f>
        <v>2400</v>
      </c>
      <c r="S70" s="5"/>
      <c r="T70" s="139"/>
      <c r="U70" s="140"/>
      <c r="V70" s="67"/>
      <c r="W70" s="144" t="s">
        <v>149</v>
      </c>
      <c r="X70" s="145" t="n">
        <f aca="false">X68+May!X70</f>
        <v>900</v>
      </c>
      <c r="Y70" s="5"/>
      <c r="Z70" s="139"/>
      <c r="AA70" s="140"/>
      <c r="AB70" s="67"/>
      <c r="AC70" s="144" t="s">
        <v>149</v>
      </c>
      <c r="AD70" s="145" t="n">
        <f aca="false">AD68+May!AD70</f>
        <v>0</v>
      </c>
      <c r="AE70" s="5"/>
      <c r="AF70" s="139"/>
      <c r="AG70" s="140"/>
      <c r="AH70" s="67"/>
      <c r="AI70" s="144" t="s">
        <v>149</v>
      </c>
      <c r="AJ70" s="145" t="n">
        <f aca="false">AJ68+May!AJ70</f>
        <v>510</v>
      </c>
      <c r="AK70" s="5"/>
      <c r="AL70" s="139"/>
      <c r="AM70" s="140"/>
      <c r="AN70" s="67"/>
      <c r="AO70" s="144" t="s">
        <v>149</v>
      </c>
      <c r="AP70" s="145" t="n">
        <f aca="false">AP68+May!AP70</f>
        <v>0</v>
      </c>
      <c r="AQ70" s="5"/>
      <c r="AR70" s="139"/>
      <c r="AS70" s="140"/>
      <c r="AT70" s="67"/>
      <c r="AU70" s="144" t="s">
        <v>149</v>
      </c>
      <c r="AV70" s="145" t="n">
        <f aca="false">AV68+May!AV70</f>
        <v>8220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May!F71+F73</f>
        <v>84.56</v>
      </c>
      <c r="G71" s="5"/>
      <c r="H71" s="135"/>
      <c r="I71" s="136"/>
      <c r="J71" s="42"/>
      <c r="K71" s="104" t="s">
        <v>150</v>
      </c>
      <c r="L71" s="146" t="n">
        <f aca="false">May!L71+L73</f>
        <v>121.19</v>
      </c>
      <c r="M71" s="5"/>
      <c r="N71" s="135"/>
      <c r="O71" s="136"/>
      <c r="P71" s="42"/>
      <c r="Q71" s="104" t="s">
        <v>150</v>
      </c>
      <c r="R71" s="146" t="n">
        <f aca="false">May!R71+R73</f>
        <v>55.56</v>
      </c>
      <c r="S71" s="5"/>
      <c r="T71" s="135"/>
      <c r="U71" s="136"/>
      <c r="V71" s="42"/>
      <c r="W71" s="104" t="s">
        <v>150</v>
      </c>
      <c r="X71" s="146" t="n">
        <f aca="false">May!X71+X73</f>
        <v>21.4</v>
      </c>
      <c r="Y71" s="5"/>
      <c r="Z71" s="135"/>
      <c r="AA71" s="136"/>
      <c r="AB71" s="42"/>
      <c r="AC71" s="104" t="s">
        <v>150</v>
      </c>
      <c r="AD71" s="146" t="n">
        <f aca="false">May!AD71+AD73</f>
        <v>20.21</v>
      </c>
      <c r="AE71" s="5"/>
      <c r="AF71" s="135"/>
      <c r="AG71" s="136"/>
      <c r="AH71" s="42"/>
      <c r="AI71" s="104" t="s">
        <v>150</v>
      </c>
      <c r="AJ71" s="146" t="n">
        <f aca="false">May!AJ71+AJ73</f>
        <v>60.56</v>
      </c>
      <c r="AK71" s="5"/>
      <c r="AL71" s="135"/>
      <c r="AM71" s="136"/>
      <c r="AN71" s="42"/>
      <c r="AO71" s="104" t="s">
        <v>150</v>
      </c>
      <c r="AP71" s="146" t="n">
        <f aca="false">May!AP71+AP73</f>
        <v>0</v>
      </c>
      <c r="AQ71" s="5"/>
      <c r="AR71" s="135"/>
      <c r="AS71" s="136"/>
      <c r="AT71" s="42"/>
      <c r="AU71" s="104" t="s">
        <v>150</v>
      </c>
      <c r="AV71" s="146" t="n">
        <f aca="false">May!AV71+AV73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1715.44</v>
      </c>
      <c r="G72" s="5"/>
      <c r="H72" s="139"/>
      <c r="I72" s="140"/>
      <c r="J72" s="67"/>
      <c r="K72" s="144" t="s">
        <v>151</v>
      </c>
      <c r="L72" s="145" t="n">
        <f aca="false">L70-L71</f>
        <v>1378.81</v>
      </c>
      <c r="M72" s="5"/>
      <c r="N72" s="139"/>
      <c r="O72" s="140"/>
      <c r="P72" s="67"/>
      <c r="Q72" s="144" t="s">
        <v>151</v>
      </c>
      <c r="R72" s="145" t="n">
        <f aca="false">R70-R71</f>
        <v>2344.44</v>
      </c>
      <c r="S72" s="5"/>
      <c r="T72" s="139"/>
      <c r="U72" s="140"/>
      <c r="V72" s="67"/>
      <c r="W72" s="144" t="s">
        <v>151</v>
      </c>
      <c r="X72" s="145" t="n">
        <f aca="false">X70-X71</f>
        <v>878.6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449.44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6020.04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10">
      <formula>0</formula>
    </cfRule>
    <cfRule type="cellIs" priority="3" operator="greaterThan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BG14" activeCellId="0" sqref="BG14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12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0.99"/>
    <col collapsed="false" customWidth="true" hidden="false" outlineLevel="0" max="60" min="60" style="0" width="11.71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0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f aca="false">(BG4-BF4)/BF4</f>
        <v>0.0953846153846154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1250000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f aca="false">(BG5-BF5)/BF5</f>
        <v>-0.0105263157894737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f aca="false">(BG6-BF6)/BF6</f>
        <v>0.10715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f aca="false">(BG7-BF7)/BF7</f>
        <v>0.127739130434783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e">
        <f aca="false">(AT9-(AT9-AT6))/(AT9-AT6)</f>
        <v>#DIV/0!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f aca="false">(BG8-BF8)/BF8</f>
        <v>0.135285714285714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0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0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f aca="false">(BG9-BF9)/BF9</f>
        <v>0.0653846153846154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Aug!P9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f aca="false">(BG10-BF10)/BF10</f>
        <v>0.079047619047619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0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 t="s">
        <v>14</v>
      </c>
      <c r="BF11" s="22" t="s">
        <v>15</v>
      </c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str">
        <f aca="false">IFERROR((P10-P9)/P9,"TBD")</f>
        <v>TBD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F7+Jun!X12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f aca="false">(BG12-BF12)/BF12</f>
        <v>0.0576190476190477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Jun!X13+P8</f>
        <v>3442.06</v>
      </c>
      <c r="Y13" s="5"/>
      <c r="Z13" s="5"/>
      <c r="AA13" s="5"/>
      <c r="AB13" s="98" t="n">
        <f aca="false">P8+Jun!AB13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f aca="false">(BG13-BF13)/BF13</f>
        <v>-0.0102173913043478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Jun!X14+P8+L14</f>
        <v>4242.06</v>
      </c>
      <c r="Y14" s="5"/>
      <c r="Z14" s="5"/>
      <c r="AA14" s="5"/>
      <c r="AB14" s="111" t="n">
        <f aca="false">Jun!AB14+P8+SUM(L4:L9)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0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f aca="false">(BG14-BF14)/BF14</f>
        <v>0.0788235294117647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f aca="false">(BG15-BF15)/BF15</f>
        <v>0.19368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f aca="false">(BG16-BF16)/BF16</f>
        <v>0.178428571428571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/>
      <c r="AS22" s="140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F68+Jun!F70</f>
        <v>2100</v>
      </c>
      <c r="G70" s="5"/>
      <c r="H70" s="139"/>
      <c r="I70" s="140"/>
      <c r="J70" s="67"/>
      <c r="K70" s="144" t="s">
        <v>149</v>
      </c>
      <c r="L70" s="145" t="n">
        <f aca="false">L68+Jun!L70</f>
        <v>1750</v>
      </c>
      <c r="M70" s="5"/>
      <c r="N70" s="139"/>
      <c r="O70" s="140"/>
      <c r="P70" s="67"/>
      <c r="Q70" s="144" t="s">
        <v>149</v>
      </c>
      <c r="R70" s="145" t="n">
        <f aca="false">R68+Jun!R70</f>
        <v>2800</v>
      </c>
      <c r="S70" s="5"/>
      <c r="T70" s="139"/>
      <c r="U70" s="140"/>
      <c r="V70" s="67"/>
      <c r="W70" s="144" t="s">
        <v>149</v>
      </c>
      <c r="X70" s="145" t="n">
        <f aca="false">X68+Jun!X70</f>
        <v>1050</v>
      </c>
      <c r="Y70" s="5"/>
      <c r="Z70" s="139"/>
      <c r="AA70" s="140"/>
      <c r="AB70" s="67"/>
      <c r="AC70" s="144" t="s">
        <v>149</v>
      </c>
      <c r="AD70" s="145" t="n">
        <f aca="false">AD68+Jun!AD70</f>
        <v>0</v>
      </c>
      <c r="AE70" s="5"/>
      <c r="AF70" s="139"/>
      <c r="AG70" s="140"/>
      <c r="AH70" s="67"/>
      <c r="AI70" s="144" t="s">
        <v>149</v>
      </c>
      <c r="AJ70" s="145" t="n">
        <f aca="false">AJ68+Jun!AJ70</f>
        <v>595</v>
      </c>
      <c r="AK70" s="5"/>
      <c r="AL70" s="139"/>
      <c r="AM70" s="140"/>
      <c r="AN70" s="67"/>
      <c r="AO70" s="144" t="s">
        <v>149</v>
      </c>
      <c r="AP70" s="145" t="n">
        <f aca="false">AP68+Jun!AP70</f>
        <v>0</v>
      </c>
      <c r="AQ70" s="5"/>
      <c r="AR70" s="139"/>
      <c r="AS70" s="140"/>
      <c r="AT70" s="67"/>
      <c r="AU70" s="144" t="s">
        <v>149</v>
      </c>
      <c r="AV70" s="145" t="n">
        <f aca="false">AV68+Jun!AV70</f>
        <v>9590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Jun!F71+F73</f>
        <v>84.56</v>
      </c>
      <c r="G71" s="5"/>
      <c r="H71" s="135"/>
      <c r="I71" s="136"/>
      <c r="J71" s="42"/>
      <c r="K71" s="104" t="s">
        <v>150</v>
      </c>
      <c r="L71" s="146" t="n">
        <f aca="false">Jun!L71+L73</f>
        <v>121.19</v>
      </c>
      <c r="M71" s="5"/>
      <c r="N71" s="135"/>
      <c r="O71" s="136"/>
      <c r="P71" s="42"/>
      <c r="Q71" s="104" t="s">
        <v>150</v>
      </c>
      <c r="R71" s="146" t="n">
        <f aca="false">Jun!R71+R73</f>
        <v>55.56</v>
      </c>
      <c r="S71" s="5"/>
      <c r="T71" s="135"/>
      <c r="U71" s="136"/>
      <c r="V71" s="42"/>
      <c r="W71" s="104" t="s">
        <v>150</v>
      </c>
      <c r="X71" s="146" t="n">
        <f aca="false">Jun!X71+X73</f>
        <v>21.4</v>
      </c>
      <c r="Y71" s="5"/>
      <c r="Z71" s="135"/>
      <c r="AA71" s="136"/>
      <c r="AB71" s="42"/>
      <c r="AC71" s="104" t="s">
        <v>150</v>
      </c>
      <c r="AD71" s="146" t="n">
        <f aca="false">Jun!AD71+AD73</f>
        <v>20.21</v>
      </c>
      <c r="AE71" s="5"/>
      <c r="AF71" s="135"/>
      <c r="AG71" s="136"/>
      <c r="AH71" s="42"/>
      <c r="AI71" s="104" t="s">
        <v>150</v>
      </c>
      <c r="AJ71" s="146" t="n">
        <f aca="false">Jun!AJ71+AJ73</f>
        <v>60.56</v>
      </c>
      <c r="AK71" s="5"/>
      <c r="AL71" s="135"/>
      <c r="AM71" s="136"/>
      <c r="AN71" s="42"/>
      <c r="AO71" s="104" t="s">
        <v>150</v>
      </c>
      <c r="AP71" s="146" t="n">
        <f aca="false">Jun!AP71+AP73</f>
        <v>0</v>
      </c>
      <c r="AQ71" s="5"/>
      <c r="AR71" s="135"/>
      <c r="AS71" s="136"/>
      <c r="AT71" s="42"/>
      <c r="AU71" s="104" t="s">
        <v>150</v>
      </c>
      <c r="AV71" s="146" t="n">
        <f aca="false">Jun!AV71+AV73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2015.44</v>
      </c>
      <c r="G72" s="5"/>
      <c r="H72" s="139"/>
      <c r="I72" s="140"/>
      <c r="J72" s="67"/>
      <c r="K72" s="144" t="s">
        <v>151</v>
      </c>
      <c r="L72" s="145" t="n">
        <f aca="false">L70-L71</f>
        <v>1628.81</v>
      </c>
      <c r="M72" s="5"/>
      <c r="N72" s="139"/>
      <c r="O72" s="140"/>
      <c r="P72" s="67"/>
      <c r="Q72" s="144" t="s">
        <v>151</v>
      </c>
      <c r="R72" s="145" t="n">
        <f aca="false">R70-R71</f>
        <v>2744.44</v>
      </c>
      <c r="S72" s="5"/>
      <c r="T72" s="139"/>
      <c r="U72" s="140"/>
      <c r="V72" s="67"/>
      <c r="W72" s="144" t="s">
        <v>151</v>
      </c>
      <c r="X72" s="145" t="n">
        <f aca="false">X70-X71</f>
        <v>1028.6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534.44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7390.04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12">
      <formula>0</formula>
    </cfRule>
    <cfRule type="cellIs" priority="3" operator="greater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9" activeCellId="0" sqref="E9"/>
    </sheetView>
  </sheetViews>
  <sheetFormatPr defaultColWidth="9.7421875" defaultRowHeight="13.8" zeroHeight="false" outlineLevelRow="1" outlineLevelCol="0"/>
  <cols>
    <col collapsed="false" customWidth="true" hidden="false" outlineLevel="0" max="3" min="1" style="0" width="2.14"/>
    <col collapsed="false" customWidth="true" hidden="false" outlineLevel="0" max="4" min="4" style="0" width="10.12"/>
    <col collapsed="false" customWidth="true" hidden="false" outlineLevel="0" max="5" min="5" style="0" width="34.59"/>
    <col collapsed="false" customWidth="true" hidden="false" outlineLevel="0" max="6" min="6" style="0" width="12.14"/>
    <col collapsed="false" customWidth="true" hidden="false" outlineLevel="0" max="9" min="7" style="0" width="2.14"/>
    <col collapsed="false" customWidth="true" hidden="false" outlineLevel="0" max="10" min="10" style="0" width="10.12"/>
    <col collapsed="false" customWidth="true" hidden="false" outlineLevel="0" max="11" min="11" style="0" width="34.59"/>
    <col collapsed="false" customWidth="true" hidden="false" outlineLevel="0" max="12" min="12" style="0" width="12.14"/>
    <col collapsed="false" customWidth="true" hidden="false" outlineLevel="0" max="15" min="13" style="0" width="2.14"/>
    <col collapsed="false" customWidth="true" hidden="false" outlineLevel="0" max="16" min="16" style="0" width="11.42"/>
    <col collapsed="false" customWidth="true" hidden="false" outlineLevel="0" max="17" min="17" style="0" width="34.59"/>
    <col collapsed="false" customWidth="true" hidden="false" outlineLevel="0" max="18" min="18" style="0" width="12.14"/>
    <col collapsed="false" customWidth="true" hidden="false" outlineLevel="0" max="21" min="19" style="0" width="2.14"/>
    <col collapsed="false" customWidth="true" hidden="false" outlineLevel="0" max="22" min="22" style="0" width="11.3"/>
    <col collapsed="false" customWidth="true" hidden="false" outlineLevel="0" max="23" min="23" style="0" width="34.59"/>
    <col collapsed="false" customWidth="true" hidden="false" outlineLevel="0" max="24" min="24" style="0" width="12.14"/>
    <col collapsed="false" customWidth="true" hidden="false" outlineLevel="0" max="27" min="25" style="0" width="2.14"/>
    <col collapsed="false" customWidth="true" hidden="false" outlineLevel="0" max="28" min="28" style="0" width="10.12"/>
    <col collapsed="false" customWidth="true" hidden="false" outlineLevel="0" max="29" min="29" style="0" width="34.59"/>
    <col collapsed="false" customWidth="true" hidden="false" outlineLevel="0" max="30" min="30" style="0" width="12.14"/>
    <col collapsed="false" customWidth="true" hidden="false" outlineLevel="0" max="33" min="31" style="0" width="2.14"/>
    <col collapsed="false" customWidth="true" hidden="false" outlineLevel="0" max="34" min="34" style="0" width="10.12"/>
    <col collapsed="false" customWidth="true" hidden="false" outlineLevel="0" max="35" min="35" style="0" width="26.42"/>
    <col collapsed="false" customWidth="true" hidden="false" outlineLevel="0" max="36" min="36" style="0" width="12.14"/>
    <col collapsed="false" customWidth="true" hidden="false" outlineLevel="0" max="39" min="37" style="0" width="2.14"/>
    <col collapsed="false" customWidth="true" hidden="false" outlineLevel="0" max="40" min="40" style="0" width="10.12"/>
    <col collapsed="false" customWidth="true" hidden="false" outlineLevel="0" max="41" min="41" style="0" width="34.59"/>
    <col collapsed="false" customWidth="true" hidden="false" outlineLevel="0" max="42" min="42" style="0" width="12.14"/>
    <col collapsed="false" customWidth="true" hidden="false" outlineLevel="0" max="45" min="43" style="0" width="2.14"/>
    <col collapsed="false" customWidth="true" hidden="false" outlineLevel="0" max="46" min="46" style="0" width="10.71"/>
    <col collapsed="false" customWidth="true" hidden="false" outlineLevel="0" max="47" min="47" style="0" width="34.59"/>
    <col collapsed="false" customWidth="true" hidden="false" outlineLevel="0" max="48" min="48" style="0" width="12.14"/>
    <col collapsed="false" customWidth="true" hidden="false" outlineLevel="0" max="54" min="54" style="0" width="57.42"/>
    <col collapsed="false" customWidth="true" hidden="false" outlineLevel="0" max="55" min="55" style="0" width="7.87"/>
    <col collapsed="false" customWidth="true" hidden="false" outlineLevel="0" max="58" min="58" style="0" width="14.43"/>
    <col collapsed="false" customWidth="true" hidden="false" outlineLevel="0" max="59" min="59" style="0" width="10.99"/>
    <col collapsed="false" customWidth="true" hidden="false" outlineLevel="0" max="60" min="60" style="0" width="11.71"/>
  </cols>
  <sheetData>
    <row r="1" customFormat="false" ht="6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customFormat="false" ht="18.75" hidden="false" customHeight="false" outlineLevel="0" collapsed="false">
      <c r="A2" s="5"/>
      <c r="B2" s="6"/>
      <c r="C2" s="7"/>
      <c r="D2" s="7"/>
      <c r="E2" s="8" t="s">
        <v>2</v>
      </c>
      <c r="F2" s="9"/>
      <c r="G2" s="10"/>
      <c r="H2" s="11"/>
      <c r="I2" s="12"/>
      <c r="J2" s="12"/>
      <c r="K2" s="8" t="s">
        <v>3</v>
      </c>
      <c r="L2" s="13"/>
      <c r="M2" s="5"/>
      <c r="N2" s="5"/>
      <c r="O2" s="5"/>
      <c r="P2" s="152" t="s">
        <v>4</v>
      </c>
      <c r="Q2" s="152"/>
      <c r="R2" s="152"/>
      <c r="S2" s="5"/>
      <c r="T2" s="5"/>
      <c r="U2" s="5"/>
      <c r="V2" s="15" t="s">
        <v>5</v>
      </c>
      <c r="W2" s="16" t="s">
        <v>6</v>
      </c>
      <c r="X2" s="17" t="s">
        <v>7</v>
      </c>
      <c r="Y2" s="5"/>
      <c r="Z2" s="5"/>
      <c r="AA2" s="5"/>
      <c r="AB2" s="18" t="s">
        <v>8</v>
      </c>
      <c r="AC2" s="18"/>
      <c r="AD2" s="5"/>
      <c r="AE2" s="5"/>
      <c r="AF2" s="5"/>
      <c r="AG2" s="5"/>
      <c r="AH2" s="5"/>
      <c r="AI2" s="19" t="s">
        <v>9</v>
      </c>
      <c r="AJ2" s="19"/>
      <c r="AK2" s="19"/>
      <c r="AL2" s="19"/>
      <c r="AM2" s="19"/>
      <c r="AN2" s="19"/>
      <c r="AO2" s="19"/>
      <c r="AP2" s="20"/>
      <c r="AQ2" s="5"/>
      <c r="AR2" s="5"/>
      <c r="AS2" s="5"/>
      <c r="AT2" s="21" t="s">
        <v>10</v>
      </c>
      <c r="AU2" s="21"/>
      <c r="AV2" s="21"/>
      <c r="AW2" s="5"/>
      <c r="AX2" s="5"/>
      <c r="AY2" s="5"/>
      <c r="AZ2" s="5"/>
      <c r="BA2" s="5"/>
      <c r="BB2" s="22" t="s">
        <v>11</v>
      </c>
      <c r="BC2" s="22" t="s">
        <v>12</v>
      </c>
      <c r="BD2" s="22" t="s">
        <v>13</v>
      </c>
      <c r="BE2" s="22" t="s">
        <v>14</v>
      </c>
      <c r="BF2" s="22" t="s">
        <v>15</v>
      </c>
      <c r="BG2" s="22" t="s">
        <v>16</v>
      </c>
      <c r="BH2" s="22" t="s">
        <v>17</v>
      </c>
      <c r="BI2" s="22" t="s">
        <v>18</v>
      </c>
      <c r="BJ2" s="5"/>
      <c r="BK2" s="5"/>
      <c r="BL2" s="5"/>
    </row>
    <row r="3" customFormat="false" ht="17.35" hidden="false" customHeight="false" outlineLevel="0" collapsed="false">
      <c r="A3" s="5"/>
      <c r="B3" s="23"/>
      <c r="C3" s="23"/>
      <c r="D3" s="24" t="s">
        <v>19</v>
      </c>
      <c r="E3" s="24" t="s">
        <v>20</v>
      </c>
      <c r="F3" s="25" t="s">
        <v>21</v>
      </c>
      <c r="G3" s="26"/>
      <c r="H3" s="23"/>
      <c r="I3" s="23"/>
      <c r="J3" s="24" t="s">
        <v>19</v>
      </c>
      <c r="K3" s="24" t="s">
        <v>20</v>
      </c>
      <c r="L3" s="25" t="s">
        <v>21</v>
      </c>
      <c r="M3" s="5"/>
      <c r="N3" s="5"/>
      <c r="O3" s="5"/>
      <c r="P3" s="27" t="n">
        <f aca="false">SUM(F4:F6)+SUM(L4:L9)</f>
        <v>0</v>
      </c>
      <c r="Q3" s="28" t="s">
        <v>22</v>
      </c>
      <c r="R3" s="29"/>
      <c r="S3" s="5"/>
      <c r="T3" s="5"/>
      <c r="U3" s="5"/>
      <c r="V3" s="30" t="n">
        <f aca="false">F68-X3</f>
        <v>300</v>
      </c>
      <c r="W3" s="31" t="str">
        <f aca="false">B18</f>
        <v>Discretionary</v>
      </c>
      <c r="X3" s="32" t="n">
        <f aca="false">F73</f>
        <v>0</v>
      </c>
      <c r="Y3" s="5"/>
      <c r="Z3" s="5"/>
      <c r="AA3" s="5"/>
      <c r="AB3" s="33" t="n">
        <f aca="false">F14/30</f>
        <v>0</v>
      </c>
      <c r="AC3" s="34" t="s">
        <v>23</v>
      </c>
      <c r="AD3" s="5"/>
      <c r="AE3" s="5"/>
      <c r="AF3" s="5"/>
      <c r="AG3" s="5"/>
      <c r="AH3" s="5"/>
      <c r="AI3" s="35" t="s">
        <v>24</v>
      </c>
      <c r="AJ3" s="36"/>
      <c r="AK3" s="37"/>
      <c r="AL3" s="37"/>
      <c r="AM3" s="37"/>
      <c r="AN3" s="37"/>
      <c r="AO3" s="36" t="s">
        <v>25</v>
      </c>
      <c r="AP3" s="38"/>
      <c r="AQ3" s="5"/>
      <c r="AR3" s="5"/>
      <c r="AS3" s="5"/>
      <c r="AT3" s="39" t="n">
        <f aca="false">50000*25</f>
        <v>1250000</v>
      </c>
      <c r="AU3" s="40" t="s">
        <v>26</v>
      </c>
      <c r="AV3" s="41"/>
      <c r="AW3" s="5"/>
      <c r="AX3" s="5"/>
      <c r="AY3" s="5"/>
      <c r="AZ3" s="5"/>
      <c r="BA3" s="5"/>
      <c r="BB3" s="42" t="s">
        <v>27</v>
      </c>
      <c r="BC3" s="42" t="s">
        <v>28</v>
      </c>
      <c r="BD3" s="43" t="n">
        <v>300.68</v>
      </c>
      <c r="BE3" s="44" t="n">
        <v>10</v>
      </c>
      <c r="BF3" s="45" t="n">
        <v>2500</v>
      </c>
      <c r="BG3" s="43" t="n">
        <f aca="false">BD3*BE3</f>
        <v>3006.8</v>
      </c>
      <c r="BH3" s="46" t="n">
        <f aca="false">(BG3+BG15)/((SUM($BG$3:$BG$10))+(SUM($BG$12:$BG$16)))</f>
        <v>0.489586780911754</v>
      </c>
      <c r="BI3" s="46" t="n">
        <f aca="false">(BG3-BF3)/BF3</f>
        <v>0.20272</v>
      </c>
      <c r="BJ3" s="5"/>
      <c r="BK3" s="5"/>
      <c r="BL3" s="5"/>
    </row>
    <row r="4" customFormat="false" ht="13.8" hidden="false" customHeight="false" outlineLevel="0" collapsed="false">
      <c r="A4" s="5"/>
      <c r="B4" s="48"/>
      <c r="C4" s="49"/>
      <c r="D4" s="50"/>
      <c r="E4" s="51" t="s">
        <v>29</v>
      </c>
      <c r="F4" s="52"/>
      <c r="G4" s="26"/>
      <c r="H4" s="48"/>
      <c r="I4" s="49"/>
      <c r="J4" s="50"/>
      <c r="K4" s="51" t="s">
        <v>30</v>
      </c>
      <c r="L4" s="53"/>
      <c r="M4" s="5"/>
      <c r="N4" s="5"/>
      <c r="O4" s="5"/>
      <c r="P4" s="27" t="n">
        <f aca="false">SUM(F4:F6)</f>
        <v>0</v>
      </c>
      <c r="Q4" s="54" t="s">
        <v>31</v>
      </c>
      <c r="R4" s="29"/>
      <c r="S4" s="5"/>
      <c r="T4" s="5"/>
      <c r="U4" s="5"/>
      <c r="V4" s="55" t="n">
        <f aca="false">L68-X4</f>
        <v>250</v>
      </c>
      <c r="W4" s="56" t="str">
        <f aca="false">K18</f>
        <v>Groceries</v>
      </c>
      <c r="X4" s="57" t="n">
        <f aca="false">L73</f>
        <v>0</v>
      </c>
      <c r="Y4" s="5"/>
      <c r="Z4" s="5"/>
      <c r="AA4" s="5"/>
      <c r="AB4" s="58" t="n">
        <f aca="false">X11/30</f>
        <v>0</v>
      </c>
      <c r="AC4" s="59" t="s">
        <v>32</v>
      </c>
      <c r="AD4" s="5"/>
      <c r="AE4" s="5"/>
      <c r="AF4" s="5"/>
      <c r="AG4" s="5"/>
      <c r="AH4" s="5"/>
      <c r="AI4" s="60" t="s">
        <v>33</v>
      </c>
      <c r="AJ4" s="61"/>
      <c r="AK4" s="37"/>
      <c r="AL4" s="37"/>
      <c r="AM4" s="37"/>
      <c r="AN4" s="37"/>
      <c r="AO4" s="62" t="s">
        <v>34</v>
      </c>
      <c r="AP4" s="63"/>
      <c r="AQ4" s="5"/>
      <c r="AR4" s="5"/>
      <c r="AS4" s="5"/>
      <c r="AT4" s="64" t="n">
        <f aca="false">AJ14-AP14</f>
        <v>0</v>
      </c>
      <c r="AU4" s="65" t="s">
        <v>35</v>
      </c>
      <c r="AV4" s="66"/>
      <c r="AW4" s="5"/>
      <c r="AX4" s="5"/>
      <c r="AY4" s="5"/>
      <c r="AZ4" s="5"/>
      <c r="BA4" s="5"/>
      <c r="BB4" s="67" t="s">
        <v>36</v>
      </c>
      <c r="BC4" s="67" t="s">
        <v>37</v>
      </c>
      <c r="BD4" s="68" t="n">
        <v>14.24</v>
      </c>
      <c r="BE4" s="44" t="n">
        <v>5</v>
      </c>
      <c r="BF4" s="45" t="n">
        <v>65</v>
      </c>
      <c r="BG4" s="68" t="n">
        <f aca="false">BD4*BE4</f>
        <v>71.2</v>
      </c>
      <c r="BH4" s="69" t="n">
        <f aca="false">(BG4+BG12)/((SUM($BG$3:$BG$10))+(SUM($BG$12:$BG$16)))</f>
        <v>0.0239685866869333</v>
      </c>
      <c r="BI4" s="69" t="n">
        <f aca="false">(BG4-BF4)/BF4</f>
        <v>0.0953846153846154</v>
      </c>
      <c r="BJ4" s="5"/>
      <c r="BK4" s="5"/>
      <c r="BL4" s="5"/>
    </row>
    <row r="5" customFormat="false" ht="13.8" hidden="false" customHeight="false" outlineLevel="0" collapsed="false">
      <c r="A5" s="5"/>
      <c r="B5" s="70"/>
      <c r="C5" s="71"/>
      <c r="D5" s="72"/>
      <c r="E5" s="67" t="s">
        <v>38</v>
      </c>
      <c r="F5" s="73"/>
      <c r="G5" s="26"/>
      <c r="H5" s="70"/>
      <c r="I5" s="71"/>
      <c r="J5" s="72"/>
      <c r="K5" s="67" t="s">
        <v>39</v>
      </c>
      <c r="L5" s="73"/>
      <c r="M5" s="5"/>
      <c r="N5" s="5"/>
      <c r="O5" s="5"/>
      <c r="P5" s="27" t="n">
        <f aca="false">SUM(F7:F8)</f>
        <v>0</v>
      </c>
      <c r="Q5" s="54" t="s">
        <v>40</v>
      </c>
      <c r="R5" s="29"/>
      <c r="S5" s="5"/>
      <c r="T5" s="5"/>
      <c r="U5" s="5"/>
      <c r="V5" s="30" t="n">
        <f aca="false">R68-X5</f>
        <v>400</v>
      </c>
      <c r="W5" s="31" t="str">
        <f aca="false">Q18</f>
        <v>Transportation</v>
      </c>
      <c r="X5" s="32" t="n">
        <f aca="false">R73</f>
        <v>0</v>
      </c>
      <c r="Y5" s="5"/>
      <c r="Z5" s="5"/>
      <c r="AA5" s="5"/>
      <c r="AB5" s="33" t="n">
        <f aca="false">X10/30</f>
        <v>0</v>
      </c>
      <c r="AC5" s="34" t="s">
        <v>41</v>
      </c>
      <c r="AD5" s="5"/>
      <c r="AE5" s="5"/>
      <c r="AF5" s="5"/>
      <c r="AG5" s="5"/>
      <c r="AH5" s="153"/>
      <c r="AI5" s="74" t="s">
        <v>42</v>
      </c>
      <c r="AJ5" s="75"/>
      <c r="AK5" s="37"/>
      <c r="AL5" s="37"/>
      <c r="AM5" s="37"/>
      <c r="AN5" s="37"/>
      <c r="AO5" s="76" t="s">
        <v>43</v>
      </c>
      <c r="AP5" s="77"/>
      <c r="AQ5" s="5"/>
      <c r="AR5" s="5"/>
      <c r="AS5" s="5"/>
      <c r="AT5" s="64" t="n">
        <f aca="false">AT3-AT4</f>
        <v>1250000</v>
      </c>
      <c r="AU5" s="65" t="s">
        <v>44</v>
      </c>
      <c r="AV5" s="66"/>
      <c r="AW5" s="5"/>
      <c r="AX5" s="5"/>
      <c r="AY5" s="5"/>
      <c r="AZ5" s="5"/>
      <c r="BA5" s="5"/>
      <c r="BB5" s="42" t="s">
        <v>45</v>
      </c>
      <c r="BC5" s="42" t="s">
        <v>46</v>
      </c>
      <c r="BD5" s="43" t="n">
        <v>37.6</v>
      </c>
      <c r="BE5" s="44" t="n">
        <v>5</v>
      </c>
      <c r="BF5" s="45" t="n">
        <v>190</v>
      </c>
      <c r="BG5" s="43" t="n">
        <f aca="false">BD5*BE5</f>
        <v>188</v>
      </c>
      <c r="BH5" s="46" t="n">
        <f aca="false">(BG5+BG13)/((SUM($BG$3:$BG$10))+(SUM($BG$12:$BG$16)))</f>
        <v>0.0339670748599517</v>
      </c>
      <c r="BI5" s="46" t="n">
        <f aca="false">(BG5-BF5)/BF5</f>
        <v>-0.0105263157894737</v>
      </c>
      <c r="BJ5" s="5"/>
      <c r="BK5" s="5"/>
      <c r="BL5" s="5"/>
    </row>
    <row r="6" customFormat="false" ht="13.8" hidden="false" customHeight="false" outlineLevel="0" collapsed="false">
      <c r="A6" s="5"/>
      <c r="B6" s="70"/>
      <c r="C6" s="71"/>
      <c r="D6" s="50"/>
      <c r="E6" s="42" t="s">
        <v>47</v>
      </c>
      <c r="F6" s="52"/>
      <c r="G6" s="26"/>
      <c r="H6" s="70"/>
      <c r="I6" s="71"/>
      <c r="J6" s="50"/>
      <c r="K6" s="51" t="s">
        <v>48</v>
      </c>
      <c r="L6" s="53"/>
      <c r="M6" s="5"/>
      <c r="N6" s="5"/>
      <c r="O6" s="5"/>
      <c r="P6" s="27" t="n">
        <f aca="false">SUM(F9:F13)</f>
        <v>0</v>
      </c>
      <c r="Q6" s="54" t="s">
        <v>49</v>
      </c>
      <c r="R6" s="29"/>
      <c r="S6" s="5"/>
      <c r="T6" s="5"/>
      <c r="U6" s="5"/>
      <c r="V6" s="55" t="n">
        <f aca="false">X68-X6</f>
        <v>150</v>
      </c>
      <c r="W6" s="56" t="str">
        <f aca="false">W18</f>
        <v>Restaurant/Bar</v>
      </c>
      <c r="X6" s="57" t="n">
        <f aca="false">X73</f>
        <v>0</v>
      </c>
      <c r="Y6" s="5"/>
      <c r="Z6" s="5"/>
      <c r="AA6" s="5"/>
      <c r="AB6" s="58" t="n">
        <f aca="false">AB4+AB5</f>
        <v>0</v>
      </c>
      <c r="AC6" s="59" t="s">
        <v>50</v>
      </c>
      <c r="AD6" s="5"/>
      <c r="AE6" s="5"/>
      <c r="AF6" s="5"/>
      <c r="AG6" s="5"/>
      <c r="AH6" s="5"/>
      <c r="AI6" s="60" t="s">
        <v>51</v>
      </c>
      <c r="AJ6" s="61"/>
      <c r="AK6" s="37"/>
      <c r="AL6" s="37"/>
      <c r="AM6" s="37"/>
      <c r="AN6" s="37"/>
      <c r="AO6" s="62" t="s">
        <v>52</v>
      </c>
      <c r="AP6" s="63"/>
      <c r="AQ6" s="5"/>
      <c r="AR6" s="5"/>
      <c r="AS6" s="5"/>
      <c r="AT6" s="64" t="n">
        <f aca="false">P3-P7</f>
        <v>0</v>
      </c>
      <c r="AU6" s="65" t="s">
        <v>53</v>
      </c>
      <c r="AV6" s="66"/>
      <c r="AW6" s="5"/>
      <c r="AX6" s="5"/>
      <c r="AY6" s="5"/>
      <c r="AZ6" s="5"/>
      <c r="BA6" s="5"/>
      <c r="BB6" s="67" t="s">
        <v>54</v>
      </c>
      <c r="BC6" s="67" t="s">
        <v>55</v>
      </c>
      <c r="BD6" s="68" t="n">
        <v>221.43</v>
      </c>
      <c r="BE6" s="44" t="n">
        <v>5</v>
      </c>
      <c r="BF6" s="45" t="n">
        <v>1000</v>
      </c>
      <c r="BG6" s="68" t="n">
        <f aca="false">BD6*BE6</f>
        <v>1107.15</v>
      </c>
      <c r="BH6" s="69" t="n">
        <f aca="false">(BG6)/((SUM($BG$3:$BG$10))+(SUM($BG$12:$BG$16)))</f>
        <v>0.0904767158214736</v>
      </c>
      <c r="BI6" s="69" t="n">
        <f aca="false">(BG6-BF6)/BF6</f>
        <v>0.10715</v>
      </c>
      <c r="BJ6" s="5"/>
      <c r="BK6" s="5"/>
      <c r="BL6" s="5"/>
    </row>
    <row r="7" customFormat="false" ht="13.8" hidden="false" customHeight="false" outlineLevel="0" collapsed="false">
      <c r="A7" s="5"/>
      <c r="B7" s="70"/>
      <c r="C7" s="71"/>
      <c r="D7" s="72"/>
      <c r="E7" s="67" t="s">
        <v>56</v>
      </c>
      <c r="F7" s="73"/>
      <c r="G7" s="26"/>
      <c r="H7" s="70"/>
      <c r="I7" s="71"/>
      <c r="J7" s="72"/>
      <c r="K7" s="67" t="s">
        <v>57</v>
      </c>
      <c r="L7" s="73"/>
      <c r="M7" s="5"/>
      <c r="N7" s="5"/>
      <c r="O7" s="5"/>
      <c r="P7" s="27" t="n">
        <f aca="false">F73+L73+R73+X73+AD73+AJ73+AP73+AV73</f>
        <v>0</v>
      </c>
      <c r="Q7" s="54" t="s">
        <v>58</v>
      </c>
      <c r="R7" s="29"/>
      <c r="S7" s="5"/>
      <c r="T7" s="5"/>
      <c r="U7" s="5"/>
      <c r="V7" s="30" t="n">
        <f aca="false">AD68-X7</f>
        <v>0</v>
      </c>
      <c r="W7" s="31" t="str">
        <f aca="false">AC18</f>
        <v>Alcohol</v>
      </c>
      <c r="X7" s="32" t="n">
        <f aca="false">AD73</f>
        <v>0</v>
      </c>
      <c r="Y7" s="5"/>
      <c r="Z7" s="5"/>
      <c r="AA7" s="5"/>
      <c r="AB7" s="33" t="n">
        <f aca="false">AB3-AB6</f>
        <v>0</v>
      </c>
      <c r="AC7" s="34" t="s">
        <v>59</v>
      </c>
      <c r="AD7" s="5"/>
      <c r="AE7" s="5"/>
      <c r="AF7" s="5"/>
      <c r="AG7" s="5"/>
      <c r="AH7" s="5"/>
      <c r="AI7" s="74" t="s">
        <v>60</v>
      </c>
      <c r="AJ7" s="75"/>
      <c r="AK7" s="37"/>
      <c r="AL7" s="37"/>
      <c r="AM7" s="37"/>
      <c r="AN7" s="37"/>
      <c r="AO7" s="76" t="s">
        <v>61</v>
      </c>
      <c r="AP7" s="77"/>
      <c r="AQ7" s="5"/>
      <c r="AR7" s="5"/>
      <c r="AS7" s="5"/>
      <c r="AT7" s="64" t="n">
        <f aca="false">AT6*1.05^15</f>
        <v>0</v>
      </c>
      <c r="AU7" s="65" t="s">
        <v>62</v>
      </c>
      <c r="AV7" s="66"/>
      <c r="AW7" s="5"/>
      <c r="AX7" s="5"/>
      <c r="AY7" s="5"/>
      <c r="AZ7" s="5"/>
      <c r="BA7" s="5"/>
      <c r="BB7" s="42" t="s">
        <v>63</v>
      </c>
      <c r="BC7" s="42" t="s">
        <v>64</v>
      </c>
      <c r="BD7" s="43" t="n">
        <v>129.69</v>
      </c>
      <c r="BE7" s="44" t="n">
        <v>10</v>
      </c>
      <c r="BF7" s="45" t="n">
        <v>1150</v>
      </c>
      <c r="BG7" s="43" t="n">
        <f aca="false">BD7*BE7</f>
        <v>1296.9</v>
      </c>
      <c r="BH7" s="46" t="n">
        <f aca="false">(BG7+BG14)/((SUM($BG$3:$BG$10))+(SUM($BG$12:$BG$16)))</f>
        <v>0.180920743491993</v>
      </c>
      <c r="BI7" s="46" t="n">
        <f aca="false">(BG7-BF7)/BF7</f>
        <v>0.127739130434783</v>
      </c>
      <c r="BJ7" s="5"/>
      <c r="BK7" s="5"/>
      <c r="BL7" s="5"/>
    </row>
    <row r="8" customFormat="false" ht="13.8" hidden="false" customHeight="false" outlineLevel="0" collapsed="false">
      <c r="A8" s="5"/>
      <c r="B8" s="70"/>
      <c r="C8" s="71"/>
      <c r="D8" s="50"/>
      <c r="E8" s="42" t="s">
        <v>65</v>
      </c>
      <c r="F8" s="52"/>
      <c r="G8" s="26"/>
      <c r="H8" s="70"/>
      <c r="I8" s="71"/>
      <c r="J8" s="50"/>
      <c r="K8" s="51" t="s">
        <v>66</v>
      </c>
      <c r="L8" s="53"/>
      <c r="M8" s="5"/>
      <c r="N8" s="5"/>
      <c r="O8" s="5"/>
      <c r="P8" s="78" t="n">
        <f aca="false">P4+P5+P6-P7</f>
        <v>0</v>
      </c>
      <c r="Q8" s="79" t="s">
        <v>67</v>
      </c>
      <c r="R8" s="80"/>
      <c r="S8" s="5"/>
      <c r="T8" s="5"/>
      <c r="U8" s="5"/>
      <c r="V8" s="55" t="n">
        <f aca="false">AJ68-X8</f>
        <v>85</v>
      </c>
      <c r="W8" s="56" t="str">
        <f aca="false">AI18</f>
        <v>Pet</v>
      </c>
      <c r="X8" s="57" t="n">
        <f aca="false">AJ73</f>
        <v>0</v>
      </c>
      <c r="Y8" s="5"/>
      <c r="Z8" s="5"/>
      <c r="AA8" s="5"/>
      <c r="AB8" s="58" t="n">
        <f aca="false">F14/(30/7)</f>
        <v>0</v>
      </c>
      <c r="AC8" s="59" t="s">
        <v>68</v>
      </c>
      <c r="AD8" s="5"/>
      <c r="AE8" s="5"/>
      <c r="AF8" s="5"/>
      <c r="AG8" s="5"/>
      <c r="AH8" s="5"/>
      <c r="AI8" s="60" t="s">
        <v>69</v>
      </c>
      <c r="AJ8" s="61"/>
      <c r="AK8" s="37"/>
      <c r="AL8" s="37"/>
      <c r="AM8" s="37"/>
      <c r="AN8" s="37"/>
      <c r="AO8" s="62"/>
      <c r="AP8" s="63"/>
      <c r="AQ8" s="5"/>
      <c r="AR8" s="5"/>
      <c r="AS8" s="5"/>
      <c r="AT8" s="81" t="e">
        <f aca="false">(AT9-(AT9-AT6))/(AT9-AT6)</f>
        <v>#DIV/0!</v>
      </c>
      <c r="AU8" s="65" t="s">
        <v>70</v>
      </c>
      <c r="AV8" s="66"/>
      <c r="AW8" s="5"/>
      <c r="AX8" s="5"/>
      <c r="AY8" s="5"/>
      <c r="AZ8" s="5"/>
      <c r="BA8" s="5"/>
      <c r="BB8" s="67" t="s">
        <v>71</v>
      </c>
      <c r="BC8" s="67" t="s">
        <v>72</v>
      </c>
      <c r="BD8" s="68" t="n">
        <v>79.47</v>
      </c>
      <c r="BE8" s="44" t="n">
        <v>5</v>
      </c>
      <c r="BF8" s="45" t="n">
        <v>350</v>
      </c>
      <c r="BG8" s="68" t="n">
        <f aca="false">BD8*BE8</f>
        <v>397.35</v>
      </c>
      <c r="BH8" s="69" t="n">
        <f aca="false">(BG8)/((SUM($BG$3:$BG$10))+(SUM($BG$12:$BG$16)))</f>
        <v>0.0324715919538116</v>
      </c>
      <c r="BI8" s="69" t="n">
        <f aca="false">(BG8-BF8)/BF8</f>
        <v>0.135285714285714</v>
      </c>
      <c r="BJ8" s="5"/>
      <c r="BK8" s="5"/>
      <c r="BL8" s="5"/>
    </row>
    <row r="9" customFormat="false" ht="13.8" hidden="false" customHeight="false" outlineLevel="0" collapsed="false">
      <c r="A9" s="5"/>
      <c r="B9" s="70"/>
      <c r="C9" s="71"/>
      <c r="D9" s="72"/>
      <c r="E9" s="67" t="s">
        <v>73</v>
      </c>
      <c r="F9" s="73"/>
      <c r="G9" s="26"/>
      <c r="H9" s="70"/>
      <c r="I9" s="71"/>
      <c r="J9" s="72"/>
      <c r="K9" s="67" t="s">
        <v>74</v>
      </c>
      <c r="L9" s="73"/>
      <c r="M9" s="5"/>
      <c r="N9" s="5"/>
      <c r="O9" s="5"/>
      <c r="P9" s="82" t="n">
        <f aca="false">AJ14-AP14</f>
        <v>0</v>
      </c>
      <c r="Q9" s="83" t="s">
        <v>75</v>
      </c>
      <c r="R9" s="84"/>
      <c r="S9" s="5"/>
      <c r="T9" s="5"/>
      <c r="U9" s="5"/>
      <c r="V9" s="30" t="n">
        <f aca="false">AP68-X9</f>
        <v>0</v>
      </c>
      <c r="W9" s="31" t="str">
        <f aca="false">AO18</f>
        <v>Travel</v>
      </c>
      <c r="X9" s="32" t="n">
        <f aca="false">AP73</f>
        <v>0</v>
      </c>
      <c r="Y9" s="5"/>
      <c r="Z9" s="5"/>
      <c r="AA9" s="5"/>
      <c r="AB9" s="33" t="n">
        <f aca="false">X11/(30/7)</f>
        <v>0</v>
      </c>
      <c r="AC9" s="34" t="s">
        <v>76</v>
      </c>
      <c r="AD9" s="5"/>
      <c r="AE9" s="5"/>
      <c r="AF9" s="5"/>
      <c r="AG9" s="5"/>
      <c r="AH9" s="5"/>
      <c r="AI9" s="74" t="s">
        <v>77</v>
      </c>
      <c r="AJ9" s="75"/>
      <c r="AK9" s="37"/>
      <c r="AL9" s="37"/>
      <c r="AM9" s="37"/>
      <c r="AN9" s="37"/>
      <c r="AO9" s="76"/>
      <c r="AP9" s="77"/>
      <c r="AQ9" s="5"/>
      <c r="AR9" s="5"/>
      <c r="AS9" s="5"/>
      <c r="AT9" s="64" t="n">
        <f aca="false">(AT4+AT6)*(1+0.05)^5</f>
        <v>0</v>
      </c>
      <c r="AU9" s="65" t="s">
        <v>78</v>
      </c>
      <c r="AV9" s="66"/>
      <c r="AW9" s="5"/>
      <c r="AX9" s="5"/>
      <c r="AY9" s="5"/>
      <c r="AZ9" s="5"/>
      <c r="BA9" s="5"/>
      <c r="BB9" s="42" t="s">
        <v>79</v>
      </c>
      <c r="BC9" s="42" t="s">
        <v>80</v>
      </c>
      <c r="BD9" s="43" t="n">
        <v>11.08</v>
      </c>
      <c r="BE9" s="44" t="n">
        <v>5</v>
      </c>
      <c r="BF9" s="45" t="n">
        <v>52</v>
      </c>
      <c r="BG9" s="43" t="n">
        <f aca="false">BD9*BE9</f>
        <v>55.4</v>
      </c>
      <c r="BH9" s="46" t="n">
        <f aca="false">(BG9+(BG16/2))/((SUM($BG$3:$BG$10))+(SUM($BG$12:$BG$16)))</f>
        <v>0.0719384482117538</v>
      </c>
      <c r="BI9" s="46" t="n">
        <f aca="false">(BG9-BF9)/BF9</f>
        <v>0.0653846153846154</v>
      </c>
      <c r="BJ9" s="5"/>
      <c r="BK9" s="5"/>
      <c r="BL9" s="5"/>
    </row>
    <row r="10" customFormat="false" ht="13.8" hidden="false" customHeight="false" outlineLevel="0" collapsed="false">
      <c r="A10" s="5"/>
      <c r="B10" s="70"/>
      <c r="C10" s="71"/>
      <c r="D10" s="50"/>
      <c r="E10" s="42" t="s">
        <v>81</v>
      </c>
      <c r="F10" s="52"/>
      <c r="G10" s="26"/>
      <c r="H10" s="70"/>
      <c r="I10" s="71"/>
      <c r="J10" s="50"/>
      <c r="K10" s="51" t="s">
        <v>82</v>
      </c>
      <c r="L10" s="53"/>
      <c r="M10" s="5"/>
      <c r="N10" s="5"/>
      <c r="O10" s="5"/>
      <c r="P10" s="82" t="n">
        <f aca="false">Sept!P9</f>
        <v>0</v>
      </c>
      <c r="Q10" s="83" t="s">
        <v>83</v>
      </c>
      <c r="R10" s="84"/>
      <c r="S10" s="5"/>
      <c r="T10" s="5"/>
      <c r="U10" s="5"/>
      <c r="V10" s="55" t="n">
        <f aca="false">SUM(V3:V9)</f>
        <v>1185</v>
      </c>
      <c r="W10" s="56" t="s">
        <v>84</v>
      </c>
      <c r="X10" s="57" t="n">
        <f aca="false">F73+L73+R73+X73+AD73+AJ73+AP73</f>
        <v>0</v>
      </c>
      <c r="Y10" s="5"/>
      <c r="Z10" s="5"/>
      <c r="AA10" s="5"/>
      <c r="AB10" s="58" t="n">
        <f aca="false">X10/(30/7)</f>
        <v>0</v>
      </c>
      <c r="AC10" s="59" t="s">
        <v>85</v>
      </c>
      <c r="AD10" s="5"/>
      <c r="AE10" s="5"/>
      <c r="AF10" s="5"/>
      <c r="AG10" s="5"/>
      <c r="AH10" s="5"/>
      <c r="AI10" s="60" t="s">
        <v>86</v>
      </c>
      <c r="AJ10" s="61"/>
      <c r="AK10" s="37"/>
      <c r="AL10" s="37"/>
      <c r="AM10" s="37"/>
      <c r="AN10" s="37"/>
      <c r="AO10" s="62"/>
      <c r="AP10" s="63"/>
      <c r="AQ10" s="5"/>
      <c r="AR10" s="5"/>
      <c r="AS10" s="5"/>
      <c r="AT10" s="85" t="e">
        <f aca="false">(AT3-AT9)/AT7</f>
        <v>#DIV/0!</v>
      </c>
      <c r="AU10" s="65" t="s">
        <v>87</v>
      </c>
      <c r="AV10" s="66"/>
      <c r="AW10" s="5"/>
      <c r="AX10" s="5"/>
      <c r="AY10" s="5"/>
      <c r="AZ10" s="5"/>
      <c r="BA10" s="5"/>
      <c r="BB10" s="67" t="s">
        <v>88</v>
      </c>
      <c r="BC10" s="67" t="s">
        <v>89</v>
      </c>
      <c r="BD10" s="68" t="n">
        <v>22.66</v>
      </c>
      <c r="BE10" s="44" t="n">
        <v>5</v>
      </c>
      <c r="BF10" s="45" t="n">
        <v>105</v>
      </c>
      <c r="BG10" s="68" t="n">
        <f aca="false">BD10*BE10</f>
        <v>113.3</v>
      </c>
      <c r="BH10" s="69" t="n">
        <f aca="false">(BG10+(BG16/2))/((SUM($BG$3:$BG$10))+(SUM($BG$12:$BG$16)))</f>
        <v>0.0766700580623281</v>
      </c>
      <c r="BI10" s="69" t="n">
        <f aca="false">(BG10-BF10)/BF10</f>
        <v>0.079047619047619</v>
      </c>
      <c r="BJ10" s="5"/>
      <c r="BK10" s="5"/>
      <c r="BL10" s="5"/>
    </row>
    <row r="11" customFormat="false" ht="13.8" hidden="false" customHeight="false" outlineLevel="0" collapsed="false">
      <c r="A11" s="5"/>
      <c r="B11" s="70"/>
      <c r="C11" s="71"/>
      <c r="D11" s="72"/>
      <c r="E11" s="67" t="s">
        <v>90</v>
      </c>
      <c r="F11" s="73"/>
      <c r="G11" s="26"/>
      <c r="H11" s="70"/>
      <c r="I11" s="71"/>
      <c r="J11" s="72"/>
      <c r="K11" s="67" t="s">
        <v>60</v>
      </c>
      <c r="L11" s="73"/>
      <c r="M11" s="5"/>
      <c r="N11" s="5"/>
      <c r="O11" s="5"/>
      <c r="P11" s="82" t="n">
        <f aca="false">P10-P9</f>
        <v>0</v>
      </c>
      <c r="Q11" s="83" t="s">
        <v>91</v>
      </c>
      <c r="R11" s="84"/>
      <c r="S11" s="5"/>
      <c r="T11" s="5"/>
      <c r="U11" s="5"/>
      <c r="V11" s="86" t="n">
        <f aca="false">AV68-X11</f>
        <v>1370</v>
      </c>
      <c r="W11" s="87" t="str">
        <f aca="false">AU18</f>
        <v>Recurring</v>
      </c>
      <c r="X11" s="88" t="n">
        <f aca="false">AV73</f>
        <v>0</v>
      </c>
      <c r="Y11" s="5"/>
      <c r="Z11" s="5"/>
      <c r="AA11" s="5"/>
      <c r="AB11" s="33" t="n">
        <f aca="false">AB9+AB10</f>
        <v>0</v>
      </c>
      <c r="AC11" s="34" t="s">
        <v>92</v>
      </c>
      <c r="AD11" s="5"/>
      <c r="AE11" s="5"/>
      <c r="AF11" s="5"/>
      <c r="AG11" s="5"/>
      <c r="AH11" s="5"/>
      <c r="AI11" s="74"/>
      <c r="AJ11" s="75"/>
      <c r="AK11" s="37"/>
      <c r="AL11" s="37"/>
      <c r="AM11" s="37"/>
      <c r="AN11" s="37"/>
      <c r="AO11" s="76"/>
      <c r="AP11" s="77"/>
      <c r="AQ11" s="5"/>
      <c r="AR11" s="5"/>
      <c r="AS11" s="5"/>
      <c r="AT11" s="85" t="e">
        <f aca="false">AT10/12</f>
        <v>#DIV/0!</v>
      </c>
      <c r="AU11" s="65" t="s">
        <v>93</v>
      </c>
      <c r="AV11" s="66"/>
      <c r="AW11" s="5"/>
      <c r="AX11" s="5"/>
      <c r="AY11" s="5"/>
      <c r="AZ11" s="5"/>
      <c r="BA11" s="5"/>
      <c r="BB11" s="22" t="s">
        <v>94</v>
      </c>
      <c r="BC11" s="22" t="s">
        <v>12</v>
      </c>
      <c r="BD11" s="22" t="s">
        <v>13</v>
      </c>
      <c r="BE11" s="22"/>
      <c r="BF11" s="22" t="s">
        <v>15</v>
      </c>
      <c r="BG11" s="22" t="s">
        <v>16</v>
      </c>
      <c r="BH11" s="89" t="s">
        <v>95</v>
      </c>
      <c r="BI11" s="22" t="s">
        <v>18</v>
      </c>
      <c r="BJ11" s="5"/>
      <c r="BK11" s="5"/>
      <c r="BL11" s="5"/>
    </row>
    <row r="12" customFormat="false" ht="13.8" hidden="false" customHeight="false" outlineLevel="0" collapsed="false">
      <c r="A12" s="5"/>
      <c r="B12" s="70"/>
      <c r="C12" s="71"/>
      <c r="D12" s="50"/>
      <c r="E12" s="42" t="s">
        <v>96</v>
      </c>
      <c r="F12" s="52"/>
      <c r="G12" s="26"/>
      <c r="H12" s="70"/>
      <c r="I12" s="71"/>
      <c r="J12" s="50"/>
      <c r="K12" s="51"/>
      <c r="L12" s="53"/>
      <c r="M12" s="5"/>
      <c r="N12" s="5"/>
      <c r="O12" s="5"/>
      <c r="P12" s="90" t="str">
        <f aca="false">IFERROR((P10-P9)/P9,"TBD")</f>
        <v>TBD</v>
      </c>
      <c r="Q12" s="83" t="s">
        <v>97</v>
      </c>
      <c r="R12" s="84"/>
      <c r="S12" s="5"/>
      <c r="T12" s="5"/>
      <c r="U12" s="5"/>
      <c r="V12" s="91" t="s">
        <v>98</v>
      </c>
      <c r="W12" s="91"/>
      <c r="X12" s="92" t="n">
        <f aca="false">F7+Jul!X12</f>
        <v>5</v>
      </c>
      <c r="Y12" s="5"/>
      <c r="Z12" s="5"/>
      <c r="AA12" s="5"/>
      <c r="AB12" s="58" t="n">
        <f aca="false">AB8-AB11</f>
        <v>0</v>
      </c>
      <c r="AC12" s="59" t="s">
        <v>99</v>
      </c>
      <c r="AD12" s="5"/>
      <c r="AE12" s="5"/>
      <c r="AF12" s="5"/>
      <c r="AG12" s="5"/>
      <c r="AH12" s="5"/>
      <c r="AI12" s="60"/>
      <c r="AJ12" s="61"/>
      <c r="AK12" s="37"/>
      <c r="AL12" s="37"/>
      <c r="AM12" s="37"/>
      <c r="AN12" s="37"/>
      <c r="AO12" s="62"/>
      <c r="AP12" s="63"/>
      <c r="AQ12" s="5"/>
      <c r="AR12" s="5"/>
      <c r="AS12" s="5"/>
      <c r="AT12" s="85" t="n">
        <v>35</v>
      </c>
      <c r="AU12" s="65" t="s">
        <v>100</v>
      </c>
      <c r="AV12" s="66"/>
      <c r="AW12" s="5"/>
      <c r="AX12" s="5"/>
      <c r="AY12" s="5"/>
      <c r="AZ12" s="5"/>
      <c r="BA12" s="5"/>
      <c r="BB12" s="42" t="s">
        <v>101</v>
      </c>
      <c r="BC12" s="42" t="s">
        <v>102</v>
      </c>
      <c r="BD12" s="43" t="n">
        <v>44.42</v>
      </c>
      <c r="BE12" s="44" t="n">
        <v>5</v>
      </c>
      <c r="BF12" s="93" t="n">
        <v>210</v>
      </c>
      <c r="BG12" s="43" t="n">
        <f aca="false">BD12*BE12</f>
        <v>222.1</v>
      </c>
      <c r="BH12" s="94" t="n">
        <f aca="false">BG12-BF12</f>
        <v>12.1</v>
      </c>
      <c r="BI12" s="46" t="n">
        <f aca="false">(BG12-BF12)/BF12</f>
        <v>0.0576190476190477</v>
      </c>
      <c r="BJ12" s="5"/>
      <c r="BK12" s="5"/>
      <c r="BL12" s="5"/>
    </row>
    <row r="13" customFormat="false" ht="13.8" hidden="false" customHeight="false" outlineLevel="0" collapsed="false">
      <c r="A13" s="5"/>
      <c r="B13" s="70"/>
      <c r="C13" s="71"/>
      <c r="D13" s="72"/>
      <c r="E13" s="67" t="s">
        <v>103</v>
      </c>
      <c r="F13" s="73"/>
      <c r="G13" s="26"/>
      <c r="H13" s="70"/>
      <c r="I13" s="71"/>
      <c r="J13" s="72"/>
      <c r="K13" s="67"/>
      <c r="L13" s="73"/>
      <c r="M13" s="5"/>
      <c r="N13" s="5"/>
      <c r="O13" s="5"/>
      <c r="P13" s="97" t="n">
        <f aca="false">IF(P10=Jan!P9,"TBD",P10-Jan!P9)</f>
        <v>-46195</v>
      </c>
      <c r="Q13" s="83" t="s">
        <v>104</v>
      </c>
      <c r="R13" s="84"/>
      <c r="S13" s="5"/>
      <c r="T13" s="5"/>
      <c r="U13" s="5"/>
      <c r="V13" s="91" t="s">
        <v>105</v>
      </c>
      <c r="W13" s="91"/>
      <c r="X13" s="92" t="n">
        <f aca="false">Jul!X13+P8</f>
        <v>3442.06</v>
      </c>
      <c r="Y13" s="5"/>
      <c r="Z13" s="5"/>
      <c r="AA13" s="5"/>
      <c r="AB13" s="98" t="n">
        <f aca="false">P8+Jul!AB13</f>
        <v>3442.06</v>
      </c>
      <c r="AC13" s="99" t="s">
        <v>106</v>
      </c>
      <c r="AD13" s="5"/>
      <c r="AE13" s="5"/>
      <c r="AF13" s="5"/>
      <c r="AG13" s="5"/>
      <c r="AH13" s="5"/>
      <c r="AI13" s="74"/>
      <c r="AJ13" s="75"/>
      <c r="AK13" s="37"/>
      <c r="AL13" s="37"/>
      <c r="AM13" s="37"/>
      <c r="AN13" s="37"/>
      <c r="AO13" s="76"/>
      <c r="AP13" s="77"/>
      <c r="AQ13" s="5"/>
      <c r="AR13" s="5"/>
      <c r="AS13" s="5"/>
      <c r="AT13" s="100" t="n">
        <v>50</v>
      </c>
      <c r="AU13" s="65" t="s">
        <v>107</v>
      </c>
      <c r="AV13" s="66"/>
      <c r="AW13" s="5"/>
      <c r="AX13" s="5"/>
      <c r="AY13" s="5"/>
      <c r="AZ13" s="5"/>
      <c r="BA13" s="5"/>
      <c r="BB13" s="67" t="s">
        <v>108</v>
      </c>
      <c r="BC13" s="67" t="s">
        <v>109</v>
      </c>
      <c r="BD13" s="68" t="n">
        <v>45.53</v>
      </c>
      <c r="BE13" s="44" t="n">
        <v>5</v>
      </c>
      <c r="BF13" s="93" t="n">
        <v>230</v>
      </c>
      <c r="BG13" s="68" t="n">
        <f aca="false">BD13*BE13</f>
        <v>227.65</v>
      </c>
      <c r="BH13" s="94" t="n">
        <f aca="false">BG13-BF13</f>
        <v>-2.34999999999999</v>
      </c>
      <c r="BI13" s="69" t="n">
        <f aca="false">(BG13-BF13)/BF13</f>
        <v>-0.0102173913043478</v>
      </c>
      <c r="BJ13" s="5"/>
      <c r="BK13" s="5"/>
      <c r="BL13" s="5"/>
    </row>
    <row r="14" customFormat="false" ht="13.8" hidden="false" customHeight="false" outlineLevel="0" collapsed="false">
      <c r="A14" s="5"/>
      <c r="B14" s="101"/>
      <c r="C14" s="102"/>
      <c r="D14" s="103"/>
      <c r="E14" s="104" t="s">
        <v>110</v>
      </c>
      <c r="F14" s="105" t="n">
        <f aca="false">SUM(F4:F13)</f>
        <v>0</v>
      </c>
      <c r="G14" s="26"/>
      <c r="H14" s="101"/>
      <c r="I14" s="102"/>
      <c r="J14" s="103"/>
      <c r="K14" s="104" t="s">
        <v>110</v>
      </c>
      <c r="L14" s="105" t="n">
        <f aca="false">SUM(L4:L13)</f>
        <v>0</v>
      </c>
      <c r="M14" s="5"/>
      <c r="N14" s="5"/>
      <c r="O14" s="5"/>
      <c r="P14" s="106" t="n">
        <f aca="false">IF(P10=Jan!P9,"TBD",(P10-Jan!P9)/Jan!P9)</f>
        <v>-1</v>
      </c>
      <c r="Q14" s="107" t="s">
        <v>111</v>
      </c>
      <c r="R14" s="108"/>
      <c r="S14" s="5"/>
      <c r="T14" s="5"/>
      <c r="U14" s="5"/>
      <c r="V14" s="109" t="s">
        <v>112</v>
      </c>
      <c r="W14" s="109"/>
      <c r="X14" s="110" t="n">
        <f aca="false">Jul!X14+P8+L14</f>
        <v>4242.06</v>
      </c>
      <c r="Y14" s="5"/>
      <c r="Z14" s="5"/>
      <c r="AA14" s="5"/>
      <c r="AB14" s="111" t="n">
        <f aca="false">Jul!AB14+P8+SUM(L4:L9)</f>
        <v>4242.06</v>
      </c>
      <c r="AC14" s="112" t="s">
        <v>113</v>
      </c>
      <c r="AD14" s="5"/>
      <c r="AE14" s="5"/>
      <c r="AF14" s="5"/>
      <c r="AG14" s="5"/>
      <c r="AH14" s="5"/>
      <c r="AI14" s="113" t="s">
        <v>110</v>
      </c>
      <c r="AJ14" s="114" t="n">
        <f aca="false">SUM(AJ4:AJ13)</f>
        <v>0</v>
      </c>
      <c r="AK14" s="115"/>
      <c r="AL14" s="115"/>
      <c r="AM14" s="115"/>
      <c r="AN14" s="115"/>
      <c r="AO14" s="116" t="s">
        <v>110</v>
      </c>
      <c r="AP14" s="117" t="n">
        <f aca="false">SUM(AP4:AP13)</f>
        <v>0</v>
      </c>
      <c r="AQ14" s="5"/>
      <c r="AR14" s="5"/>
      <c r="AS14" s="5"/>
      <c r="AT14" s="118" t="e">
        <f aca="false">AT12+AT11</f>
        <v>#DIV/0!</v>
      </c>
      <c r="AU14" s="119" t="s">
        <v>114</v>
      </c>
      <c r="AV14" s="120"/>
      <c r="AW14" s="5"/>
      <c r="AX14" s="5"/>
      <c r="AY14" s="5"/>
      <c r="AZ14" s="5"/>
      <c r="BA14" s="5"/>
      <c r="BB14" s="42" t="s">
        <v>115</v>
      </c>
      <c r="BC14" s="42" t="s">
        <v>116</v>
      </c>
      <c r="BD14" s="43" t="n">
        <v>91.7</v>
      </c>
      <c r="BE14" s="44" t="n">
        <v>10</v>
      </c>
      <c r="BF14" s="93" t="n">
        <v>850</v>
      </c>
      <c r="BG14" s="43" t="n">
        <f aca="false">BD14*BE14</f>
        <v>917</v>
      </c>
      <c r="BH14" s="94" t="n">
        <f aca="false">BG14-BF14</f>
        <v>67</v>
      </c>
      <c r="BI14" s="46" t="n">
        <f aca="false">(BG14-BF14)/BF14</f>
        <v>0.0788235294117647</v>
      </c>
      <c r="BJ14" s="5"/>
      <c r="BK14" s="5"/>
      <c r="BL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7" t="s">
        <v>117</v>
      </c>
      <c r="BC15" s="67" t="s">
        <v>118</v>
      </c>
      <c r="BD15" s="68" t="n">
        <v>298.42</v>
      </c>
      <c r="BE15" s="44" t="n">
        <v>10</v>
      </c>
      <c r="BF15" s="93" t="n">
        <v>2500</v>
      </c>
      <c r="BG15" s="68" t="n">
        <f aca="false">BD15*BE15</f>
        <v>2984.2</v>
      </c>
      <c r="BH15" s="94" t="n">
        <f aca="false">BG15-BF15</f>
        <v>484.2</v>
      </c>
      <c r="BI15" s="69" t="n">
        <f aca="false">(BG15-BF15)/BF15</f>
        <v>0.19368</v>
      </c>
      <c r="BJ15" s="5"/>
      <c r="BK15" s="5"/>
      <c r="BL15" s="5"/>
    </row>
    <row r="16" customFormat="false" ht="15" hidden="false" customHeight="true" outlineLevel="0" collapsed="false">
      <c r="A16" s="5"/>
      <c r="B16" s="122" t="s">
        <v>119</v>
      </c>
      <c r="C16" s="123" t="s">
        <v>51</v>
      </c>
      <c r="D16" s="124"/>
      <c r="E16" s="125" t="s">
        <v>58</v>
      </c>
      <c r="F16" s="126"/>
      <c r="G16" s="5"/>
      <c r="H16" s="122" t="s">
        <v>119</v>
      </c>
      <c r="I16" s="123" t="s">
        <v>51</v>
      </c>
      <c r="J16" s="124"/>
      <c r="K16" s="125" t="s">
        <v>58</v>
      </c>
      <c r="L16" s="126"/>
      <c r="M16" s="5"/>
      <c r="N16" s="122" t="s">
        <v>119</v>
      </c>
      <c r="O16" s="123" t="s">
        <v>51</v>
      </c>
      <c r="P16" s="124"/>
      <c r="Q16" s="125" t="s">
        <v>58</v>
      </c>
      <c r="R16" s="126"/>
      <c r="S16" s="5"/>
      <c r="T16" s="122" t="s">
        <v>119</v>
      </c>
      <c r="U16" s="123" t="s">
        <v>51</v>
      </c>
      <c r="V16" s="124"/>
      <c r="W16" s="125" t="s">
        <v>58</v>
      </c>
      <c r="X16" s="126"/>
      <c r="Y16" s="5"/>
      <c r="Z16" s="122" t="s">
        <v>119</v>
      </c>
      <c r="AA16" s="123" t="s">
        <v>51</v>
      </c>
      <c r="AB16" s="124"/>
      <c r="AC16" s="125" t="s">
        <v>58</v>
      </c>
      <c r="AD16" s="126"/>
      <c r="AE16" s="5"/>
      <c r="AF16" s="122" t="s">
        <v>119</v>
      </c>
      <c r="AG16" s="123" t="s">
        <v>51</v>
      </c>
      <c r="AH16" s="124"/>
      <c r="AI16" s="125" t="s">
        <v>58</v>
      </c>
      <c r="AJ16" s="126"/>
      <c r="AK16" s="5"/>
      <c r="AL16" s="122" t="s">
        <v>119</v>
      </c>
      <c r="AM16" s="123" t="s">
        <v>51</v>
      </c>
      <c r="AN16" s="124"/>
      <c r="AO16" s="125" t="s">
        <v>58</v>
      </c>
      <c r="AP16" s="126"/>
      <c r="AQ16" s="5"/>
      <c r="AR16" s="122" t="s">
        <v>119</v>
      </c>
      <c r="AS16" s="123" t="s">
        <v>51</v>
      </c>
      <c r="AT16" s="124"/>
      <c r="AU16" s="125" t="s">
        <v>58</v>
      </c>
      <c r="AV16" s="126"/>
      <c r="AW16" s="5"/>
      <c r="AX16" s="5"/>
      <c r="AY16" s="5"/>
      <c r="AZ16" s="5"/>
      <c r="BA16" s="5"/>
      <c r="BB16" s="42" t="s">
        <v>120</v>
      </c>
      <c r="BC16" s="42" t="s">
        <v>121</v>
      </c>
      <c r="BD16" s="43" t="n">
        <v>164.98</v>
      </c>
      <c r="BE16" s="44" t="n">
        <v>10</v>
      </c>
      <c r="BF16" s="93" t="n">
        <v>1400</v>
      </c>
      <c r="BG16" s="43" t="n">
        <f aca="false">BD16*BE16</f>
        <v>1649.8</v>
      </c>
      <c r="BH16" s="94" t="n">
        <f aca="false">BG16-BF16</f>
        <v>249.8</v>
      </c>
      <c r="BI16" s="46" t="n">
        <f aca="false">(BG16-BF16)/BF16</f>
        <v>0.178428571428571</v>
      </c>
      <c r="BJ16" s="5"/>
      <c r="BK16" s="5"/>
      <c r="BL16" s="5"/>
    </row>
    <row r="17" customFormat="false" ht="13.8" hidden="false" customHeight="false" outlineLevel="0" collapsed="false">
      <c r="A17" s="5"/>
      <c r="B17" s="122"/>
      <c r="C17" s="123"/>
      <c r="D17" s="24" t="s">
        <v>19</v>
      </c>
      <c r="E17" s="24" t="s">
        <v>20</v>
      </c>
      <c r="F17" s="25" t="s">
        <v>21</v>
      </c>
      <c r="G17" s="5"/>
      <c r="H17" s="122"/>
      <c r="I17" s="123"/>
      <c r="J17" s="24" t="s">
        <v>19</v>
      </c>
      <c r="K17" s="24" t="s">
        <v>20</v>
      </c>
      <c r="L17" s="25" t="s">
        <v>21</v>
      </c>
      <c r="M17" s="5"/>
      <c r="N17" s="122"/>
      <c r="O17" s="123"/>
      <c r="P17" s="24" t="s">
        <v>19</v>
      </c>
      <c r="Q17" s="24" t="s">
        <v>20</v>
      </c>
      <c r="R17" s="25" t="s">
        <v>21</v>
      </c>
      <c r="S17" s="5"/>
      <c r="T17" s="122"/>
      <c r="U17" s="123"/>
      <c r="V17" s="24" t="s">
        <v>19</v>
      </c>
      <c r="W17" s="24" t="s">
        <v>20</v>
      </c>
      <c r="X17" s="25" t="s">
        <v>21</v>
      </c>
      <c r="Y17" s="5"/>
      <c r="Z17" s="122"/>
      <c r="AA17" s="123"/>
      <c r="AB17" s="24" t="s">
        <v>19</v>
      </c>
      <c r="AC17" s="24" t="s">
        <v>20</v>
      </c>
      <c r="AD17" s="25" t="s">
        <v>21</v>
      </c>
      <c r="AE17" s="5"/>
      <c r="AF17" s="122"/>
      <c r="AG17" s="123"/>
      <c r="AH17" s="24" t="s">
        <v>19</v>
      </c>
      <c r="AI17" s="24" t="s">
        <v>20</v>
      </c>
      <c r="AJ17" s="25" t="s">
        <v>21</v>
      </c>
      <c r="AK17" s="5"/>
      <c r="AL17" s="122"/>
      <c r="AM17" s="123"/>
      <c r="AN17" s="24" t="s">
        <v>19</v>
      </c>
      <c r="AO17" s="24" t="s">
        <v>20</v>
      </c>
      <c r="AP17" s="25" t="s">
        <v>21</v>
      </c>
      <c r="AQ17" s="5"/>
      <c r="AR17" s="122"/>
      <c r="AS17" s="123"/>
      <c r="AT17" s="24" t="s">
        <v>19</v>
      </c>
      <c r="AU17" s="24" t="s">
        <v>20</v>
      </c>
      <c r="AV17" s="25" t="s">
        <v>21</v>
      </c>
      <c r="AW17" s="5"/>
      <c r="AX17" s="5"/>
      <c r="AY17" s="5"/>
      <c r="AZ17" s="5"/>
      <c r="BA17" s="5"/>
      <c r="BB17" s="127"/>
      <c r="BC17" s="127"/>
      <c r="BD17" s="128"/>
      <c r="BE17" s="129"/>
      <c r="BF17" s="128"/>
      <c r="BG17" s="128"/>
      <c r="BH17" s="128"/>
      <c r="BI17" s="128"/>
      <c r="BJ17" s="5"/>
      <c r="BK17" s="5"/>
      <c r="BL17" s="5"/>
    </row>
    <row r="18" customFormat="false" ht="17.35" hidden="false" customHeight="false" outlineLevel="0" collapsed="false">
      <c r="A18" s="5"/>
      <c r="B18" s="130" t="s">
        <v>122</v>
      </c>
      <c r="C18" s="130"/>
      <c r="D18" s="130"/>
      <c r="E18" s="130"/>
      <c r="F18" s="130"/>
      <c r="G18" s="5"/>
      <c r="H18" s="131"/>
      <c r="I18" s="132"/>
      <c r="J18" s="132"/>
      <c r="K18" s="133" t="s">
        <v>123</v>
      </c>
      <c r="L18" s="134"/>
      <c r="M18" s="5"/>
      <c r="N18" s="131"/>
      <c r="O18" s="132"/>
      <c r="P18" s="132"/>
      <c r="Q18" s="133" t="s">
        <v>124</v>
      </c>
      <c r="R18" s="134"/>
      <c r="S18" s="5"/>
      <c r="T18" s="131"/>
      <c r="U18" s="132"/>
      <c r="V18" s="132"/>
      <c r="W18" s="133" t="s">
        <v>125</v>
      </c>
      <c r="X18" s="134"/>
      <c r="Y18" s="5"/>
      <c r="Z18" s="131"/>
      <c r="AA18" s="132"/>
      <c r="AB18" s="132"/>
      <c r="AC18" s="133" t="s">
        <v>126</v>
      </c>
      <c r="AD18" s="134"/>
      <c r="AE18" s="5"/>
      <c r="AF18" s="131"/>
      <c r="AG18" s="132"/>
      <c r="AH18" s="132"/>
      <c r="AI18" s="133" t="s">
        <v>127</v>
      </c>
      <c r="AJ18" s="134"/>
      <c r="AK18" s="5"/>
      <c r="AL18" s="131"/>
      <c r="AM18" s="132"/>
      <c r="AN18" s="132"/>
      <c r="AO18" s="133" t="s">
        <v>128</v>
      </c>
      <c r="AP18" s="134"/>
      <c r="AQ18" s="5"/>
      <c r="AR18" s="131"/>
      <c r="AS18" s="132"/>
      <c r="AT18" s="132"/>
      <c r="AU18" s="133" t="s">
        <v>129</v>
      </c>
      <c r="AV18" s="134"/>
      <c r="AW18" s="5"/>
      <c r="AX18" s="5"/>
      <c r="AY18" s="5"/>
      <c r="AZ18" s="5"/>
      <c r="BA18" s="5"/>
      <c r="BB18" s="127"/>
      <c r="BC18" s="127"/>
      <c r="BD18" s="128"/>
      <c r="BE18" s="129"/>
      <c r="BF18" s="128"/>
      <c r="BG18" s="128"/>
      <c r="BH18" s="128"/>
      <c r="BI18" s="128"/>
      <c r="BJ18" s="5"/>
      <c r="BK18" s="5"/>
      <c r="BL18" s="5"/>
    </row>
    <row r="19" customFormat="false" ht="13.8" hidden="false" customHeight="false" outlineLevel="1" collapsed="false">
      <c r="A19" s="5"/>
      <c r="B19" s="135"/>
      <c r="C19" s="136"/>
      <c r="D19" s="137"/>
      <c r="E19" s="42"/>
      <c r="F19" s="138"/>
      <c r="G19" s="5"/>
      <c r="H19" s="135"/>
      <c r="I19" s="136"/>
      <c r="J19" s="137"/>
      <c r="K19" s="42"/>
      <c r="L19" s="138"/>
      <c r="M19" s="5"/>
      <c r="N19" s="135"/>
      <c r="O19" s="136"/>
      <c r="P19" s="137"/>
      <c r="Q19" s="42"/>
      <c r="R19" s="138"/>
      <c r="S19" s="5"/>
      <c r="T19" s="135"/>
      <c r="U19" s="136"/>
      <c r="V19" s="137"/>
      <c r="W19" s="42"/>
      <c r="X19" s="138"/>
      <c r="Y19" s="5"/>
      <c r="Z19" s="135"/>
      <c r="AA19" s="136"/>
      <c r="AB19" s="137"/>
      <c r="AC19" s="42"/>
      <c r="AD19" s="138"/>
      <c r="AE19" s="5"/>
      <c r="AF19" s="135"/>
      <c r="AG19" s="136"/>
      <c r="AH19" s="137"/>
      <c r="AI19" s="42"/>
      <c r="AJ19" s="138"/>
      <c r="AK19" s="5"/>
      <c r="AL19" s="135"/>
      <c r="AM19" s="136"/>
      <c r="AN19" s="137"/>
      <c r="AO19" s="42"/>
      <c r="AP19" s="138"/>
      <c r="AQ19" s="5"/>
      <c r="AR19" s="135"/>
      <c r="AS19" s="136"/>
      <c r="AT19" s="137"/>
      <c r="AU19" s="42" t="s">
        <v>137</v>
      </c>
      <c r="AV19" s="138"/>
      <c r="AW19" s="5"/>
      <c r="AX19" s="5"/>
      <c r="AY19" s="5"/>
      <c r="AZ19" s="5"/>
      <c r="BA19" s="5"/>
      <c r="BB19" s="127"/>
      <c r="BC19" s="127"/>
      <c r="BD19" s="128"/>
      <c r="BE19" s="129"/>
      <c r="BF19" s="128"/>
      <c r="BG19" s="128"/>
      <c r="BH19" s="128"/>
      <c r="BI19" s="128"/>
      <c r="BJ19" s="5"/>
      <c r="BK19" s="5"/>
      <c r="BL19" s="5"/>
    </row>
    <row r="20" customFormat="false" ht="13.8" hidden="false" customHeight="false" outlineLevel="1" collapsed="false">
      <c r="A20" s="5"/>
      <c r="B20" s="139"/>
      <c r="C20" s="140"/>
      <c r="D20" s="141"/>
      <c r="E20" s="67"/>
      <c r="F20" s="142"/>
      <c r="G20" s="5"/>
      <c r="H20" s="139"/>
      <c r="I20" s="140"/>
      <c r="J20" s="141"/>
      <c r="K20" s="67"/>
      <c r="L20" s="142"/>
      <c r="M20" s="5"/>
      <c r="N20" s="139"/>
      <c r="O20" s="140"/>
      <c r="P20" s="141"/>
      <c r="Q20" s="67"/>
      <c r="R20" s="142"/>
      <c r="S20" s="5"/>
      <c r="T20" s="139"/>
      <c r="U20" s="140"/>
      <c r="V20" s="141"/>
      <c r="W20" s="67"/>
      <c r="X20" s="142"/>
      <c r="Y20" s="5"/>
      <c r="Z20" s="139"/>
      <c r="AA20" s="140"/>
      <c r="AB20" s="141"/>
      <c r="AC20" s="67"/>
      <c r="AD20" s="142"/>
      <c r="AE20" s="5"/>
      <c r="AF20" s="139"/>
      <c r="AG20" s="140"/>
      <c r="AH20" s="141"/>
      <c r="AI20" s="67"/>
      <c r="AJ20" s="142"/>
      <c r="AK20" s="5"/>
      <c r="AL20" s="139"/>
      <c r="AM20" s="140"/>
      <c r="AN20" s="141"/>
      <c r="AO20" s="67"/>
      <c r="AP20" s="142"/>
      <c r="AQ20" s="5"/>
      <c r="AR20" s="139"/>
      <c r="AS20" s="140"/>
      <c r="AT20" s="141"/>
      <c r="AU20" s="67" t="s">
        <v>142</v>
      </c>
      <c r="AV20" s="142"/>
      <c r="AW20" s="5"/>
      <c r="AX20" s="5"/>
      <c r="AY20" s="5"/>
      <c r="AZ20" s="5"/>
      <c r="BA20" s="5"/>
      <c r="BB20" s="127"/>
      <c r="BC20" s="127"/>
      <c r="BD20" s="128"/>
      <c r="BE20" s="129"/>
      <c r="BF20" s="128"/>
      <c r="BG20" s="128"/>
      <c r="BH20" s="128"/>
      <c r="BI20" s="128"/>
      <c r="BJ20" s="5"/>
      <c r="BK20" s="5"/>
      <c r="BL20" s="5"/>
    </row>
    <row r="21" customFormat="false" ht="13.8" hidden="false" customHeight="false" outlineLevel="1" collapsed="false">
      <c r="A21" s="5"/>
      <c r="B21" s="135"/>
      <c r="C21" s="136"/>
      <c r="D21" s="137"/>
      <c r="E21" s="42"/>
      <c r="F21" s="138"/>
      <c r="G21" s="5"/>
      <c r="H21" s="135"/>
      <c r="I21" s="136"/>
      <c r="J21" s="137"/>
      <c r="K21" s="42"/>
      <c r="L21" s="138"/>
      <c r="M21" s="5"/>
      <c r="N21" s="135"/>
      <c r="O21" s="136"/>
      <c r="P21" s="137"/>
      <c r="Q21" s="42"/>
      <c r="R21" s="138"/>
      <c r="S21" s="5"/>
      <c r="T21" s="135"/>
      <c r="U21" s="136"/>
      <c r="V21" s="137"/>
      <c r="W21" s="42"/>
      <c r="X21" s="138"/>
      <c r="Y21" s="5"/>
      <c r="Z21" s="135"/>
      <c r="AA21" s="136"/>
      <c r="AB21" s="137"/>
      <c r="AC21" s="42"/>
      <c r="AD21" s="138"/>
      <c r="AE21" s="5"/>
      <c r="AF21" s="135"/>
      <c r="AG21" s="136"/>
      <c r="AH21" s="137"/>
      <c r="AI21" s="42"/>
      <c r="AJ21" s="138"/>
      <c r="AK21" s="5"/>
      <c r="AL21" s="135"/>
      <c r="AM21" s="136"/>
      <c r="AN21" s="137"/>
      <c r="AO21" s="42"/>
      <c r="AP21" s="138"/>
      <c r="AQ21" s="5"/>
      <c r="AR21" s="135"/>
      <c r="AS21" s="136"/>
      <c r="AT21" s="137"/>
      <c r="AU21" s="42" t="s">
        <v>144</v>
      </c>
      <c r="AV21" s="138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3.8" hidden="false" customHeight="false" outlineLevel="1" collapsed="false">
      <c r="A22" s="5"/>
      <c r="B22" s="139"/>
      <c r="C22" s="140"/>
      <c r="D22" s="141"/>
      <c r="E22" s="67"/>
      <c r="F22" s="142"/>
      <c r="G22" s="5"/>
      <c r="H22" s="139"/>
      <c r="I22" s="140"/>
      <c r="J22" s="141"/>
      <c r="K22" s="67"/>
      <c r="L22" s="142"/>
      <c r="M22" s="5"/>
      <c r="N22" s="139"/>
      <c r="O22" s="140"/>
      <c r="P22" s="141"/>
      <c r="Q22" s="67"/>
      <c r="R22" s="142"/>
      <c r="S22" s="5"/>
      <c r="T22" s="139"/>
      <c r="U22" s="140"/>
      <c r="V22" s="141"/>
      <c r="W22" s="67"/>
      <c r="X22" s="142"/>
      <c r="Y22" s="5"/>
      <c r="Z22" s="139"/>
      <c r="AA22" s="140"/>
      <c r="AB22" s="141"/>
      <c r="AC22" s="67"/>
      <c r="AD22" s="142"/>
      <c r="AE22" s="5"/>
      <c r="AF22" s="139"/>
      <c r="AG22" s="140"/>
      <c r="AH22" s="141"/>
      <c r="AI22" s="67"/>
      <c r="AJ22" s="142"/>
      <c r="AK22" s="5"/>
      <c r="AL22" s="139"/>
      <c r="AM22" s="140"/>
      <c r="AN22" s="141"/>
      <c r="AO22" s="67"/>
      <c r="AP22" s="142"/>
      <c r="AQ22" s="5"/>
      <c r="AR22" s="139"/>
      <c r="AS22" s="140"/>
      <c r="AT22" s="141"/>
      <c r="AU22" s="67" t="s">
        <v>145</v>
      </c>
      <c r="AV22" s="142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3.8" hidden="false" customHeight="false" outlineLevel="1" collapsed="false">
      <c r="A23" s="5"/>
      <c r="B23" s="135"/>
      <c r="C23" s="136"/>
      <c r="D23" s="137"/>
      <c r="E23" s="42"/>
      <c r="F23" s="138"/>
      <c r="G23" s="5"/>
      <c r="H23" s="135"/>
      <c r="I23" s="136"/>
      <c r="J23" s="137"/>
      <c r="K23" s="42"/>
      <c r="L23" s="138"/>
      <c r="M23" s="5"/>
      <c r="N23" s="135"/>
      <c r="O23" s="136"/>
      <c r="P23" s="137"/>
      <c r="Q23" s="42"/>
      <c r="R23" s="138"/>
      <c r="S23" s="5"/>
      <c r="T23" s="135"/>
      <c r="U23" s="136"/>
      <c r="V23" s="137"/>
      <c r="W23" s="42"/>
      <c r="X23" s="138"/>
      <c r="Y23" s="5"/>
      <c r="Z23" s="135"/>
      <c r="AA23" s="136"/>
      <c r="AB23" s="137"/>
      <c r="AC23" s="42"/>
      <c r="AD23" s="138"/>
      <c r="AE23" s="5"/>
      <c r="AF23" s="135"/>
      <c r="AG23" s="136"/>
      <c r="AH23" s="137"/>
      <c r="AI23" s="42"/>
      <c r="AJ23" s="138"/>
      <c r="AK23" s="5"/>
      <c r="AL23" s="135"/>
      <c r="AM23" s="136"/>
      <c r="AN23" s="137"/>
      <c r="AO23" s="42"/>
      <c r="AP23" s="138"/>
      <c r="AQ23" s="5"/>
      <c r="AR23" s="135"/>
      <c r="AS23" s="136"/>
      <c r="AT23" s="137"/>
      <c r="AU23" s="42" t="s">
        <v>146</v>
      </c>
      <c r="AV23" s="138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3.8" hidden="false" customHeight="false" outlineLevel="1" collapsed="false">
      <c r="A24" s="5"/>
      <c r="B24" s="139"/>
      <c r="C24" s="140"/>
      <c r="D24" s="141"/>
      <c r="E24" s="67"/>
      <c r="F24" s="142"/>
      <c r="G24" s="5"/>
      <c r="H24" s="139"/>
      <c r="I24" s="140"/>
      <c r="J24" s="141"/>
      <c r="K24" s="67"/>
      <c r="L24" s="142"/>
      <c r="M24" s="5"/>
      <c r="N24" s="139"/>
      <c r="O24" s="140"/>
      <c r="P24" s="141"/>
      <c r="Q24" s="67"/>
      <c r="R24" s="142"/>
      <c r="S24" s="5"/>
      <c r="T24" s="139"/>
      <c r="U24" s="140"/>
      <c r="V24" s="141"/>
      <c r="W24" s="67"/>
      <c r="X24" s="142"/>
      <c r="Y24" s="5"/>
      <c r="Z24" s="139"/>
      <c r="AA24" s="140"/>
      <c r="AB24" s="141"/>
      <c r="AC24" s="67"/>
      <c r="AD24" s="142"/>
      <c r="AE24" s="5"/>
      <c r="AF24" s="139"/>
      <c r="AG24" s="140"/>
      <c r="AH24" s="141"/>
      <c r="AI24" s="67"/>
      <c r="AJ24" s="142"/>
      <c r="AK24" s="5"/>
      <c r="AL24" s="139"/>
      <c r="AM24" s="140"/>
      <c r="AN24" s="141"/>
      <c r="AO24" s="67"/>
      <c r="AP24" s="142"/>
      <c r="AQ24" s="5"/>
      <c r="AR24" s="139"/>
      <c r="AS24" s="140"/>
      <c r="AT24" s="141"/>
      <c r="AU24" s="67"/>
      <c r="AV24" s="142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3.8" hidden="false" customHeight="false" outlineLevel="1" collapsed="false">
      <c r="A25" s="5"/>
      <c r="B25" s="135"/>
      <c r="C25" s="136"/>
      <c r="D25" s="137"/>
      <c r="E25" s="42"/>
      <c r="F25" s="138"/>
      <c r="G25" s="5"/>
      <c r="H25" s="135"/>
      <c r="I25" s="136"/>
      <c r="J25" s="137"/>
      <c r="K25" s="42"/>
      <c r="L25" s="138"/>
      <c r="M25" s="5"/>
      <c r="N25" s="135"/>
      <c r="O25" s="136"/>
      <c r="P25" s="137"/>
      <c r="Q25" s="42"/>
      <c r="R25" s="138"/>
      <c r="S25" s="5"/>
      <c r="T25" s="135"/>
      <c r="U25" s="136"/>
      <c r="V25" s="137"/>
      <c r="W25" s="42"/>
      <c r="X25" s="138"/>
      <c r="Y25" s="5"/>
      <c r="Z25" s="135"/>
      <c r="AA25" s="136"/>
      <c r="AB25" s="137"/>
      <c r="AC25" s="42"/>
      <c r="AD25" s="138"/>
      <c r="AE25" s="5"/>
      <c r="AF25" s="135"/>
      <c r="AG25" s="136"/>
      <c r="AH25" s="137"/>
      <c r="AI25" s="42"/>
      <c r="AJ25" s="138"/>
      <c r="AK25" s="5"/>
      <c r="AL25" s="135"/>
      <c r="AM25" s="136"/>
      <c r="AN25" s="137"/>
      <c r="AO25" s="42"/>
      <c r="AP25" s="138"/>
      <c r="AQ25" s="5"/>
      <c r="AR25" s="135"/>
      <c r="AS25" s="136"/>
      <c r="AT25" s="137"/>
      <c r="AU25" s="42"/>
      <c r="AV25" s="138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3.8" hidden="false" customHeight="false" outlineLevel="1" collapsed="false">
      <c r="A26" s="5"/>
      <c r="B26" s="139"/>
      <c r="C26" s="140"/>
      <c r="D26" s="141"/>
      <c r="E26" s="67"/>
      <c r="F26" s="142"/>
      <c r="G26" s="5"/>
      <c r="H26" s="139"/>
      <c r="I26" s="140"/>
      <c r="J26" s="141"/>
      <c r="K26" s="67"/>
      <c r="L26" s="142"/>
      <c r="M26" s="5"/>
      <c r="N26" s="139"/>
      <c r="O26" s="140"/>
      <c r="P26" s="141"/>
      <c r="Q26" s="67"/>
      <c r="R26" s="142"/>
      <c r="S26" s="5"/>
      <c r="T26" s="139"/>
      <c r="U26" s="140"/>
      <c r="V26" s="141"/>
      <c r="W26" s="67"/>
      <c r="X26" s="142"/>
      <c r="Y26" s="5"/>
      <c r="Z26" s="139"/>
      <c r="AA26" s="140"/>
      <c r="AB26" s="141"/>
      <c r="AC26" s="67"/>
      <c r="AD26" s="142"/>
      <c r="AE26" s="5"/>
      <c r="AF26" s="139"/>
      <c r="AG26" s="140"/>
      <c r="AH26" s="141"/>
      <c r="AI26" s="67"/>
      <c r="AJ26" s="142"/>
      <c r="AK26" s="5"/>
      <c r="AL26" s="139"/>
      <c r="AM26" s="140"/>
      <c r="AN26" s="141"/>
      <c r="AO26" s="67"/>
      <c r="AP26" s="142"/>
      <c r="AQ26" s="5"/>
      <c r="AR26" s="139"/>
      <c r="AS26" s="140"/>
      <c r="AT26" s="141"/>
      <c r="AU26" s="67"/>
      <c r="AV26" s="142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3.8" hidden="false" customHeight="false" outlineLevel="1" collapsed="false">
      <c r="A27" s="5"/>
      <c r="B27" s="135"/>
      <c r="C27" s="136"/>
      <c r="D27" s="137"/>
      <c r="E27" s="42"/>
      <c r="F27" s="138"/>
      <c r="G27" s="5"/>
      <c r="H27" s="135"/>
      <c r="I27" s="136"/>
      <c r="J27" s="137"/>
      <c r="K27" s="42"/>
      <c r="L27" s="138"/>
      <c r="M27" s="5"/>
      <c r="N27" s="135"/>
      <c r="O27" s="136"/>
      <c r="P27" s="137"/>
      <c r="Q27" s="42"/>
      <c r="R27" s="138"/>
      <c r="S27" s="5"/>
      <c r="T27" s="135"/>
      <c r="U27" s="136"/>
      <c r="V27" s="137"/>
      <c r="W27" s="42"/>
      <c r="X27" s="138"/>
      <c r="Y27" s="5"/>
      <c r="Z27" s="135"/>
      <c r="AA27" s="136"/>
      <c r="AB27" s="137"/>
      <c r="AC27" s="42"/>
      <c r="AD27" s="138"/>
      <c r="AE27" s="5"/>
      <c r="AF27" s="135"/>
      <c r="AG27" s="136"/>
      <c r="AH27" s="137"/>
      <c r="AI27" s="42"/>
      <c r="AJ27" s="138"/>
      <c r="AK27" s="5"/>
      <c r="AL27" s="135"/>
      <c r="AM27" s="136"/>
      <c r="AN27" s="137"/>
      <c r="AO27" s="42"/>
      <c r="AP27" s="138"/>
      <c r="AQ27" s="5"/>
      <c r="AR27" s="135"/>
      <c r="AS27" s="136"/>
      <c r="AT27" s="137"/>
      <c r="AU27" s="42"/>
      <c r="AV27" s="138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3.8" hidden="false" customHeight="false" outlineLevel="1" collapsed="false">
      <c r="A28" s="5"/>
      <c r="B28" s="139"/>
      <c r="C28" s="140"/>
      <c r="D28" s="141"/>
      <c r="E28" s="67"/>
      <c r="F28" s="142"/>
      <c r="G28" s="5"/>
      <c r="H28" s="139"/>
      <c r="I28" s="140"/>
      <c r="J28" s="141"/>
      <c r="K28" s="67"/>
      <c r="L28" s="142"/>
      <c r="M28" s="5"/>
      <c r="N28" s="139"/>
      <c r="O28" s="140"/>
      <c r="P28" s="141"/>
      <c r="Q28" s="67"/>
      <c r="R28" s="142"/>
      <c r="S28" s="5"/>
      <c r="T28" s="139"/>
      <c r="U28" s="140"/>
      <c r="V28" s="141"/>
      <c r="W28" s="67"/>
      <c r="X28" s="142"/>
      <c r="Y28" s="5"/>
      <c r="Z28" s="139"/>
      <c r="AA28" s="140"/>
      <c r="AB28" s="141"/>
      <c r="AC28" s="67"/>
      <c r="AD28" s="142"/>
      <c r="AE28" s="5"/>
      <c r="AF28" s="139"/>
      <c r="AG28" s="140"/>
      <c r="AH28" s="141"/>
      <c r="AI28" s="67"/>
      <c r="AJ28" s="142"/>
      <c r="AK28" s="5"/>
      <c r="AL28" s="139"/>
      <c r="AM28" s="140"/>
      <c r="AN28" s="141"/>
      <c r="AO28" s="67"/>
      <c r="AP28" s="142"/>
      <c r="AQ28" s="5"/>
      <c r="AR28" s="139"/>
      <c r="AS28" s="140"/>
      <c r="AT28" s="141"/>
      <c r="AU28" s="67"/>
      <c r="AV28" s="142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3.8" hidden="false" customHeight="false" outlineLevel="1" collapsed="false">
      <c r="A29" s="5"/>
      <c r="B29" s="135"/>
      <c r="C29" s="136"/>
      <c r="D29" s="137"/>
      <c r="E29" s="42"/>
      <c r="F29" s="138"/>
      <c r="G29" s="5"/>
      <c r="H29" s="135"/>
      <c r="I29" s="136"/>
      <c r="J29" s="137"/>
      <c r="K29" s="42"/>
      <c r="L29" s="138"/>
      <c r="M29" s="5"/>
      <c r="N29" s="135"/>
      <c r="O29" s="136"/>
      <c r="P29" s="137"/>
      <c r="Q29" s="42"/>
      <c r="R29" s="138"/>
      <c r="S29" s="5"/>
      <c r="T29" s="135"/>
      <c r="U29" s="136"/>
      <c r="V29" s="137"/>
      <c r="W29" s="42"/>
      <c r="X29" s="138"/>
      <c r="Y29" s="5"/>
      <c r="Z29" s="135"/>
      <c r="AA29" s="136"/>
      <c r="AB29" s="137"/>
      <c r="AC29" s="42"/>
      <c r="AD29" s="138"/>
      <c r="AE29" s="5"/>
      <c r="AF29" s="135"/>
      <c r="AG29" s="136"/>
      <c r="AH29" s="137"/>
      <c r="AI29" s="42"/>
      <c r="AJ29" s="138"/>
      <c r="AK29" s="5"/>
      <c r="AL29" s="135"/>
      <c r="AM29" s="136"/>
      <c r="AN29" s="137"/>
      <c r="AO29" s="42"/>
      <c r="AP29" s="138"/>
      <c r="AQ29" s="5"/>
      <c r="AR29" s="135"/>
      <c r="AS29" s="136"/>
      <c r="AT29" s="137"/>
      <c r="AU29" s="42"/>
      <c r="AV29" s="138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3.8" hidden="false" customHeight="false" outlineLevel="1" collapsed="false">
      <c r="A30" s="5"/>
      <c r="B30" s="139"/>
      <c r="C30" s="140"/>
      <c r="D30" s="141"/>
      <c r="E30" s="67"/>
      <c r="F30" s="142"/>
      <c r="G30" s="5"/>
      <c r="H30" s="139"/>
      <c r="I30" s="140"/>
      <c r="J30" s="141"/>
      <c r="K30" s="67"/>
      <c r="L30" s="142"/>
      <c r="M30" s="5"/>
      <c r="N30" s="139"/>
      <c r="O30" s="140"/>
      <c r="P30" s="141"/>
      <c r="Q30" s="67"/>
      <c r="R30" s="142"/>
      <c r="S30" s="5"/>
      <c r="T30" s="139"/>
      <c r="U30" s="140"/>
      <c r="V30" s="141"/>
      <c r="W30" s="67"/>
      <c r="X30" s="142"/>
      <c r="Y30" s="5"/>
      <c r="Z30" s="139"/>
      <c r="AA30" s="140"/>
      <c r="AB30" s="141"/>
      <c r="AC30" s="67"/>
      <c r="AD30" s="142"/>
      <c r="AE30" s="5"/>
      <c r="AF30" s="139"/>
      <c r="AG30" s="140"/>
      <c r="AH30" s="141"/>
      <c r="AI30" s="67"/>
      <c r="AJ30" s="142"/>
      <c r="AK30" s="5"/>
      <c r="AL30" s="139"/>
      <c r="AM30" s="140"/>
      <c r="AN30" s="141"/>
      <c r="AO30" s="67"/>
      <c r="AP30" s="142"/>
      <c r="AQ30" s="5"/>
      <c r="AR30" s="139"/>
      <c r="AS30" s="140"/>
      <c r="AT30" s="141"/>
      <c r="AU30" s="67"/>
      <c r="AV30" s="142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3.8" hidden="false" customHeight="false" outlineLevel="1" collapsed="false">
      <c r="A31" s="5"/>
      <c r="B31" s="135"/>
      <c r="C31" s="136"/>
      <c r="D31" s="137"/>
      <c r="E31" s="42"/>
      <c r="F31" s="138"/>
      <c r="G31" s="5"/>
      <c r="H31" s="135"/>
      <c r="I31" s="136"/>
      <c r="J31" s="137"/>
      <c r="K31" s="42"/>
      <c r="L31" s="138"/>
      <c r="M31" s="5"/>
      <c r="N31" s="135"/>
      <c r="O31" s="136"/>
      <c r="P31" s="137"/>
      <c r="Q31" s="42"/>
      <c r="R31" s="138"/>
      <c r="S31" s="5"/>
      <c r="T31" s="135"/>
      <c r="U31" s="136"/>
      <c r="V31" s="137"/>
      <c r="W31" s="42"/>
      <c r="X31" s="138"/>
      <c r="Y31" s="5"/>
      <c r="Z31" s="135"/>
      <c r="AA31" s="136"/>
      <c r="AB31" s="137"/>
      <c r="AC31" s="42"/>
      <c r="AD31" s="138"/>
      <c r="AE31" s="5"/>
      <c r="AF31" s="135"/>
      <c r="AG31" s="136"/>
      <c r="AH31" s="137"/>
      <c r="AI31" s="42"/>
      <c r="AJ31" s="138"/>
      <c r="AK31" s="5"/>
      <c r="AL31" s="135"/>
      <c r="AM31" s="136"/>
      <c r="AN31" s="137"/>
      <c r="AO31" s="42"/>
      <c r="AP31" s="138"/>
      <c r="AQ31" s="5"/>
      <c r="AR31" s="135"/>
      <c r="AS31" s="136"/>
      <c r="AT31" s="137"/>
      <c r="AU31" s="42"/>
      <c r="AV31" s="138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3.8" hidden="false" customHeight="false" outlineLevel="1" collapsed="false">
      <c r="A32" s="5"/>
      <c r="B32" s="139"/>
      <c r="C32" s="140"/>
      <c r="D32" s="141"/>
      <c r="E32" s="67"/>
      <c r="F32" s="142"/>
      <c r="G32" s="5"/>
      <c r="H32" s="139"/>
      <c r="I32" s="140"/>
      <c r="J32" s="141"/>
      <c r="K32" s="67"/>
      <c r="L32" s="142"/>
      <c r="M32" s="5"/>
      <c r="N32" s="139"/>
      <c r="O32" s="140"/>
      <c r="P32" s="141"/>
      <c r="Q32" s="67"/>
      <c r="R32" s="142"/>
      <c r="S32" s="5"/>
      <c r="T32" s="139"/>
      <c r="U32" s="140"/>
      <c r="V32" s="141"/>
      <c r="W32" s="67"/>
      <c r="X32" s="142"/>
      <c r="Y32" s="5"/>
      <c r="Z32" s="139"/>
      <c r="AA32" s="140"/>
      <c r="AB32" s="141"/>
      <c r="AC32" s="67"/>
      <c r="AD32" s="142"/>
      <c r="AE32" s="5"/>
      <c r="AF32" s="139"/>
      <c r="AG32" s="140"/>
      <c r="AH32" s="141"/>
      <c r="AI32" s="67"/>
      <c r="AJ32" s="142"/>
      <c r="AK32" s="5"/>
      <c r="AL32" s="139"/>
      <c r="AM32" s="140"/>
      <c r="AN32" s="141"/>
      <c r="AO32" s="67"/>
      <c r="AP32" s="142"/>
      <c r="AQ32" s="5"/>
      <c r="AR32" s="139"/>
      <c r="AS32" s="140"/>
      <c r="AT32" s="141"/>
      <c r="AU32" s="67"/>
      <c r="AV32" s="142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3.8" hidden="false" customHeight="false" outlineLevel="1" collapsed="false">
      <c r="A33" s="5"/>
      <c r="B33" s="135"/>
      <c r="C33" s="136"/>
      <c r="D33" s="137"/>
      <c r="E33" s="42"/>
      <c r="F33" s="138"/>
      <c r="G33" s="5"/>
      <c r="H33" s="135"/>
      <c r="I33" s="136"/>
      <c r="J33" s="137"/>
      <c r="K33" s="42"/>
      <c r="L33" s="138"/>
      <c r="M33" s="5"/>
      <c r="N33" s="135"/>
      <c r="O33" s="136"/>
      <c r="P33" s="137"/>
      <c r="Q33" s="42"/>
      <c r="R33" s="138"/>
      <c r="S33" s="5"/>
      <c r="T33" s="135"/>
      <c r="U33" s="136"/>
      <c r="V33" s="137"/>
      <c r="W33" s="42"/>
      <c r="X33" s="138"/>
      <c r="Y33" s="5"/>
      <c r="Z33" s="135"/>
      <c r="AA33" s="136"/>
      <c r="AB33" s="137"/>
      <c r="AC33" s="42"/>
      <c r="AD33" s="138"/>
      <c r="AE33" s="5"/>
      <c r="AF33" s="135"/>
      <c r="AG33" s="136"/>
      <c r="AH33" s="137"/>
      <c r="AI33" s="42"/>
      <c r="AJ33" s="138"/>
      <c r="AK33" s="5"/>
      <c r="AL33" s="135"/>
      <c r="AM33" s="136"/>
      <c r="AN33" s="137"/>
      <c r="AO33" s="42"/>
      <c r="AP33" s="138"/>
      <c r="AQ33" s="5"/>
      <c r="AR33" s="135"/>
      <c r="AS33" s="136"/>
      <c r="AT33" s="137"/>
      <c r="AU33" s="42"/>
      <c r="AV33" s="138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3.8" hidden="false" customHeight="false" outlineLevel="1" collapsed="false">
      <c r="A34" s="5"/>
      <c r="B34" s="139"/>
      <c r="C34" s="140"/>
      <c r="D34" s="141"/>
      <c r="E34" s="67"/>
      <c r="F34" s="142"/>
      <c r="G34" s="5"/>
      <c r="H34" s="139"/>
      <c r="I34" s="140"/>
      <c r="J34" s="141"/>
      <c r="K34" s="67"/>
      <c r="L34" s="142"/>
      <c r="M34" s="5"/>
      <c r="N34" s="139"/>
      <c r="O34" s="140"/>
      <c r="P34" s="141"/>
      <c r="Q34" s="67"/>
      <c r="R34" s="142"/>
      <c r="S34" s="5"/>
      <c r="T34" s="139"/>
      <c r="U34" s="140"/>
      <c r="V34" s="141"/>
      <c r="W34" s="67"/>
      <c r="X34" s="142"/>
      <c r="Y34" s="5"/>
      <c r="Z34" s="139"/>
      <c r="AA34" s="140"/>
      <c r="AB34" s="141"/>
      <c r="AC34" s="67"/>
      <c r="AD34" s="142"/>
      <c r="AE34" s="5"/>
      <c r="AF34" s="139"/>
      <c r="AG34" s="140"/>
      <c r="AH34" s="141"/>
      <c r="AI34" s="67"/>
      <c r="AJ34" s="142"/>
      <c r="AK34" s="5"/>
      <c r="AL34" s="139"/>
      <c r="AM34" s="140"/>
      <c r="AN34" s="141"/>
      <c r="AO34" s="67"/>
      <c r="AP34" s="142"/>
      <c r="AQ34" s="5"/>
      <c r="AR34" s="139"/>
      <c r="AS34" s="140"/>
      <c r="AT34" s="141"/>
      <c r="AU34" s="67"/>
      <c r="AV34" s="14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3.8" hidden="false" customHeight="false" outlineLevel="1" collapsed="false">
      <c r="A35" s="5"/>
      <c r="B35" s="135"/>
      <c r="C35" s="136"/>
      <c r="D35" s="137"/>
      <c r="E35" s="42"/>
      <c r="F35" s="138"/>
      <c r="G35" s="5"/>
      <c r="H35" s="135"/>
      <c r="I35" s="136"/>
      <c r="J35" s="137"/>
      <c r="K35" s="42"/>
      <c r="L35" s="138"/>
      <c r="M35" s="5"/>
      <c r="N35" s="135"/>
      <c r="O35" s="136"/>
      <c r="P35" s="137"/>
      <c r="Q35" s="42"/>
      <c r="R35" s="138"/>
      <c r="S35" s="5"/>
      <c r="T35" s="135"/>
      <c r="U35" s="136"/>
      <c r="V35" s="137"/>
      <c r="W35" s="42"/>
      <c r="X35" s="138"/>
      <c r="Y35" s="5"/>
      <c r="Z35" s="135"/>
      <c r="AA35" s="136"/>
      <c r="AB35" s="137"/>
      <c r="AC35" s="42"/>
      <c r="AD35" s="138"/>
      <c r="AE35" s="5"/>
      <c r="AF35" s="135"/>
      <c r="AG35" s="136"/>
      <c r="AH35" s="137"/>
      <c r="AI35" s="42"/>
      <c r="AJ35" s="138"/>
      <c r="AK35" s="5"/>
      <c r="AL35" s="135"/>
      <c r="AM35" s="136"/>
      <c r="AN35" s="137"/>
      <c r="AO35" s="42"/>
      <c r="AP35" s="138"/>
      <c r="AQ35" s="5"/>
      <c r="AR35" s="135"/>
      <c r="AS35" s="136"/>
      <c r="AT35" s="137"/>
      <c r="AU35" s="42"/>
      <c r="AV35" s="138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3.8" hidden="false" customHeight="false" outlineLevel="1" collapsed="false">
      <c r="A36" s="5"/>
      <c r="B36" s="139"/>
      <c r="C36" s="140"/>
      <c r="D36" s="141"/>
      <c r="E36" s="67"/>
      <c r="F36" s="142"/>
      <c r="G36" s="5"/>
      <c r="H36" s="139"/>
      <c r="I36" s="140"/>
      <c r="J36" s="141"/>
      <c r="K36" s="67"/>
      <c r="L36" s="142"/>
      <c r="M36" s="5"/>
      <c r="N36" s="139"/>
      <c r="O36" s="140"/>
      <c r="P36" s="141"/>
      <c r="Q36" s="67"/>
      <c r="R36" s="142"/>
      <c r="S36" s="5"/>
      <c r="T36" s="139"/>
      <c r="U36" s="140"/>
      <c r="V36" s="141"/>
      <c r="W36" s="67"/>
      <c r="X36" s="142"/>
      <c r="Y36" s="5"/>
      <c r="Z36" s="139"/>
      <c r="AA36" s="140"/>
      <c r="AB36" s="141"/>
      <c r="AC36" s="67"/>
      <c r="AD36" s="142"/>
      <c r="AE36" s="5"/>
      <c r="AF36" s="139"/>
      <c r="AG36" s="140"/>
      <c r="AH36" s="141"/>
      <c r="AI36" s="67"/>
      <c r="AJ36" s="142"/>
      <c r="AK36" s="5"/>
      <c r="AL36" s="139"/>
      <c r="AM36" s="140"/>
      <c r="AN36" s="141"/>
      <c r="AO36" s="67"/>
      <c r="AP36" s="142"/>
      <c r="AQ36" s="5"/>
      <c r="AR36" s="139"/>
      <c r="AS36" s="140"/>
      <c r="AT36" s="141"/>
      <c r="AU36" s="67"/>
      <c r="AV36" s="142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3.8" hidden="false" customHeight="false" outlineLevel="1" collapsed="false">
      <c r="A37" s="5"/>
      <c r="B37" s="135"/>
      <c r="C37" s="136"/>
      <c r="D37" s="137"/>
      <c r="E37" s="42"/>
      <c r="F37" s="138"/>
      <c r="G37" s="5"/>
      <c r="H37" s="135"/>
      <c r="I37" s="136"/>
      <c r="J37" s="137"/>
      <c r="K37" s="42"/>
      <c r="L37" s="138"/>
      <c r="M37" s="5"/>
      <c r="N37" s="135"/>
      <c r="O37" s="136"/>
      <c r="P37" s="137"/>
      <c r="Q37" s="42"/>
      <c r="R37" s="138"/>
      <c r="S37" s="5"/>
      <c r="T37" s="135"/>
      <c r="U37" s="136"/>
      <c r="V37" s="137"/>
      <c r="W37" s="42"/>
      <c r="X37" s="138"/>
      <c r="Y37" s="5"/>
      <c r="Z37" s="135"/>
      <c r="AA37" s="136"/>
      <c r="AB37" s="137"/>
      <c r="AC37" s="42"/>
      <c r="AD37" s="138"/>
      <c r="AE37" s="5"/>
      <c r="AF37" s="135"/>
      <c r="AG37" s="136"/>
      <c r="AH37" s="137"/>
      <c r="AI37" s="42"/>
      <c r="AJ37" s="138"/>
      <c r="AK37" s="5"/>
      <c r="AL37" s="135"/>
      <c r="AM37" s="136"/>
      <c r="AN37" s="137"/>
      <c r="AO37" s="42"/>
      <c r="AP37" s="138"/>
      <c r="AQ37" s="5"/>
      <c r="AR37" s="135"/>
      <c r="AS37" s="136"/>
      <c r="AT37" s="137"/>
      <c r="AU37" s="42"/>
      <c r="AV37" s="138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3.8" hidden="false" customHeight="false" outlineLevel="1" collapsed="false">
      <c r="A38" s="5"/>
      <c r="B38" s="139"/>
      <c r="C38" s="140"/>
      <c r="D38" s="141"/>
      <c r="E38" s="67"/>
      <c r="F38" s="142"/>
      <c r="G38" s="5"/>
      <c r="H38" s="139"/>
      <c r="I38" s="140"/>
      <c r="J38" s="141"/>
      <c r="K38" s="67"/>
      <c r="L38" s="142"/>
      <c r="M38" s="5"/>
      <c r="N38" s="139"/>
      <c r="O38" s="140"/>
      <c r="P38" s="141"/>
      <c r="Q38" s="67"/>
      <c r="R38" s="142"/>
      <c r="S38" s="5"/>
      <c r="T38" s="139"/>
      <c r="U38" s="140"/>
      <c r="V38" s="141"/>
      <c r="W38" s="67"/>
      <c r="X38" s="142"/>
      <c r="Y38" s="5"/>
      <c r="Z38" s="139"/>
      <c r="AA38" s="140"/>
      <c r="AB38" s="141"/>
      <c r="AC38" s="67"/>
      <c r="AD38" s="142"/>
      <c r="AE38" s="5"/>
      <c r="AF38" s="139"/>
      <c r="AG38" s="140"/>
      <c r="AH38" s="141"/>
      <c r="AI38" s="67"/>
      <c r="AJ38" s="142"/>
      <c r="AK38" s="5"/>
      <c r="AL38" s="139"/>
      <c r="AM38" s="140"/>
      <c r="AN38" s="141"/>
      <c r="AO38" s="67"/>
      <c r="AP38" s="142"/>
      <c r="AQ38" s="5"/>
      <c r="AR38" s="139"/>
      <c r="AS38" s="140"/>
      <c r="AT38" s="141"/>
      <c r="AU38" s="67"/>
      <c r="AV38" s="142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3.8" hidden="false" customHeight="false" outlineLevel="1" collapsed="false">
      <c r="A39" s="5"/>
      <c r="B39" s="135"/>
      <c r="C39" s="136"/>
      <c r="D39" s="137"/>
      <c r="E39" s="42"/>
      <c r="F39" s="138"/>
      <c r="G39" s="5"/>
      <c r="H39" s="135"/>
      <c r="I39" s="136"/>
      <c r="J39" s="137"/>
      <c r="K39" s="42"/>
      <c r="L39" s="138"/>
      <c r="M39" s="5"/>
      <c r="N39" s="135"/>
      <c r="O39" s="136"/>
      <c r="P39" s="137"/>
      <c r="Q39" s="42"/>
      <c r="R39" s="138"/>
      <c r="S39" s="5"/>
      <c r="T39" s="135"/>
      <c r="U39" s="136"/>
      <c r="V39" s="137"/>
      <c r="W39" s="42"/>
      <c r="X39" s="138"/>
      <c r="Y39" s="5"/>
      <c r="Z39" s="135"/>
      <c r="AA39" s="136"/>
      <c r="AB39" s="137"/>
      <c r="AC39" s="42"/>
      <c r="AD39" s="138"/>
      <c r="AE39" s="5"/>
      <c r="AF39" s="135"/>
      <c r="AG39" s="136"/>
      <c r="AH39" s="137"/>
      <c r="AI39" s="42"/>
      <c r="AJ39" s="138"/>
      <c r="AK39" s="5"/>
      <c r="AL39" s="135"/>
      <c r="AM39" s="136"/>
      <c r="AN39" s="137"/>
      <c r="AO39" s="42"/>
      <c r="AP39" s="138"/>
      <c r="AQ39" s="5"/>
      <c r="AR39" s="135"/>
      <c r="AS39" s="136"/>
      <c r="AT39" s="137"/>
      <c r="AU39" s="42"/>
      <c r="AV39" s="138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3.8" hidden="false" customHeight="false" outlineLevel="1" collapsed="false">
      <c r="A40" s="5"/>
      <c r="B40" s="139"/>
      <c r="C40" s="140"/>
      <c r="D40" s="141"/>
      <c r="E40" s="67"/>
      <c r="F40" s="142"/>
      <c r="G40" s="5"/>
      <c r="H40" s="139"/>
      <c r="I40" s="140"/>
      <c r="J40" s="141"/>
      <c r="K40" s="67"/>
      <c r="L40" s="142"/>
      <c r="M40" s="5"/>
      <c r="N40" s="139"/>
      <c r="O40" s="140"/>
      <c r="P40" s="141"/>
      <c r="Q40" s="67"/>
      <c r="R40" s="142"/>
      <c r="S40" s="5"/>
      <c r="T40" s="139"/>
      <c r="U40" s="140"/>
      <c r="V40" s="141"/>
      <c r="W40" s="67"/>
      <c r="X40" s="142"/>
      <c r="Y40" s="5"/>
      <c r="Z40" s="139"/>
      <c r="AA40" s="140"/>
      <c r="AB40" s="141"/>
      <c r="AC40" s="67"/>
      <c r="AD40" s="142"/>
      <c r="AE40" s="5"/>
      <c r="AF40" s="139"/>
      <c r="AG40" s="140"/>
      <c r="AH40" s="141"/>
      <c r="AI40" s="67"/>
      <c r="AJ40" s="142"/>
      <c r="AK40" s="5"/>
      <c r="AL40" s="139"/>
      <c r="AM40" s="140"/>
      <c r="AN40" s="141"/>
      <c r="AO40" s="67"/>
      <c r="AP40" s="142"/>
      <c r="AQ40" s="5"/>
      <c r="AR40" s="139"/>
      <c r="AS40" s="140"/>
      <c r="AT40" s="141"/>
      <c r="AU40" s="67"/>
      <c r="AV40" s="142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3.8" hidden="false" customHeight="false" outlineLevel="1" collapsed="false">
      <c r="A41" s="5"/>
      <c r="B41" s="135"/>
      <c r="C41" s="136"/>
      <c r="D41" s="137"/>
      <c r="E41" s="42"/>
      <c r="F41" s="138"/>
      <c r="G41" s="5"/>
      <c r="H41" s="135"/>
      <c r="I41" s="136"/>
      <c r="J41" s="137"/>
      <c r="K41" s="42"/>
      <c r="L41" s="138"/>
      <c r="M41" s="5"/>
      <c r="N41" s="135"/>
      <c r="O41" s="136"/>
      <c r="P41" s="137"/>
      <c r="Q41" s="42"/>
      <c r="R41" s="138"/>
      <c r="S41" s="5"/>
      <c r="T41" s="135"/>
      <c r="U41" s="136"/>
      <c r="V41" s="137"/>
      <c r="W41" s="42"/>
      <c r="X41" s="138"/>
      <c r="Y41" s="5"/>
      <c r="Z41" s="135"/>
      <c r="AA41" s="136"/>
      <c r="AB41" s="137"/>
      <c r="AC41" s="42"/>
      <c r="AD41" s="138"/>
      <c r="AE41" s="5"/>
      <c r="AF41" s="135"/>
      <c r="AG41" s="136"/>
      <c r="AH41" s="137"/>
      <c r="AI41" s="42"/>
      <c r="AJ41" s="138"/>
      <c r="AK41" s="5"/>
      <c r="AL41" s="135"/>
      <c r="AM41" s="136"/>
      <c r="AN41" s="137"/>
      <c r="AO41" s="42"/>
      <c r="AP41" s="138"/>
      <c r="AQ41" s="5"/>
      <c r="AR41" s="135"/>
      <c r="AS41" s="136"/>
      <c r="AT41" s="137"/>
      <c r="AU41" s="42"/>
      <c r="AV41" s="138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3.8" hidden="false" customHeight="false" outlineLevel="1" collapsed="false">
      <c r="A42" s="5"/>
      <c r="B42" s="139"/>
      <c r="C42" s="140"/>
      <c r="D42" s="141"/>
      <c r="E42" s="67"/>
      <c r="F42" s="142"/>
      <c r="G42" s="5"/>
      <c r="H42" s="139"/>
      <c r="I42" s="140"/>
      <c r="J42" s="141"/>
      <c r="K42" s="67"/>
      <c r="L42" s="142"/>
      <c r="M42" s="5"/>
      <c r="N42" s="139"/>
      <c r="O42" s="140"/>
      <c r="P42" s="141"/>
      <c r="Q42" s="67"/>
      <c r="R42" s="142"/>
      <c r="S42" s="5"/>
      <c r="T42" s="139"/>
      <c r="U42" s="140"/>
      <c r="V42" s="141"/>
      <c r="W42" s="67"/>
      <c r="X42" s="142"/>
      <c r="Y42" s="5"/>
      <c r="Z42" s="139"/>
      <c r="AA42" s="140"/>
      <c r="AB42" s="141"/>
      <c r="AC42" s="67"/>
      <c r="AD42" s="142"/>
      <c r="AE42" s="5"/>
      <c r="AF42" s="139"/>
      <c r="AG42" s="140"/>
      <c r="AH42" s="141"/>
      <c r="AI42" s="67"/>
      <c r="AJ42" s="142"/>
      <c r="AK42" s="5"/>
      <c r="AL42" s="139"/>
      <c r="AM42" s="140"/>
      <c r="AN42" s="141"/>
      <c r="AO42" s="67"/>
      <c r="AP42" s="142"/>
      <c r="AQ42" s="5"/>
      <c r="AR42" s="139"/>
      <c r="AS42" s="140"/>
      <c r="AT42" s="141"/>
      <c r="AU42" s="67"/>
      <c r="AV42" s="142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3.8" hidden="false" customHeight="false" outlineLevel="1" collapsed="false">
      <c r="A43" s="5"/>
      <c r="B43" s="135"/>
      <c r="C43" s="136"/>
      <c r="D43" s="137"/>
      <c r="E43" s="42"/>
      <c r="F43" s="138"/>
      <c r="G43" s="5"/>
      <c r="H43" s="135"/>
      <c r="I43" s="136"/>
      <c r="J43" s="137"/>
      <c r="K43" s="42"/>
      <c r="L43" s="138"/>
      <c r="M43" s="5"/>
      <c r="N43" s="135"/>
      <c r="O43" s="136"/>
      <c r="P43" s="137"/>
      <c r="Q43" s="42"/>
      <c r="R43" s="138"/>
      <c r="S43" s="5"/>
      <c r="T43" s="135"/>
      <c r="U43" s="136"/>
      <c r="V43" s="137"/>
      <c r="W43" s="42"/>
      <c r="X43" s="138"/>
      <c r="Y43" s="5"/>
      <c r="Z43" s="135"/>
      <c r="AA43" s="136"/>
      <c r="AB43" s="137"/>
      <c r="AC43" s="42"/>
      <c r="AD43" s="138"/>
      <c r="AE43" s="5"/>
      <c r="AF43" s="135"/>
      <c r="AG43" s="136"/>
      <c r="AH43" s="137"/>
      <c r="AI43" s="42"/>
      <c r="AJ43" s="138"/>
      <c r="AK43" s="5"/>
      <c r="AL43" s="135"/>
      <c r="AM43" s="136"/>
      <c r="AN43" s="137"/>
      <c r="AO43" s="42"/>
      <c r="AP43" s="138"/>
      <c r="AQ43" s="5"/>
      <c r="AR43" s="135"/>
      <c r="AS43" s="136"/>
      <c r="AT43" s="137"/>
      <c r="AU43" s="42"/>
      <c r="AV43" s="138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3.8" hidden="false" customHeight="false" outlineLevel="1" collapsed="false">
      <c r="A44" s="5"/>
      <c r="B44" s="139"/>
      <c r="C44" s="140"/>
      <c r="D44" s="141"/>
      <c r="E44" s="67"/>
      <c r="F44" s="142"/>
      <c r="G44" s="5"/>
      <c r="H44" s="139"/>
      <c r="I44" s="140"/>
      <c r="J44" s="141"/>
      <c r="K44" s="67"/>
      <c r="L44" s="142"/>
      <c r="M44" s="5"/>
      <c r="N44" s="139"/>
      <c r="O44" s="140"/>
      <c r="P44" s="141"/>
      <c r="Q44" s="67"/>
      <c r="R44" s="142"/>
      <c r="S44" s="5"/>
      <c r="T44" s="139"/>
      <c r="U44" s="140"/>
      <c r="V44" s="141"/>
      <c r="W44" s="67"/>
      <c r="X44" s="142"/>
      <c r="Y44" s="5"/>
      <c r="Z44" s="139"/>
      <c r="AA44" s="140"/>
      <c r="AB44" s="141"/>
      <c r="AC44" s="67"/>
      <c r="AD44" s="142"/>
      <c r="AE44" s="5"/>
      <c r="AF44" s="139"/>
      <c r="AG44" s="140"/>
      <c r="AH44" s="141"/>
      <c r="AI44" s="67"/>
      <c r="AJ44" s="142"/>
      <c r="AK44" s="5"/>
      <c r="AL44" s="139"/>
      <c r="AM44" s="140"/>
      <c r="AN44" s="141"/>
      <c r="AO44" s="67"/>
      <c r="AP44" s="142"/>
      <c r="AQ44" s="5"/>
      <c r="AR44" s="139"/>
      <c r="AS44" s="140"/>
      <c r="AT44" s="141"/>
      <c r="AU44" s="67"/>
      <c r="AV44" s="142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3.8" hidden="false" customHeight="false" outlineLevel="1" collapsed="false">
      <c r="A45" s="5"/>
      <c r="B45" s="135"/>
      <c r="C45" s="136"/>
      <c r="D45" s="137"/>
      <c r="E45" s="42"/>
      <c r="F45" s="138"/>
      <c r="G45" s="5"/>
      <c r="H45" s="135"/>
      <c r="I45" s="136"/>
      <c r="J45" s="137"/>
      <c r="K45" s="42"/>
      <c r="L45" s="138"/>
      <c r="M45" s="5"/>
      <c r="N45" s="135"/>
      <c r="O45" s="136"/>
      <c r="P45" s="137"/>
      <c r="Q45" s="42"/>
      <c r="R45" s="138"/>
      <c r="S45" s="5"/>
      <c r="T45" s="135"/>
      <c r="U45" s="136"/>
      <c r="V45" s="137"/>
      <c r="W45" s="42"/>
      <c r="X45" s="138"/>
      <c r="Y45" s="5"/>
      <c r="Z45" s="135"/>
      <c r="AA45" s="136"/>
      <c r="AB45" s="137"/>
      <c r="AC45" s="42"/>
      <c r="AD45" s="138"/>
      <c r="AE45" s="5"/>
      <c r="AF45" s="135"/>
      <c r="AG45" s="136"/>
      <c r="AH45" s="137"/>
      <c r="AI45" s="42"/>
      <c r="AJ45" s="138"/>
      <c r="AK45" s="5"/>
      <c r="AL45" s="135"/>
      <c r="AM45" s="136"/>
      <c r="AN45" s="137"/>
      <c r="AO45" s="42"/>
      <c r="AP45" s="138"/>
      <c r="AQ45" s="5"/>
      <c r="AR45" s="135"/>
      <c r="AS45" s="136"/>
      <c r="AT45" s="137"/>
      <c r="AU45" s="42"/>
      <c r="AV45" s="138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3.8" hidden="false" customHeight="false" outlineLevel="1" collapsed="false">
      <c r="A46" s="5"/>
      <c r="B46" s="139"/>
      <c r="C46" s="140"/>
      <c r="D46" s="141"/>
      <c r="E46" s="67"/>
      <c r="F46" s="142"/>
      <c r="G46" s="5"/>
      <c r="H46" s="143"/>
      <c r="I46" s="140"/>
      <c r="J46" s="141"/>
      <c r="K46" s="67"/>
      <c r="L46" s="142"/>
      <c r="M46" s="5"/>
      <c r="N46" s="143"/>
      <c r="O46" s="140"/>
      <c r="P46" s="141"/>
      <c r="Q46" s="67"/>
      <c r="R46" s="142"/>
      <c r="S46" s="5"/>
      <c r="T46" s="143"/>
      <c r="U46" s="140"/>
      <c r="V46" s="141"/>
      <c r="W46" s="67"/>
      <c r="X46" s="142"/>
      <c r="Y46" s="5"/>
      <c r="Z46" s="143"/>
      <c r="AA46" s="140"/>
      <c r="AB46" s="141"/>
      <c r="AC46" s="67"/>
      <c r="AD46" s="142"/>
      <c r="AE46" s="5"/>
      <c r="AF46" s="143"/>
      <c r="AG46" s="140"/>
      <c r="AH46" s="141"/>
      <c r="AI46" s="67"/>
      <c r="AJ46" s="142"/>
      <c r="AK46" s="5"/>
      <c r="AL46" s="143"/>
      <c r="AM46" s="140"/>
      <c r="AN46" s="141"/>
      <c r="AO46" s="67"/>
      <c r="AP46" s="142"/>
      <c r="AQ46" s="5"/>
      <c r="AR46" s="143"/>
      <c r="AS46" s="140"/>
      <c r="AT46" s="141"/>
      <c r="AU46" s="67"/>
      <c r="AV46" s="142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3.8" hidden="false" customHeight="false" outlineLevel="1" collapsed="false">
      <c r="A47" s="5"/>
      <c r="B47" s="135"/>
      <c r="C47" s="136"/>
      <c r="D47" s="137"/>
      <c r="E47" s="42"/>
      <c r="F47" s="138"/>
      <c r="G47" s="5"/>
      <c r="H47" s="135"/>
      <c r="I47" s="136"/>
      <c r="J47" s="137"/>
      <c r="K47" s="42"/>
      <c r="L47" s="138"/>
      <c r="M47" s="5"/>
      <c r="N47" s="135"/>
      <c r="O47" s="136"/>
      <c r="P47" s="137"/>
      <c r="Q47" s="42"/>
      <c r="R47" s="138"/>
      <c r="S47" s="5"/>
      <c r="T47" s="135"/>
      <c r="U47" s="136"/>
      <c r="V47" s="137"/>
      <c r="W47" s="42"/>
      <c r="X47" s="138"/>
      <c r="Y47" s="5"/>
      <c r="Z47" s="135"/>
      <c r="AA47" s="136"/>
      <c r="AB47" s="137"/>
      <c r="AC47" s="42"/>
      <c r="AD47" s="138"/>
      <c r="AE47" s="5"/>
      <c r="AF47" s="135"/>
      <c r="AG47" s="136"/>
      <c r="AH47" s="137"/>
      <c r="AI47" s="42"/>
      <c r="AJ47" s="138"/>
      <c r="AK47" s="5"/>
      <c r="AL47" s="135"/>
      <c r="AM47" s="136"/>
      <c r="AN47" s="137"/>
      <c r="AO47" s="42"/>
      <c r="AP47" s="138"/>
      <c r="AQ47" s="5"/>
      <c r="AR47" s="135"/>
      <c r="AS47" s="136"/>
      <c r="AT47" s="137"/>
      <c r="AU47" s="42"/>
      <c r="AV47" s="138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3.8" hidden="false" customHeight="false" outlineLevel="1" collapsed="false">
      <c r="A48" s="5"/>
      <c r="B48" s="139"/>
      <c r="C48" s="140"/>
      <c r="D48" s="141"/>
      <c r="E48" s="67"/>
      <c r="F48" s="142"/>
      <c r="G48" s="5"/>
      <c r="H48" s="139"/>
      <c r="I48" s="140"/>
      <c r="J48" s="141"/>
      <c r="K48" s="67"/>
      <c r="L48" s="142"/>
      <c r="M48" s="5"/>
      <c r="N48" s="139"/>
      <c r="O48" s="140"/>
      <c r="P48" s="141"/>
      <c r="Q48" s="67"/>
      <c r="R48" s="142"/>
      <c r="S48" s="5"/>
      <c r="T48" s="139"/>
      <c r="U48" s="140"/>
      <c r="V48" s="141"/>
      <c r="W48" s="67"/>
      <c r="X48" s="142"/>
      <c r="Y48" s="5"/>
      <c r="Z48" s="139"/>
      <c r="AA48" s="140"/>
      <c r="AB48" s="141"/>
      <c r="AC48" s="67"/>
      <c r="AD48" s="142"/>
      <c r="AE48" s="5"/>
      <c r="AF48" s="139"/>
      <c r="AG48" s="140"/>
      <c r="AH48" s="141"/>
      <c r="AI48" s="67"/>
      <c r="AJ48" s="142"/>
      <c r="AK48" s="5"/>
      <c r="AL48" s="139"/>
      <c r="AM48" s="140"/>
      <c r="AN48" s="141"/>
      <c r="AO48" s="67"/>
      <c r="AP48" s="142"/>
      <c r="AQ48" s="5"/>
      <c r="AR48" s="139"/>
      <c r="AS48" s="140"/>
      <c r="AT48" s="141"/>
      <c r="AU48" s="67"/>
      <c r="AV48" s="142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3.8" hidden="false" customHeight="false" outlineLevel="1" collapsed="false">
      <c r="A49" s="5"/>
      <c r="B49" s="135"/>
      <c r="C49" s="136"/>
      <c r="D49" s="137"/>
      <c r="E49" s="42"/>
      <c r="F49" s="138"/>
      <c r="G49" s="5"/>
      <c r="H49" s="135"/>
      <c r="I49" s="136"/>
      <c r="J49" s="137"/>
      <c r="K49" s="42"/>
      <c r="L49" s="138"/>
      <c r="M49" s="5"/>
      <c r="N49" s="135"/>
      <c r="O49" s="136"/>
      <c r="P49" s="137"/>
      <c r="Q49" s="42"/>
      <c r="R49" s="138"/>
      <c r="S49" s="5"/>
      <c r="T49" s="135"/>
      <c r="U49" s="136"/>
      <c r="V49" s="137"/>
      <c r="W49" s="42"/>
      <c r="X49" s="138"/>
      <c r="Y49" s="5"/>
      <c r="Z49" s="135"/>
      <c r="AA49" s="136"/>
      <c r="AB49" s="137"/>
      <c r="AC49" s="42"/>
      <c r="AD49" s="138"/>
      <c r="AE49" s="5"/>
      <c r="AF49" s="135"/>
      <c r="AG49" s="136"/>
      <c r="AH49" s="137"/>
      <c r="AI49" s="42"/>
      <c r="AJ49" s="138"/>
      <c r="AK49" s="5"/>
      <c r="AL49" s="135"/>
      <c r="AM49" s="136"/>
      <c r="AN49" s="137"/>
      <c r="AO49" s="42"/>
      <c r="AP49" s="138"/>
      <c r="AQ49" s="5"/>
      <c r="AR49" s="135"/>
      <c r="AS49" s="136"/>
      <c r="AT49" s="137"/>
      <c r="AU49" s="42"/>
      <c r="AV49" s="138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3.8" hidden="false" customHeight="false" outlineLevel="1" collapsed="false">
      <c r="A50" s="5"/>
      <c r="B50" s="139"/>
      <c r="C50" s="140"/>
      <c r="D50" s="141"/>
      <c r="E50" s="67"/>
      <c r="F50" s="142"/>
      <c r="G50" s="5"/>
      <c r="H50" s="139"/>
      <c r="I50" s="140"/>
      <c r="J50" s="141"/>
      <c r="K50" s="67"/>
      <c r="L50" s="142"/>
      <c r="M50" s="5"/>
      <c r="N50" s="139"/>
      <c r="O50" s="140"/>
      <c r="P50" s="141"/>
      <c r="Q50" s="67"/>
      <c r="R50" s="142"/>
      <c r="S50" s="5"/>
      <c r="T50" s="139"/>
      <c r="U50" s="140"/>
      <c r="V50" s="141"/>
      <c r="W50" s="67"/>
      <c r="X50" s="142"/>
      <c r="Y50" s="5"/>
      <c r="Z50" s="139"/>
      <c r="AA50" s="140"/>
      <c r="AB50" s="141"/>
      <c r="AC50" s="67"/>
      <c r="AD50" s="142"/>
      <c r="AE50" s="5"/>
      <c r="AF50" s="139"/>
      <c r="AG50" s="140"/>
      <c r="AH50" s="141"/>
      <c r="AI50" s="67"/>
      <c r="AJ50" s="142"/>
      <c r="AK50" s="5"/>
      <c r="AL50" s="139"/>
      <c r="AM50" s="140"/>
      <c r="AN50" s="141"/>
      <c r="AO50" s="67"/>
      <c r="AP50" s="142"/>
      <c r="AQ50" s="5"/>
      <c r="AR50" s="139"/>
      <c r="AS50" s="140"/>
      <c r="AT50" s="141"/>
      <c r="AU50" s="67"/>
      <c r="AV50" s="142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3.8" hidden="false" customHeight="false" outlineLevel="1" collapsed="false">
      <c r="A51" s="5"/>
      <c r="B51" s="135"/>
      <c r="C51" s="136"/>
      <c r="D51" s="137"/>
      <c r="E51" s="42"/>
      <c r="F51" s="138"/>
      <c r="G51" s="5"/>
      <c r="H51" s="135"/>
      <c r="I51" s="136"/>
      <c r="J51" s="137"/>
      <c r="K51" s="42"/>
      <c r="L51" s="138"/>
      <c r="M51" s="5"/>
      <c r="N51" s="135"/>
      <c r="O51" s="136"/>
      <c r="P51" s="137"/>
      <c r="Q51" s="42"/>
      <c r="R51" s="138"/>
      <c r="S51" s="5"/>
      <c r="T51" s="135"/>
      <c r="U51" s="136"/>
      <c r="V51" s="137"/>
      <c r="W51" s="42"/>
      <c r="X51" s="138"/>
      <c r="Y51" s="5"/>
      <c r="Z51" s="135"/>
      <c r="AA51" s="136"/>
      <c r="AB51" s="137"/>
      <c r="AC51" s="42"/>
      <c r="AD51" s="138"/>
      <c r="AE51" s="5"/>
      <c r="AF51" s="135"/>
      <c r="AG51" s="136"/>
      <c r="AH51" s="137"/>
      <c r="AI51" s="42"/>
      <c r="AJ51" s="138"/>
      <c r="AK51" s="5"/>
      <c r="AL51" s="135"/>
      <c r="AM51" s="136"/>
      <c r="AN51" s="137"/>
      <c r="AO51" s="42"/>
      <c r="AP51" s="138"/>
      <c r="AQ51" s="5"/>
      <c r="AR51" s="135"/>
      <c r="AS51" s="136"/>
      <c r="AT51" s="137"/>
      <c r="AU51" s="42"/>
      <c r="AV51" s="138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3.8" hidden="false" customHeight="false" outlineLevel="1" collapsed="false">
      <c r="A52" s="5"/>
      <c r="B52" s="139"/>
      <c r="C52" s="140"/>
      <c r="D52" s="141"/>
      <c r="E52" s="67"/>
      <c r="F52" s="142"/>
      <c r="G52" s="5"/>
      <c r="H52" s="139"/>
      <c r="I52" s="140"/>
      <c r="J52" s="141"/>
      <c r="K52" s="67"/>
      <c r="L52" s="142"/>
      <c r="M52" s="5"/>
      <c r="N52" s="139"/>
      <c r="O52" s="140"/>
      <c r="P52" s="141"/>
      <c r="Q52" s="67"/>
      <c r="R52" s="142"/>
      <c r="S52" s="5"/>
      <c r="T52" s="139"/>
      <c r="U52" s="140"/>
      <c r="V52" s="141"/>
      <c r="W52" s="67"/>
      <c r="X52" s="142"/>
      <c r="Y52" s="5"/>
      <c r="Z52" s="139"/>
      <c r="AA52" s="140"/>
      <c r="AB52" s="141"/>
      <c r="AC52" s="67"/>
      <c r="AD52" s="142"/>
      <c r="AE52" s="5"/>
      <c r="AF52" s="139"/>
      <c r="AG52" s="140"/>
      <c r="AH52" s="141"/>
      <c r="AI52" s="67"/>
      <c r="AJ52" s="142"/>
      <c r="AK52" s="5"/>
      <c r="AL52" s="139"/>
      <c r="AM52" s="140"/>
      <c r="AN52" s="141"/>
      <c r="AO52" s="67"/>
      <c r="AP52" s="142"/>
      <c r="AQ52" s="5"/>
      <c r="AR52" s="139"/>
      <c r="AS52" s="140"/>
      <c r="AT52" s="141"/>
      <c r="AU52" s="67"/>
      <c r="AV52" s="142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3.8" hidden="false" customHeight="false" outlineLevel="1" collapsed="false">
      <c r="A53" s="5"/>
      <c r="B53" s="135"/>
      <c r="C53" s="136"/>
      <c r="D53" s="137"/>
      <c r="E53" s="42"/>
      <c r="F53" s="138"/>
      <c r="G53" s="5"/>
      <c r="H53" s="135"/>
      <c r="I53" s="136"/>
      <c r="J53" s="137"/>
      <c r="K53" s="42"/>
      <c r="L53" s="138"/>
      <c r="M53" s="5"/>
      <c r="N53" s="135"/>
      <c r="O53" s="136"/>
      <c r="P53" s="137"/>
      <c r="Q53" s="42"/>
      <c r="R53" s="138"/>
      <c r="S53" s="5"/>
      <c r="T53" s="135"/>
      <c r="U53" s="136"/>
      <c r="V53" s="137"/>
      <c r="W53" s="42"/>
      <c r="X53" s="138"/>
      <c r="Y53" s="5"/>
      <c r="Z53" s="135"/>
      <c r="AA53" s="136"/>
      <c r="AB53" s="137"/>
      <c r="AC53" s="42"/>
      <c r="AD53" s="138"/>
      <c r="AE53" s="5"/>
      <c r="AF53" s="135"/>
      <c r="AG53" s="136"/>
      <c r="AH53" s="137"/>
      <c r="AI53" s="42"/>
      <c r="AJ53" s="138"/>
      <c r="AK53" s="5"/>
      <c r="AL53" s="135"/>
      <c r="AM53" s="136"/>
      <c r="AN53" s="137"/>
      <c r="AO53" s="42"/>
      <c r="AP53" s="138"/>
      <c r="AQ53" s="5"/>
      <c r="AR53" s="135"/>
      <c r="AS53" s="136"/>
      <c r="AT53" s="137"/>
      <c r="AU53" s="42"/>
      <c r="AV53" s="138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3.8" hidden="false" customHeight="false" outlineLevel="1" collapsed="false">
      <c r="A54" s="5"/>
      <c r="B54" s="139"/>
      <c r="C54" s="140"/>
      <c r="D54" s="141"/>
      <c r="E54" s="67"/>
      <c r="F54" s="142"/>
      <c r="G54" s="5"/>
      <c r="H54" s="139"/>
      <c r="I54" s="140"/>
      <c r="J54" s="141"/>
      <c r="K54" s="67"/>
      <c r="L54" s="142"/>
      <c r="M54" s="5"/>
      <c r="N54" s="139"/>
      <c r="O54" s="140"/>
      <c r="P54" s="141"/>
      <c r="Q54" s="67"/>
      <c r="R54" s="142"/>
      <c r="S54" s="5"/>
      <c r="T54" s="139"/>
      <c r="U54" s="140"/>
      <c r="V54" s="141"/>
      <c r="W54" s="67"/>
      <c r="X54" s="142"/>
      <c r="Y54" s="5"/>
      <c r="Z54" s="139"/>
      <c r="AA54" s="140"/>
      <c r="AB54" s="141"/>
      <c r="AC54" s="67"/>
      <c r="AD54" s="142"/>
      <c r="AE54" s="5"/>
      <c r="AF54" s="139"/>
      <c r="AG54" s="140"/>
      <c r="AH54" s="141"/>
      <c r="AI54" s="67"/>
      <c r="AJ54" s="142"/>
      <c r="AK54" s="5"/>
      <c r="AL54" s="139"/>
      <c r="AM54" s="140"/>
      <c r="AN54" s="141"/>
      <c r="AO54" s="67"/>
      <c r="AP54" s="142"/>
      <c r="AQ54" s="5"/>
      <c r="AR54" s="139"/>
      <c r="AS54" s="140"/>
      <c r="AT54" s="141"/>
      <c r="AU54" s="67"/>
      <c r="AV54" s="142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3.8" hidden="false" customHeight="false" outlineLevel="1" collapsed="false">
      <c r="A55" s="5"/>
      <c r="B55" s="135"/>
      <c r="C55" s="136"/>
      <c r="D55" s="137"/>
      <c r="E55" s="42"/>
      <c r="F55" s="138"/>
      <c r="G55" s="5"/>
      <c r="H55" s="135"/>
      <c r="I55" s="136"/>
      <c r="J55" s="137"/>
      <c r="K55" s="42"/>
      <c r="L55" s="138"/>
      <c r="M55" s="5"/>
      <c r="N55" s="135"/>
      <c r="O55" s="136"/>
      <c r="P55" s="137"/>
      <c r="Q55" s="42"/>
      <c r="R55" s="138"/>
      <c r="S55" s="5"/>
      <c r="T55" s="135"/>
      <c r="U55" s="136"/>
      <c r="V55" s="137"/>
      <c r="W55" s="42"/>
      <c r="X55" s="138"/>
      <c r="Y55" s="5"/>
      <c r="Z55" s="135"/>
      <c r="AA55" s="136"/>
      <c r="AB55" s="137"/>
      <c r="AC55" s="42"/>
      <c r="AD55" s="138"/>
      <c r="AE55" s="5"/>
      <c r="AF55" s="135"/>
      <c r="AG55" s="136"/>
      <c r="AH55" s="137"/>
      <c r="AI55" s="42"/>
      <c r="AJ55" s="138"/>
      <c r="AK55" s="5"/>
      <c r="AL55" s="135"/>
      <c r="AM55" s="136"/>
      <c r="AN55" s="137"/>
      <c r="AO55" s="42"/>
      <c r="AP55" s="138"/>
      <c r="AQ55" s="5"/>
      <c r="AR55" s="135"/>
      <c r="AS55" s="136"/>
      <c r="AT55" s="137"/>
      <c r="AU55" s="42"/>
      <c r="AV55" s="138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3.8" hidden="false" customHeight="false" outlineLevel="1" collapsed="false">
      <c r="A56" s="5"/>
      <c r="B56" s="139"/>
      <c r="C56" s="140"/>
      <c r="D56" s="141"/>
      <c r="E56" s="67"/>
      <c r="F56" s="142"/>
      <c r="G56" s="5"/>
      <c r="H56" s="139"/>
      <c r="I56" s="140"/>
      <c r="J56" s="67"/>
      <c r="K56" s="67"/>
      <c r="L56" s="142"/>
      <c r="M56" s="5"/>
      <c r="N56" s="139"/>
      <c r="O56" s="140"/>
      <c r="P56" s="67"/>
      <c r="Q56" s="67"/>
      <c r="R56" s="142"/>
      <c r="S56" s="5"/>
      <c r="T56" s="139"/>
      <c r="U56" s="140"/>
      <c r="V56" s="67"/>
      <c r="W56" s="67"/>
      <c r="X56" s="142"/>
      <c r="Y56" s="5"/>
      <c r="Z56" s="139"/>
      <c r="AA56" s="140"/>
      <c r="AB56" s="67"/>
      <c r="AC56" s="67"/>
      <c r="AD56" s="142"/>
      <c r="AE56" s="5"/>
      <c r="AF56" s="139"/>
      <c r="AG56" s="140"/>
      <c r="AH56" s="67"/>
      <c r="AI56" s="67"/>
      <c r="AJ56" s="142"/>
      <c r="AK56" s="5"/>
      <c r="AL56" s="139"/>
      <c r="AM56" s="140"/>
      <c r="AN56" s="67"/>
      <c r="AO56" s="67"/>
      <c r="AP56" s="142"/>
      <c r="AQ56" s="5"/>
      <c r="AR56" s="139"/>
      <c r="AS56" s="140"/>
      <c r="AT56" s="67"/>
      <c r="AU56" s="67"/>
      <c r="AV56" s="142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3.8" hidden="false" customHeight="false" outlineLevel="1" collapsed="false">
      <c r="A57" s="5"/>
      <c r="B57" s="135"/>
      <c r="C57" s="136"/>
      <c r="D57" s="137"/>
      <c r="E57" s="42"/>
      <c r="F57" s="138"/>
      <c r="G57" s="5"/>
      <c r="H57" s="135"/>
      <c r="I57" s="136"/>
      <c r="J57" s="42"/>
      <c r="K57" s="42"/>
      <c r="L57" s="138"/>
      <c r="M57" s="5"/>
      <c r="N57" s="135"/>
      <c r="O57" s="136"/>
      <c r="P57" s="42"/>
      <c r="Q57" s="42"/>
      <c r="R57" s="138"/>
      <c r="S57" s="5"/>
      <c r="T57" s="135"/>
      <c r="U57" s="136"/>
      <c r="V57" s="42"/>
      <c r="W57" s="42"/>
      <c r="X57" s="138"/>
      <c r="Y57" s="5"/>
      <c r="Z57" s="135"/>
      <c r="AA57" s="136"/>
      <c r="AB57" s="42"/>
      <c r="AC57" s="42"/>
      <c r="AD57" s="138"/>
      <c r="AE57" s="5"/>
      <c r="AF57" s="135"/>
      <c r="AG57" s="136"/>
      <c r="AH57" s="42"/>
      <c r="AI57" s="42"/>
      <c r="AJ57" s="138"/>
      <c r="AK57" s="5"/>
      <c r="AL57" s="135"/>
      <c r="AM57" s="136"/>
      <c r="AN57" s="42"/>
      <c r="AO57" s="42"/>
      <c r="AP57" s="138"/>
      <c r="AQ57" s="5"/>
      <c r="AR57" s="135"/>
      <c r="AS57" s="136"/>
      <c r="AT57" s="42"/>
      <c r="AU57" s="42"/>
      <c r="AV57" s="138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3.8" hidden="false" customHeight="false" outlineLevel="1" collapsed="false">
      <c r="A58" s="5"/>
      <c r="B58" s="139"/>
      <c r="C58" s="140"/>
      <c r="D58" s="141"/>
      <c r="E58" s="67"/>
      <c r="F58" s="142"/>
      <c r="G58" s="5"/>
      <c r="H58" s="139"/>
      <c r="I58" s="140"/>
      <c r="J58" s="67"/>
      <c r="K58" s="67"/>
      <c r="L58" s="142"/>
      <c r="M58" s="5"/>
      <c r="N58" s="139"/>
      <c r="O58" s="140"/>
      <c r="P58" s="67"/>
      <c r="Q58" s="67"/>
      <c r="R58" s="142"/>
      <c r="S58" s="5"/>
      <c r="T58" s="139"/>
      <c r="U58" s="140"/>
      <c r="V58" s="67"/>
      <c r="W58" s="67"/>
      <c r="X58" s="142"/>
      <c r="Y58" s="5"/>
      <c r="Z58" s="139"/>
      <c r="AA58" s="140"/>
      <c r="AB58" s="67"/>
      <c r="AC58" s="67"/>
      <c r="AD58" s="142"/>
      <c r="AE58" s="5"/>
      <c r="AF58" s="139"/>
      <c r="AG58" s="140"/>
      <c r="AH58" s="67"/>
      <c r="AI58" s="67"/>
      <c r="AJ58" s="142"/>
      <c r="AK58" s="5"/>
      <c r="AL58" s="139"/>
      <c r="AM58" s="140"/>
      <c r="AN58" s="67"/>
      <c r="AO58" s="67"/>
      <c r="AP58" s="142"/>
      <c r="AQ58" s="5"/>
      <c r="AR58" s="139"/>
      <c r="AS58" s="140"/>
      <c r="AT58" s="67"/>
      <c r="AU58" s="67"/>
      <c r="AV58" s="142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3.8" hidden="false" customHeight="false" outlineLevel="1" collapsed="false">
      <c r="A59" s="5"/>
      <c r="B59" s="135"/>
      <c r="C59" s="136"/>
      <c r="D59" s="137"/>
      <c r="E59" s="42"/>
      <c r="F59" s="138"/>
      <c r="G59" s="5"/>
      <c r="H59" s="135"/>
      <c r="I59" s="136"/>
      <c r="J59" s="42"/>
      <c r="K59" s="42"/>
      <c r="L59" s="138"/>
      <c r="M59" s="5"/>
      <c r="N59" s="135"/>
      <c r="O59" s="136"/>
      <c r="P59" s="42"/>
      <c r="Q59" s="42"/>
      <c r="R59" s="138"/>
      <c r="S59" s="5"/>
      <c r="T59" s="135"/>
      <c r="U59" s="136"/>
      <c r="V59" s="42"/>
      <c r="W59" s="42"/>
      <c r="X59" s="138"/>
      <c r="Y59" s="5"/>
      <c r="Z59" s="135"/>
      <c r="AA59" s="136"/>
      <c r="AB59" s="42"/>
      <c r="AC59" s="42"/>
      <c r="AD59" s="138"/>
      <c r="AE59" s="5"/>
      <c r="AF59" s="135"/>
      <c r="AG59" s="136"/>
      <c r="AH59" s="42"/>
      <c r="AI59" s="42"/>
      <c r="AJ59" s="138"/>
      <c r="AK59" s="5"/>
      <c r="AL59" s="135"/>
      <c r="AM59" s="136"/>
      <c r="AN59" s="42"/>
      <c r="AO59" s="42"/>
      <c r="AP59" s="138"/>
      <c r="AQ59" s="5"/>
      <c r="AR59" s="135"/>
      <c r="AS59" s="136"/>
      <c r="AT59" s="42"/>
      <c r="AU59" s="42"/>
      <c r="AV59" s="138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3.8" hidden="false" customHeight="false" outlineLevel="1" collapsed="false">
      <c r="A60" s="5"/>
      <c r="B60" s="139"/>
      <c r="C60" s="140"/>
      <c r="D60" s="141"/>
      <c r="E60" s="67"/>
      <c r="F60" s="142"/>
      <c r="G60" s="5"/>
      <c r="H60" s="139"/>
      <c r="I60" s="140"/>
      <c r="J60" s="67"/>
      <c r="K60" s="67"/>
      <c r="L60" s="142"/>
      <c r="M60" s="5"/>
      <c r="N60" s="139"/>
      <c r="O60" s="140"/>
      <c r="P60" s="67"/>
      <c r="Q60" s="67"/>
      <c r="R60" s="142"/>
      <c r="S60" s="5"/>
      <c r="T60" s="139"/>
      <c r="U60" s="140"/>
      <c r="V60" s="67"/>
      <c r="W60" s="67"/>
      <c r="X60" s="142"/>
      <c r="Y60" s="5"/>
      <c r="Z60" s="139"/>
      <c r="AA60" s="140"/>
      <c r="AB60" s="67"/>
      <c r="AC60" s="67"/>
      <c r="AD60" s="142"/>
      <c r="AE60" s="5"/>
      <c r="AF60" s="139"/>
      <c r="AG60" s="140"/>
      <c r="AH60" s="67"/>
      <c r="AI60" s="67"/>
      <c r="AJ60" s="142"/>
      <c r="AK60" s="5"/>
      <c r="AL60" s="139"/>
      <c r="AM60" s="140"/>
      <c r="AN60" s="67"/>
      <c r="AO60" s="67"/>
      <c r="AP60" s="142"/>
      <c r="AQ60" s="5"/>
      <c r="AR60" s="139"/>
      <c r="AS60" s="140"/>
      <c r="AT60" s="67"/>
      <c r="AU60" s="67"/>
      <c r="AV60" s="142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3.8" hidden="false" customHeight="false" outlineLevel="1" collapsed="false">
      <c r="A61" s="5"/>
      <c r="B61" s="135"/>
      <c r="C61" s="136"/>
      <c r="D61" s="137"/>
      <c r="E61" s="42"/>
      <c r="F61" s="138"/>
      <c r="G61" s="5"/>
      <c r="H61" s="135"/>
      <c r="I61" s="136"/>
      <c r="J61" s="42"/>
      <c r="K61" s="42"/>
      <c r="L61" s="138"/>
      <c r="M61" s="5"/>
      <c r="N61" s="135"/>
      <c r="O61" s="136"/>
      <c r="P61" s="42"/>
      <c r="Q61" s="42"/>
      <c r="R61" s="138"/>
      <c r="S61" s="5"/>
      <c r="T61" s="135"/>
      <c r="U61" s="136"/>
      <c r="V61" s="42"/>
      <c r="W61" s="42"/>
      <c r="X61" s="138"/>
      <c r="Y61" s="5"/>
      <c r="Z61" s="135"/>
      <c r="AA61" s="136"/>
      <c r="AB61" s="42"/>
      <c r="AC61" s="42"/>
      <c r="AD61" s="138"/>
      <c r="AE61" s="5"/>
      <c r="AF61" s="135"/>
      <c r="AG61" s="136"/>
      <c r="AH61" s="42"/>
      <c r="AI61" s="42"/>
      <c r="AJ61" s="138"/>
      <c r="AK61" s="5"/>
      <c r="AL61" s="135"/>
      <c r="AM61" s="136"/>
      <c r="AN61" s="42"/>
      <c r="AO61" s="42"/>
      <c r="AP61" s="138"/>
      <c r="AQ61" s="5"/>
      <c r="AR61" s="135"/>
      <c r="AS61" s="136"/>
      <c r="AT61" s="42"/>
      <c r="AU61" s="42"/>
      <c r="AV61" s="138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3.8" hidden="false" customHeight="false" outlineLevel="1" collapsed="false">
      <c r="A62" s="5"/>
      <c r="B62" s="139"/>
      <c r="C62" s="140"/>
      <c r="D62" s="141"/>
      <c r="E62" s="67"/>
      <c r="F62" s="142"/>
      <c r="G62" s="5"/>
      <c r="H62" s="139"/>
      <c r="I62" s="140"/>
      <c r="J62" s="67"/>
      <c r="K62" s="67"/>
      <c r="L62" s="142"/>
      <c r="M62" s="5"/>
      <c r="N62" s="139"/>
      <c r="O62" s="140"/>
      <c r="P62" s="67"/>
      <c r="Q62" s="67"/>
      <c r="R62" s="142"/>
      <c r="S62" s="5"/>
      <c r="T62" s="139"/>
      <c r="U62" s="140"/>
      <c r="V62" s="67"/>
      <c r="W62" s="67"/>
      <c r="X62" s="142"/>
      <c r="Y62" s="5"/>
      <c r="Z62" s="139"/>
      <c r="AA62" s="140"/>
      <c r="AB62" s="67"/>
      <c r="AC62" s="67"/>
      <c r="AD62" s="142"/>
      <c r="AE62" s="5"/>
      <c r="AF62" s="139"/>
      <c r="AG62" s="140"/>
      <c r="AH62" s="67"/>
      <c r="AI62" s="67"/>
      <c r="AJ62" s="142"/>
      <c r="AK62" s="5"/>
      <c r="AL62" s="139"/>
      <c r="AM62" s="140"/>
      <c r="AN62" s="67"/>
      <c r="AO62" s="67"/>
      <c r="AP62" s="142"/>
      <c r="AQ62" s="5"/>
      <c r="AR62" s="139"/>
      <c r="AS62" s="140"/>
      <c r="AT62" s="67"/>
      <c r="AU62" s="67"/>
      <c r="AV62" s="142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3.8" hidden="false" customHeight="false" outlineLevel="1" collapsed="false">
      <c r="A63" s="5"/>
      <c r="B63" s="135"/>
      <c r="C63" s="136"/>
      <c r="D63" s="137"/>
      <c r="E63" s="42"/>
      <c r="F63" s="138"/>
      <c r="G63" s="5"/>
      <c r="H63" s="135"/>
      <c r="I63" s="136"/>
      <c r="J63" s="42"/>
      <c r="K63" s="42"/>
      <c r="L63" s="138"/>
      <c r="M63" s="5"/>
      <c r="N63" s="135"/>
      <c r="O63" s="136"/>
      <c r="P63" s="42"/>
      <c r="Q63" s="42"/>
      <c r="R63" s="138"/>
      <c r="S63" s="5"/>
      <c r="T63" s="135"/>
      <c r="U63" s="136"/>
      <c r="V63" s="42"/>
      <c r="W63" s="42"/>
      <c r="X63" s="138"/>
      <c r="Y63" s="5"/>
      <c r="Z63" s="135"/>
      <c r="AA63" s="136"/>
      <c r="AB63" s="42"/>
      <c r="AC63" s="42"/>
      <c r="AD63" s="138"/>
      <c r="AE63" s="5"/>
      <c r="AF63" s="135"/>
      <c r="AG63" s="136"/>
      <c r="AH63" s="42"/>
      <c r="AI63" s="42"/>
      <c r="AJ63" s="138"/>
      <c r="AK63" s="5"/>
      <c r="AL63" s="135"/>
      <c r="AM63" s="136"/>
      <c r="AN63" s="42"/>
      <c r="AO63" s="42"/>
      <c r="AP63" s="138"/>
      <c r="AQ63" s="5"/>
      <c r="AR63" s="135"/>
      <c r="AS63" s="136"/>
      <c r="AT63" s="42"/>
      <c r="AU63" s="42"/>
      <c r="AV63" s="138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3.8" hidden="false" customHeight="false" outlineLevel="1" collapsed="false">
      <c r="A64" s="5"/>
      <c r="B64" s="139"/>
      <c r="C64" s="140"/>
      <c r="D64" s="141"/>
      <c r="E64" s="67"/>
      <c r="F64" s="142"/>
      <c r="G64" s="5"/>
      <c r="H64" s="139"/>
      <c r="I64" s="140"/>
      <c r="J64" s="67"/>
      <c r="K64" s="67"/>
      <c r="L64" s="142"/>
      <c r="M64" s="5"/>
      <c r="N64" s="139"/>
      <c r="O64" s="140"/>
      <c r="P64" s="67"/>
      <c r="Q64" s="67"/>
      <c r="R64" s="142"/>
      <c r="S64" s="5"/>
      <c r="T64" s="139"/>
      <c r="U64" s="140"/>
      <c r="V64" s="67"/>
      <c r="W64" s="67"/>
      <c r="X64" s="142"/>
      <c r="Y64" s="5"/>
      <c r="Z64" s="139"/>
      <c r="AA64" s="140"/>
      <c r="AB64" s="67"/>
      <c r="AC64" s="67"/>
      <c r="AD64" s="142"/>
      <c r="AE64" s="5"/>
      <c r="AF64" s="139"/>
      <c r="AG64" s="140"/>
      <c r="AH64" s="67"/>
      <c r="AI64" s="67"/>
      <c r="AJ64" s="142"/>
      <c r="AK64" s="5"/>
      <c r="AL64" s="139"/>
      <c r="AM64" s="140"/>
      <c r="AN64" s="67"/>
      <c r="AO64" s="67"/>
      <c r="AP64" s="142"/>
      <c r="AQ64" s="5"/>
      <c r="AR64" s="139"/>
      <c r="AS64" s="140"/>
      <c r="AT64" s="67"/>
      <c r="AU64" s="67"/>
      <c r="AV64" s="142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3.8" hidden="false" customHeight="false" outlineLevel="1" collapsed="false">
      <c r="A65" s="5"/>
      <c r="B65" s="135"/>
      <c r="C65" s="136"/>
      <c r="D65" s="137"/>
      <c r="E65" s="42"/>
      <c r="F65" s="138"/>
      <c r="G65" s="5"/>
      <c r="H65" s="135"/>
      <c r="I65" s="136"/>
      <c r="J65" s="42"/>
      <c r="K65" s="42"/>
      <c r="L65" s="138"/>
      <c r="M65" s="5"/>
      <c r="N65" s="135"/>
      <c r="O65" s="136"/>
      <c r="P65" s="42"/>
      <c r="Q65" s="42"/>
      <c r="R65" s="138"/>
      <c r="S65" s="5"/>
      <c r="T65" s="135"/>
      <c r="U65" s="136"/>
      <c r="V65" s="42"/>
      <c r="W65" s="42"/>
      <c r="X65" s="138"/>
      <c r="Y65" s="5"/>
      <c r="Z65" s="135"/>
      <c r="AA65" s="136"/>
      <c r="AB65" s="42"/>
      <c r="AC65" s="42"/>
      <c r="AD65" s="138"/>
      <c r="AE65" s="5"/>
      <c r="AF65" s="135"/>
      <c r="AG65" s="136"/>
      <c r="AH65" s="42"/>
      <c r="AI65" s="42"/>
      <c r="AJ65" s="138"/>
      <c r="AK65" s="5"/>
      <c r="AL65" s="135"/>
      <c r="AM65" s="136"/>
      <c r="AN65" s="42"/>
      <c r="AO65" s="42"/>
      <c r="AP65" s="138"/>
      <c r="AQ65" s="5"/>
      <c r="AR65" s="135"/>
      <c r="AS65" s="136"/>
      <c r="AT65" s="42"/>
      <c r="AU65" s="42"/>
      <c r="AV65" s="138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3.8" hidden="false" customHeight="false" outlineLevel="1" collapsed="false">
      <c r="A66" s="5"/>
      <c r="B66" s="139"/>
      <c r="C66" s="140"/>
      <c r="D66" s="67"/>
      <c r="E66" s="67"/>
      <c r="F66" s="142"/>
      <c r="G66" s="5"/>
      <c r="H66" s="139"/>
      <c r="I66" s="140"/>
      <c r="J66" s="67"/>
      <c r="K66" s="67"/>
      <c r="L66" s="142"/>
      <c r="M66" s="5"/>
      <c r="N66" s="139"/>
      <c r="O66" s="140"/>
      <c r="P66" s="67"/>
      <c r="Q66" s="67"/>
      <c r="R66" s="142"/>
      <c r="S66" s="5"/>
      <c r="T66" s="139"/>
      <c r="U66" s="140"/>
      <c r="V66" s="67"/>
      <c r="W66" s="67"/>
      <c r="X66" s="142"/>
      <c r="Y66" s="5"/>
      <c r="Z66" s="139"/>
      <c r="AA66" s="140"/>
      <c r="AB66" s="67"/>
      <c r="AC66" s="67"/>
      <c r="AD66" s="142"/>
      <c r="AE66" s="5"/>
      <c r="AF66" s="139"/>
      <c r="AG66" s="140"/>
      <c r="AH66" s="67"/>
      <c r="AI66" s="67"/>
      <c r="AJ66" s="142"/>
      <c r="AK66" s="5"/>
      <c r="AL66" s="139"/>
      <c r="AM66" s="140"/>
      <c r="AN66" s="67"/>
      <c r="AO66" s="67"/>
      <c r="AP66" s="142"/>
      <c r="AQ66" s="5"/>
      <c r="AR66" s="139"/>
      <c r="AS66" s="140"/>
      <c r="AT66" s="67"/>
      <c r="AU66" s="67"/>
      <c r="AV66" s="142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3.8" hidden="false" customHeight="false" outlineLevel="1" collapsed="false">
      <c r="A67" s="5"/>
      <c r="B67" s="135"/>
      <c r="C67" s="136"/>
      <c r="D67" s="42"/>
      <c r="E67" s="42"/>
      <c r="F67" s="138"/>
      <c r="G67" s="5"/>
      <c r="H67" s="135"/>
      <c r="I67" s="136"/>
      <c r="J67" s="42"/>
      <c r="K67" s="42"/>
      <c r="L67" s="138"/>
      <c r="M67" s="5"/>
      <c r="N67" s="135"/>
      <c r="O67" s="136"/>
      <c r="P67" s="42"/>
      <c r="Q67" s="42"/>
      <c r="R67" s="138"/>
      <c r="S67" s="5"/>
      <c r="T67" s="135"/>
      <c r="U67" s="136"/>
      <c r="V67" s="42"/>
      <c r="W67" s="42"/>
      <c r="X67" s="138"/>
      <c r="Y67" s="5"/>
      <c r="Z67" s="135"/>
      <c r="AA67" s="136"/>
      <c r="AB67" s="42"/>
      <c r="AC67" s="42"/>
      <c r="AD67" s="138"/>
      <c r="AE67" s="5"/>
      <c r="AF67" s="135"/>
      <c r="AG67" s="136"/>
      <c r="AH67" s="42"/>
      <c r="AI67" s="42"/>
      <c r="AJ67" s="138"/>
      <c r="AK67" s="5"/>
      <c r="AL67" s="135"/>
      <c r="AM67" s="136"/>
      <c r="AN67" s="42"/>
      <c r="AO67" s="42"/>
      <c r="AP67" s="138"/>
      <c r="AQ67" s="5"/>
      <c r="AR67" s="135"/>
      <c r="AS67" s="136"/>
      <c r="AT67" s="42"/>
      <c r="AU67" s="42"/>
      <c r="AV67" s="138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3.8" hidden="false" customHeight="false" outlineLevel="0" collapsed="false">
      <c r="A68" s="5"/>
      <c r="B68" s="139"/>
      <c r="C68" s="140"/>
      <c r="D68" s="67"/>
      <c r="E68" s="144" t="s">
        <v>147</v>
      </c>
      <c r="F68" s="142" t="n">
        <v>300</v>
      </c>
      <c r="G68" s="5"/>
      <c r="H68" s="139"/>
      <c r="I68" s="140"/>
      <c r="J68" s="67"/>
      <c r="K68" s="144" t="s">
        <v>147</v>
      </c>
      <c r="L68" s="142" t="n">
        <v>250</v>
      </c>
      <c r="M68" s="5"/>
      <c r="N68" s="139"/>
      <c r="O68" s="140"/>
      <c r="P68" s="67"/>
      <c r="Q68" s="144" t="s">
        <v>147</v>
      </c>
      <c r="R68" s="142" t="n">
        <v>400</v>
      </c>
      <c r="S68" s="5"/>
      <c r="T68" s="139"/>
      <c r="U68" s="140"/>
      <c r="V68" s="67"/>
      <c r="W68" s="144" t="s">
        <v>147</v>
      </c>
      <c r="X68" s="142" t="n">
        <v>150</v>
      </c>
      <c r="Y68" s="5"/>
      <c r="Z68" s="139"/>
      <c r="AA68" s="140"/>
      <c r="AB68" s="67"/>
      <c r="AC68" s="144" t="s">
        <v>147</v>
      </c>
      <c r="AD68" s="142" t="n">
        <v>0</v>
      </c>
      <c r="AE68" s="5"/>
      <c r="AF68" s="139"/>
      <c r="AG68" s="140"/>
      <c r="AH68" s="67"/>
      <c r="AI68" s="144" t="s">
        <v>147</v>
      </c>
      <c r="AJ68" s="142" t="n">
        <v>85</v>
      </c>
      <c r="AK68" s="5"/>
      <c r="AL68" s="139"/>
      <c r="AM68" s="140"/>
      <c r="AN68" s="67"/>
      <c r="AO68" s="144" t="s">
        <v>147</v>
      </c>
      <c r="AP68" s="142" t="n">
        <v>0</v>
      </c>
      <c r="AQ68" s="5"/>
      <c r="AR68" s="139"/>
      <c r="AS68" s="140"/>
      <c r="AT68" s="67"/>
      <c r="AU68" s="144" t="s">
        <v>147</v>
      </c>
      <c r="AV68" s="142" t="n">
        <v>1370</v>
      </c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3.8" hidden="false" customHeight="false" outlineLevel="0" collapsed="false">
      <c r="A69" s="5"/>
      <c r="B69" s="135"/>
      <c r="C69" s="136"/>
      <c r="D69" s="42"/>
      <c r="E69" s="104" t="s">
        <v>148</v>
      </c>
      <c r="F69" s="146" t="n">
        <f aca="false">F68-F73</f>
        <v>300</v>
      </c>
      <c r="G69" s="5"/>
      <c r="H69" s="135"/>
      <c r="I69" s="136"/>
      <c r="J69" s="42"/>
      <c r="K69" s="104" t="s">
        <v>148</v>
      </c>
      <c r="L69" s="146" t="n">
        <f aca="false">L68-L73</f>
        <v>250</v>
      </c>
      <c r="M69" s="5"/>
      <c r="N69" s="135"/>
      <c r="O69" s="136"/>
      <c r="P69" s="42"/>
      <c r="Q69" s="104" t="s">
        <v>148</v>
      </c>
      <c r="R69" s="146" t="n">
        <f aca="false">R68-R73</f>
        <v>400</v>
      </c>
      <c r="S69" s="5"/>
      <c r="T69" s="135"/>
      <c r="U69" s="136"/>
      <c r="V69" s="42"/>
      <c r="W69" s="104" t="s">
        <v>148</v>
      </c>
      <c r="X69" s="146" t="n">
        <f aca="false">X68-X73</f>
        <v>150</v>
      </c>
      <c r="Y69" s="5"/>
      <c r="Z69" s="135"/>
      <c r="AA69" s="136"/>
      <c r="AB69" s="42"/>
      <c r="AC69" s="104" t="s">
        <v>148</v>
      </c>
      <c r="AD69" s="146" t="n">
        <f aca="false">AD68-AD73</f>
        <v>0</v>
      </c>
      <c r="AE69" s="5"/>
      <c r="AF69" s="135"/>
      <c r="AG69" s="136"/>
      <c r="AH69" s="42"/>
      <c r="AI69" s="104" t="s">
        <v>148</v>
      </c>
      <c r="AJ69" s="146" t="n">
        <f aca="false">AJ68-AJ73</f>
        <v>85</v>
      </c>
      <c r="AK69" s="5"/>
      <c r="AL69" s="135"/>
      <c r="AM69" s="136"/>
      <c r="AN69" s="42"/>
      <c r="AO69" s="104" t="s">
        <v>148</v>
      </c>
      <c r="AP69" s="146" t="n">
        <f aca="false">AP68-AP73</f>
        <v>0</v>
      </c>
      <c r="AQ69" s="5"/>
      <c r="AR69" s="135"/>
      <c r="AS69" s="136"/>
      <c r="AT69" s="42"/>
      <c r="AU69" s="104" t="s">
        <v>148</v>
      </c>
      <c r="AV69" s="146" t="n">
        <f aca="false">AV68-AV73</f>
        <v>1370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3.8" hidden="false" customHeight="false" outlineLevel="0" collapsed="false">
      <c r="A70" s="5"/>
      <c r="B70" s="139"/>
      <c r="C70" s="140"/>
      <c r="D70" s="67"/>
      <c r="E70" s="144" t="s">
        <v>149</v>
      </c>
      <c r="F70" s="145" t="n">
        <f aca="false">F68+Jul!F70</f>
        <v>2400</v>
      </c>
      <c r="G70" s="5"/>
      <c r="H70" s="139"/>
      <c r="I70" s="140"/>
      <c r="J70" s="67"/>
      <c r="K70" s="144" t="s">
        <v>149</v>
      </c>
      <c r="L70" s="145" t="n">
        <f aca="false">L68+Jul!L70</f>
        <v>2000</v>
      </c>
      <c r="M70" s="5"/>
      <c r="N70" s="139"/>
      <c r="O70" s="140"/>
      <c r="P70" s="67"/>
      <c r="Q70" s="144" t="s">
        <v>149</v>
      </c>
      <c r="R70" s="145" t="n">
        <f aca="false">R68+Jul!R70</f>
        <v>3200</v>
      </c>
      <c r="S70" s="5"/>
      <c r="T70" s="139"/>
      <c r="U70" s="140"/>
      <c r="V70" s="67"/>
      <c r="W70" s="144" t="s">
        <v>149</v>
      </c>
      <c r="X70" s="145" t="n">
        <f aca="false">X68+Jul!X70</f>
        <v>1200</v>
      </c>
      <c r="Y70" s="5"/>
      <c r="Z70" s="139"/>
      <c r="AA70" s="140"/>
      <c r="AB70" s="67"/>
      <c r="AC70" s="144" t="s">
        <v>149</v>
      </c>
      <c r="AD70" s="145" t="n">
        <f aca="false">AD68+Jul!AD70</f>
        <v>0</v>
      </c>
      <c r="AE70" s="5"/>
      <c r="AF70" s="139"/>
      <c r="AG70" s="140"/>
      <c r="AH70" s="67"/>
      <c r="AI70" s="144" t="s">
        <v>149</v>
      </c>
      <c r="AJ70" s="145" t="n">
        <f aca="false">AJ68+Jul!AJ70</f>
        <v>680</v>
      </c>
      <c r="AK70" s="5"/>
      <c r="AL70" s="139"/>
      <c r="AM70" s="140"/>
      <c r="AN70" s="67"/>
      <c r="AO70" s="144" t="s">
        <v>149</v>
      </c>
      <c r="AP70" s="145" t="n">
        <f aca="false">AP68+Jul!AP70</f>
        <v>0</v>
      </c>
      <c r="AQ70" s="5"/>
      <c r="AR70" s="139"/>
      <c r="AS70" s="140"/>
      <c r="AT70" s="67"/>
      <c r="AU70" s="144" t="s">
        <v>149</v>
      </c>
      <c r="AV70" s="145" t="n">
        <f aca="false">AV68+Jul!AV70</f>
        <v>10960</v>
      </c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3.8" hidden="false" customHeight="false" outlineLevel="0" collapsed="false">
      <c r="A71" s="5"/>
      <c r="B71" s="135"/>
      <c r="C71" s="136"/>
      <c r="D71" s="42"/>
      <c r="E71" s="104" t="s">
        <v>150</v>
      </c>
      <c r="F71" s="146" t="n">
        <f aca="false">Jul!F71+F73</f>
        <v>84.56</v>
      </c>
      <c r="G71" s="5"/>
      <c r="H71" s="135"/>
      <c r="I71" s="136"/>
      <c r="J71" s="42"/>
      <c r="K71" s="104" t="s">
        <v>150</v>
      </c>
      <c r="L71" s="146" t="n">
        <f aca="false">Jul!L71+L73</f>
        <v>121.19</v>
      </c>
      <c r="M71" s="5"/>
      <c r="N71" s="135"/>
      <c r="O71" s="136"/>
      <c r="P71" s="42"/>
      <c r="Q71" s="104" t="s">
        <v>150</v>
      </c>
      <c r="R71" s="146" t="n">
        <f aca="false">Jul!R71+R73</f>
        <v>55.56</v>
      </c>
      <c r="S71" s="5"/>
      <c r="T71" s="135"/>
      <c r="U71" s="136"/>
      <c r="V71" s="42"/>
      <c r="W71" s="104" t="s">
        <v>150</v>
      </c>
      <c r="X71" s="146" t="n">
        <f aca="false">Jul!X71+X73</f>
        <v>21.4</v>
      </c>
      <c r="Y71" s="5"/>
      <c r="Z71" s="135"/>
      <c r="AA71" s="136"/>
      <c r="AB71" s="42"/>
      <c r="AC71" s="104" t="s">
        <v>150</v>
      </c>
      <c r="AD71" s="146" t="n">
        <f aca="false">Jul!AD71+AD73</f>
        <v>20.21</v>
      </c>
      <c r="AE71" s="5"/>
      <c r="AF71" s="135"/>
      <c r="AG71" s="136"/>
      <c r="AH71" s="42"/>
      <c r="AI71" s="104" t="s">
        <v>150</v>
      </c>
      <c r="AJ71" s="146" t="n">
        <f aca="false">Jul!AJ71+AJ73</f>
        <v>60.56</v>
      </c>
      <c r="AK71" s="5"/>
      <c r="AL71" s="135"/>
      <c r="AM71" s="136"/>
      <c r="AN71" s="42"/>
      <c r="AO71" s="104" t="s">
        <v>150</v>
      </c>
      <c r="AP71" s="146" t="n">
        <f aca="false">Jul!AP71+AP73</f>
        <v>0</v>
      </c>
      <c r="AQ71" s="5"/>
      <c r="AR71" s="135"/>
      <c r="AS71" s="136"/>
      <c r="AT71" s="42"/>
      <c r="AU71" s="104" t="s">
        <v>150</v>
      </c>
      <c r="AV71" s="146" t="n">
        <f aca="false">Jul!AV71+AV73</f>
        <v>2199.96</v>
      </c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3.8" hidden="false" customHeight="false" outlineLevel="0" collapsed="false">
      <c r="A72" s="5"/>
      <c r="B72" s="139"/>
      <c r="C72" s="140"/>
      <c r="D72" s="67"/>
      <c r="E72" s="144" t="s">
        <v>151</v>
      </c>
      <c r="F72" s="145" t="n">
        <f aca="false">F70-F71</f>
        <v>2315.44</v>
      </c>
      <c r="G72" s="5"/>
      <c r="H72" s="139"/>
      <c r="I72" s="140"/>
      <c r="J72" s="67"/>
      <c r="K72" s="144" t="s">
        <v>151</v>
      </c>
      <c r="L72" s="145" t="n">
        <f aca="false">L70-L71</f>
        <v>1878.81</v>
      </c>
      <c r="M72" s="5"/>
      <c r="N72" s="139"/>
      <c r="O72" s="140"/>
      <c r="P72" s="67"/>
      <c r="Q72" s="144" t="s">
        <v>151</v>
      </c>
      <c r="R72" s="145" t="n">
        <f aca="false">R70-R71</f>
        <v>3144.44</v>
      </c>
      <c r="S72" s="5"/>
      <c r="T72" s="139"/>
      <c r="U72" s="140"/>
      <c r="V72" s="67"/>
      <c r="W72" s="144" t="s">
        <v>151</v>
      </c>
      <c r="X72" s="145" t="n">
        <f aca="false">X70-X71</f>
        <v>1178.6</v>
      </c>
      <c r="Y72" s="5"/>
      <c r="Z72" s="139"/>
      <c r="AA72" s="140"/>
      <c r="AB72" s="67"/>
      <c r="AC72" s="144" t="s">
        <v>151</v>
      </c>
      <c r="AD72" s="145" t="n">
        <f aca="false">AD70-AD71</f>
        <v>-20.21</v>
      </c>
      <c r="AE72" s="5"/>
      <c r="AF72" s="139"/>
      <c r="AG72" s="140"/>
      <c r="AH72" s="67"/>
      <c r="AI72" s="144" t="s">
        <v>151</v>
      </c>
      <c r="AJ72" s="145" t="n">
        <f aca="false">AJ70-AJ71</f>
        <v>619.44</v>
      </c>
      <c r="AK72" s="5"/>
      <c r="AL72" s="139"/>
      <c r="AM72" s="140"/>
      <c r="AN72" s="67"/>
      <c r="AO72" s="144" t="s">
        <v>151</v>
      </c>
      <c r="AP72" s="145" t="n">
        <f aca="false">AP70-AP71</f>
        <v>0</v>
      </c>
      <c r="AQ72" s="5"/>
      <c r="AR72" s="139"/>
      <c r="AS72" s="140"/>
      <c r="AT72" s="67"/>
      <c r="AU72" s="144" t="s">
        <v>151</v>
      </c>
      <c r="AV72" s="145" t="n">
        <f aca="false">AV70-AV71</f>
        <v>8760.04</v>
      </c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3.8" hidden="false" customHeight="false" outlineLevel="0" collapsed="false">
      <c r="A73" s="5"/>
      <c r="B73" s="147"/>
      <c r="C73" s="148"/>
      <c r="D73" s="149"/>
      <c r="E73" s="150" t="s">
        <v>110</v>
      </c>
      <c r="F73" s="151" t="n">
        <f aca="false">SUM(F19:F67)</f>
        <v>0</v>
      </c>
      <c r="G73" s="5"/>
      <c r="H73" s="147"/>
      <c r="I73" s="148"/>
      <c r="J73" s="149"/>
      <c r="K73" s="150" t="s">
        <v>110</v>
      </c>
      <c r="L73" s="151" t="n">
        <f aca="false">SUM(L19:L67)</f>
        <v>0</v>
      </c>
      <c r="M73" s="5"/>
      <c r="N73" s="147"/>
      <c r="O73" s="148"/>
      <c r="P73" s="149"/>
      <c r="Q73" s="150" t="s">
        <v>110</v>
      </c>
      <c r="R73" s="151" t="n">
        <f aca="false">SUM(R19:R67)</f>
        <v>0</v>
      </c>
      <c r="S73" s="5"/>
      <c r="T73" s="147"/>
      <c r="U73" s="148"/>
      <c r="V73" s="149"/>
      <c r="W73" s="150" t="s">
        <v>110</v>
      </c>
      <c r="X73" s="151" t="n">
        <f aca="false">SUM(X19:X67)</f>
        <v>0</v>
      </c>
      <c r="Y73" s="5"/>
      <c r="Z73" s="147"/>
      <c r="AA73" s="148"/>
      <c r="AB73" s="149"/>
      <c r="AC73" s="150" t="s">
        <v>110</v>
      </c>
      <c r="AD73" s="151" t="n">
        <f aca="false">SUM(AD19:AD67)</f>
        <v>0</v>
      </c>
      <c r="AE73" s="5"/>
      <c r="AF73" s="147"/>
      <c r="AG73" s="148"/>
      <c r="AH73" s="149"/>
      <c r="AI73" s="150" t="s">
        <v>110</v>
      </c>
      <c r="AJ73" s="151" t="n">
        <f aca="false">SUM(AJ19:AJ67)</f>
        <v>0</v>
      </c>
      <c r="AK73" s="5"/>
      <c r="AL73" s="147"/>
      <c r="AM73" s="148"/>
      <c r="AN73" s="149"/>
      <c r="AO73" s="150" t="s">
        <v>110</v>
      </c>
      <c r="AP73" s="151" t="n">
        <f aca="false">SUM(AP19:AP67)</f>
        <v>0</v>
      </c>
      <c r="AQ73" s="5"/>
      <c r="AR73" s="147"/>
      <c r="AS73" s="148"/>
      <c r="AT73" s="149"/>
      <c r="AU73" s="150" t="s">
        <v>110</v>
      </c>
      <c r="AV73" s="151" t="n">
        <f aca="false">SUM(AV19:AV67)</f>
        <v>0</v>
      </c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3.8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3.8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3.8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3.8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3.8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3.8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3.8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3.8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3.8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3.8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3.8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3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3.8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3.8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3.8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3.8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3.8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3.8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3.8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3.8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3.8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3.8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3.8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3.8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3.8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3.8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3.8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3.8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3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3.8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3.8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3.8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3.8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3.8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3.8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3.8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3.8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3.8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3.8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</sheetData>
  <mergeCells count="24">
    <mergeCell ref="P2:R2"/>
    <mergeCell ref="AB2:AC2"/>
    <mergeCell ref="AI2:AO2"/>
    <mergeCell ref="AT2:AV2"/>
    <mergeCell ref="V12:W12"/>
    <mergeCell ref="V13:W13"/>
    <mergeCell ref="V14:W14"/>
    <mergeCell ref="B16:B17"/>
    <mergeCell ref="C16:C17"/>
    <mergeCell ref="H16:H17"/>
    <mergeCell ref="I16:I17"/>
    <mergeCell ref="N16:N17"/>
    <mergeCell ref="O16:O17"/>
    <mergeCell ref="T16:T17"/>
    <mergeCell ref="U16:U17"/>
    <mergeCell ref="Z16:Z17"/>
    <mergeCell ref="AA16:AA17"/>
    <mergeCell ref="AF16:AF17"/>
    <mergeCell ref="AG16:AG17"/>
    <mergeCell ref="AL16:AL17"/>
    <mergeCell ref="AM16:AM17"/>
    <mergeCell ref="AR16:AR17"/>
    <mergeCell ref="AS16:AS17"/>
    <mergeCell ref="B18:F18"/>
  </mergeCells>
  <conditionalFormatting sqref="BI12:BI16 BI3:BI10">
    <cfRule type="cellIs" priority="2" operator="lessThan" aboveAverage="0" equalAverage="0" bottom="0" percent="0" rank="0" text="" dxfId="14">
      <formula>0</formula>
    </cfRule>
    <cfRule type="cellIs" priority="3" operator="greaterThan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2390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Dan</dc:creator>
  <dc:description/>
  <dc:language>en-US</dc:language>
  <cp:lastModifiedBy/>
  <dcterms:modified xsi:type="dcterms:W3CDTF">2020-10-25T17:37:25Z</dcterms:modified>
  <cp:revision>134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